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H Living\2cinco4 Edition\04. Custo\03.0 Custo - Orçamento Paramétrico\1. Diretos\"/>
    </mc:Choice>
  </mc:AlternateContent>
  <xr:revisionPtr revIDLastSave="0" documentId="13_ncr:1_{EA7C41B1-0BA4-44F1-ADFB-5A6B0E3498E5}" xr6:coauthVersionLast="47" xr6:coauthVersionMax="47" xr10:uidLastSave="{00000000-0000-0000-0000-000000000000}"/>
  <bookViews>
    <workbookView xWindow="20370" yWindow="765" windowWidth="24240" windowHeight="13020" tabRatio="849" activeTab="6" xr2:uid="{00000000-000D-0000-FFFF-FFFF00000000}"/>
  </bookViews>
  <sheets>
    <sheet name="DADOS_INICIAIS" sheetId="46" r:id="rId1"/>
    <sheet name="Custos Serviços" sheetId="74" r:id="rId2"/>
    <sheet name="MOVIMENTAÇÃO_DE_TERRA" sheetId="47" state="hidden" r:id="rId3"/>
    <sheet name="CONTENÇÕES" sheetId="49" state="hidden" r:id="rId4"/>
    <sheet name="INFRAESTRUTURA" sheetId="21" state="hidden" r:id="rId5"/>
    <sheet name="CONTENÇÃO" sheetId="68" state="hidden" r:id="rId6"/>
    <sheet name="SUPRAESTRUTURA" sheetId="48" r:id="rId7"/>
    <sheet name="ALVENARIA" sheetId="61" r:id="rId8"/>
    <sheet name="INSTALAÇÕES" sheetId="58" r:id="rId9"/>
    <sheet name="SISTEMAS ESPECIAIS" sheetId="59" r:id="rId10"/>
    <sheet name="IMPERMEABILIZAÇÃO" sheetId="62" r:id="rId11"/>
    <sheet name="PISO E TETO" sheetId="67" r:id="rId12"/>
    <sheet name="Rev. Internos Piso e Parede" sheetId="51" r:id="rId13"/>
    <sheet name="TETO" sheetId="63" r:id="rId14"/>
    <sheet name="Acabamentos de Piso e Parede" sheetId="53" r:id="rId15"/>
    <sheet name="PINTURA INTERNA" sheetId="64" r:id="rId16"/>
    <sheet name="COBERTURA" sheetId="66" r:id="rId17"/>
    <sheet name="ESQUADRIAS" sheetId="65" r:id="rId18"/>
    <sheet name="Rev. Fachada" sheetId="55" r:id="rId19"/>
    <sheet name="COMPLEMENTARES" sheetId="60" r:id="rId20"/>
    <sheet name="Auxiliar" sheetId="36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\0" localSheetId="16">#REF!</definedName>
    <definedName name="\0" localSheetId="19">#REF!</definedName>
    <definedName name="\0" localSheetId="1">#REF!</definedName>
    <definedName name="\0" localSheetId="0">#REF!</definedName>
    <definedName name="\0" localSheetId="8">#REF!</definedName>
    <definedName name="\0" localSheetId="2">#REF!</definedName>
    <definedName name="\0" localSheetId="9">#REF!</definedName>
    <definedName name="\0">#REF!</definedName>
    <definedName name="\1">#REF!</definedName>
    <definedName name="\a" localSheetId="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 localSheetId="1">#REF!</definedName>
    <definedName name="\m" localSheetId="0">#REF!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localSheetId="1" hidden="1">{#N/A,#N/A,FALSE,"Plan1";#N/A,#N/A,FALSE,"Plan2"}</definedName>
    <definedName name="\xasd" hidden="1">{#N/A,#N/A,FALSE,"Plan1";#N/A,#N/A,FALSE,"Plan2"}</definedName>
    <definedName name="\z" localSheetId="1">#REF!</definedName>
    <definedName name="\z">#REF!</definedName>
    <definedName name="_" localSheetId="1" hidden="1">#REF!</definedName>
    <definedName name="_" hidden="1">#REF!</definedName>
    <definedName name="__" hidden="1">#REF!</definedName>
    <definedName name="_______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 localSheetId="1">#REF!</definedName>
    <definedName name="______ACR10">#REF!</definedName>
    <definedName name="______ACR15" localSheetId="1">#REF!</definedName>
    <definedName name="______ACR15">#REF!</definedName>
    <definedName name="______acr20" localSheetId="1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 localSheetId="1">#REF!</definedName>
    <definedName name="_____ACR10">#REF!</definedName>
    <definedName name="_____ACR15" localSheetId="1">#REF!</definedName>
    <definedName name="_____ACR15">#REF!</definedName>
    <definedName name="_____acr20" localSheetId="1">#REF!</definedName>
    <definedName name="_____acr20">#REF!</definedName>
    <definedName name="_____acr5">#REF!</definedName>
    <definedName name="_____ARQ1">#REF!</definedName>
    <definedName name="_____key2" hidden="1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localSheetId="1" hidden="1">#REF!</definedName>
    <definedName name="____key2" hidden="1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localSheetId="1" hidden="1">{"'장비'!$A$3:$M$12"}</definedName>
    <definedName name="____PK2" hidden="1">{"'장비'!$A$3:$M$12"}</definedName>
    <definedName name="____PKG3" localSheetId="1" hidden="1">{"'장비'!$A$3:$M$12"}</definedName>
    <definedName name="____PKG3" hidden="1">{"'장비'!$A$3:$M$12"}</definedName>
    <definedName name="____qqq222" localSheetId="1" hidden="1">{"'장비'!$A$3:$M$12"}</definedName>
    <definedName name="____qqq222" hidden="1">{"'장비'!$A$3:$M$12"}</definedName>
    <definedName name="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localSheetId="1" hidden="1">#REF!</definedName>
    <definedName name="___key2" hidden="1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localSheetId="1" hidden="1">{"'장비'!$A$3:$M$12"}</definedName>
    <definedName name="___PK2" hidden="1">{"'장비'!$A$3:$M$12"}</definedName>
    <definedName name="___PKG3" localSheetId="1" hidden="1">{"'장비'!$A$3:$M$12"}</definedName>
    <definedName name="___PKG3" hidden="1">{"'장비'!$A$3:$M$12"}</definedName>
    <definedName name="___qqq222" localSheetId="1" hidden="1">{"'장비'!$A$3:$M$12"}</definedName>
    <definedName name="___qqq222" hidden="1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hidden="1">#REF!</definedName>
    <definedName name="__123Graph_ARE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hidden="1">#REF!</definedName>
    <definedName name="__123Graph_XRES" hidden="1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 localSheetId="1">#REF!</definedName>
    <definedName name="__htm2">#REF!</definedName>
    <definedName name="__htn2" localSheetId="1">#REF!</definedName>
    <definedName name="__htn2">#REF!</definedName>
    <definedName name="__iss2" localSheetId="1">#REF!</definedName>
    <definedName name="__iss2">#REF!</definedName>
    <definedName name="__key2" hidden="1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localSheetId="1" hidden="1">{"'장비'!$A$3:$M$12"}</definedName>
    <definedName name="__PK2" hidden="1">{"'장비'!$A$3:$M$12"}</definedName>
    <definedName name="__PKG3" localSheetId="1" hidden="1">{"'장비'!$A$3:$M$12"}</definedName>
    <definedName name="__PKG3" hidden="1">{"'장비'!$A$3:$M$12"}</definedName>
    <definedName name="__qqq222" localSheetId="1" hidden="1">{"'장비'!$A$3:$M$12"}</definedName>
    <definedName name="__qqq222" hidden="1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 hidden="1">#REF!</definedName>
    <definedName name="_10__123Graph_CCHART_1" hidden="1">#REF!</definedName>
    <definedName name="_11.SERV.TECNIC">#REF!</definedName>
    <definedName name="_11__123Graph_DCHART_1" hidden="1">#REF!</definedName>
    <definedName name="_12.GAST_GERAIS">#REF!</definedName>
    <definedName name="_12__123Graph_XChart_1A" hidden="1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 hidden="1">#REF!</definedName>
    <definedName name="_2">#REF!</definedName>
    <definedName name="_2__123Graph_BCHART_1" hidden="1">#REF!</definedName>
    <definedName name="_25.PREP.TERREN">#REF!</definedName>
    <definedName name="_27.FUND._ESCOR">#REF!</definedName>
    <definedName name="_2F" hidden="1">#REF!</definedName>
    <definedName name="_3__123Graph_XCHART_1" hidden="1">#REF!</definedName>
    <definedName name="_31_32_33.C_A">#REF!</definedName>
    <definedName name="_41.ALVENARIA">#REF!</definedName>
    <definedName name="_47.IMP._ISOLA.">#REF!</definedName>
    <definedName name="_5__123Graph_ACHART_1" hidden="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 hidden="1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 hidden="1">#REF!</definedName>
    <definedName name="_71_73.I.ELET_H">#REF!</definedName>
    <definedName name="_77.OUTRAS_INST.">#REF!</definedName>
    <definedName name="_78.ELEVADORES">#REF!</definedName>
    <definedName name="_8__123Graph_BChart_1A" hidden="1">#REF!</definedName>
    <definedName name="_81.APAR._SANIT">#REF!</definedName>
    <definedName name="_83_85.PINT_LIM">#REF!</definedName>
    <definedName name="_9__123Graph_BCHART_2" hidden="1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 hidden="1">"'54256040-62ff-475a-9348-dbdfce08df30'"</definedName>
    <definedName name="_ARQ1" localSheetId="1">#REF!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>#REF!</definedName>
    <definedName name="_Axe4">#REF!</definedName>
    <definedName name="_Builtin13" hidden="1">#REF!</definedName>
    <definedName name="_CAB1">#REF!</definedName>
    <definedName name="_CAB2">#REF!</definedName>
    <definedName name="_CO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localSheetId="1" hidden="1">#REF!</definedName>
    <definedName name="_Dist_Bin" hidden="1">#REF!</definedName>
    <definedName name="_Dist_Values" hidden="1">#REF!</definedName>
    <definedName name="_ECS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localSheetId="1" hidden="1">#REF!</definedName>
    <definedName name="_Fill" hidden="1">#REF!</definedName>
    <definedName name="_fill1" hidden="1">#REF!</definedName>
    <definedName name="_FiltrarBancoDados2" localSheetId="1" hidden="1">#REF!</definedName>
    <definedName name="_FiltrarBancoDados2" hidden="1">#REF!</definedName>
    <definedName name="_xlnm._FilterDatabase" localSheetId="20" hidden="1">Auxiliar!$A$1:$D$68</definedName>
    <definedName name="_xlnm._FilterDatabase" localSheetId="1" hidden="1">'Custos Serviços'!$A$2:$E$146</definedName>
    <definedName name="_xlnm._FilterDatabase" localSheetId="0" hidden="1">DADOS_INICIAIS!#REF!</definedName>
    <definedName name="_xlnm._FilterDatabase" hidden="1">#REF!</definedName>
    <definedName name="_htm2" localSheetId="1">#REF!</definedName>
    <definedName name="_htm2">#REF!</definedName>
    <definedName name="_htn2" localSheetId="1">#REF!</definedName>
    <definedName name="_htn2">#REF!</definedName>
    <definedName name="_IA0542" localSheetId="1" hidden="1">{#N/A,#N/A,FALSE,"Plan1";#N/A,#N/A,FALSE,"Plan2"}</definedName>
    <definedName name="_IA0542" hidden="1">{#N/A,#N/A,FALSE,"Plan1";#N/A,#N/A,FALSE,"Plan2"}</definedName>
    <definedName name="_iss2" localSheetId="1">#REF!</definedName>
    <definedName name="_iss2">#REF!</definedName>
    <definedName name="_IV65617" localSheetId="1">#REF!</definedName>
    <definedName name="_IV65617">#REF!</definedName>
    <definedName name="_IV65999" localSheetId="1">#REF!</definedName>
    <definedName name="_IV65999">#REF!</definedName>
    <definedName name="_IV66000">#REF!</definedName>
    <definedName name="_IV67021">#REF!</definedName>
    <definedName name="_IV67022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new11" localSheetId="1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hidden="1">0</definedName>
    <definedName name="_Parse_Out" localSheetId="1" hidden="1">#REF!</definedName>
    <definedName name="_Parse_Out" hidden="1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 localSheetId="1" hidden="1">{"'장비'!$A$3:$M$12"}</definedName>
    <definedName name="_PK2" hidden="1">{"'장비'!$A$3:$M$12"}</definedName>
    <definedName name="_PKG3" localSheetId="1" hidden="1">{"'장비'!$A$3:$M$12"}</definedName>
    <definedName name="_PKG3" hidden="1">{"'장비'!$A$3:$M$12"}</definedName>
    <definedName name="_qqq222" localSheetId="1" hidden="1">{"'장비'!$A$3:$M$12"}</definedName>
    <definedName name="_qqq222" hidden="1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localSheetId="1" hidden="1">#REF!</definedName>
    <definedName name="_Regression_Out" hidden="1">#REF!</definedName>
    <definedName name="_Regression_X" hidden="1">#REF!</definedName>
    <definedName name="_Regression_Y" hidden="1">#REF!</definedName>
    <definedName name="_sfe5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localSheetId="1" hidden="1">#REF!</definedName>
    <definedName name="_Sort" hidden="1">#REF!</definedName>
    <definedName name="_T" localSheetId="1">#REF!</definedName>
    <definedName name="_T">#REF!</definedName>
    <definedName name="_Table1_In1" hidden="1">#REF!</definedName>
    <definedName name="_Table1_Out" hidden="1">#REF!</definedName>
    <definedName name="_wer3" localSheetId="1" hidden="1">{#N/A,#N/A,FALSE,"Plan1";#N/A,#N/A,FALSE,"Plan2"}</definedName>
    <definedName name="_wer3" hidden="1">{#N/A,#N/A,FALSE,"Plan1";#N/A,#N/A,FALSE,"Plan2"}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localSheetId="1" hidden="1">#REF!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hidden="1">#REF!</definedName>
    <definedName name="_xlcn.WorksheetConnection_ProjetocontrolefisicoefinanceiroRJ.xlsxTabela31" hidden="1">#REF!</definedName>
    <definedName name="´cAE°eE¹" hidden="1">#REF!</definedName>
    <definedName name="￠￥cAE¡ÆeEⓒo" hidden="1">#REF!</definedName>
    <definedName name="a" hidden="1">#REF!</definedName>
    <definedName name="a\sgt" localSheetId="1" hidden="1">{#N/A,#N/A,FALSE,"Plan1";#N/A,#N/A,FALSE,"Plan2"}</definedName>
    <definedName name="a\sgt" hidden="1">{#N/A,#N/A,FALSE,"Plan1";#N/A,#N/A,FALSE,"Plan2"}</definedName>
    <definedName name="aa" localSheetId="1">#REF!</definedName>
    <definedName name="aa" localSheetId="0">#REF!</definedName>
    <definedName name="aa">#REF!</definedName>
    <definedName name="aaa">#REF!</definedName>
    <definedName name="aaaa" localSheetId="16">'[1]M.O.'!#REF!</definedName>
    <definedName name="aaaa" localSheetId="19">'[1]M.O.'!#REF!</definedName>
    <definedName name="aaaa" localSheetId="0">'[1]M.O.'!#REF!</definedName>
    <definedName name="aaaa" localSheetId="8">'[1]M.O.'!#REF!</definedName>
    <definedName name="aaaa" localSheetId="2">'[1]M.O.'!#REF!</definedName>
    <definedName name="aaaa" localSheetId="9">'[1]M.O.'!#REF!</definedName>
    <definedName name="aaaa">'[1]M.O.'!#REF!</definedName>
    <definedName name="aaaaaaaaa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 localSheetId="1">#REF!</definedName>
    <definedName name="aaaadc">#REF!</definedName>
    <definedName name="aaacccc" localSheetId="1" hidden="1">{#N/A,#N/A,FALSE,"Plan1";#N/A,#N/A,FALSE,"Plan2"}</definedName>
    <definedName name="aaacccc" hidden="1">{#N/A,#N/A,FALSE,"Plan1";#N/A,#N/A,FALSE,"Plan2"}</definedName>
    <definedName name="aaas" localSheetId="1">#REF!</definedName>
    <definedName name="aaas">#REF!</definedName>
    <definedName name="AB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at_ISS" localSheetId="1">#REF!</definedName>
    <definedName name="Abat_ISS">#REF!</definedName>
    <definedName name="abc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localSheetId="1" hidden="1">#REF!</definedName>
    <definedName name="ABCD" hidden="1">#REF!</definedName>
    <definedName name="abebqt" localSheetId="1">#REF!</definedName>
    <definedName name="abebqt">#REF!</definedName>
    <definedName name="abr17RJ">#REF!</definedName>
    <definedName name="ABRIL">#REF!</definedName>
    <definedName name="ABRIL2001">#REF!</definedName>
    <definedName name="ac" hidden="1">#REF!</definedName>
    <definedName name="Acabam.">#REF!</definedName>
    <definedName name="ACADUC">#REF!</definedName>
    <definedName name="ACBEB">#REF!</definedName>
    <definedName name="ACBOMB">#REF!</definedName>
    <definedName name="AccessDatabase" hidden="1">"C:\posec\DATABASE\vlv_list\vlvlist1.mdb"</definedName>
    <definedName name="ACCHAF" localSheetId="1">#REF!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localSheetId="1" hidden="1">#REF!</definedName>
    <definedName name="acdb" hidden="1">#REF!</definedName>
    <definedName name="ACDER" localSheetId="1">#REF!</definedName>
    <definedName name="ACDER">#REF!</definedName>
    <definedName name="ACDIV">#REF!</definedName>
    <definedName name="ACDS" hidden="1">#REF!</definedName>
    <definedName name="ACEQP">#REF!</definedName>
    <definedName name="ACHAFQT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>#REF!</definedName>
    <definedName name="açoeeer" localSheetId="1" hidden="1">{#N/A,#N/A,FALSE,"Plan1";#N/A,#N/A,FALSE,"Plan2"}</definedName>
    <definedName name="açoeeer" hidden="1">{#N/A,#N/A,FALSE,"Plan1";#N/A,#N/A,FALSE,"Plan2"}</definedName>
    <definedName name="ACOMP" localSheetId="1">#REF!</definedName>
    <definedName name="ACOMP">#REF!</definedName>
    <definedName name="ACONT2" localSheetId="1">#REF!</definedName>
    <definedName name="ACONT2">#REF!</definedName>
    <definedName name="ACPIPA" localSheetId="1">#REF!</definedName>
    <definedName name="ACPIPA">#REF!</definedName>
    <definedName name="ACTRANSP">#REF!</definedName>
    <definedName name="ACwvu.Características." hidden="1">#REF!</definedName>
    <definedName name="ACwvu.Ciclos." hidden="1">#REF!</definedName>
    <definedName name="ACwvu.Custos." hidden="1">#REF!</definedName>
    <definedName name="ACwvu.PLANILHA2." hidden="1">#REF!</definedName>
    <definedName name="ACwvu.Recursos." hidden="1">#REF!</definedName>
    <definedName name="ad" localSheetId="1" hidden="1">{#N/A,#N/A,FALSE,"Plan1";#N/A,#N/A,FALSE,"Plan2"}</definedName>
    <definedName name="ad" hidden="1">{#N/A,#N/A,FALSE,"Plan1";#N/A,#N/A,FALSE,"Plan2"}</definedName>
    <definedName name="adads" localSheetId="1" hidden="1">{#N/A,#N/A,FALSE,"Plan1";#N/A,#N/A,FALSE,"Plan2"}</definedName>
    <definedName name="adads" hidden="1">{#N/A,#N/A,FALSE,"Plan1";#N/A,#N/A,FALSE,"Plan2"}</definedName>
    <definedName name="adads2" localSheetId="1" hidden="1">{#N/A,#N/A,FALSE,"Plan1";#N/A,#N/A,FALSE,"Plan2"}</definedName>
    <definedName name="adads2" hidden="1">{#N/A,#N/A,FALSE,"Plan1";#N/A,#N/A,FALSE,"Plan2"}</definedName>
    <definedName name="adced" localSheetId="1" hidden="1">{#N/A,#N/A,FALSE,"Plan1";#N/A,#N/A,FALSE,"Plan2"}</definedName>
    <definedName name="adced" hidden="1">{#N/A,#N/A,FALSE,"Plan1";#N/A,#N/A,FALSE,"Plan2"}</definedName>
    <definedName name="adced2" localSheetId="1" hidden="1">{#N/A,#N/A,FALSE,"Plan1";#N/A,#N/A,FALSE,"Plan2"}</definedName>
    <definedName name="adced2" hidden="1">{#N/A,#N/A,FALSE,"Plan1";#N/A,#N/A,FALSE,"Plan2"}</definedName>
    <definedName name="ader" localSheetId="1" hidden="1">{#N/A,#N/A,FALSE,"Plan1";#N/A,#N/A,FALSE,"Plan2"}</definedName>
    <definedName name="ader" hidden="1">{#N/A,#N/A,FALSE,"Plan1";#N/A,#N/A,FALSE,"Plan2"}</definedName>
    <definedName name="ader2" localSheetId="1" hidden="1">{#N/A,#N/A,FALSE,"Plan1";#N/A,#N/A,FALSE,"Plan2"}</definedName>
    <definedName name="ader2" hidden="1">{#N/A,#N/A,FALSE,"Plan1";#N/A,#N/A,FALSE,"Plan2"}</definedName>
    <definedName name="adesr" localSheetId="1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localSheetId="1" hidden="1">{#N/A,#N/A,FALSE,"Plan1";#N/A,#N/A,FALSE,"Plan2"}</definedName>
    <definedName name="adewr" hidden="1">{#N/A,#N/A,FALSE,"Plan1";#N/A,#N/A,FALSE,"Plan2"}</definedName>
    <definedName name="adf" localSheetId="1" hidden="1">{#N/A,#N/A,FALSE,"Plan1";#N/A,#N/A,FALSE,"Plan2"}</definedName>
    <definedName name="adf" hidden="1">{#N/A,#N/A,FALSE,"Plan1";#N/A,#N/A,FALSE,"Plan2"}</definedName>
    <definedName name="ADITIVO_BRUTO" localSheetId="1">#REF!</definedName>
    <definedName name="ADITIVO_BRUTO">#REF!</definedName>
    <definedName name="ADITIVO_LIQUIDO" localSheetId="1">#REF!</definedName>
    <definedName name="ADITIVO_LIQUIDO">#REF!</definedName>
    <definedName name="ADM.EXTERNA" localSheetId="1">#REF!</definedName>
    <definedName name="ADM.EXTERNA">#REF!</definedName>
    <definedName name="adsfr" localSheetId="1" hidden="1">{#N/A,#N/A,FALSE,"Plan1";#N/A,#N/A,FALSE,"Plan2"}</definedName>
    <definedName name="adsfr" hidden="1">{#N/A,#N/A,FALSE,"Plan1";#N/A,#N/A,FALSE,"Plan2"}</definedName>
    <definedName name="adssrgtg" localSheetId="1" hidden="1">{#N/A,#N/A,FALSE,"Plan1";#N/A,#N/A,FALSE,"Plan2"}</definedName>
    <definedName name="adssrgtg" hidden="1">{#N/A,#N/A,FALSE,"Plan1";#N/A,#N/A,FALSE,"Plan2"}</definedName>
    <definedName name="adtsetrr6t" localSheetId="1" hidden="1">{#N/A,#N/A,FALSE,"Plan1";#N/A,#N/A,FALSE,"Plan2"}</definedName>
    <definedName name="adtsetrr6t" hidden="1">{#N/A,#N/A,FALSE,"Plan1";#N/A,#N/A,FALSE,"Plan2"}</definedName>
    <definedName name="ADUCQT" localSheetId="1">#REF!</definedName>
    <definedName name="ADUCQT">#REF!</definedName>
    <definedName name="adwr" localSheetId="1" hidden="1">{#N/A,#N/A,FALSE,"Plan1";#N/A,#N/A,FALSE,"Plan2"}</definedName>
    <definedName name="adwr" hidden="1">{#N/A,#N/A,FALSE,"Plan1";#N/A,#N/A,FALSE,"Plan2"}</definedName>
    <definedName name="aeiresft" localSheetId="1" hidden="1">{#N/A,#N/A,FALSE,"Plan1";#N/A,#N/A,FALSE,"Plan2"}</definedName>
    <definedName name="aeiresft" hidden="1">{#N/A,#N/A,FALSE,"Plan1";#N/A,#N/A,FALSE,"Plan2"}</definedName>
    <definedName name="aEL3QE" localSheetId="1" hidden="1">{#N/A,#N/A,FALSE,"Plan1";#N/A,#N/A,FALSE,"Plan2"}</definedName>
    <definedName name="aEL3QE" hidden="1">{#N/A,#N/A,FALSE,"Plan1";#N/A,#N/A,FALSE,"Plan2"}</definedName>
    <definedName name="afeasfre" localSheetId="1" hidden="1">{#N/A,#N/A,FALSE,"Plan1";#N/A,#N/A,FALSE,"Plan2"}</definedName>
    <definedName name="afeasfre" hidden="1">{#N/A,#N/A,FALSE,"Plan1";#N/A,#N/A,FALSE,"Plan2"}</definedName>
    <definedName name="agdsf" localSheetId="1" hidden="1">#REF!</definedName>
    <definedName name="agdsf" hidden="1">#REF!</definedName>
    <definedName name="ago17RJ" localSheetId="1">#REF!</definedName>
    <definedName name="ago17RJ">#REF!</definedName>
    <definedName name="AGOSTO" localSheetId="1">#REF!</definedName>
    <definedName name="AGOSTO">#REF!</definedName>
    <definedName name="agu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1" hidden="1">{#N/A,#N/A,FALSE,"CCTV"}</definedName>
    <definedName name="AH" hidden="1">{#N/A,#N/A,FALSE,"CCTV"}</definedName>
    <definedName name="AITEM" localSheetId="1">#REF!</definedName>
    <definedName name="AITEM">#REF!</definedName>
    <definedName name="Ajudante_Geral" localSheetId="1">#REF!</definedName>
    <definedName name="Ajudante_Geral">#REF!</definedName>
    <definedName name="ajudante_mes" localSheetId="1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 localSheetId="16">[2]Geral!#REF!</definedName>
    <definedName name="angelo" localSheetId="19">[2]Geral!#REF!</definedName>
    <definedName name="angelo" localSheetId="0">[2]Geral!#REF!</definedName>
    <definedName name="angelo" localSheetId="8">[2]Geral!#REF!</definedName>
    <definedName name="angelo" localSheetId="2">[2]Geral!#REF!</definedName>
    <definedName name="angelo" localSheetId="9">[2]Geral!#REF!</definedName>
    <definedName name="angelo">[2]Geral!#REF!</definedName>
    <definedName name="anscount" hidden="1">1</definedName>
    <definedName name="AQE" localSheetId="1" hidden="1">{"'장비'!$A$3:$M$12"}</definedName>
    <definedName name="AQE" hidden="1">{"'장비'!$A$3:$M$12"}</definedName>
    <definedName name="AQTEMP1">#REF!</definedName>
    <definedName name="AQTEMP2">#REF!</definedName>
    <definedName name="ArComprimido" localSheetId="1" hidden="1">{"'Estimativa de Lançamento-JAN'!$A$1:$AI$85"}</definedName>
    <definedName name="ArComprimido" hidden="1">{"'Estimativa de Lançamento-JAN'!$A$1:$AI$85"}</definedName>
    <definedName name="area" localSheetId="1" hidden="1">{#N/A,#N/A,FALSE,"Plan1";#N/A,#N/A,FALSE,"Plan2"}</definedName>
    <definedName name="area">#REF!</definedName>
    <definedName name="área" localSheetId="1">#REF!</definedName>
    <definedName name="área">#REF!</definedName>
    <definedName name="Área_Construída" localSheetId="1">#REF!</definedName>
    <definedName name="Área_Construída">#REF!</definedName>
    <definedName name="_xlnm.Print_Area" localSheetId="14">'Acabamentos de Piso e Parede'!$A$1:$H$31</definedName>
    <definedName name="_xlnm.Print_Area" localSheetId="7">ALVENARIA!$A$1:$I$16</definedName>
    <definedName name="_xlnm.Print_Area" localSheetId="16">COBERTURA!$A$1:$H$15</definedName>
    <definedName name="_xlnm.Print_Area" localSheetId="19">COMPLEMENTARES!$A$1:$G$17</definedName>
    <definedName name="_xlnm.Print_Area" localSheetId="5">CONTENÇÃO!$A$1:$I$38</definedName>
    <definedName name="_xlnm.Print_Area" localSheetId="3">CONTENÇÕES!$A$1:$I$45</definedName>
    <definedName name="_xlnm.Print_Area" localSheetId="1">#REF!</definedName>
    <definedName name="_xlnm.Print_Area" localSheetId="0">DADOS_INICIAIS!$A$1:$G$51</definedName>
    <definedName name="_xlnm.Print_Area" localSheetId="17">ESQUADRIAS!$A$1:$I$23</definedName>
    <definedName name="_xlnm.Print_Area" localSheetId="10">IMPERMEABILIZAÇÃO!$A$1:$I$21</definedName>
    <definedName name="_xlnm.Print_Area" localSheetId="4">INFRAESTRUTURA!$A$1:$I$35</definedName>
    <definedName name="_xlnm.Print_Area" localSheetId="8">INSTALAÇÕES!$A$1:$E$33</definedName>
    <definedName name="_xlnm.Print_Area" localSheetId="2">MOVIMENTAÇÃO_DE_TERRA!$A$1:$G$26</definedName>
    <definedName name="_xlnm.Print_Area" localSheetId="15">'PINTURA INTERNA'!$A$1:$I$19</definedName>
    <definedName name="_xlnm.Print_Area" localSheetId="18">'Rev. Fachada'!$A$1:$H$26</definedName>
    <definedName name="_xlnm.Print_Area" localSheetId="12">'Rev. Internos Piso e Parede'!$A$1:$H$26</definedName>
    <definedName name="_xlnm.Print_Area" localSheetId="9">'SISTEMAS ESPECIAIS'!$A$1:$E$36</definedName>
    <definedName name="_xlnm.Print_Area" localSheetId="6">SUPRAESTRUTURA!$A$1:$I$18</definedName>
    <definedName name="_xlnm.Print_Area" localSheetId="13">TETO!$A$1:$I$15</definedName>
    <definedName name="_xlnm.Print_Area">#REF!</definedName>
    <definedName name="Área_impressão_IM" localSheetId="1">#REF!</definedName>
    <definedName name="Área_impressão_IM">#REF!</definedName>
    <definedName name="Área_Privativa" localSheetId="1">#REF!</definedName>
    <definedName name="Área_Privativa">#REF!</definedName>
    <definedName name="Área_Terreno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 hidden="1">"AS2DocumentBrowse"</definedName>
    <definedName name="asawe3" localSheetId="1" hidden="1">{#N/A,#N/A,FALSE,"Plan1";#N/A,#N/A,FALSE,"Plan2"}</definedName>
    <definedName name="asawe3" hidden="1">{#N/A,#N/A,FALSE,"Plan1";#N/A,#N/A,FALSE,"Plan2"}</definedName>
    <definedName name="asd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A" localSheetId="1" hidden="1">{#N/A,#N/A,FALSE,"Plan1";#N/A,#N/A,FALSE,"Plan2"}</definedName>
    <definedName name="ASDA" hidden="1">{#N/A,#N/A,FALSE,"Plan1";#N/A,#N/A,FALSE,"Plan2"}</definedName>
    <definedName name="asdade" localSheetId="1" hidden="1">{#N/A,#N/A,FALSE,"Plan1";#N/A,#N/A,FALSE,"Plan2"}</definedName>
    <definedName name="asdade" hidden="1">{#N/A,#N/A,FALSE,"Plan1";#N/A,#N/A,FALSE,"Plan2"}</definedName>
    <definedName name="asdas" localSheetId="1" hidden="1">{#N/A,#N/A,FALSE,"Plan1";#N/A,#N/A,FALSE,"Plan2"}</definedName>
    <definedName name="asdas" hidden="1">{#N/A,#N/A,FALSE,"Plan1";#N/A,#N/A,FALSE,"Plan2"}</definedName>
    <definedName name="asdawed" localSheetId="1" hidden="1">{#N/A,#N/A,FALSE,"Plan1";#N/A,#N/A,FALSE,"Plan2"}</definedName>
    <definedName name="asdawed" hidden="1">{#N/A,#N/A,FALSE,"Plan1";#N/A,#N/A,FALSE,"Plan2"}</definedName>
    <definedName name="ASDER" localSheetId="1" hidden="1">{#N/A,#N/A,FALSE,"Plan1";#N/A,#N/A,FALSE,"Plan2"}</definedName>
    <definedName name="ASDER" hidden="1">{#N/A,#N/A,FALSE,"Plan1";#N/A,#N/A,FALSE,"Plan2"}</definedName>
    <definedName name="asderr" localSheetId="1" hidden="1">{#N/A,#N/A,FALSE,"Plan1";#N/A,#N/A,FALSE,"Plan2"}</definedName>
    <definedName name="asderr" hidden="1">{#N/A,#N/A,FALSE,"Plan1";#N/A,#N/A,FALSE,"Plan2"}</definedName>
    <definedName name="asdesre" localSheetId="1" hidden="1">{#N/A,#N/A,FALSE,"Plan1";#N/A,#N/A,FALSE,"Plan2"}</definedName>
    <definedName name="asdesre" hidden="1">{#N/A,#N/A,FALSE,"Plan1";#N/A,#N/A,FALSE,"Plan2"}</definedName>
    <definedName name="asdewr" localSheetId="1" hidden="1">{#N/A,#N/A,FALSE,"Plan1";#N/A,#N/A,FALSE,"Plan2"}</definedName>
    <definedName name="asdewr" hidden="1">{#N/A,#N/A,FALSE,"Plan1";#N/A,#N/A,FALSE,"Plan2"}</definedName>
    <definedName name="ASDFASDFA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1" hidden="1">{#N/A,#N/A,FALSE,"Plan1";#N/A,#N/A,FALSE,"Plan2"}</definedName>
    <definedName name="asdfs" hidden="1">{#N/A,#N/A,FALSE,"Plan1";#N/A,#N/A,FALSE,"Plan2"}</definedName>
    <definedName name="asdg" localSheetId="1" hidden="1">{#N/A,#N/A,FALSE,"Plan1";#N/A,#N/A,FALSE,"Plan2"}</definedName>
    <definedName name="asdg" hidden="1">{#N/A,#N/A,FALSE,"Plan1";#N/A,#N/A,FALSE,"Plan2"}</definedName>
    <definedName name="asdjksej" localSheetId="1" hidden="1">#REF!</definedName>
    <definedName name="asdjksej" hidden="1">#REF!</definedName>
    <definedName name="asdke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1" hidden="1">{#N/A,#N/A,FALSE,"Plan1";#N/A,#N/A,FALSE,"Plan2"}</definedName>
    <definedName name="asdlas" hidden="1">{#N/A,#N/A,FALSE,"Plan1";#N/A,#N/A,FALSE,"Plan2"}</definedName>
    <definedName name="asdqwe" localSheetId="1" hidden="1">{#N/A,#N/A,FALSE,"Plan1";#N/A,#N/A,FALSE,"Plan2"}</definedName>
    <definedName name="asdqwe" hidden="1">{#N/A,#N/A,FALSE,"Plan1";#N/A,#N/A,FALSE,"Plan2"}</definedName>
    <definedName name="asdsa" localSheetId="1" hidden="1">{#N/A,#N/A,FALSE,"Plan1";#N/A,#N/A,FALSE,"Plan2"}</definedName>
    <definedName name="asdsa" hidden="1">{#N/A,#N/A,FALSE,"Plan1";#N/A,#N/A,FALSE,"Plan2"}</definedName>
    <definedName name="asdser" localSheetId="1" hidden="1">{#N/A,#N/A,FALSE,"Plan1";#N/A,#N/A,FALSE,"Plan2"}</definedName>
    <definedName name="asdser" hidden="1">{#N/A,#N/A,FALSE,"Plan1";#N/A,#N/A,FALSE,"Plan2"}</definedName>
    <definedName name="asdwef" localSheetId="1" hidden="1">{#N/A,#N/A,FALSE,"Plan1";#N/A,#N/A,FALSE,"Plan2"}</definedName>
    <definedName name="asdwef" hidden="1">{#N/A,#N/A,FALSE,"Plan1";#N/A,#N/A,FALSE,"Plan2"}</definedName>
    <definedName name="aseiuw" localSheetId="1" hidden="1">#REF!</definedName>
    <definedName name="aseiuw" hidden="1">#REF!</definedName>
    <definedName name="ASET" localSheetId="1" hidden="1">{#N/A,#N/A,FALSE,"Plan1";#N/A,#N/A,FALSE,"Plan2"}</definedName>
    <definedName name="ASET" hidden="1">{#N/A,#N/A,FALSE,"Plan1";#N/A,#N/A,FALSE,"Plan2"}</definedName>
    <definedName name="asfDSF" localSheetId="1" hidden="1">{#N/A,#N/A,FALSE,"Plan1";#N/A,#N/A,FALSE,"Plan2"}</definedName>
    <definedName name="asfDSF" hidden="1">{#N/A,#N/A,FALSE,"Plan1";#N/A,#N/A,FALSE,"Plan2"}</definedName>
    <definedName name="ASFERTE" localSheetId="1" hidden="1">{#N/A,#N/A,FALSE,"Plan1";#N/A,#N/A,FALSE,"Plan2"}</definedName>
    <definedName name="ASFERTE" hidden="1">{#N/A,#N/A,FALSE,"Plan1";#N/A,#N/A,FALSE,"Plan2"}</definedName>
    <definedName name="asfl" localSheetId="1" hidden="1">{#N/A,#N/A,FALSE,"Plan1";#N/A,#N/A,FALSE,"Plan2"}</definedName>
    <definedName name="asfl" hidden="1">{#N/A,#N/A,FALSE,"Plan1";#N/A,#N/A,FALSE,"Plan2"}</definedName>
    <definedName name="asfsz" localSheetId="1" hidden="1">{#N/A,#N/A,FALSE,"Plan1";#N/A,#N/A,FALSE,"Plan2"}</definedName>
    <definedName name="asfsz" hidden="1">{#N/A,#N/A,FALSE,"Plan1";#N/A,#N/A,FALSE,"Plan2"}</definedName>
    <definedName name="askserf" localSheetId="1" hidden="1">{#N/A,#N/A,FALSE,"Plan1";#N/A,#N/A,FALSE,"Plan2"}</definedName>
    <definedName name="askserf" hidden="1">{#N/A,#N/A,FALSE,"Plan1";#N/A,#N/A,FALSE,"Plan2"}</definedName>
    <definedName name="ASSFSDF" localSheetId="1" hidden="1">{#N/A,#N/A,FALSE,"Plan1";#N/A,#N/A,FALSE,"Plan2"}</definedName>
    <definedName name="ASSFSDF" hidden="1">{#N/A,#N/A,FALSE,"Plan1";#N/A,#N/A,FALSE,"Plan2"}</definedName>
    <definedName name="asw" localSheetId="1" hidden="1">{#N/A,#N/A,FALSE,"Plan1";#N/A,#N/A,FALSE,"Plan2"}</definedName>
    <definedName name="asw" hidden="1">{#N/A,#N/A,FALSE,"Plan1";#N/A,#N/A,FALSE,"Plan2"}</definedName>
    <definedName name="Até_Chaves" localSheetId="1">#REF!</definedName>
    <definedName name="Até_Chaves">#REF!</definedName>
    <definedName name="ATIVOS" localSheetId="1" hidden="1">{#N/A,#N/A,FALSE,"F-01"}</definedName>
    <definedName name="ATIVOS" hidden="1">{#N/A,#N/A,FALSE,"F-01"}</definedName>
    <definedName name="Ato" localSheetId="1">#REF!</definedName>
    <definedName name="Ato">#REF!</definedName>
    <definedName name="ATUAL" localSheetId="1">#REF!</definedName>
    <definedName name="ATUAL">#REF!</definedName>
    <definedName name="aux" localSheetId="16">#REF!</definedName>
    <definedName name="aux" localSheetId="19">#REF!</definedName>
    <definedName name="aux" localSheetId="0">#REF!</definedName>
    <definedName name="aux" localSheetId="8">#REF!</definedName>
    <definedName name="aux" localSheetId="2">#REF!</definedName>
    <definedName name="aux" localSheetId="9">#REF!</definedName>
    <definedName name="aux">#REF!</definedName>
    <definedName name="AUXILIO">#REF!</definedName>
    <definedName name="avulsos">#REF!</definedName>
    <definedName name="awdjw" localSheetId="1" hidden="1">{#N/A,#N/A,FALSE,"Plan1";#N/A,#N/A,FALSE,"Plan2"}</definedName>
    <definedName name="awdjw" hidden="1">{#N/A,#N/A,FALSE,"Plan1";#N/A,#N/A,FALSE,"Plan2"}</definedName>
    <definedName name="aweqw4" localSheetId="1" hidden="1">{#N/A,#N/A,FALSE,"Plan1";#N/A,#N/A,FALSE,"Plan2"}</definedName>
    <definedName name="aweqw4" hidden="1">{#N/A,#N/A,FALSE,"Plan1";#N/A,#N/A,FALSE,"Plan2"}</definedName>
    <definedName name="awssdwaer" localSheetId="1" hidden="1">{#N/A,#N/A,FALSE,"Plan1";#N/A,#N/A,FALSE,"Plan2"}</definedName>
    <definedName name="awssdwaer" hidden="1">{#N/A,#N/A,FALSE,"Plan1";#N/A,#N/A,FALSE,"Plan2"}</definedName>
    <definedName name="AZ" localSheetId="1" hidden="1">#REF!</definedName>
    <definedName name="AZ" hidden="1">#REF!</definedName>
    <definedName name="b" localSheetId="1" hidden="1">{#N/A,#N/A,FALSE,"Plan1";#N/A,#N/A,FALSE,"Plan2"}</definedName>
    <definedName name="b" hidden="1">{#N/A,#N/A,FALSE,"Plan1";#N/A,#N/A,FALSE,"Plan2"}</definedName>
    <definedName name="BA" localSheetId="1">#REF!</definedName>
    <definedName name="BA">#REF!</definedName>
    <definedName name="balão1">"AutoForma 17"</definedName>
    <definedName name="BANCO" localSheetId="1">#REF!</definedName>
    <definedName name="BANCO">#REF!</definedName>
    <definedName name="Banco_dados_IM" localSheetId="1">#REF!</definedName>
    <definedName name="Banco_dados_IM">#REF!</definedName>
    <definedName name="_xlnm.Database" localSheetId="1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 localSheetId="1">OFFSET(#REF!,0,0,COUNTA(#REF!)+1,5)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 localSheetId="1">#REF!</definedName>
    <definedName name="bb">#REF!</definedName>
    <definedName name="bbb" localSheetId="1">#REF!</definedName>
    <definedName name="bbb">#REF!</definedName>
    <definedName name="bbbbbbbbbbbbbbb" localSheetId="1" hidden="1">{"'Edit'!$A$1:$V$2277"}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">#REF!</definedName>
    <definedName name="BDA" localSheetId="0">#REF!</definedName>
    <definedName name="BDA">#REF!</definedName>
    <definedName name="bdfjghf" localSheetId="1" hidden="1">{#N/A,#N/A,FALSE,"Plan1";#N/A,#N/A,FALSE,"Plan2"}</definedName>
    <definedName name="bdfjghf" hidden="1">{#N/A,#N/A,FALSE,"Plan1";#N/A,#N/A,FALSE,"Plan2"}</definedName>
    <definedName name="BDI" localSheetId="1">#REF!</definedName>
    <definedName name="BDI">#REF!</definedName>
    <definedName name="bdzbfbdr" localSheetId="1" hidden="1">{#N/A,#N/A,FALSE,"Plan1";#N/A,#N/A,FALSE,"Plan2"}</definedName>
    <definedName name="bdzbfbdr" hidden="1">{#N/A,#N/A,FALSE,"Plan1";#N/A,#N/A,FALSE,"Plan2"}</definedName>
    <definedName name="be" localSheetId="1">#REF!</definedName>
    <definedName name="be">#REF!</definedName>
    <definedName name="bebqt" localSheetId="1">#REF!</definedName>
    <definedName name="bebqt">#REF!</definedName>
    <definedName name="bela_cdi" localSheetId="1">#REF!</definedName>
    <definedName name="bela_cdi">#REF!</definedName>
    <definedName name="bela_hist">#REF!</definedName>
    <definedName name="bela_uss">#REF!</definedName>
    <definedName name="bg" hidden="1">#REF!</definedName>
    <definedName name="BGG" localSheetId="1" hidden="1">{#N/A,#N/A,FALSE,"Plan1";#N/A,#N/A,FALSE,"Plan2"}</definedName>
    <definedName name="BGG" hidden="1">{#N/A,#N/A,FALSE,"Plan1";#N/A,#N/A,FALSE,"Plan2"}</definedName>
    <definedName name="bhjgfhfh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1" hidden="1">{#N/A,#N/A,FALSE,"Plan1";#N/A,#N/A,FALSE,"Plan2"}</definedName>
    <definedName name="BJSDKHFE" hidden="1">{#N/A,#N/A,FALSE,"Plan1";#N/A,#N/A,FALSE,"Plan2"}</definedName>
    <definedName name="bloco" localSheetId="1">#REF!</definedName>
    <definedName name="bloco">#REF!</definedName>
    <definedName name="BLPH1" localSheetId="1" hidden="1">#REF!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dgghrtfde" localSheetId="1" hidden="1">{#N/A,#N/A,FALSE,"Plan1";#N/A,#N/A,FALSE,"Plan2"}</definedName>
    <definedName name="bmdgghrtfde" hidden="1">{#N/A,#N/A,FALSE,"Plan1";#N/A,#N/A,FALSE,"Plan2"}</definedName>
    <definedName name="bnkjhjhdfxgt" localSheetId="1" hidden="1">{#N/A,#N/A,FALSE,"Plan1";#N/A,#N/A,FALSE,"Plan2"}</definedName>
    <definedName name="bnkjhjhdfxgt" hidden="1">{#N/A,#N/A,FALSE,"Plan1";#N/A,#N/A,FALSE,"Plan2"}</definedName>
    <definedName name="BORBA2" localSheetId="1">#REF!</definedName>
    <definedName name="BORBA2">#REF!</definedName>
    <definedName name="BORDA1">#N/A</definedName>
    <definedName name="BuiltIn_Print_Area" localSheetId="1">#REF!</definedName>
    <definedName name="BuiltIn_Print_Area">#REF!</definedName>
    <definedName name="BuiltIn_Print_Area___0" localSheetId="1">#REF!</definedName>
    <definedName name="BuiltIn_Print_Area___0">#REF!</definedName>
    <definedName name="BuiltIn_Print_Titles" localSheetId="1">#REF!</definedName>
    <definedName name="BuiltIn_Print_Titles">#REF!</definedName>
    <definedName name="BuiltIn_Print_Titles___0">#REF!</definedName>
    <definedName name="BV" hidden="1">#REF!</definedName>
    <definedName name="bxnzfmkzxbhdf" localSheetId="1" hidden="1">{#N/A,#N/A,FALSE,"Plan1";#N/A,#N/A,FALSE,"Plan2"}</definedName>
    <definedName name="bxnzfmkzxbhdf" hidden="1">{#N/A,#N/A,FALSE,"Plan1";#N/A,#N/A,FALSE,"Plan2"}</definedName>
    <definedName name="ca" localSheetId="1">#REF!</definedName>
    <definedName name="ca">#REF!</definedName>
    <definedName name="CAB">#N/A</definedName>
    <definedName name="CAFS">"Carlos Antonio Fernandes da Silva"</definedName>
    <definedName name="CAGR" localSheetId="1">#REF!</definedName>
    <definedName name="CAGR">#REF!</definedName>
    <definedName name="caixa" localSheetId="1">#REF!</definedName>
    <definedName name="caixa">#REF!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 localSheetId="1">#REF!</definedName>
    <definedName name="Cambio">#REF!</definedName>
    <definedName name="CAMP" localSheetId="1">#REF!</definedName>
    <definedName name="CAMP">#REF!</definedName>
    <definedName name="CAMPOS" localSheetId="1">#REF!</definedName>
    <definedName name="CAMPOS">#REF!</definedName>
    <definedName name="çaos\ewapo" localSheetId="1" hidden="1">{#N/A,#N/A,FALSE,"Plan1";#N/A,#N/A,FALSE,"Plan2"}</definedName>
    <definedName name="çaos\ewapo" hidden="1">{#N/A,#N/A,FALSE,"Plan1";#N/A,#N/A,FALSE,"Plan2"}</definedName>
    <definedName name="Capa" localSheetId="1">#REF!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 hidden="1">#REF!</definedName>
    <definedName name="CARLOS1">#REF!</definedName>
    <definedName name="CARTÃO4">#REF!</definedName>
    <definedName name="CAT6_IP" localSheetId="1" hidden="1">{#N/A,#N/A,FALSE,"F-01"}</definedName>
    <definedName name="CAT6_IP" hidden="1">{#N/A,#N/A,FALSE,"F-01"}</definedName>
    <definedName name="categori45" localSheetId="1">#REF!</definedName>
    <definedName name="categori45">#REF!</definedName>
    <definedName name="CATEGORIA1" localSheetId="1">#REF!</definedName>
    <definedName name="CATEGORIA1">#REF!</definedName>
    <definedName name="CATEGORIA10" localSheetId="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 localSheetId="1">OFFSET(#REF!,0,0,COUNTA(#REF!)+1,1)</definedName>
    <definedName name="CAUX2">OFFSET(#REF!,0,0,COUNTA(#REF!)+1,1)</definedName>
    <definedName name="CAUX3">OFFSET(#REF!,0,0,COUNTA(#REF!)+1,1)</definedName>
    <definedName name="CCC" localSheetId="1">#REF!</definedName>
    <definedName name="CCC">#REF!</definedName>
    <definedName name="ççç" localSheetId="1" hidden="1">{#N/A,#N/A,FALSE,"Plan1";#N/A,#N/A,FALSE,"Plan2"}</definedName>
    <definedName name="ççç" hidden="1">{#N/A,#N/A,FALSE,"Plan1";#N/A,#N/A,FALSE,"Plan2"}</definedName>
    <definedName name="cccc" localSheetId="1" hidden="1">{#N/A,#N/A,FALSE,"Plan1";#N/A,#N/A,FALSE,"Plan2"}</definedName>
    <definedName name="cccc" hidden="1">{#N/A,#N/A,FALSE,"Plan1";#N/A,#N/A,FALSE,"Plan2"}</definedName>
    <definedName name="ççççççç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1" hidden="1">{"HW",#N/A,FALSE,"1998"}</definedName>
    <definedName name="cccccccccccccccc" hidden="1">{"HW",#N/A,FALSE,"1998"}</definedName>
    <definedName name="cchart1" localSheetId="1" hidden="1">#REF!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 localSheetId="1">#REF!</definedName>
    <definedName name="CD">#REF!</definedName>
    <definedName name="çdfmerf" localSheetId="1" hidden="1">{#N/A,#N/A,FALSE,"Plan1";#N/A,#N/A,FALSE,"Plan2"}</definedName>
    <definedName name="çdfmerf" hidden="1">{#N/A,#N/A,FALSE,"Plan1";#N/A,#N/A,FALSE,"Plan2"}</definedName>
    <definedName name="CDSGHE" localSheetId="1" hidden="1">{#N/A,#N/A,FALSE,"Plan1";#N/A,#N/A,FALSE,"Plan2"}</definedName>
    <definedName name="CDSGHE" hidden="1">{#N/A,#N/A,FALSE,"Plan1";#N/A,#N/A,FALSE,"Plan2"}</definedName>
    <definedName name="cdvthd" localSheetId="1">#REF!</definedName>
    <definedName name="cdvthd">#REF!</definedName>
    <definedName name="Cel_Constr" localSheetId="1">#REF!</definedName>
    <definedName name="Cel_Constr">#REF!</definedName>
    <definedName name="CestaExcel" localSheetId="1">#REF!</definedName>
    <definedName name="CestaExcel">#REF!</definedName>
    <definedName name="CevaG">#REF!</definedName>
    <definedName name="CevaGS">#REF!</definedName>
    <definedName name="çfhjglkjhkljyh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1" hidden="1">{#N/A,#N/A,FALSE,"Plan1";#N/A,#N/A,FALSE,"Plan2"}</definedName>
    <definedName name="çflçf" hidden="1">{#N/A,#N/A,FALSE,"Plan1";#N/A,#N/A,FALSE,"Plan2"}</definedName>
    <definedName name="CHAFQT" localSheetId="1">#REF!</definedName>
    <definedName name="CHAFQT">#REF!</definedName>
    <definedName name="Chaves" localSheetId="1">#REF!</definedName>
    <definedName name="Chaves">#REF!</definedName>
    <definedName name="chfch" localSheetId="1" hidden="1">{#N/A,#N/A,FALSE,"Plan1";#N/A,#N/A,FALSE,"Plan2"}</definedName>
    <definedName name="chfch" hidden="1">{#N/A,#N/A,FALSE,"Plan1";#N/A,#N/A,FALSE,"Plan2"}</definedName>
    <definedName name="CI" localSheetId="1">#REF!</definedName>
    <definedName name="CI">#REF!</definedName>
    <definedName name="cidades" localSheetId="1">#REF!</definedName>
    <definedName name="cidades">#REF!</definedName>
    <definedName name="CIFIXA" localSheetId="1">#REF!</definedName>
    <definedName name="CIFIXA">#REF!</definedName>
    <definedName name="CINCO">#REF!</definedName>
    <definedName name="CITOTAL">#REF!</definedName>
    <definedName name="CIVAR">#REF!</definedName>
    <definedName name="ÇJKRÇLFS" localSheetId="1" hidden="1">{"Econ Consolidado",#N/A,FALSE,"Econ Consol";"Fluxo de Caixa",#N/A,FALSE,"Fluxo Caixa";"Investimentos",#N/A,FALSE,"Investimentos"}</definedName>
    <definedName name="ÇJKRÇLFS" hidden="1">{"Econ Consolidado",#N/A,FALSE,"Econ Consol";"Fluxo de Caixa",#N/A,FALSE,"Fluxo Caixa";"Investimentos",#N/A,FALSE,"Investimentos"}</definedName>
    <definedName name="ÇJsrejtçe" localSheetId="1" hidden="1">{#N/A,#N/A,FALSE,"Plan1";#N/A,#N/A,FALSE,"Plan2"}</definedName>
    <definedName name="ÇJsrejtçe" hidden="1">{#N/A,#N/A,FALSE,"Plan1";#N/A,#N/A,FALSE,"Plan2"}</definedName>
    <definedName name="çkaçekow" localSheetId="1" hidden="1">{#N/A,#N/A,FALSE,"Plan1";#N/A,#N/A,FALSE,"Plan2"}</definedName>
    <definedName name="çkaçekow" hidden="1">{#N/A,#N/A,FALSE,"Plan1";#N/A,#N/A,FALSE,"Plan2"}</definedName>
    <definedName name="ÇKSDOEKR" localSheetId="1" hidden="1">{#N/A,#N/A,FALSE,"Plan1";#N/A,#N/A,FALSE,"Plan2"}</definedName>
    <definedName name="ÇKSDOEKR" hidden="1">{#N/A,#N/A,FALSE,"Plan1";#N/A,#N/A,FALSE,"Plan2"}</definedName>
    <definedName name="çl" localSheetId="1" hidden="1">{#N/A,#N/A,FALSE,"Plan1";#N/A,#N/A,FALSE,"Plan2"}</definedName>
    <definedName name="çl" hidden="1">{#N/A,#N/A,FALSE,"Plan1";#N/A,#N/A,FALSE,"Plan2"}</definedName>
    <definedName name="çlassde" localSheetId="1" hidden="1">{#N/A,#N/A,FALSE,"Plan1";#N/A,#N/A,FALSE,"Plan2"}</definedName>
    <definedName name="çlassde" hidden="1">{#N/A,#N/A,FALSE,"Plan1";#N/A,#N/A,FALSE,"Plan2"}</definedName>
    <definedName name="Classificação" localSheetId="1">#REF!</definedName>
    <definedName name="Classificação">#REF!</definedName>
    <definedName name="çlçlç" localSheetId="1" hidden="1">{#N/A,#N/A,FALSE,"Plan1";#N/A,#N/A,FALSE,"Plan2"}</definedName>
    <definedName name="çlçlç" hidden="1">{#N/A,#N/A,FALSE,"Plan1";#N/A,#N/A,FALSE,"Plan2"}</definedName>
    <definedName name="çld" localSheetId="1" hidden="1">{#N/A,#N/A,FALSE,"Plan1";#N/A,#N/A,FALSE,"Plan2"}</definedName>
    <definedName name="çld" hidden="1">{#N/A,#N/A,FALSE,"Plan1";#N/A,#N/A,FALSE,"Plan2"}</definedName>
    <definedName name="çlererr" localSheetId="1" hidden="1">{#N/A,#N/A,FALSE,"Plan1";#N/A,#N/A,FALSE,"Plan2"}</definedName>
    <definedName name="çlererr" hidden="1">{#N/A,#N/A,FALSE,"Plan1";#N/A,#N/A,FALSE,"Plan2"}</definedName>
    <definedName name="çlertert" localSheetId="1" hidden="1">{#N/A,#N/A,FALSE,"Plan1";#N/A,#N/A,FALSE,"Plan2"}</definedName>
    <definedName name="çlertert" hidden="1">{#N/A,#N/A,FALSE,"Plan1";#N/A,#N/A,FALSE,"Plan2"}</definedName>
    <definedName name="çlkdflçkrlr" localSheetId="1" hidden="1">#REF!</definedName>
    <definedName name="çlkdflçkrlr" hidden="1">#REF!</definedName>
    <definedName name="çll" localSheetId="1" hidden="1">{#N/A,#N/A,FALSE,"Plan1";#N/A,#N/A,FALSE,"Plan2"}</definedName>
    <definedName name="çll" hidden="1">{#N/A,#N/A,FALSE,"Plan1";#N/A,#N/A,FALSE,"Plan2"}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 localSheetId="1">#REF!</definedName>
    <definedName name="COBRANÇA">#REF!</definedName>
    <definedName name="Cod_Esquadrias" localSheetId="1">#REF!</definedName>
    <definedName name="Cod_Esquadrias">#REF!</definedName>
    <definedName name="CÓDG" localSheetId="1">OFFSET(#REF!,0,0,COUNTA(#REF!),1)</definedName>
    <definedName name="CÓDG">OFFSET(#REF!,0,0,COUNTA(#REF!),1)</definedName>
    <definedName name="codigo2" localSheetId="1">#REF!</definedName>
    <definedName name="codigo2">#REF!</definedName>
    <definedName name="codigo3" localSheetId="1">#REF!</definedName>
    <definedName name="codigo3">#REF!</definedName>
    <definedName name="CÓDT" localSheetId="1">OFFSET(#REF!,0,0,COUNTA(#REF!)+1,1)</definedName>
    <definedName name="CÓDT">OFFSET(#REF!,0,0,COUNTA(#REF!)+1,1)</definedName>
    <definedName name="COFINS" localSheetId="1">#REF!</definedName>
    <definedName name="COFINS">#REF!</definedName>
    <definedName name="cofins2" localSheetId="1">#REF!</definedName>
    <definedName name="cofins2">#REF!</definedName>
    <definedName name="COGS" localSheetId="1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 localSheetId="1" hidden="1">{#N/A,#N/A,TRUE,"Quinzena 01 à 15-04-98 "}</definedName>
    <definedName name="CONFIRMAR" hidden="1">{#N/A,#N/A,TRUE,"Quinzena 01 à 15-04-98 "}</definedName>
    <definedName name="cont" localSheetId="1" hidden="1">{#N/A,#N/A,FALSE,"Plan1";#N/A,#N/A,FALSE,"Plan2"}</definedName>
    <definedName name="cont" hidden="1">{#N/A,#N/A,FALSE,"Plan1";#N/A,#N/A,FALSE,"Plan2"}</definedName>
    <definedName name="CONT1" localSheetId="1">#REF!</definedName>
    <definedName name="CONT1">#REF!</definedName>
    <definedName name="CONT2" localSheetId="1">#REF!</definedName>
    <definedName name="CONT2">#REF!</definedName>
    <definedName name="CONT3" localSheetId="1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VERSÃO">#REF!</definedName>
    <definedName name="cpmf">#REF!</definedName>
    <definedName name="Credor_Rel_Sienge">#REF!</definedName>
    <definedName name="_xlnm.Criteria" localSheetId="1">#REF!</definedName>
    <definedName name="_xlnm.Criteria">#REF!</definedName>
    <definedName name="CRONG" localSheetId="1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localSheetId="1" hidden="1">#REF!</definedName>
    <definedName name="çsdkfçdrkt" hidden="1">#REF!</definedName>
    <definedName name="CS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1" hidden="1">{#N/A,#N/A,FALSE,"Plan1";#N/A,#N/A,FALSE,"Plan2"}</definedName>
    <definedName name="ÇSLÇDLFKD" hidden="1">{#N/A,#N/A,FALSE,"Plan1";#N/A,#N/A,FALSE,"Plan2"}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 localSheetId="1">#REF!</definedName>
    <definedName name="CUST_DIR_IND">#REF!</definedName>
    <definedName name="CUSTINDIRETO" localSheetId="1">#REF!</definedName>
    <definedName name="CUSTINDIRETO">#REF!</definedName>
    <definedName name="CUSTO_DIR_IND" localSheetId="1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">#REF!</definedName>
    <definedName name="da" localSheetId="1">#REF!</definedName>
    <definedName name="da">#REF!</definedName>
    <definedName name="dalm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1" hidden="1">{#N/A,#N/A,FALSE,"Plan1";#N/A,#N/A,FALSE,"Plan2"}</definedName>
    <definedName name="dasfrt" hidden="1">{#N/A,#N/A,FALSE,"Plan1";#N/A,#N/A,FALSE,"Plan2"}</definedName>
    <definedName name="DATA" localSheetId="1">#REF!</definedName>
    <definedName name="DATA">#REF!</definedName>
    <definedName name="Data_base" localSheetId="1">#REF!</definedName>
    <definedName name="Data_base">#REF!</definedName>
    <definedName name="data_base_VL" localSheetId="1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Chaves_MAP">#REF!</definedName>
    <definedName name="DatasOut13AteDez20">#REF!</definedName>
    <definedName name="DÇDL" localSheetId="1" hidden="1">{#N/A,#N/A,FALSE,"Plan1";#N/A,#N/A,FALSE,"Plan2"}</definedName>
    <definedName name="DÇDL" hidden="1">{#N/A,#N/A,FALSE,"Plan1";#N/A,#N/A,FALSE,"Plan2"}</definedName>
    <definedName name="dchart26" localSheetId="1" hidden="1">#REF!</definedName>
    <definedName name="dchart26" hidden="1">#REF!</definedName>
    <definedName name="dchart31" localSheetId="1" hidden="1">#REF!</definedName>
    <definedName name="dchart31" hidden="1">#REF!</definedName>
    <definedName name="dcnsfgdjkgb" localSheetId="1" hidden="1">{#N/A,#N/A,FALSE,"Plan1";#N/A,#N/A,FALSE,"Plan2"}</definedName>
    <definedName name="dcnsfgdjkgb" hidden="1">{#N/A,#N/A,FALSE,"Plan1";#N/A,#N/A,FALSE,"Plan2"}</definedName>
    <definedName name="DÇWK" localSheetId="1" hidden="1">{#N/A,#N/A,FALSE,"Plan1";#N/A,#N/A,FALSE,"Plan2"}</definedName>
    <definedName name="DÇWK" hidden="1">{#N/A,#N/A,FALSE,"Plan1";#N/A,#N/A,FALSE,"Plan2"}</definedName>
    <definedName name="DD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1" hidden="1">{"'장비'!$A$3:$M$12"}</definedName>
    <definedName name="ddd" hidden="1">{"'장비'!$A$3:$M$12"}</definedName>
    <definedName name="ddddd" localSheetId="1" hidden="1">{#N/A,#N/A,FALSE,"Plan1";#N/A,#N/A,FALSE,"Plan2"}</definedName>
    <definedName name="ddddd" hidden="1">{#N/A,#N/A,FALSE,"Plan1";#N/A,#N/A,FALSE,"Plan2"}</definedName>
    <definedName name="ddddddddddd" localSheetId="1">#REF!</definedName>
    <definedName name="ddddddddddd">#REF!</definedName>
    <definedName name="dddddddddddddddddddddddddd" localSheetId="1">#REF!</definedName>
    <definedName name="dddddddddddddddddddddddddd">#REF!</definedName>
    <definedName name="dddddddddddddppppppppp" localSheetId="1">#REF!</definedName>
    <definedName name="dddddddddddddppppppppp">#REF!</definedName>
    <definedName name="dde" localSheetId="1" hidden="1">{#N/A,#N/A,FALSE,"Plan1";#N/A,#N/A,FALSE,"Plan2"}</definedName>
    <definedName name="dde" hidden="1">{#N/A,#N/A,FALSE,"Plan1";#N/A,#N/A,FALSE,"Plan2"}</definedName>
    <definedName name="ddfs" localSheetId="1" hidden="1">#REF!</definedName>
    <definedName name="ddfs" hidden="1">#REF!</definedName>
    <definedName name="ddgfdvgd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1" hidden="1">{#N/A,#N/A,FALSE,"Plan1";#N/A,#N/A,FALSE,"Plan2"}</definedName>
    <definedName name="DDGSFG" hidden="1">{#N/A,#N/A,FALSE,"Plan1";#N/A,#N/A,FALSE,"Plan2"}</definedName>
    <definedName name="dede" localSheetId="1" hidden="1">{#N/A,#N/A,FALSE,"Plan1";#N/A,#N/A,FALSE,"Plan2"}</definedName>
    <definedName name="dede" hidden="1">{#N/A,#N/A,FALSE,"Plan1";#N/A,#N/A,FALSE,"Plan2"}</definedName>
    <definedName name="defasagem" localSheetId="1">OFFSET(INDEX(#REF!,MATCH(#REF!,#REF!,0)),1,0,COUNTA(#REF!)-1)</definedName>
    <definedName name="defasagem">OFFSET(INDEX(#REF!,MATCH(#REF!,#REF!,0)),1,0,COUNTA(#REF!)-1)</definedName>
    <definedName name="depara" localSheetId="1">#REF!</definedName>
    <definedName name="depara">#REF!</definedName>
    <definedName name="DERIVQT" localSheetId="1">#REF!</definedName>
    <definedName name="DERIVQT">#REF!</definedName>
    <definedName name="des" localSheetId="1" hidden="1">{#N/A,#N/A,FALSE,"Plan1";#N/A,#N/A,FALSE,"Plan2"}</definedName>
    <definedName name="des" hidden="1">{#N/A,#N/A,FALSE,"Plan1";#N/A,#N/A,FALSE,"Plan2"}</definedName>
    <definedName name="desc" localSheetId="1" hidden="1">{#N/A,#N/A,FALSE,"Plan1";#N/A,#N/A,FALSE,"Plan2"}</definedName>
    <definedName name="desc" hidden="1">{#N/A,#N/A,FALSE,"Plan1";#N/A,#N/A,FALSE,"Plan2"}</definedName>
    <definedName name="DESCONTO" localSheetId="1">#REF!</definedName>
    <definedName name="DESCONTO">#REF!</definedName>
    <definedName name="DESCRIÇÃO_OBRA" localSheetId="1">#REF!</definedName>
    <definedName name="DESCRIÇÃO_OBRA">#REF!</definedName>
    <definedName name="DespFatur" localSheetId="1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1" hidden="1">{#N/A,#N/A,FALSE,"명세표"}</definedName>
    <definedName name="DFD" hidden="1">{#N/A,#N/A,FALSE,"명세표"}</definedName>
    <definedName name="dfdfty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1" hidden="1">{#N/A,#N/A,FALSE,"Plan1";#N/A,#N/A,FALSE,"Plan2"}</definedName>
    <definedName name="dfdjgfdfgdf" hidden="1">{#N/A,#N/A,FALSE,"Plan1";#N/A,#N/A,FALSE,"Plan2"}</definedName>
    <definedName name="dfdrtrr" localSheetId="1" hidden="1">{#N/A,#N/A,FALSE,"Plan1";#N/A,#N/A,FALSE,"Plan2"}</definedName>
    <definedName name="dfdrtrr" hidden="1">{#N/A,#N/A,FALSE,"Plan1";#N/A,#N/A,FALSE,"Plan2"}</definedName>
    <definedName name="DFDSG" localSheetId="1" hidden="1">{#N/A,#N/A,FALSE,"Plan1";#N/A,#N/A,FALSE,"Plan2"}</definedName>
    <definedName name="DFDSG" hidden="1">{#N/A,#N/A,FALSE,"Plan1";#N/A,#N/A,FALSE,"Plan2"}</definedName>
    <definedName name="dfer" localSheetId="1" hidden="1">{#N/A,#N/A,FALSE,"Plan1";#N/A,#N/A,FALSE,"Plan2"}</definedName>
    <definedName name="dfer" hidden="1">{#N/A,#N/A,FALSE,"Plan1";#N/A,#N/A,FALSE,"Plan2"}</definedName>
    <definedName name="dffbty" localSheetId="1" hidden="1">{#N/A,#N/A,FALSE,"Plan1";#N/A,#N/A,FALSE,"Plan2"}</definedName>
    <definedName name="dffbty" hidden="1">{#N/A,#N/A,FALSE,"Plan1";#N/A,#N/A,FALSE,"Plan2"}</definedName>
    <definedName name="dffgk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1" hidden="1">{#N/A,#N/A,FALSE,"Plan1";#N/A,#N/A,FALSE,"Plan2"}</definedName>
    <definedName name="dffhg" hidden="1">{#N/A,#N/A,FALSE,"Plan1";#N/A,#N/A,FALSE,"Plan2"}</definedName>
    <definedName name="dfg" localSheetId="1" hidden="1">{#N/A,#N/A,FALSE,"Plan1";#N/A,#N/A,FALSE,"Plan2"}</definedName>
    <definedName name="dfg" hidden="1">{#N/A,#N/A,FALSE,"Plan1";#N/A,#N/A,FALSE,"Plan2"}</definedName>
    <definedName name="dfgdf" localSheetId="1" hidden="1">{#N/A,#N/A,FALSE,"Plan1";#N/A,#N/A,FALSE,"Plan2"}</definedName>
    <definedName name="dfgdf" hidden="1">{#N/A,#N/A,FALSE,"Plan1";#N/A,#N/A,FALSE,"Plan2"}</definedName>
    <definedName name="dfgdytygr" localSheetId="1" hidden="1">{#N/A,#N/A,FALSE,"Plan1";#N/A,#N/A,FALSE,"Plan2"}</definedName>
    <definedName name="dfgdytygr" hidden="1">{#N/A,#N/A,FALSE,"Plan1";#N/A,#N/A,FALSE,"Plan2"}</definedName>
    <definedName name="dfgftrrdt5" localSheetId="1" hidden="1">{#N/A,#N/A,FALSE,"Plan1";#N/A,#N/A,FALSE,"Plan2"}</definedName>
    <definedName name="dfgftrrdt5" hidden="1">{#N/A,#N/A,FALSE,"Plan1";#N/A,#N/A,FALSE,"Plan2"}</definedName>
    <definedName name="dfgh" localSheetId="1">#REF!</definedName>
    <definedName name="dfgh">#REF!</definedName>
    <definedName name="dfghjfhsg" localSheetId="1" hidden="1">{#N/A,#N/A,FALSE,"Plan1";#N/A,#N/A,FALSE,"Plan2"}</definedName>
    <definedName name="dfghjfhsg" hidden="1">{#N/A,#N/A,FALSE,"Plan1";#N/A,#N/A,FALSE,"Plan2"}</definedName>
    <definedName name="dfgj" localSheetId="1" hidden="1">{#N/A,#N/A,FALSE,"Plan1";#N/A,#N/A,FALSE,"Plan2"}</definedName>
    <definedName name="dfgj" hidden="1">{#N/A,#N/A,FALSE,"Plan1";#N/A,#N/A,FALSE,"Plan2"}</definedName>
    <definedName name="dfgjfttyd" localSheetId="1" hidden="1">{#N/A,#N/A,FALSE,"Plan1";#N/A,#N/A,FALSE,"Plan2"}</definedName>
    <definedName name="dfgjfttyd" hidden="1">{#N/A,#N/A,FALSE,"Plan1";#N/A,#N/A,FALSE,"Plan2"}</definedName>
    <definedName name="dfgjjtdrtg" localSheetId="1" hidden="1">{#N/A,#N/A,FALSE,"Plan1";#N/A,#N/A,FALSE,"Plan2"}</definedName>
    <definedName name="dfgjjtdrtg" hidden="1">{#N/A,#N/A,FALSE,"Plan1";#N/A,#N/A,FALSE,"Plan2"}</definedName>
    <definedName name="dfgt" localSheetId="1" hidden="1">{#N/A,#N/A,FALSE,"Plan1";#N/A,#N/A,FALSE,"Plan2"}</definedName>
    <definedName name="dfgt" hidden="1">{#N/A,#N/A,FALSE,"Plan1";#N/A,#N/A,FALSE,"Plan2"}</definedName>
    <definedName name="dfgtrkjhk" localSheetId="1" hidden="1">{#N/A,#N/A,FALSE,"Plan1";#N/A,#N/A,FALSE,"Plan2"}</definedName>
    <definedName name="dfgtrkjhk" hidden="1">{#N/A,#N/A,FALSE,"Plan1";#N/A,#N/A,FALSE,"Plan2"}</definedName>
    <definedName name="dfgty" localSheetId="1" hidden="1">{#N/A,#N/A,FALSE,"Plan1";#N/A,#N/A,FALSE,"Plan2"}</definedName>
    <definedName name="dfgty" hidden="1">{#N/A,#N/A,FALSE,"Plan1";#N/A,#N/A,FALSE,"Plan2"}</definedName>
    <definedName name="dfhdgfdgf" localSheetId="1" hidden="1">{#N/A,#N/A,FALSE,"Plan1";#N/A,#N/A,FALSE,"Plan2"}</definedName>
    <definedName name="dfhdgfdgf" hidden="1">{#N/A,#N/A,FALSE,"Plan1";#N/A,#N/A,FALSE,"Plan2"}</definedName>
    <definedName name="DFHDJGJFHJGF" localSheetId="1" hidden="1">{#N/A,#N/A,FALSE,"Plan1";#N/A,#N/A,FALSE,"Plan2"}</definedName>
    <definedName name="DFHDJGJFHJGF" hidden="1">{#N/A,#N/A,FALSE,"Plan1";#N/A,#N/A,FALSE,"Plan2"}</definedName>
    <definedName name="dfhdyg" localSheetId="1" hidden="1">{#N/A,#N/A,FALSE,"Plan1";#N/A,#N/A,FALSE,"Plan2"}</definedName>
    <definedName name="dfhdyg" hidden="1">{#N/A,#N/A,FALSE,"Plan1";#N/A,#N/A,FALSE,"Plan2"}</definedName>
    <definedName name="DFHGDHUR" localSheetId="1" hidden="1">{#N/A,#N/A,FALSE,"Plan1";#N/A,#N/A,FALSE,"Plan2"}</definedName>
    <definedName name="DFHGDHUR" hidden="1">{#N/A,#N/A,FALSE,"Plan1";#N/A,#N/A,FALSE,"Plan2"}</definedName>
    <definedName name="dfhgjfgdhfjdrf" localSheetId="1" hidden="1">{#N/A,#N/A,FALSE,"Plan1";#N/A,#N/A,FALSE,"Plan2"}</definedName>
    <definedName name="dfhgjfgdhfjdrf" hidden="1">{#N/A,#N/A,FALSE,"Plan1";#N/A,#N/A,FALSE,"Plan2"}</definedName>
    <definedName name="dfhgkhfut" localSheetId="1" hidden="1">{#N/A,#N/A,FALSE,"Plan1";#N/A,#N/A,FALSE,"Plan2"}</definedName>
    <definedName name="dfhgkhfut" hidden="1">{#N/A,#N/A,FALSE,"Plan1";#N/A,#N/A,FALSE,"Plan2"}</definedName>
    <definedName name="dfhgkjdhkjghjd" localSheetId="1" hidden="1">#REF!</definedName>
    <definedName name="dfhgkjdhkjghjd" hidden="1">#REF!</definedName>
    <definedName name="dfhguitrhfg" localSheetId="1" hidden="1">{#N/A,#N/A,FALSE,"Plan1";#N/A,#N/A,FALSE,"Plan2"}</definedName>
    <definedName name="dfhguitrhfg" hidden="1">{#N/A,#N/A,FALSE,"Plan1";#N/A,#N/A,FALSE,"Plan2"}</definedName>
    <definedName name="DFHKHDGKJHDKS" localSheetId="1" hidden="1">{#N/A,#N/A,FALSE,"Plan1";#N/A,#N/A,FALSE,"Plan2"}</definedName>
    <definedName name="DFHKHDGKJHDKS" hidden="1">{#N/A,#N/A,FALSE,"Plan1";#N/A,#N/A,FALSE,"Plan2"}</definedName>
    <definedName name="dfijvnqienvvnjv" localSheetId="1">#REF!</definedName>
    <definedName name="dfijvnqienvvnjv">#REF!</definedName>
    <definedName name="dfjgjfhykj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1" hidden="1">{#N/A,#N/A,FALSE,"Plan1";#N/A,#N/A,FALSE,"Plan2"}</definedName>
    <definedName name="dfjkgtdftr" hidden="1">{#N/A,#N/A,FALSE,"Plan1";#N/A,#N/A,FALSE,"Plan2"}</definedName>
    <definedName name="dfkhgfg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1" hidden="1">{#N/A,#N/A,FALSE,"Plan1";#N/A,#N/A,FALSE,"Plan2"}</definedName>
    <definedName name="dfknfhkdrj" hidden="1">{#N/A,#N/A,FALSE,"Plan1";#N/A,#N/A,FALSE,"Plan2"}</definedName>
    <definedName name="dfnert" localSheetId="1" hidden="1">{#N/A,#N/A,FALSE,"Plan1";#N/A,#N/A,FALSE,"Plan2"}</definedName>
    <definedName name="dfnert" hidden="1">{#N/A,#N/A,FALSE,"Plan1";#N/A,#N/A,FALSE,"Plan2"}</definedName>
    <definedName name="dfrt" localSheetId="1" hidden="1">{#N/A,#N/A,FALSE,"Plan1";#N/A,#N/A,FALSE,"Plan2"}</definedName>
    <definedName name="dfrt" hidden="1">{#N/A,#N/A,FALSE,"Plan1";#N/A,#N/A,FALSE,"Plan2"}</definedName>
    <definedName name="dfsdr5tt" localSheetId="1" hidden="1">{#N/A,#N/A,FALSE,"Plan1";#N/A,#N/A,FALSE,"Plan2"}</definedName>
    <definedName name="dfsdr5tt" hidden="1">{#N/A,#N/A,FALSE,"Plan1";#N/A,#N/A,FALSE,"Plan2"}</definedName>
    <definedName name="dfsds" localSheetId="1" hidden="1">#REF!</definedName>
    <definedName name="dfsds" hidden="1">#REF!</definedName>
    <definedName name="dfsd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1" hidden="1">{#N/A,#N/A,FALSE,"Plan1";#N/A,#N/A,FALSE,"Plan2"}</definedName>
    <definedName name="dfsdtr" hidden="1">{#N/A,#N/A,FALSE,"Plan1";#N/A,#N/A,FALSE,"Plan2"}</definedName>
    <definedName name="dfsf" localSheetId="1" hidden="1">{#N/A,#N/A,FALSE,"Plan1";#N/A,#N/A,FALSE,"Plan2"}</definedName>
    <definedName name="dfsf" hidden="1">{#N/A,#N/A,FALSE,"Plan1";#N/A,#N/A,FALSE,"Plan2"}</definedName>
    <definedName name="DFT" localSheetId="1" hidden="1">{#N/A,#N/A,FALSE,"Plan1";#N/A,#N/A,FALSE,"Plan2"}</definedName>
    <definedName name="DFT" hidden="1">{#N/A,#N/A,FALSE,"Plan1";#N/A,#N/A,FALSE,"Plan2"}</definedName>
    <definedName name="DFTRTTY" localSheetId="1" hidden="1">{#N/A,#N/A,FALSE,"Plan1";#N/A,#N/A,FALSE,"Plan2"}</definedName>
    <definedName name="DFTRTTY" hidden="1">{#N/A,#N/A,FALSE,"Plan1";#N/A,#N/A,FALSE,"Plan2"}</definedName>
    <definedName name="dfurghifdjyhits" localSheetId="1" hidden="1">{#N/A,#N/A,FALSE,"Plan1";#N/A,#N/A,FALSE,"Plan2"}</definedName>
    <definedName name="dfurghifdjyhits" hidden="1">{#N/A,#N/A,FALSE,"Plan1";#N/A,#N/A,FALSE,"Plan2"}</definedName>
    <definedName name="dfxgdrged" localSheetId="1" hidden="1">{#N/A,#N/A,FALSE,"Plan1";#N/A,#N/A,FALSE,"Plan2"}</definedName>
    <definedName name="dfxgdrged" hidden="1">{#N/A,#N/A,FALSE,"Plan1";#N/A,#N/A,FALSE,"Plan2"}</definedName>
    <definedName name="dgfrtyt" localSheetId="1" hidden="1">{#N/A,#N/A,FALSE,"Plan1";#N/A,#N/A,FALSE,"Plan2"}</definedName>
    <definedName name="dgfrtyt" hidden="1">{#N/A,#N/A,FALSE,"Plan1";#N/A,#N/A,FALSE,"Plan2"}</definedName>
    <definedName name="dggfdg" localSheetId="1" hidden="1">{#N/A,#N/A,FALSE,"Plan1";#N/A,#N/A,FALSE,"Plan2"}</definedName>
    <definedName name="dggfdg" hidden="1">{#N/A,#N/A,FALSE,"Plan1";#N/A,#N/A,FALSE,"Plan2"}</definedName>
    <definedName name="dgldfhgkljslh" localSheetId="1" hidden="1">{#N/A,#N/A,FALSE,"Plan1";#N/A,#N/A,FALSE,"Plan2"}</definedName>
    <definedName name="dgldfhgkljslh" hidden="1">{#N/A,#N/A,FALSE,"Plan1";#N/A,#N/A,FALSE,"Plan2"}</definedName>
    <definedName name="dhfgdhrehrwe" localSheetId="1" hidden="1">{#N/A,#N/A,FALSE,"Plan1";#N/A,#N/A,FALSE,"Plan2"}</definedName>
    <definedName name="dhfgdhrehrwe" hidden="1">{#N/A,#N/A,FALSE,"Plan1";#N/A,#N/A,FALSE,"Plan2"}</definedName>
    <definedName name="dhgfdgrfgdfgd" localSheetId="1" hidden="1">{#N/A,#N/A,FALSE,"Plan1";#N/A,#N/A,FALSE,"Plan2"}</definedName>
    <definedName name="dhgfdgrfgdfgd" hidden="1">{#N/A,#N/A,FALSE,"Plan1";#N/A,#N/A,FALSE,"Plan2"}</definedName>
    <definedName name="dhkjfhdhfjdh" localSheetId="1" hidden="1">{#N/A,#N/A,FALSE,"Plan1";#N/A,#N/A,FALSE,"Plan2"}</definedName>
    <definedName name="dhkjfhdhfjdh" hidden="1">{#N/A,#N/A,FALSE,"Plan1";#N/A,#N/A,FALSE,"Plan2"}</definedName>
    <definedName name="DHTJRT" localSheetId="1" hidden="1">{#N/A,#N/A,FALSE,"Plan1";#N/A,#N/A,FALSE,"Plan2"}</definedName>
    <definedName name="DHTJRT" hidden="1">{#N/A,#N/A,FALSE,"Plan1";#N/A,#N/A,FALSE,"Plan2"}</definedName>
    <definedName name="DI" localSheetId="1">#REF!</definedName>
    <definedName name="DI">#REF!</definedName>
    <definedName name="dia3estac" localSheetId="1">#REF!</definedName>
    <definedName name="dia3estac">#REF!</definedName>
    <definedName name="diaestaca" localSheetId="1">#REF!</definedName>
    <definedName name="diaestaca">#REF!</definedName>
    <definedName name="diambase">#REF!</definedName>
    <definedName name="DIFQT">#REF!</definedName>
    <definedName name="dijghdhks" localSheetId="1" hidden="1">{#N/A,#N/A,FALSE,"Plan1";#N/A,#N/A,FALSE,"Plan2"}</definedName>
    <definedName name="dijghdhks" hidden="1">{#N/A,#N/A,FALSE,"Plan1";#N/A,#N/A,FALSE,"Plan2"}</definedName>
    <definedName name="DIMENSÕES" localSheetId="1">#REF!</definedName>
    <definedName name="DIMENSÕES">#REF!</definedName>
    <definedName name="DIR_OPER" localSheetId="1">#REF!</definedName>
    <definedName name="DIR_OPER">#REF!</definedName>
    <definedName name="DIR_TECNICO" localSheetId="1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 localSheetId="1" hidden="1">{#N/A,#N/A,FALSE,"Plan1";#N/A,#N/A,FALSE,"Plan2"}</definedName>
    <definedName name="djasdrjas" hidden="1">{#N/A,#N/A,FALSE,"Plan1";#N/A,#N/A,FALSE,"Plan2"}</definedName>
    <definedName name="dj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1" hidden="1">{#N/A,#N/A,FALSE,"Plan1";#N/A,#N/A,FALSE,"Plan2"}</definedName>
    <definedName name="djfkhjhfgrgdfh" hidden="1">{#N/A,#N/A,FALSE,"Plan1";#N/A,#N/A,FALSE,"Plan2"}</definedName>
    <definedName name="djfkhsdkjhf" localSheetId="1" hidden="1">{#N/A,#N/A,FALSE,"Plan1";#N/A,#N/A,FALSE,"Plan2"}</definedName>
    <definedName name="djfkhsdkjhf" hidden="1">{#N/A,#N/A,FALSE,"Plan1";#N/A,#N/A,FALSE,"Plan2"}</definedName>
    <definedName name="djfldjsgljslkjtg" localSheetId="1" hidden="1">{#N/A,#N/A,FALSE,"Plan1";#N/A,#N/A,FALSE,"Plan2"}</definedName>
    <definedName name="djfldjsgljslkjtg" hidden="1">{#N/A,#N/A,FALSE,"Plan1";#N/A,#N/A,FALSE,"Plan2"}</definedName>
    <definedName name="djflkdjgdth" localSheetId="1" hidden="1">{#N/A,#N/A,FALSE,"Plan1";#N/A,#N/A,FALSE,"Plan2"}</definedName>
    <definedName name="djflkdjgdth" hidden="1">{#N/A,#N/A,FALSE,"Plan1";#N/A,#N/A,FALSE,"Plan2"}</definedName>
    <definedName name="DJFLKDJGKTJYJT" localSheetId="1" hidden="1">{#N/A,#N/A,FALSE,"Plan1";#N/A,#N/A,FALSE,"Plan2"}</definedName>
    <definedName name="DJFLKDJGKTJYJT" hidden="1">{#N/A,#N/A,FALSE,"Plan1";#N/A,#N/A,FALSE,"Plan2"}</definedName>
    <definedName name="djgkfjgtiyty" localSheetId="1" hidden="1">{#N/A,#N/A,FALSE,"Plan1";#N/A,#N/A,FALSE,"Plan2"}</definedName>
    <definedName name="djgkfjgtiyty" hidden="1">{#N/A,#N/A,FALSE,"Plan1";#N/A,#N/A,FALSE,"Plan2"}</definedName>
    <definedName name="djrkehrjfhng" localSheetId="1" hidden="1">{#N/A,#N/A,FALSE,"Plan1";#N/A,#N/A,FALSE,"Plan2"}</definedName>
    <definedName name="djrkehrjfhng" hidden="1">{#N/A,#N/A,FALSE,"Plan1";#N/A,#N/A,FALSE,"Plan2"}</definedName>
    <definedName name="djswfr" localSheetId="1" hidden="1">#REF!</definedName>
    <definedName name="djswfr" hidden="1">#REF!</definedName>
    <definedName name="djtkjldfr" localSheetId="1" hidden="1">{#N/A,#N/A,FALSE,"Plan1";#N/A,#N/A,FALSE,"Plan2"}</definedName>
    <definedName name="djtkjldfr" hidden="1">{#N/A,#N/A,FALSE,"Plan1";#N/A,#N/A,FALSE,"Plan2"}</definedName>
    <definedName name="DJXDLFGDFG" localSheetId="1" hidden="1">{#N/A,#N/A,FALSE,"Plan1";#N/A,#N/A,FALSE,"Plan2"}</definedName>
    <definedName name="DJXDLFGDFG" hidden="1">{#N/A,#N/A,FALSE,"Plan1";#N/A,#N/A,FALSE,"Plan2"}</definedName>
    <definedName name="dkdkdkdkd" localSheetId="1" hidden="1">{#N/A,#N/A,FALSE,"명세표"}</definedName>
    <definedName name="dkdkdkdkd" hidden="1">{#N/A,#N/A,FALSE,"명세표"}</definedName>
    <definedName name="dkfhskgf" localSheetId="1" hidden="1">{#N/A,#N/A,FALSE,"Plan1";#N/A,#N/A,FALSE,"Plan2"}</definedName>
    <definedName name="dkfhskgf" hidden="1">{#N/A,#N/A,FALSE,"Plan1";#N/A,#N/A,FALSE,"Plan2"}</definedName>
    <definedName name="dkjfk" localSheetId="1" hidden="1">{#N/A,#N/A,FALSE,"Plan1";#N/A,#N/A,FALSE,"Plan2"}</definedName>
    <definedName name="dkjfk" hidden="1">{#N/A,#N/A,FALSE,"Plan1";#N/A,#N/A,FALSE,"Plan2"}</definedName>
    <definedName name="DKLD" localSheetId="1" hidden="1">{#N/A,#N/A,FALSE,"Plan1";#N/A,#N/A,FALSE,"Plan2"}</definedName>
    <definedName name="DKLD" hidden="1">{#N/A,#N/A,FALSE,"Plan1";#N/A,#N/A,FALSE,"Plan2"}</definedName>
    <definedName name="DKLFJDKFD" localSheetId="1" hidden="1">{#N/A,#N/A,FALSE,"Plan1";#N/A,#N/A,FALSE,"Plan2"}</definedName>
    <definedName name="DKLFJDKFD" hidden="1">{#N/A,#N/A,FALSE,"Plan1";#N/A,#N/A,FALSE,"Plan2"}</definedName>
    <definedName name="dklfjgirtgid" localSheetId="1" hidden="1">{#N/A,#N/A,FALSE,"Plan1";#N/A,#N/A,FALSE,"Plan2"}</definedName>
    <definedName name="dklfjgirtgid" hidden="1">{#N/A,#N/A,FALSE,"Plan1";#N/A,#N/A,FALSE,"Plan2"}</definedName>
    <definedName name="dklf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1" hidden="1">{#N/A,#N/A,FALSE,"Plan1";#N/A,#N/A,FALSE,"Plan2"}</definedName>
    <definedName name="dmbfmndbmtrhed" hidden="1">{#N/A,#N/A,FALSE,"Plan1";#N/A,#N/A,FALSE,"Plan2"}</definedName>
    <definedName name="DNFJKDHTKRE" localSheetId="1" hidden="1">{#N/A,#N/A,FALSE,"Plan1";#N/A,#N/A,FALSE,"Plan2"}</definedName>
    <definedName name="DNFJKDHTKRE" hidden="1">{#N/A,#N/A,FALSE,"Plan1";#N/A,#N/A,FALSE,"Plan2"}</definedName>
    <definedName name="dng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 localSheetId="1">#REF!</definedName>
    <definedName name="DOCUMENT">#REF!</definedName>
    <definedName name="DOIS" localSheetId="1">#REF!</definedName>
    <definedName name="DOIS">#REF!</definedName>
    <definedName name="dolar" localSheetId="1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 localSheetId="1" hidden="1">{#N/A,#N/A,FALSE,"Plan1";#N/A,#N/A,FALSE,"Plan2"}</definedName>
    <definedName name="drewr" hidden="1">{#N/A,#N/A,FALSE,"Plan1";#N/A,#N/A,FALSE,"Plan2"}</definedName>
    <definedName name="DRRJR" localSheetId="1" hidden="1">{#N/A,#N/A,FALSE,"Plan1";#N/A,#N/A,FALSE,"Plan2"}</definedName>
    <definedName name="DRRJR" hidden="1">{#N/A,#N/A,FALSE,"Plan1";#N/A,#N/A,FALSE,"Plan2"}</definedName>
    <definedName name="drtr" localSheetId="1" hidden="1">#REF!</definedName>
    <definedName name="drtr" hidden="1">#REF!</definedName>
    <definedName name="drtrt" localSheetId="1" hidden="1">{"'Estimativa de Lançamento-JAN'!$A$1:$AI$85"}</definedName>
    <definedName name="drtrt" hidden="1">{"'Estimativa de Lançamento-JAN'!$A$1:$AI$85"}</definedName>
    <definedName name="dsdrf" localSheetId="1" hidden="1">{#N/A,#N/A,FALSE,"Plan1";#N/A,#N/A,FALSE,"Plan2"}</definedName>
    <definedName name="dsdrf" hidden="1">{#N/A,#N/A,FALSE,"Plan1";#N/A,#N/A,FALSE,"Plan2"}</definedName>
    <definedName name="dsfdf" localSheetId="1" hidden="1">{#N/A,#N/A,FALSE,"Plan1";#N/A,#N/A,FALSE,"Plan2"}</definedName>
    <definedName name="dsfdf" hidden="1">{#N/A,#N/A,FALSE,"Plan1";#N/A,#N/A,FALSE,"Plan2"}</definedName>
    <definedName name="dsfg" localSheetId="1" hidden="1">{#N/A,#N/A,FALSE,"Plan1";#N/A,#N/A,FALSE,"Plan2"}</definedName>
    <definedName name="dsfg" hidden="1">{#N/A,#N/A,FALSE,"Plan1";#N/A,#N/A,FALSE,"Plan2"}</definedName>
    <definedName name="DSFKDSKH" localSheetId="1" hidden="1">{#N/A,#N/A,FALSE,"Plan1";#N/A,#N/A,FALSE,"Plan2"}</definedName>
    <definedName name="DSFKDSKH" hidden="1">{#N/A,#N/A,FALSE,"Plan1";#N/A,#N/A,FALSE,"Plan2"}</definedName>
    <definedName name="DSF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1" hidden="1">{#N/A,#N/A,FALSE,"Plan1";#N/A,#N/A,FALSE,"Plan2"}</definedName>
    <definedName name="dsfrtyy" hidden="1">{#N/A,#N/A,FALSE,"Plan1";#N/A,#N/A,FALSE,"Plan2"}</definedName>
    <definedName name="DSFSAD" localSheetId="1" hidden="1">{#N/A,#N/A,FALSE,"Plan1";#N/A,#N/A,FALSE,"Plan2"}</definedName>
    <definedName name="DSFSAD" hidden="1">{#N/A,#N/A,FALSE,"Plan1";#N/A,#N/A,FALSE,"Plan2"}</definedName>
    <definedName name="dsfsdf" localSheetId="1" hidden="1">{#N/A,#N/A,FALSE,"Plan1";#N/A,#N/A,FALSE,"Plan2"}</definedName>
    <definedName name="dsfsdf" hidden="1">{#N/A,#N/A,FALSE,"Plan1";#N/A,#N/A,FALSE,"Plan2"}</definedName>
    <definedName name="dsfsdgfb" localSheetId="1" hidden="1">{#N/A,#N/A,FALSE,"Plan1";#N/A,#N/A,FALSE,"Plan2"}</definedName>
    <definedName name="dsfsdgfb" hidden="1">{#N/A,#N/A,FALSE,"Plan1";#N/A,#N/A,FALSE,"Plan2"}</definedName>
    <definedName name="dsgfr" localSheetId="1" hidden="1">{#N/A,#N/A,FALSE,"Plan1";#N/A,#N/A,FALSE,"Plan2"}</definedName>
    <definedName name="dsgfr" hidden="1">{#N/A,#N/A,FALSE,"Plan1";#N/A,#N/A,FALSE,"Plan2"}</definedName>
    <definedName name="dshfkhkrhesru" localSheetId="1" hidden="1">{#N/A,#N/A,FALSE,"Plan1";#N/A,#N/A,FALSE,"Plan2"}</definedName>
    <definedName name="dshfkhkrhesru" hidden="1">{#N/A,#N/A,FALSE,"Plan1";#N/A,#N/A,FALSE,"Plan2"}</definedName>
    <definedName name="dsjkthkr" localSheetId="1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localSheetId="1" hidden="1">{#N/A,#N/A,FALSE,"Plan1";#N/A,#N/A,FALSE,"Plan2"}</definedName>
    <definedName name="DSLFJSLFJ" hidden="1">{#N/A,#N/A,FALSE,"Plan1";#N/A,#N/A,FALSE,"Plan2"}</definedName>
    <definedName name="dslfkf" hidden="1">4</definedName>
    <definedName name="dsrff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1" hidden="1">{#N/A,#N/A,FALSE,"Plan1";#N/A,#N/A,FALSE,"Plan2"}</definedName>
    <definedName name="dss" hidden="1">{#N/A,#N/A,FALSE,"Plan1";#N/A,#N/A,FALSE,"Plan2"}</definedName>
    <definedName name="dtgsrytt" localSheetId="1" hidden="1">{#N/A,#N/A,FALSE,"Plan1";#N/A,#N/A,FALSE,"Plan2"}</definedName>
    <definedName name="dtgsrytt" hidden="1">{#N/A,#N/A,FALSE,"Plan1";#N/A,#N/A,FALSE,"Plan2"}</definedName>
    <definedName name="dtrjkhtrgkfh" localSheetId="1" hidden="1">{#N/A,#N/A,FALSE,"Plan1";#N/A,#N/A,FALSE,"Plan2"}</definedName>
    <definedName name="dtrjkhtrgkfh" hidden="1">{#N/A,#N/A,FALSE,"Plan1";#N/A,#N/A,FALSE,"Plan2"}</definedName>
    <definedName name="dttjuk" localSheetId="1" hidden="1">{#N/A,#N/A,FALSE,"Plan1";#N/A,#N/A,FALSE,"Plan2"}</definedName>
    <definedName name="dttjuk" hidden="1">{#N/A,#N/A,FALSE,"Plan1";#N/A,#N/A,FALSE,"Plan2"}</definedName>
    <definedName name="dvtry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1" hidden="1">{#N/A,#N/A,FALSE,"Plan1";#N/A,#N/A,FALSE,"Plan2"}</definedName>
    <definedName name="dwetrt" hidden="1">{#N/A,#N/A,FALSE,"Plan1";#N/A,#N/A,FALSE,"Plan2"}</definedName>
    <definedName name="dwqhdjwqgdwq" localSheetId="1">#REF!</definedName>
    <definedName name="dwqhdjwqgdwq">#REF!</definedName>
    <definedName name="DY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1" hidden="1">{#N/A,#N/A,FALSE,"Plan1";#N/A,#N/A,FALSE,"Plan2"}</definedName>
    <definedName name="DYHYGJDHZKGF" hidden="1">{#N/A,#N/A,FALSE,"Plan1";#N/A,#N/A,FALSE,"Plan2"}</definedName>
    <definedName name="dzdfr" localSheetId="1" hidden="1">{#N/A,#N/A,FALSE,"Plan1";#N/A,#N/A,FALSE,"Plan2"}</definedName>
    <definedName name="dzdfr" hidden="1">{#N/A,#N/A,FALSE,"Plan1";#N/A,#N/A,FALSE,"Plan2"}</definedName>
    <definedName name="e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1">#REF!</definedName>
    <definedName name="ea">#REF!</definedName>
    <definedName name="EC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1" hidden="1">{#N/A,#N/A,FALSE,"F-01"}</definedName>
    <definedName name="ECEW" hidden="1">{#N/A,#N/A,FALSE,"F-01"}</definedName>
    <definedName name="ECEW_1" localSheetId="1" hidden="1">{#N/A,#N/A,FALSE,"F-01"}</definedName>
    <definedName name="ECEW_1" hidden="1">{#N/A,#N/A,FALSE,"F-01"}</definedName>
    <definedName name="echart31" localSheetId="1" hidden="1">#REF!</definedName>
    <definedName name="echart31" hidden="1">#REF!</definedName>
    <definedName name="EcoPark" localSheetId="1">#REF!</definedName>
    <definedName name="EcoPark">#REF!</definedName>
    <definedName name="ECS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1" hidden="1">{#N/A,#N/A,FALSE,"Plan1";#N/A,#N/A,FALSE,"Plan2"}</definedName>
    <definedName name="EDE" hidden="1">{#N/A,#N/A,FALSE,"Plan1";#N/A,#N/A,FALSE,"Plan2"}</definedName>
    <definedName name="ee" localSheetId="1">#REF!</definedName>
    <definedName name="ee">#REF!</definedName>
    <definedName name="eee" localSheetId="16" hidden="1">{#N/A,#N/A,FALSE,"ET-CAPA";#N/A,#N/A,FALSE,"ET-PAG1";#N/A,#N/A,FALSE,"ET-PAG2";#N/A,#N/A,FALSE,"ET-PAG3";#N/A,#N/A,FALSE,"ET-PAG4";#N/A,#N/A,FALSE,"ET-PAG5"}</definedName>
    <definedName name="eee" localSheetId="19" hidden="1">{#N/A,#N/A,FALSE,"ET-CAPA";#N/A,#N/A,FALSE,"ET-PAG1";#N/A,#N/A,FALSE,"ET-PAG2";#N/A,#N/A,FALSE,"ET-PAG3";#N/A,#N/A,FALSE,"ET-PAG4";#N/A,#N/A,FALSE,"ET-PAG5"}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8" hidden="1">{#N/A,#N/A,FALSE,"ET-CAPA";#N/A,#N/A,FALSE,"ET-PAG1";#N/A,#N/A,FALSE,"ET-PAG2";#N/A,#N/A,FALSE,"ET-PAG3";#N/A,#N/A,FALSE,"ET-PAG4";#N/A,#N/A,FALSE,"ET-PAG5"}</definedName>
    <definedName name="eee" localSheetId="2" hidden="1">{#N/A,#N/A,FALSE,"ET-CAPA";#N/A,#N/A,FALSE,"ET-PAG1";#N/A,#N/A,FALSE,"ET-PAG2";#N/A,#N/A,FALSE,"ET-PAG3";#N/A,#N/A,FALSE,"ET-PAG4";#N/A,#N/A,FALSE,"ET-PAG5"}</definedName>
    <definedName name="eee" localSheetId="9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EF" localSheetId="1">#REF!</definedName>
    <definedName name="EF">#REF!</definedName>
    <definedName name="efestfr" localSheetId="1" hidden="1">{#N/A,#N/A,FALSE,"Plan1";#N/A,#N/A,FALSE,"Plan2"}</definedName>
    <definedName name="efestfr" hidden="1">{#N/A,#N/A,FALSE,"Plan1";#N/A,#N/A,FALSE,"Plan2"}</definedName>
    <definedName name="EFICIÊNCIA" localSheetId="1">#REF!</definedName>
    <definedName name="EFICIÊNCIA">#REF!</definedName>
    <definedName name="Eficiência1" localSheetId="1">#REF!</definedName>
    <definedName name="Eficiência1">#REF!</definedName>
    <definedName name="efrdrt" localSheetId="1" hidden="1">{#N/A,#N/A,FALSE,"Plan1";#N/A,#N/A,FALSE,"Plan2"}</definedName>
    <definedName name="efrdrt" hidden="1">{#N/A,#N/A,FALSE,"Plan1";#N/A,#N/A,FALSE,"Plan2"}</definedName>
    <definedName name="efrg" localSheetId="1" hidden="1">{#N/A,#N/A,FALSE,"Plan1";#N/A,#N/A,FALSE,"Plan2"}</definedName>
    <definedName name="efrg" hidden="1">{#N/A,#N/A,FALSE,"Plan1";#N/A,#N/A,FALSE,"Plan2"}</definedName>
    <definedName name="efsgfr" localSheetId="1" hidden="1">{#N/A,#N/A,FALSE,"Plan1";#N/A,#N/A,FALSE,"Plan2"}</definedName>
    <definedName name="efsgfr" hidden="1">{#N/A,#N/A,FALSE,"Plan1";#N/A,#N/A,FALSE,"Plan2"}</definedName>
    <definedName name="eixo_x_fluxo_graf1" localSheetId="1">IFERROR(OFFSET(INDEX(#REF!,MATCH((INDEX(#REF!,MATCH(1,#REF!,0))),#REF!,0)),0,0,1,COUNTIF(#REF!,"&gt;=0")+COUNTIF(#REF!,"&lt;0")),0)</definedName>
    <definedName name="eixo_x_fluxo_graf1">IFERROR(OFFSET(INDEX(#REF!,MATCH((INDEX(#REF!,MATCH(1,#REF!,0))),#REF!,0)),0,0,1,COUNTIF(#REF!,"&gt;=0")+COUNTIF(#REF!,"&lt;0")),0)</definedName>
    <definedName name="eixo_x_graf2" localSheetId="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 localSheetId="1">#REF!</definedName>
    <definedName name="eixo_x_graf3_distratos">#REF!</definedName>
    <definedName name="eixo_x_graf3_vendas" localSheetId="1">#REF!</definedName>
    <definedName name="eixo_x_graf3_vendas">#REF!</definedName>
    <definedName name="eixo_y_cury_graf2" localSheetId="1">IFERROR(OFFSET(INDEX(#REF!,MATCH((INDEX(#REF!,MATCH(1,#REF!,0))),#REF!,0)),0,0,1,COUNTIF(#REF!,"&gt;=0")+COUNTIF(#REF!,"&lt;0")),0)</definedName>
    <definedName name="eixo_y_cury_graf2">IFERROR(OFFSET(INDEX(#REF!,MATCH((INDEX(#REF!,MATCH(1,#REF!,0))),#REF!,0)),0,0,1,COUNTIF(#REF!,"&gt;=0")+COUNTIF(#REF!,"&lt;0")),0)</definedName>
    <definedName name="eixo_y_fluxo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 localSheetId="1">#REF!</definedName>
    <definedName name="eixo_y_graf3">#REF!</definedName>
    <definedName name="eixo_y_socio_graf2" localSheetId="1">IFERROR(OFFSET(INDEX(#REF!,MATCH((INDEX(#REF!,MATCH(1,#REF!,0))),#REF!,0)),0,0,1,COUNTIF(#REF!,"&gt;=0")+COUNTIF(#REF!,"&lt;0")),0)</definedName>
    <definedName name="eixo_y_socio_graf2">IFERROR(OFFSET(INDEX(#REF!,MATCH((INDEX(#REF!,MATCH(1,#REF!,0))),#REF!,0)),0,0,1,COUNTIF(#REF!,"&gt;=0")+COUNTIF(#REF!,"&lt;0")),0)</definedName>
    <definedName name="eixo_y_viab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 localSheetId="1">#REF!</definedName>
    <definedName name="EM">#REF!</definedName>
    <definedName name="Empreend" localSheetId="1">#REF!</definedName>
    <definedName name="Empreend">#REF!</definedName>
    <definedName name="Empreendimentos" localSheetId="1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1" hidden="1">{#N/A,#N/A,FALSE,"Plan1";#N/A,#N/A,FALSE,"Plan2"}</definedName>
    <definedName name="ergfhyu" hidden="1">{#N/A,#N/A,FALSE,"Plan1";#N/A,#N/A,FALSE,"Plan2"}</definedName>
    <definedName name="erne_cdi" localSheetId="1">#REF!</definedName>
    <definedName name="erne_cdi">#REF!</definedName>
    <definedName name="erne_hist" localSheetId="1">#REF!</definedName>
    <definedName name="erne_hist">#REF!</definedName>
    <definedName name="erne_uss" localSheetId="1">#REF!</definedName>
    <definedName name="erne_uss">#REF!</definedName>
    <definedName name="erte" hidden="1">#REF!</definedName>
    <definedName name="ESGFDSFD" localSheetId="1" hidden="1">{#N/A,#N/A,FALSE,"Plan1";#N/A,#N/A,FALSE,"Plan2"}</definedName>
    <definedName name="ESGFDSFD" hidden="1">{#N/A,#N/A,FALSE,"Plan1";#N/A,#N/A,FALSE,"Plan2"}</definedName>
    <definedName name="esp" localSheetId="1">#REF!</definedName>
    <definedName name="esp">#REF!</definedName>
    <definedName name="ESPESSURA" localSheetId="1">#REF!</definedName>
    <definedName name="ESPESSURA">#REF!</definedName>
    <definedName name="estaca" localSheetId="1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 localSheetId="1" hidden="1">{#N/A,#N/A,FALSE,"Plan1";#N/A,#N/A,FALSE,"Plan2"}</definedName>
    <definedName name="EU" hidden="1">{#N/A,#N/A,FALSE,"Plan1";#N/A,#N/A,FALSE,"Plan2"}</definedName>
    <definedName name="EV__LASTREFTIME__" hidden="1">39965.7223611111</definedName>
    <definedName name="EVL" localSheetId="1" hidden="1">{"Econ Consolidado",#N/A,FALSE,"Econ Consol";"Fluxo de Caixa",#N/A,FALSE,"Fluxo Caixa";"Investimentos",#N/A,FALSE,"Investimentos"}</definedName>
    <definedName name="EVL" hidden="1">{"Econ Consolidado",#N/A,FALSE,"Econ Consol";"Fluxo de Caixa",#N/A,FALSE,"Fluxo Caixa";"Investimentos",#N/A,FALSE,"Investimentos"}</definedName>
    <definedName name="Evol." localSheetId="1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localSheetId="1" hidden="1">{#N/A,#N/A,FALSE,"Plan1";#N/A,#N/A,FALSE,"Plan2"}</definedName>
    <definedName name="ewfr" hidden="1">{#N/A,#N/A,FALSE,"Plan1";#N/A,#N/A,FALSE,"Plan2"}</definedName>
    <definedName name="exce_cdi" localSheetId="1">#REF!</definedName>
    <definedName name="exce_cdi">#REF!</definedName>
    <definedName name="exce_hist" localSheetId="1">#REF!</definedName>
    <definedName name="exce_hist">#REF!</definedName>
    <definedName name="exce_uss" localSheetId="1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 localSheetId="1" hidden="1">{#N/A,#N/A,FALSE,"Plan1";#N/A,#N/A,FALSE,"Plan2"}</definedName>
    <definedName name="eyruieyteta" hidden="1">{#N/A,#N/A,FALSE,"Plan1";#N/A,#N/A,FALSE,"Plan2"}</definedName>
    <definedName name="f" localSheetId="1" hidden="1">{#N/A,#N/A,FALSE,"Plan1";#N/A,#N/A,FALSE,"Plan2"}</definedName>
    <definedName name="f" hidden="1">{#N/A,#N/A,FALSE,"Plan1";#N/A,#N/A,FALSE,"Plan2"}</definedName>
    <definedName name="FACULDADE" localSheetId="1">#REF!</definedName>
    <definedName name="FACULDADE">#REF!</definedName>
    <definedName name="FAL" localSheetId="1">#REF!</definedName>
    <definedName name="FAL">#REF!</definedName>
    <definedName name="farialima" localSheetId="1">#REF!</definedName>
    <definedName name="farialima">#REF!</definedName>
    <definedName name="FAS" localSheetId="1" hidden="1">{"'Total'!$A$1","'Total'!$A$3"}</definedName>
    <definedName name="FAS" hidden="1">{"'Total'!$A$1","'Total'!$A$3"}</definedName>
    <definedName name="fasfasf" localSheetId="1" hidden="1">{#N/A,#N/A,TRUE,"Quinzena 01 à 15-04-98 "}</definedName>
    <definedName name="fasfasf" hidden="1">{#N/A,#N/A,TRUE,"Quinzena 01 à 15-04-98 "}</definedName>
    <definedName name="FATOR_K" localSheetId="1">#REF!</definedName>
    <definedName name="FATOR_K">#REF!</definedName>
    <definedName name="FATORK" localSheetId="1">#REF!</definedName>
    <definedName name="FATORK">#REF!</definedName>
    <definedName name="FBancaria" localSheetId="1">#REF!</definedName>
    <definedName name="FBancaria">#REF!</definedName>
    <definedName name="fchart31" hidden="1">#REF!</definedName>
    <definedName name="fddhght" localSheetId="1" hidden="1">{#N/A,#N/A,FALSE,"Plan1";#N/A,#N/A,FALSE,"Plan2"}</definedName>
    <definedName name="fddhght" hidden="1">{#N/A,#N/A,FALSE,"Plan1";#N/A,#N/A,FALSE,"Plan2"}</definedName>
    <definedName name="fdfgd" localSheetId="1" hidden="1">{#N/A,#N/A,FALSE,"Plan1";#N/A,#N/A,FALSE,"Plan2"}</definedName>
    <definedName name="fdfgd" hidden="1">{#N/A,#N/A,FALSE,"Plan1";#N/A,#N/A,FALSE,"Plan2"}</definedName>
    <definedName name="fdfng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1" hidden="1">{#N/A,#N/A,FALSE,"Plan1";#N/A,#N/A,FALSE,"Plan2"}</definedName>
    <definedName name="fdgaf" hidden="1">{#N/A,#N/A,FALSE,"Plan1";#N/A,#N/A,FALSE,"Plan2"}</definedName>
    <definedName name="fdgdf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1" hidden="1">{#N/A,#N/A,FALSE,"Plan1";#N/A,#N/A,FALSE,"Plan2"}</definedName>
    <definedName name="FDGFDJHGZEDR" hidden="1">{#N/A,#N/A,FALSE,"Plan1";#N/A,#N/A,FALSE,"Plan2"}</definedName>
    <definedName name="fdgfyhygfuj" localSheetId="1" hidden="1">{#N/A,#N/A,FALSE,"Plan1";#N/A,#N/A,FALSE,"Plan2"}</definedName>
    <definedName name="fdgfyhygfuj" hidden="1">{#N/A,#N/A,FALSE,"Plan1";#N/A,#N/A,FALSE,"Plan2"}</definedName>
    <definedName name="fdhgfdf" localSheetId="1" hidden="1">{#N/A,#N/A,FALSE,"Plan1";#N/A,#N/A,FALSE,"Plan2"}</definedName>
    <definedName name="fdhgfdf" hidden="1">{#N/A,#N/A,FALSE,"Plan1";#N/A,#N/A,FALSE,"Plan2"}</definedName>
    <definedName name="fdjfgdfjg" localSheetId="1" hidden="1">{#N/A,#N/A,FALSE,"Plan1";#N/A,#N/A,FALSE,"Plan2"}</definedName>
    <definedName name="fdjfgdfjg" hidden="1">{#N/A,#N/A,FALSE,"Plan1";#N/A,#N/A,FALSE,"Plan2"}</definedName>
    <definedName name="fdjghkshtygt" localSheetId="1" hidden="1">{#N/A,#N/A,FALSE,"Plan1";#N/A,#N/A,FALSE,"Plan2"}</definedName>
    <definedName name="fdjghkshtygt" hidden="1">{#N/A,#N/A,FALSE,"Plan1";#N/A,#N/A,FALSE,"Plan2"}</definedName>
    <definedName name="fdnhgf" localSheetId="1" hidden="1">{"'Estimativa de Lançamento-JAN'!$A$1:$AI$85"}</definedName>
    <definedName name="fdnhgf" hidden="1">{"'Estimativa de Lançamento-JAN'!$A$1:$AI$85"}</definedName>
    <definedName name="fdsf" localSheetId="1" hidden="1">{#N/A,#N/A,FALSE,"Plan1";#N/A,#N/A,FALSE,"Plan2"}</definedName>
    <definedName name="fdsf" hidden="1">{#N/A,#N/A,FALSE,"Plan1";#N/A,#N/A,FALSE,"Plan2"}</definedName>
    <definedName name="FE" localSheetId="1">#REF!</definedName>
    <definedName name="FE">#REF!</definedName>
    <definedName name="fefefefe" localSheetId="1">#REF!</definedName>
    <definedName name="fefefefe">#REF!</definedName>
    <definedName name="FER" hidden="1">#REF!</definedName>
    <definedName name="fev17RJ">#REF!</definedName>
    <definedName name="FEVEREIRO2001">#REF!</definedName>
    <definedName name="ff">#REF!</definedName>
    <definedName name="fffefes">#REF!</definedName>
    <definedName name="fffff" localSheetId="1" hidden="1">{#N/A,#N/A,FALSE,"Plan1";#N/A,#N/A,FALSE,"Plan2"}</definedName>
    <definedName name="fffff" hidden="1">{#N/A,#N/A,FALSE,"Plan1";#N/A,#N/A,FALSE,"Plan2"}</definedName>
    <definedName name="FFFFFFF" localSheetId="16">#REF!</definedName>
    <definedName name="FFFFFFF" localSheetId="19">#REF!</definedName>
    <definedName name="FFFFFFF" localSheetId="1">#REF!</definedName>
    <definedName name="FFFFFFF" localSheetId="0">#REF!</definedName>
    <definedName name="FFFFFFF" localSheetId="8">#REF!</definedName>
    <definedName name="FFFFFFF" localSheetId="2">#REF!</definedName>
    <definedName name="FFFFFFF" localSheetId="9">#REF!</definedName>
    <definedName name="FFFFFFF">#REF!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1" hidden="1">{#N/A,#N/A,FALSE,"Plan1";#N/A,#N/A,FALSE,"Plan2"}</definedName>
    <definedName name="fg" hidden="1">{#N/A,#N/A,FALSE,"Plan1";#N/A,#N/A,FALSE,"Plan2"}</definedName>
    <definedName name="fgg" localSheetId="1" hidden="1">{"'장비'!$A$3:$M$12"}</definedName>
    <definedName name="fgg" hidden="1">{"'장비'!$A$3:$M$12"}</definedName>
    <definedName name="fghfh" localSheetId="1" hidden="1">{"'Estimativa de Lançamento-JAN'!$A$1:$AI$85"}</definedName>
    <definedName name="fghfh" hidden="1">{"'Estimativa de Lançamento-JAN'!$A$1:$AI$85"}</definedName>
    <definedName name="fghgfh" localSheetId="1" hidden="1">{#N/A,#N/A,FALSE,"Plan1";#N/A,#N/A,FALSE,"Plan2"}</definedName>
    <definedName name="fghgfh" hidden="1">{#N/A,#N/A,FALSE,"Plan1";#N/A,#N/A,FALSE,"Plan2"}</definedName>
    <definedName name="FGJHFGK" localSheetId="1" hidden="1">{#N/A,#N/A,FALSE,"Plan1";#N/A,#N/A,FALSE,"Plan2"}</definedName>
    <definedName name="FGJHFGK" hidden="1">{#N/A,#N/A,FALSE,"Plan1";#N/A,#N/A,FALSE,"Plan2"}</definedName>
    <definedName name="fgktyhdf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1" hidden="1">{#N/A,#N/A,FALSE,"Plan1";#N/A,#N/A,FALSE,"Plan2"}</definedName>
    <definedName name="fgtrgty" hidden="1">{#N/A,#N/A,FALSE,"Plan1";#N/A,#N/A,FALSE,"Plan2"}</definedName>
    <definedName name="fgty" localSheetId="1" hidden="1">#REF!</definedName>
    <definedName name="fgty" hidden="1">#REF!</definedName>
    <definedName name="fhgjfgyt" localSheetId="1" hidden="1">{#N/A,#N/A,FALSE,"Plan1";#N/A,#N/A,FALSE,"Plan2"}</definedName>
    <definedName name="fhgjfgyt" hidden="1">{#N/A,#N/A,FALSE,"Plan1";#N/A,#N/A,FALSE,"Plan2"}</definedName>
    <definedName name="fhgjkhtrfg" localSheetId="1" hidden="1">{#N/A,#N/A,FALSE,"Plan1";#N/A,#N/A,FALSE,"Plan2"}</definedName>
    <definedName name="fhgjkhtrfg" hidden="1">{#N/A,#N/A,FALSE,"Plan1";#N/A,#N/A,FALSE,"Plan2"}</definedName>
    <definedName name="FHGTGSRSG" localSheetId="1" hidden="1">{#N/A,#N/A,FALSE,"Plan1";#N/A,#N/A,FALSE,"Plan2"}</definedName>
    <definedName name="FHGTGSRSG" hidden="1">{#N/A,#N/A,FALSE,"Plan1";#N/A,#N/A,FALSE,"Plan2"}</definedName>
    <definedName name="FIELD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1" hidden="1">{#N/A,#N/A,TRUE,"Quinzena 01 à 15-04-98 "}</definedName>
    <definedName name="FILTRO" hidden="1">{#N/A,#N/A,TRUE,"Quinzena 01 à 15-04-98 "}</definedName>
    <definedName name="Filtro_Rel_Sienge" localSheetId="1">#REF!</definedName>
    <definedName name="Filtro_Rel_Sienge">#REF!</definedName>
    <definedName name="Firs_hist" localSheetId="1">#REF!</definedName>
    <definedName name="Firs_hist">#REF!</definedName>
    <definedName name="First_cdi" localSheetId="1">#REF!</definedName>
    <definedName name="First_cdi">#REF!</definedName>
    <definedName name="First_uss">#REF!</definedName>
    <definedName name="fjdhfgjdhtgu" localSheetId="1" hidden="1">{#N/A,#N/A,FALSE,"Plan1";#N/A,#N/A,FALSE,"Plan2"}</definedName>
    <definedName name="fjdhfgjdhtgu" hidden="1">{#N/A,#N/A,FALSE,"Plan1";#N/A,#N/A,FALSE,"Plan2"}</definedName>
    <definedName name="fjfjg" localSheetId="1" hidden="1">{#N/A,#N/A,FALSE,"명세표"}</definedName>
    <definedName name="fjfjg" hidden="1">{#N/A,#N/A,FALSE,"명세표"}</definedName>
    <definedName name="FJGH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1" hidden="1">{#N/A,#N/A,FALSE,"Plan1";#N/A,#N/A,FALSE,"Plan2"}</definedName>
    <definedName name="FJHJHG" hidden="1">{#N/A,#N/A,FALSE,"Plan1";#N/A,#N/A,FALSE,"Plan2"}</definedName>
    <definedName name="fjtgfh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1" hidden="1">{#N/A,#N/A,FALSE,"Plan1";#N/A,#N/A,FALSE,"Plan2"}</definedName>
    <definedName name="fkfw" hidden="1">{#N/A,#N/A,FALSE,"Plan1";#N/A,#N/A,FALSE,"Plan2"}</definedName>
    <definedName name="fl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_1" localSheetId="1">#REF!</definedName>
    <definedName name="FL_1">#REF!</definedName>
    <definedName name="FL_2" localSheetId="1">#REF!</definedName>
    <definedName name="FL_2">#REF!</definedName>
    <definedName name="FL_3" localSheetId="1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 localSheetId="1">OFFSET(#REF!,6,0,COUNTA(#REF!))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 localSheetId="1" hidden="1">{#N/A,#N/A,FALSE,"Plan1";#N/A,#N/A,FALSE,"Plan2"}</definedName>
    <definedName name="frçt4r" hidden="1">{#N/A,#N/A,FALSE,"Plan1";#N/A,#N/A,FALSE,"Plan2"}</definedName>
    <definedName name="frdtty" localSheetId="1" hidden="1">{#N/A,#N/A,FALSE,"Plan1";#N/A,#N/A,FALSE,"Plan2"}</definedName>
    <definedName name="frdtty" hidden="1">{#N/A,#N/A,FALSE,"Plan1";#N/A,#N/A,FALSE,"Plan2"}</definedName>
    <definedName name="fsdfs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1" hidden="1">{#N/A,#N/A,FALSE,"Plan1";#N/A,#N/A,FALSE,"Plan2"}</definedName>
    <definedName name="fuihgjk" hidden="1">{#N/A,#N/A,FALSE,"Plan1";#N/A,#N/A,FALSE,"Plan2"}</definedName>
    <definedName name="fuste" localSheetId="1">#REF!</definedName>
    <definedName name="fuste">#REF!</definedName>
    <definedName name="fxjghkfg" localSheetId="1" hidden="1">{#N/A,#N/A,FALSE,"Plan1";#N/A,#N/A,FALSE,"Plan2"}</definedName>
    <definedName name="fxjghkfg" hidden="1">{#N/A,#N/A,FALSE,"Plan1";#N/A,#N/A,FALSE,"Plan2"}</definedName>
    <definedName name="g_10" localSheetId="1">#REF!</definedName>
    <definedName name="g_10">#REF!</definedName>
    <definedName name="g_11" localSheetId="1">#REF!</definedName>
    <definedName name="g_11">#REF!</definedName>
    <definedName name="g_12" localSheetId="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 localSheetId="1">#REF!</definedName>
    <definedName name="GARAGEM">#REF!</definedName>
    <definedName name="garcia" localSheetId="1">#REF!</definedName>
    <definedName name="garcia">#REF!</definedName>
    <definedName name="GASTOS_JULHO" localSheetId="1">#REF!</definedName>
    <definedName name="GASTOS_JULHO">#REF!</definedName>
    <definedName name="gbdjkvhgd" localSheetId="1" hidden="1">{#N/A,#N/A,FALSE,"Plan1";#N/A,#N/A,FALSE,"Plan2"}</definedName>
    <definedName name="gbdjkvhgd" hidden="1">{#N/A,#N/A,FALSE,"Plan1";#N/A,#N/A,FALSE,"Plan2"}</definedName>
    <definedName name="gbdsjgsjfdgj" localSheetId="1" hidden="1">{#N/A,#N/A,FALSE,"Plan1";#N/A,#N/A,FALSE,"Plan2"}</definedName>
    <definedName name="gbdsjgsjfdgj" hidden="1">{#N/A,#N/A,FALSE,"Plan1";#N/A,#N/A,FALSE,"Plan2"}</definedName>
    <definedName name="gdfdhgfjgj" localSheetId="1" hidden="1">{#N/A,#N/A,FALSE,"Plan1";#N/A,#N/A,FALSE,"Plan2"}</definedName>
    <definedName name="gdfdhgfjgj" hidden="1">{#N/A,#N/A,FALSE,"Plan1";#N/A,#N/A,FALSE,"Plan2"}</definedName>
    <definedName name="gdfgdstggt" localSheetId="1" hidden="1">{#N/A,#N/A,FALSE,"Plan1";#N/A,#N/A,FALSE,"Plan2"}</definedName>
    <definedName name="gdfgdstggt" hidden="1">{#N/A,#N/A,FALSE,"Plan1";#N/A,#N/A,FALSE,"Plan2"}</definedName>
    <definedName name="GDFHGRJGFJDRF" localSheetId="1" hidden="1">{"Econ Consolidado",#N/A,FALSE,"Econ Consol";"Fluxo de Caixa",#N/A,FALSE,"Fluxo Caixa";"Investimentos",#N/A,FALSE,"Investimentos"}</definedName>
    <definedName name="GDFHGRJGFJDRF" hidden="1">{"Econ Consolidado",#N/A,FALSE,"Econ Consol";"Fluxo de Caixa",#N/A,FALSE,"Fluxo Caixa";"Investimentos",#N/A,FALSE,"Investimentos"}</definedName>
    <definedName name="gdfigfhuyuy" localSheetId="1" hidden="1">{#N/A,#N/A,FALSE,"Plan1";#N/A,#N/A,FALSE,"Plan2"}</definedName>
    <definedName name="gdfigfhuyuy" hidden="1">{#N/A,#N/A,FALSE,"Plan1";#N/A,#N/A,FALSE,"Plan2"}</definedName>
    <definedName name="gdfsgfew" localSheetId="1" hidden="1">{#N/A,#N/A,FALSE,"Plan1";#N/A,#N/A,FALSE,"Plan2"}</definedName>
    <definedName name="gdfsgfew" hidden="1">{#N/A,#N/A,FALSE,"Plan1";#N/A,#N/A,FALSE,"Plan2"}</definedName>
    <definedName name="gdhfgdhfgf" localSheetId="1" hidden="1">{#N/A,#N/A,FALSE,"Plan1";#N/A,#N/A,FALSE,"Plan2"}</definedName>
    <definedName name="gdhfgdhfgf" hidden="1">{#N/A,#N/A,FALSE,"Plan1";#N/A,#N/A,FALSE,"Plan2"}</definedName>
    <definedName name="gdsfhefrwrw" localSheetId="1" hidden="1">{#N/A,#N/A,FALSE,"Plan1";#N/A,#N/A,FALSE,"Plan2"}</definedName>
    <definedName name="gdsfhefrwrw" hidden="1">{#N/A,#N/A,FALSE,"Plan1";#N/A,#N/A,FALSE,"Plan2"}</definedName>
    <definedName name="GER_TECNICO" localSheetId="1">#REF!</definedName>
    <definedName name="GER_TECNICO">#REF!</definedName>
    <definedName name="Gerentes" localSheetId="1">#REF!</definedName>
    <definedName name="Gerentes">#REF!</definedName>
    <definedName name="geshrjhed" localSheetId="1" hidden="1">{#N/A,#N/A,FALSE,"Plan1";#N/A,#N/A,FALSE,"Plan2"}</definedName>
    <definedName name="geshrjhed" hidden="1">{#N/A,#N/A,FALSE,"Plan1";#N/A,#N/A,FALSE,"Plan2"}</definedName>
    <definedName name="gestao" localSheetId="1" hidden="1">OFFSET(INDEX(#REF!,MATCH(#REF!,#REF!,0)),1,0,COUNTA(#REF!)-1)</definedName>
    <definedName name="gestao" hidden="1">OFFSET(INDEX(#REF!,MATCH(#REF!,#REF!,0)),1,0,COUNTA(#REF!)-1)</definedName>
    <definedName name="gfdcgnkf" localSheetId="1" hidden="1">{#N/A,#N/A,FALSE,"Plan1";#N/A,#N/A,FALSE,"Plan2"}</definedName>
    <definedName name="gfdcgnkf" hidden="1">{#N/A,#N/A,FALSE,"Plan1";#N/A,#N/A,FALSE,"Plan2"}</definedName>
    <definedName name="gfdjtgur" localSheetId="1" hidden="1">{#N/A,#N/A,FALSE,"Plan1";#N/A,#N/A,FALSE,"Plan2"}</definedName>
    <definedName name="gfdjtgur" hidden="1">{#N/A,#N/A,FALSE,"Plan1";#N/A,#N/A,FALSE,"Plan2"}</definedName>
    <definedName name="gfdrtg" localSheetId="1" hidden="1">#REF!</definedName>
    <definedName name="gfdrtg" hidden="1">#REF!</definedName>
    <definedName name="gfgdhxgfdhf" localSheetId="1" hidden="1">{#N/A,#N/A,FALSE,"Plan1";#N/A,#N/A,FALSE,"Plan2"}</definedName>
    <definedName name="gfgdhxgfdhf" hidden="1">{#N/A,#N/A,FALSE,"Plan1";#N/A,#N/A,FALSE,"Plan2"}</definedName>
    <definedName name="gfhfdtgjb" localSheetId="1" hidden="1">{#N/A,#N/A,FALSE,"Plan1";#N/A,#N/A,FALSE,"Plan2"}</definedName>
    <definedName name="gfhfdtgjb" hidden="1">{#N/A,#N/A,FALSE,"Plan1";#N/A,#N/A,FALSE,"Plan2"}</definedName>
    <definedName name="gfjdshrtjhtged" localSheetId="1" hidden="1">{#N/A,#N/A,FALSE,"Plan1";#N/A,#N/A,FALSE,"Plan2"}</definedName>
    <definedName name="gfjdshrtjhtged" hidden="1">{#N/A,#N/A,FALSE,"Plan1";#N/A,#N/A,FALSE,"Plan2"}</definedName>
    <definedName name="gfjgkddgfd" localSheetId="1" hidden="1">{#N/A,#N/A,FALSE,"Plan1";#N/A,#N/A,FALSE,"Plan2"}</definedName>
    <definedName name="gfjgkddgfd" hidden="1">{#N/A,#N/A,FALSE,"Plan1";#N/A,#N/A,FALSE,"Plan2"}</definedName>
    <definedName name="gfsghjdgygr" localSheetId="1" hidden="1">{#N/A,#N/A,FALSE,"Plan1";#N/A,#N/A,FALSE,"Plan2"}</definedName>
    <definedName name="gfsghjdgygr" hidden="1">{#N/A,#N/A,FALSE,"Plan1";#N/A,#N/A,FALSE,"Plan2"}</definedName>
    <definedName name="gftfy" localSheetId="1" hidden="1">{#N/A,#N/A,FALSE,"Plan1";#N/A,#N/A,FALSE,"Plan2"}</definedName>
    <definedName name="gftfy" hidden="1">{#N/A,#N/A,FALSE,"Plan1";#N/A,#N/A,FALSE,"Plan2"}</definedName>
    <definedName name="gfty" localSheetId="1" hidden="1">{#N/A,#N/A,FALSE,"Plan1";#N/A,#N/A,FALSE,"Plan2"}</definedName>
    <definedName name="gfty" hidden="1">{#N/A,#N/A,FALSE,"Plan1";#N/A,#N/A,FALSE,"Plan2"}</definedName>
    <definedName name="GFUJU9" localSheetId="1" hidden="1">{#N/A,#N/A,FALSE,"Plan1";#N/A,#N/A,FALSE,"Plan2"}</definedName>
    <definedName name="GFUJU9" hidden="1">{#N/A,#N/A,FALSE,"Plan1";#N/A,#N/A,FALSE,"Plan2"}</definedName>
    <definedName name="ggg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1" hidden="1">{"'장비'!$A$3:$M$12"}</definedName>
    <definedName name="gggg" hidden="1">{"'장비'!$A$3:$M$12"}</definedName>
    <definedName name="ggggggggg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1" hidden="1">{"'장비'!$A$3:$M$12"}</definedName>
    <definedName name="gh" hidden="1">{"'장비'!$A$3:$M$12"}</definedName>
    <definedName name="ghfgdfrtert" localSheetId="1" hidden="1">{#N/A,#N/A,FALSE,"Plan1";#N/A,#N/A,FALSE,"Plan2"}</definedName>
    <definedName name="ghfgdfrtert" hidden="1">{#N/A,#N/A,FALSE,"Plan1";#N/A,#N/A,FALSE,"Plan2"}</definedName>
    <definedName name="ghfhghft" localSheetId="1" hidden="1">{#N/A,#N/A,FALSE,"Plan1";#N/A,#N/A,FALSE,"Plan2"}</definedName>
    <definedName name="ghfhghft" hidden="1">{#N/A,#N/A,FALSE,"Plan1";#N/A,#N/A,FALSE,"Plan2"}</definedName>
    <definedName name="ghjg" localSheetId="1" hidden="1">{"'Estimativa de Lançamento-JAN'!$A$1:$AI$85"}</definedName>
    <definedName name="ghjg" hidden="1">{"'Estimativa de Lançamento-JAN'!$A$1:$AI$85"}</definedName>
    <definedName name="ghkfhgh" localSheetId="1" hidden="1">{#N/A,#N/A,FALSE,"Plan1";#N/A,#N/A,FALSE,"Plan2"}</definedName>
    <definedName name="ghkfhgh" hidden="1">{#N/A,#N/A,FALSE,"Plan1";#N/A,#N/A,FALSE,"Plan2"}</definedName>
    <definedName name="ghkjh" localSheetId="1" hidden="1">{#N/A,#N/A,FALSE,"ENG'G(보호계전기)"}</definedName>
    <definedName name="ghkjh" hidden="1">{#N/A,#N/A,FALSE,"ENG'G(보호계전기)"}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1" hidden="1">{#N/A,#N/A,FALSE,"Plan1";#N/A,#N/A,FALSE,"Plan2"}</definedName>
    <definedName name="gjfhjktgcf" hidden="1">{#N/A,#N/A,FALSE,"Plan1";#N/A,#N/A,FALSE,"Plan2"}</definedName>
    <definedName name="GJ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1" hidden="1">{#N/A,#N/A,FALSE,"Plan1";#N/A,#N/A,FALSE,"Plan2"}</definedName>
    <definedName name="gjkhgjhjfggfjhfg" hidden="1">{#N/A,#N/A,FALSE,"Plan1";#N/A,#N/A,FALSE,"Plan2"}</definedName>
    <definedName name="glgl" localSheetId="1" hidden="1">{#N/A,#N/A,FALSE,"Plan1";#N/A,#N/A,FALSE,"Plan2"}</definedName>
    <definedName name="glgl" hidden="1">{#N/A,#N/A,FALSE,"Plan1";#N/A,#N/A,FALSE,"Plan2"}</definedName>
    <definedName name="global" localSheetId="1" hidden="1">{"'Estimativa de Lançamento-JAN'!$A$1:$AI$85"}</definedName>
    <definedName name="global" hidden="1">{"'Estimativa de Lançamento-JAN'!$A$1:$AI$85"}</definedName>
    <definedName name="gnfrth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 localSheetId="1">#REF!</definedName>
    <definedName name="grec_cdi">#REF!</definedName>
    <definedName name="grec_hist" localSheetId="1">#REF!</definedName>
    <definedName name="grec_hist">#REF!</definedName>
    <definedName name="grec_uss" localSheetId="1">#REF!</definedName>
    <definedName name="grec_uss">#REF!</definedName>
    <definedName name="grua">#REF!</definedName>
    <definedName name="GSDWJSTGE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1" hidden="1">{#N/A,#N/A,FALSE,"Plan1";#N/A,#N/A,FALSE,"Plan2"}</definedName>
    <definedName name="gtuigsdyugsdf" hidden="1">{#N/A,#N/A,FALSE,"Plan1";#N/A,#N/A,FALSE,"Plan2"}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1" hidden="1">{#N/A,#N/A,FALSE,"CCTV"}</definedName>
    <definedName name="GV" hidden="1">{#N/A,#N/A,FALSE,"CCTV"}</definedName>
    <definedName name="h" localSheetId="1">#REF!</definedName>
    <definedName name="h">#REF!</definedName>
    <definedName name="hbjgjuae" localSheetId="1">#REF!</definedName>
    <definedName name="hbjgjuae">#REF!</definedName>
    <definedName name="hcjfkhdghfktg" localSheetId="1" hidden="1">{#N/A,#N/A,FALSE,"Plan1";#N/A,#N/A,FALSE,"Plan2"}</definedName>
    <definedName name="hcjfkhdghfktg" hidden="1">{#N/A,#N/A,FALSE,"Plan1";#N/A,#N/A,FALSE,"Plan2"}</definedName>
    <definedName name="hckhjfdkgfdg" localSheetId="1" hidden="1">#REF!</definedName>
    <definedName name="hckhjfdkgfdg" hidden="1">#REF!</definedName>
    <definedName name="hddfndgdfg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1" hidden="1">{#N/A,#N/A,FALSE,"Plan1";#N/A,#N/A,FALSE,"Plan2"}</definedName>
    <definedName name="HDFGHGST" hidden="1">{#N/A,#N/A,FALSE,"Plan1";#N/A,#N/A,FALSE,"Plan2"}</definedName>
    <definedName name="HDFGJKHKFDHTY" localSheetId="1" hidden="1">{#N/A,#N/A,FALSE,"Plan1";#N/A,#N/A,FALSE,"Plan2"}</definedName>
    <definedName name="HDFGJKHKFDHTY" hidden="1">{#N/A,#N/A,FALSE,"Plan1";#N/A,#N/A,FALSE,"Plan2"}</definedName>
    <definedName name="hdfhdhrtgd" localSheetId="1" hidden="1">{#N/A,#N/A,FALSE,"Plan1";#N/A,#N/A,FALSE,"Plan2"}</definedName>
    <definedName name="hdfhdhrtgd" hidden="1">{#N/A,#N/A,FALSE,"Plan1";#N/A,#N/A,FALSE,"Plan2"}</definedName>
    <definedName name="hdfhftde" localSheetId="1" hidden="1">{#N/A,#N/A,FALSE,"Plan1";#N/A,#N/A,FALSE,"Plan2"}</definedName>
    <definedName name="hdfhftde" hidden="1">{#N/A,#N/A,FALSE,"Plan1";#N/A,#N/A,FALSE,"Plan2"}</definedName>
    <definedName name="hdfhgkdhgtrf" localSheetId="1" hidden="1">{#N/A,#N/A,FALSE,"Plan1";#N/A,#N/A,FALSE,"Plan2"}</definedName>
    <definedName name="hdfhgkdhgtrf" hidden="1">{#N/A,#N/A,FALSE,"Plan1";#N/A,#N/A,FALSE,"Plan2"}</definedName>
    <definedName name="hdfjhdkzhgdr" localSheetId="1" hidden="1">{#N/A,#N/A,FALSE,"Plan1";#N/A,#N/A,FALSE,"Plan2"}</definedName>
    <definedName name="hdfjhdkzhgdr" hidden="1">{#N/A,#N/A,FALSE,"Plan1";#N/A,#N/A,FALSE,"Plan2"}</definedName>
    <definedName name="hdfjkgvjgtd" localSheetId="1" hidden="1">{#N/A,#N/A,FALSE,"Plan1";#N/A,#N/A,FALSE,"Plan2"}</definedName>
    <definedName name="hdfjkgvjgtd" hidden="1">{#N/A,#N/A,FALSE,"Plan1";#N/A,#N/A,FALSE,"Plan2"}</definedName>
    <definedName name="hdfjkhdhrute" localSheetId="1" hidden="1">{#N/A,#N/A,FALSE,"Plan1";#N/A,#N/A,FALSE,"Plan2"}</definedName>
    <definedName name="hdfjkhdhrute" hidden="1">{#N/A,#N/A,FALSE,"Plan1";#N/A,#N/A,FALSE,"Plan2"}</definedName>
    <definedName name="HDFKGVF" localSheetId="1" hidden="1">{#N/A,#N/A,FALSE,"Plan1";#N/A,#N/A,FALSE,"Plan2"}</definedName>
    <definedName name="HDFKGVF" hidden="1">{#N/A,#N/A,FALSE,"Plan1";#N/A,#N/A,FALSE,"Plan2"}</definedName>
    <definedName name="hdgfhdgtdrt" localSheetId="1" hidden="1">{#N/A,#N/A,FALSE,"Plan1";#N/A,#N/A,FALSE,"Plan2"}</definedName>
    <definedName name="hdgfhdgtdrt" hidden="1">{#N/A,#N/A,FALSE,"Plan1";#N/A,#N/A,FALSE,"Plan2"}</definedName>
    <definedName name="hdghgtgtrgd" localSheetId="1" hidden="1">{#N/A,#N/A,FALSE,"Plan1";#N/A,#N/A,FALSE,"Plan2"}</definedName>
    <definedName name="hdghgtgtrgd" hidden="1">{#N/A,#N/A,FALSE,"Plan1";#N/A,#N/A,FALSE,"Plan2"}</definedName>
    <definedName name="HDHDGHTUHDTG" localSheetId="1" hidden="1">{#N/A,#N/A,FALSE,"Plan1";#N/A,#N/A,FALSE,"Plan2"}</definedName>
    <definedName name="HDHDGHTUHDTG" hidden="1">{#N/A,#N/A,FALSE,"Plan1";#N/A,#N/A,FALSE,"Plan2"}</definedName>
    <definedName name="hdhghfthrrhy" localSheetId="1" hidden="1">{#N/A,#N/A,FALSE,"Plan1";#N/A,#N/A,FALSE,"Plan2"}</definedName>
    <definedName name="hdhghfthrrhy" hidden="1">{#N/A,#N/A,FALSE,"Plan1";#N/A,#N/A,FALSE,"Plan2"}</definedName>
    <definedName name="hdkfjhydjh" localSheetId="1" hidden="1">{#N/A,#N/A,FALSE,"Plan1";#N/A,#N/A,FALSE,"Plan2"}</definedName>
    <definedName name="hdkfjhydjh" hidden="1">{#N/A,#N/A,FALSE,"Plan1";#N/A,#N/A,FALSE,"Plan2"}</definedName>
    <definedName name="hdsgfgrrdgr" localSheetId="1" hidden="1">{#N/A,#N/A,FALSE,"Plan1";#N/A,#N/A,FALSE,"Plan2"}</definedName>
    <definedName name="hdsgfgrrdgr" hidden="1">{#N/A,#N/A,FALSE,"Plan1";#N/A,#N/A,FALSE,"Plan2"}</definedName>
    <definedName name="hdtertkkdsa" localSheetId="1" hidden="1">{#N/A,#N/A,FALSE,"Plan1";#N/A,#N/A,FALSE,"Plan2"}</definedName>
    <definedName name="hdtertkkdsa" hidden="1">{#N/A,#N/A,FALSE,"Plan1";#N/A,#N/A,FALSE,"Plan2"}</definedName>
    <definedName name="Header" localSheetId="1">#REF!</definedName>
    <definedName name="Header">#REF!</definedName>
    <definedName name="HEDHA" localSheetId="1" hidden="1">{#N/A,#N/A,FALSE,"Plan1";#N/A,#N/A,FALSE,"Plan2"}</definedName>
    <definedName name="HEDHA" hidden="1">{#N/A,#N/A,FALSE,"Plan1";#N/A,#N/A,FALSE,"Plan2"}</definedName>
    <definedName name="heife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 localSheetId="1">#REF!</definedName>
    <definedName name="HELP">#REF!</definedName>
    <definedName name="herkfdshfker" localSheetId="1" hidden="1">{#N/A,#N/A,FALSE,"Plan1";#N/A,#N/A,FALSE,"Plan2"}</definedName>
    <definedName name="herkfdshfker" hidden="1">{#N/A,#N/A,FALSE,"Plan1";#N/A,#N/A,FALSE,"Plan2"}</definedName>
    <definedName name="hersdtretyt" localSheetId="1" hidden="1">{#N/A,#N/A,FALSE,"Plan1";#N/A,#N/A,FALSE,"Plan2"}</definedName>
    <definedName name="hersdtretyt" hidden="1">{#N/A,#N/A,FALSE,"Plan1";#N/A,#N/A,FALSE,"Plan2"}</definedName>
    <definedName name="HFDJTHTRS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1" hidden="1">{#N/A,#N/A,FALSE,"Plan1";#N/A,#N/A,FALSE,"Plan2"}</definedName>
    <definedName name="HFDKHGFR" hidden="1">{#N/A,#N/A,FALSE,"Plan1";#N/A,#N/A,FALSE,"Plan2"}</definedName>
    <definedName name="hfdkhgkfdhtj" localSheetId="1" hidden="1">{#N/A,#N/A,FALSE,"Plan1";#N/A,#N/A,FALSE,"Plan2"}</definedName>
    <definedName name="hfdkhgkfdhtj" hidden="1">{#N/A,#N/A,FALSE,"Plan1";#N/A,#N/A,FALSE,"Plan2"}</definedName>
    <definedName name="hfgfktgkhyt" localSheetId="1" hidden="1">{#N/A,#N/A,FALSE,"Plan1";#N/A,#N/A,FALSE,"Plan2"}</definedName>
    <definedName name="hfgfktgkhyt" hidden="1">{#N/A,#N/A,FALSE,"Plan1";#N/A,#N/A,FALSE,"Plan2"}</definedName>
    <definedName name="hfghdkhrgkjg" localSheetId="1" hidden="1">{#N/A,#N/A,FALSE,"Plan1";#N/A,#N/A,FALSE,"Plan2"}</definedName>
    <definedName name="hfghdkhrgkjg" hidden="1">{#N/A,#N/A,FALSE,"Plan1";#N/A,#N/A,FALSE,"Plan2"}</definedName>
    <definedName name="hfighfth" localSheetId="1" hidden="1">{#N/A,#N/A,FALSE,"Plan1";#N/A,#N/A,FALSE,"Plan2"}</definedName>
    <definedName name="hfighfth" hidden="1">{#N/A,#N/A,FALSE,"Plan1";#N/A,#N/A,FALSE,"Plan2"}</definedName>
    <definedName name="hfjghtfuyrf" localSheetId="1" hidden="1">{#N/A,#N/A,FALSE,"Plan1";#N/A,#N/A,FALSE,"Plan2"}</definedName>
    <definedName name="hfjghtfuyrf" hidden="1">{#N/A,#N/A,FALSE,"Plan1";#N/A,#N/A,FALSE,"Plan2"}</definedName>
    <definedName name="HFKJHDJGHFJ" localSheetId="1" hidden="1">{#N/A,#N/A,FALSE,"Plan1";#N/A,#N/A,FALSE,"Plan2"}</definedName>
    <definedName name="HFKJHDJGHFJ" hidden="1">{#N/A,#N/A,FALSE,"Plan1";#N/A,#N/A,FALSE,"Plan2"}</definedName>
    <definedName name="hgdesgfgsj" localSheetId="1" hidden="1">{#N/A,#N/A,FALSE,"Plan1";#N/A,#N/A,FALSE,"Plan2"}</definedName>
    <definedName name="hgdesgfgsj" hidden="1">{#N/A,#N/A,FALSE,"Plan1";#N/A,#N/A,FALSE,"Plan2"}</definedName>
    <definedName name="hgdgfd" localSheetId="1" hidden="1">{#N/A,#N/A,FALSE,"Plan1";#N/A,#N/A,FALSE,"Plan2"}</definedName>
    <definedName name="hgdgfd" hidden="1">{#N/A,#N/A,FALSE,"Plan1";#N/A,#N/A,FALSE,"Plan2"}</definedName>
    <definedName name="hgfhjkdfhj" localSheetId="1" hidden="1">{#N/A,#N/A,FALSE,"Plan1";#N/A,#N/A,FALSE,"Plan2"}</definedName>
    <definedName name="hgfhjkdfhj" hidden="1">{#N/A,#N/A,FALSE,"Plan1";#N/A,#N/A,FALSE,"Plan2"}</definedName>
    <definedName name="hgg" localSheetId="1" hidden="1">{#N/A,#N/A,FALSE,"Plan1";#N/A,#N/A,FALSE,"Plan2"}</definedName>
    <definedName name="hgg" hidden="1">{#N/A,#N/A,FALSE,"Plan1";#N/A,#N/A,FALSE,"Plan2"}</definedName>
    <definedName name="hgjdfgghg" localSheetId="1" hidden="1">{#N/A,#N/A,FALSE,"Plan1";#N/A,#N/A,FALSE,"Plan2"}</definedName>
    <definedName name="hgjdfgghg" hidden="1">{#N/A,#N/A,FALSE,"Plan1";#N/A,#N/A,FALSE,"Plan2"}</definedName>
    <definedName name="hgjkfdhg" localSheetId="1" hidden="1">{#N/A,#N/A,FALSE,"Plan1";#N/A,#N/A,FALSE,"Plan2"}</definedName>
    <definedName name="hgjkfdhg" hidden="1">{#N/A,#N/A,FALSE,"Plan1";#N/A,#N/A,FALSE,"Plan2"}</definedName>
    <definedName name="hgkdfhkfk" localSheetId="1" hidden="1">{#N/A,#N/A,FALSE,"Plan1";#N/A,#N/A,FALSE,"Plan2"}</definedName>
    <definedName name="hgkdfhkfk" hidden="1">{#N/A,#N/A,FALSE,"Plan1";#N/A,#N/A,FALSE,"Plan2"}</definedName>
    <definedName name="hgkjhdfhtrdyt" localSheetId="1" hidden="1">{#N/A,#N/A,FALSE,"Plan1";#N/A,#N/A,FALSE,"Plan2"}</definedName>
    <definedName name="hgkjhdfhtrdyt" hidden="1">{#N/A,#N/A,FALSE,"Plan1";#N/A,#N/A,FALSE,"Plan2"}</definedName>
    <definedName name="hgkjhdfkhgtfhg" localSheetId="1" hidden="1">{#N/A,#N/A,FALSE,"Plan1";#N/A,#N/A,FALSE,"Plan2"}</definedName>
    <definedName name="hgkjhdfkhgtfhg" hidden="1">{#N/A,#N/A,FALSE,"Plan1";#N/A,#N/A,FALSE,"Plan2"}</definedName>
    <definedName name="hgkjhkfhsdkdhgk" localSheetId="1" hidden="1">{#N/A,#N/A,FALSE,"Plan1";#N/A,#N/A,FALSE,"Plan2"}</definedName>
    <definedName name="hgkjhkfhsdkdhgk" hidden="1">{#N/A,#N/A,FALSE,"Plan1";#N/A,#N/A,FALSE,"Plan2"}</definedName>
    <definedName name="hgsufgdhghd" localSheetId="1" hidden="1">{#N/A,#N/A,FALSE,"Plan1";#N/A,#N/A,FALSE,"Plan2"}</definedName>
    <definedName name="hgsufgdhghd" hidden="1">{#N/A,#N/A,FALSE,"Plan1";#N/A,#N/A,FALSE,"Plan2"}</definedName>
    <definedName name="HHGFHTYUT" localSheetId="1" hidden="1">{#N/A,#N/A,FALSE,"Plan1";#N/A,#N/A,FALSE,"Plan2"}</definedName>
    <definedName name="HHGFHTYUT" hidden="1">{#N/A,#N/A,FALSE,"Plan1";#N/A,#N/A,FALSE,"Plan2"}</definedName>
    <definedName name="hhh" localSheetId="1" hidden="1">{"'Total'!$A$1","'Total'!$A$3"}</definedName>
    <definedName name="hhh" hidden="1">{"'Total'!$A$1","'Total'!$A$3"}</definedName>
    <definedName name="HHIHLK" localSheetId="1" hidden="1">#REF!</definedName>
    <definedName name="HHIHLK" hidden="1">#REF!</definedName>
    <definedName name="hik" localSheetId="1" hidden="1">{#N/A,#N/A,FALSE,"TABLE"}</definedName>
    <definedName name="hik" hidden="1">{#N/A,#N/A,FALSE,"TABLE"}</definedName>
    <definedName name="hist" localSheetId="1">#REF!</definedName>
    <definedName name="hist">#REF!</definedName>
    <definedName name="HIST1" localSheetId="1">#REF!</definedName>
    <definedName name="HIST1">#REF!</definedName>
    <definedName name="HISTEQ" localSheetId="1">#REF!</definedName>
    <definedName name="HISTEQ">#REF!</definedName>
    <definedName name="HISTOGRAMA">#REF!</definedName>
    <definedName name="hjdgtjdjxrfg" localSheetId="1" hidden="1">{#N/A,#N/A,FALSE,"Plan1";#N/A,#N/A,FALSE,"Plan2"}</definedName>
    <definedName name="hjdgtjdjxrfg" hidden="1">{#N/A,#N/A,FALSE,"Plan1";#N/A,#N/A,FALSE,"Plan2"}</definedName>
    <definedName name="HJFDGD" localSheetId="1" hidden="1">{#N/A,#N/A,FALSE,"Plan1";#N/A,#N/A,FALSE,"Plan2"}</definedName>
    <definedName name="HJFDGD" hidden="1">{#N/A,#N/A,FALSE,"Plan1";#N/A,#N/A,FALSE,"Plan2"}</definedName>
    <definedName name="HJGASD" localSheetId="1" hidden="1">{#N/A,#N/A,FALSE,"Plan1";#N/A,#N/A,FALSE,"Plan2"}</definedName>
    <definedName name="HJGASD" hidden="1">{#N/A,#N/A,FALSE,"Plan1";#N/A,#N/A,FALSE,"Plan2"}</definedName>
    <definedName name="HJGFGTFDG" localSheetId="1" hidden="1">{#N/A,#N/A,FALSE,"Plan1";#N/A,#N/A,FALSE,"Plan2"}</definedName>
    <definedName name="HJGFGTFDG" hidden="1">{#N/A,#N/A,FALSE,"Plan1";#N/A,#N/A,FALSE,"Plan2"}</definedName>
    <definedName name="hjgfhdsgfhsd" localSheetId="1" hidden="1">{#N/A,#N/A,FALSE,"Plan1";#N/A,#N/A,FALSE,"Plan2"}</definedName>
    <definedName name="hjgfhdsgfhsd" hidden="1">{#N/A,#N/A,FALSE,"Plan1";#N/A,#N/A,FALSE,"Plan2"}</definedName>
    <definedName name="hjgxfjgdjyftr" localSheetId="1" hidden="1">{#N/A,#N/A,FALSE,"Plan1";#N/A,#N/A,FALSE,"Plan2"}</definedName>
    <definedName name="hjgxfjgdjyftr" hidden="1">{#N/A,#N/A,FALSE,"Plan1";#N/A,#N/A,FALSE,"Plan2"}</definedName>
    <definedName name="hjgyugasd" localSheetId="1" hidden="1">{#N/A,#N/A,FALSE,"Plan1";#N/A,#N/A,FALSE,"Plan2"}</definedName>
    <definedName name="hjgyugasd" hidden="1">{#N/A,#N/A,FALSE,"Plan1";#N/A,#N/A,FALSE,"Plan2"}</definedName>
    <definedName name="hjjfyfy" localSheetId="1" hidden="1">{#N/A,#N/A,FALSE,"Plan1";#N/A,#N/A,FALSE,"Plan2"}</definedName>
    <definedName name="hjjfyfy" hidden="1">{#N/A,#N/A,FALSE,"Plan1";#N/A,#N/A,FALSE,"Plan2"}</definedName>
    <definedName name="hjkchkvjhdjkgh" localSheetId="1" hidden="1">{#N/A,#N/A,FALSE,"Plan1";#N/A,#N/A,FALSE,"Plan2"}</definedName>
    <definedName name="hjkchkvjhdjkgh" hidden="1">{#N/A,#N/A,FALSE,"Plan1";#N/A,#N/A,FALSE,"Plan2"}</definedName>
    <definedName name="hjkfjdyht" localSheetId="1" hidden="1">{#N/A,#N/A,FALSE,"Plan1";#N/A,#N/A,FALSE,"Plan2"}</definedName>
    <definedName name="hjkfjdyht" hidden="1">{#N/A,#N/A,FALSE,"Plan1";#N/A,#N/A,FALSE,"Plan2"}</definedName>
    <definedName name="hjsdffe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1" hidden="1">{#N/A,#N/A,FALSE,"Plan1";#N/A,#N/A,FALSE,"Plan2"}</definedName>
    <definedName name="hjsdkhk" hidden="1">{#N/A,#N/A,FALSE,"Plan1";#N/A,#N/A,FALSE,"Plan2"}</definedName>
    <definedName name="hjsdsdrjfrh" hidden="1">2</definedName>
    <definedName name="hjsrdfre" localSheetId="1" hidden="1">{"Econ Consolidado",#N/A,FALSE,"Econ Consol";"Fluxo de Caixa",#N/A,FALSE,"Fluxo Caixa";"Investimentos",#N/A,FALSE,"Investimentos"}</definedName>
    <definedName name="hjsrdfre" hidden="1">{"Econ Consolidado",#N/A,FALSE,"Econ Consol";"Fluxo de Caixa",#N/A,FALSE,"Fluxo Caixa";"Investimentos",#N/A,FALSE,"Investimentos"}</definedName>
    <definedName name="HKewewsr" localSheetId="1" hidden="1">{#N/A,#N/A,FALSE,"Plan1";#N/A,#N/A,FALSE,"Plan2"}</definedName>
    <definedName name="HKewewsr" hidden="1">{#N/A,#N/A,FALSE,"Plan1";#N/A,#N/A,FALSE,"Plan2"}</definedName>
    <definedName name="hkhdskacd" localSheetId="1" hidden="1">{#N/A,#N/A,FALSE,"Plan1";#N/A,#N/A,FALSE,"Plan2"}</definedName>
    <definedName name="hkhdskacd" hidden="1">{#N/A,#N/A,FALSE,"Plan1";#N/A,#N/A,FALSE,"Plan2"}</definedName>
    <definedName name="hkjfgfhgfh" localSheetId="1" hidden="1">{#N/A,#N/A,FALSE,"Plan1";#N/A,#N/A,FALSE,"Plan2"}</definedName>
    <definedName name="hkjfgfhgfh" hidden="1">{#N/A,#N/A,FALSE,"Plan1";#N/A,#N/A,FALSE,"Plan2"}</definedName>
    <definedName name="hkjfhgjkfhghfg" localSheetId="1" hidden="1">{#N/A,#N/A,FALSE,"Plan1";#N/A,#N/A,FALSE,"Plan2"}</definedName>
    <definedName name="hkjfhgjkfhghfg" hidden="1">{#N/A,#N/A,FALSE,"Plan1";#N/A,#N/A,FALSE,"Plan2"}</definedName>
    <definedName name="HKLZHFRH" localSheetId="1" hidden="1">{#N/A,#N/A,FALSE,"Plan1";#N/A,#N/A,FALSE,"Plan2"}</definedName>
    <definedName name="HKLZHFRH" hidden="1">{#N/A,#N/A,FALSE,"Plan1";#N/A,#N/A,FALSE,"Plan2"}</definedName>
    <definedName name="ho" localSheetId="1" hidden="1">{#N/A,#N/A,FALSE,"TABLE"}</definedName>
    <definedName name="ho" hidden="1">{#N/A,#N/A,FALSE,"TABLE"}</definedName>
    <definedName name="HOJE" localSheetId="1">#REF!</definedName>
    <definedName name="HOJE">#REF!</definedName>
    <definedName name="HONORARIOS" localSheetId="1">#REF!</definedName>
    <definedName name="HONORARIOS">#REF!</definedName>
    <definedName name="HOSPEDES" localSheetId="1">#REF!</definedName>
    <definedName name="HOSPEDES">#REF!</definedName>
    <definedName name="HOTEL">#REF!</definedName>
    <definedName name="hrterte" localSheetId="1" hidden="1">{#N/A,#N/A,FALSE,"Plan1";#N/A,#N/A,FALSE,"Plan2"}</definedName>
    <definedName name="hrterte" hidden="1">{#N/A,#N/A,FALSE,"Plan1";#N/A,#N/A,FALSE,"Plan2"}</definedName>
    <definedName name="hsdf" localSheetId="1" hidden="1">{#N/A,#N/A,FALSE,"Plan1";#N/A,#N/A,FALSE,"Plan2"}</definedName>
    <definedName name="hsdf" hidden="1">{#N/A,#N/A,FALSE,"Plan1";#N/A,#N/A,FALSE,"Plan2"}</definedName>
    <definedName name="hsdfgdgudrt" localSheetId="1" hidden="1">{#N/A,#N/A,FALSE,"Plan1";#N/A,#N/A,FALSE,"Plan2"}</definedName>
    <definedName name="hsdfgdgudrt" hidden="1">{#N/A,#N/A,FALSE,"Plan1";#N/A,#N/A,FALSE,"Plan2"}</definedName>
    <definedName name="hsdfjkdhur" localSheetId="1" hidden="1">{#N/A,#N/A,FALSE,"Plan1";#N/A,#N/A,FALSE,"Plan2"}</definedName>
    <definedName name="hsdfjkdhur" hidden="1">{#N/A,#N/A,FALSE,"Plan1";#N/A,#N/A,FALSE,"Plan2"}</definedName>
    <definedName name="hsdgftdht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1" hidden="1">{#N/A,#N/A,FALSE,"Plan1";#N/A,#N/A,FALSE,"Plan2"}</definedName>
    <definedName name="hsdjffd" hidden="1">{#N/A,#N/A,FALSE,"Plan1";#N/A,#N/A,FALSE,"Plan2"}</definedName>
    <definedName name="hsdjffe" localSheetId="1" hidden="1">{#N/A,#N/A,FALSE,"Plan1";#N/A,#N/A,FALSE,"Plan2"}</definedName>
    <definedName name="hsdjffe" hidden="1">{#N/A,#N/A,FALSE,"Plan1";#N/A,#N/A,FALSE,"Plan2"}</definedName>
    <definedName name="HSFIHDTR" localSheetId="1" hidden="1">{"Econ Consolidado",#N/A,FALSE,"Econ Consol";"Fluxo de Caixa",#N/A,FALSE,"Fluxo Caixa";"Investimentos",#N/A,FALSE,"Investimentos"}</definedName>
    <definedName name="HSFIHDTR" hidden="1">{"Econ Consolidado",#N/A,FALSE,"Econ Consol";"Fluxo de Caixa",#N/A,FALSE,"Fluxo Caixa";"Investimentos",#N/A,FALSE,"Investimentos"}</definedName>
    <definedName name="hsfjkdshrgf" localSheetId="1" hidden="1">{#N/A,#N/A,FALSE,"Plan1";#N/A,#N/A,FALSE,"Plan2"}</definedName>
    <definedName name="hsfjkdshrgf" hidden="1">{#N/A,#N/A,FALSE,"Plan1";#N/A,#N/A,FALSE,"Plan2"}</definedName>
    <definedName name="hthhrtetdre" localSheetId="1" hidden="1">{#N/A,#N/A,FALSE,"Plan1";#N/A,#N/A,FALSE,"Plan2"}</definedName>
    <definedName name="hthhrtetdre" hidden="1">{#N/A,#N/A,FALSE,"Plan1";#N/A,#N/A,FALSE,"Plan2"}</definedName>
    <definedName name="HTM" localSheetId="1">#REF!</definedName>
    <definedName name="HTM">#REF!</definedName>
    <definedName name="HTML_CodePage" hidden="1">949</definedName>
    <definedName name="HTML_Control" localSheetId="1" hidden="1">{"'장비'!$A$3:$M$12"}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localSheetId="1" hidden="1">{"'Estimativa de Lançamento-JAN'!$A$1:$AI$85"}</definedName>
    <definedName name="HTML2_CONTROL" hidden="1">{"'Estimativa de Lançamento-JAN'!$A$1:$AI$85"}</definedName>
    <definedName name="HTML3_CONTROL" localSheetId="1" hidden="1">{"'Estimativa de Lançamento-JAN'!$A$1:$AI$85"}</definedName>
    <definedName name="HTML3_CONTROL" hidden="1">{"'Estimativa de Lançamento-JAN'!$A$1:$AI$85"}</definedName>
    <definedName name="HTMLControl" localSheetId="1" hidden="1">{"'Edit'!$A$1:$V$2277"}</definedName>
    <definedName name="HTMLControl" hidden="1">{"'Edit'!$A$1:$V$2277"}</definedName>
    <definedName name="HTN">#REF!</definedName>
    <definedName name="HVJKHGKFXHFD" localSheetId="1" hidden="1">{#N/A,#N/A,FALSE,"Plan1";#N/A,#N/A,FALSE,"Plan2"}</definedName>
    <definedName name="HVJKHGKFXHFD" hidden="1">{#N/A,#N/A,FALSE,"Plan1";#N/A,#N/A,FALSE,"Plan2"}</definedName>
    <definedName name="hwekjhekhf" localSheetId="1" hidden="1">{#N/A,#N/A,FALSE,"Plan1";#N/A,#N/A,FALSE,"Plan2"}</definedName>
    <definedName name="hwekjhekhf" hidden="1">{#N/A,#N/A,FALSE,"Plan1";#N/A,#N/A,FALSE,"Plan2"}</definedName>
    <definedName name="HXFRE" localSheetId="1" hidden="1">{#N/A,#N/A,FALSE,"Plan1";#N/A,#N/A,FALSE,"Plan2"}</definedName>
    <definedName name="HXFRE" hidden="1">{#N/A,#N/A,FALSE,"Plan1";#N/A,#N/A,FALSE,"Plan2"}</definedName>
    <definedName name="HXKJFGDKHG" localSheetId="1" hidden="1">{#N/A,#N/A,FALSE,"Plan1";#N/A,#N/A,FALSE,"Plan2"}</definedName>
    <definedName name="HXKJFGDKHG" hidden="1">{#N/A,#N/A,FALSE,"Plan1";#N/A,#N/A,FALSE,"Plan2"}</definedName>
    <definedName name="I" localSheetId="1">#REF!</definedName>
    <definedName name="I">#REF!</definedName>
    <definedName name="ibir_cdi" localSheetId="1">#REF!</definedName>
    <definedName name="ibir_cdi">#REF!</definedName>
    <definedName name="ibir_hist" localSheetId="1">#REF!</definedName>
    <definedName name="ibir_hist">#REF!</definedName>
    <definedName name="ibir_uss">#REF!</definedName>
    <definedName name="IC" hidden="1">#REF!</definedName>
    <definedName name="icoa_cdi">#REF!</definedName>
    <definedName name="icoa_hist">#REF!</definedName>
    <definedName name="icoa_uss">#REF!</definedName>
    <definedName name="Identificação">#REF!</definedName>
    <definedName name="idfhgkjhfkthy" localSheetId="1" hidden="1">{#N/A,#N/A,FALSE,"Plan1";#N/A,#N/A,FALSE,"Plan2"}</definedName>
    <definedName name="idfhgkjhfkthy" hidden="1">{#N/A,#N/A,FALSE,"Plan1";#N/A,#N/A,FALSE,"Plan2"}</definedName>
    <definedName name="ieroweft" localSheetId="1" hidden="1">{#N/A,#N/A,FALSE,"Plan1";#N/A,#N/A,FALSE,"Plan2"}</definedName>
    <definedName name="ieroweft" hidden="1">{#N/A,#N/A,FALSE,"Plan1";#N/A,#N/A,FALSE,"Plan2"}</definedName>
    <definedName name="iewpotqi5poejy" localSheetId="1" hidden="1">{#N/A,#N/A,FALSE,"Plan1";#N/A,#N/A,FALSE,"Plan2"}</definedName>
    <definedName name="iewpotqi5poejy" hidden="1">{#N/A,#N/A,FALSE,"Plan1";#N/A,#N/A,FALSE,"Plan2"}</definedName>
    <definedName name="ihdfifguhgfuiyh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localSheetId="1" hidden="1">#REF!</definedName>
    <definedName name="iheidhgufr" hidden="1">#REF!</definedName>
    <definedName name="ihfdkjhktgrd" localSheetId="1" hidden="1">{#N/A,#N/A,FALSE,"Plan1";#N/A,#N/A,FALSE,"Plan2"}</definedName>
    <definedName name="ihfdkjhktgrd" hidden="1">{#N/A,#N/A,FALSE,"Plan1";#N/A,#N/A,FALSE,"Plan2"}</definedName>
    <definedName name="ihrtetw4r" localSheetId="1" hidden="1">{#N/A,#N/A,FALSE,"Plan1";#N/A,#N/A,FALSE,"Plan2"}</definedName>
    <definedName name="ihrtetw4r" hidden="1">{#N/A,#N/A,FALSE,"Plan1";#N/A,#N/A,FALSE,"Plan2"}</definedName>
    <definedName name="II" localSheetId="1">#REF!</definedName>
    <definedName name="II">#REF!</definedName>
    <definedName name="IIASDSAWE" localSheetId="1" hidden="1">{"Econ Consolidado",#N/A,FALSE,"Econ Consol";"Fluxo de Caixa",#N/A,FALSE,"Fluxo Caixa";"Investimentos",#N/A,FALSE,"Investimentos"}</definedName>
    <definedName name="IIASDSAWE" hidden="1">{"Econ Consolidado",#N/A,FALSE,"Econ Consol";"Fluxo de Caixa",#N/A,FALSE,"Fluxo Caixa";"Investimentos",#N/A,FALSE,"Investimentos"}</definedName>
    <definedName name="III" localSheetId="1">#REF!</definedName>
    <definedName name="III">#REF!</definedName>
    <definedName name="iinstalaçõ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1" hidden="1">{#N/A,#N/A,FALSE,"Plan1";#N/A,#N/A,FALSE,"Plan2"}</definedName>
    <definedName name="ilhweilrji4e" hidden="1">{#N/A,#N/A,FALSE,"Plan1";#N/A,#N/A,FALSE,"Plan2"}</definedName>
    <definedName name="ilsdr4wf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 localSheetId="1">#REF!</definedName>
    <definedName name="IM">#REF!</definedName>
    <definedName name="IMP" localSheetId="1" hidden="1">#REF!</definedName>
    <definedName name="IMP" hidden="1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 hidden="1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 localSheetId="1">#REF!</definedName>
    <definedName name="INSS_Bloqueado_Fin_Medição">#REF!</definedName>
    <definedName name="Inss_Bloqueado_Previsão_Fin_Medições" localSheetId="1">#REF!</definedName>
    <definedName name="Inss_Bloqueado_Previsão_Fin_Medições">#REF!</definedName>
    <definedName name="instalaçoe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 localSheetId="1">OFFSET(#REF!,0,0,COUNTA(#REF!),1)</definedName>
    <definedName name="INSU">OFFSET(#REF!,0,0,COUNTA(#REF!),1)</definedName>
    <definedName name="INSUMOS" localSheetId="1">#REF!</definedName>
    <definedName name="INSUMOS">#REF!</definedName>
    <definedName name="INT.FILTRO.NBASE" localSheetId="1">#REF!</definedName>
    <definedName name="INT.FILTRO.NBASE">#REF!</definedName>
    <definedName name="INTEGRA" localSheetId="1" hidden="1">{"'Edit'!$A$1:$V$2277"}</definedName>
    <definedName name="INTEGRA" hidden="1">{"'Edit'!$A$1:$V$2277"}</definedName>
    <definedName name="IO">196.003</definedName>
    <definedName name="ioeriotyt" localSheetId="1" hidden="1">{#N/A,#N/A,FALSE,"Plan1";#N/A,#N/A,FALSE,"Plan2"}</definedName>
    <definedName name="ioeriotyt" hidden="1">{#N/A,#N/A,FALSE,"Plan1";#N/A,#N/A,FALSE,"Plan2"}</definedName>
    <definedName name="iohudtorh" localSheetId="1" hidden="1">{#N/A,#N/A,FALSE,"Plan1";#N/A,#N/A,FALSE,"Plan2"}</definedName>
    <definedName name="iohudtorh" hidden="1">{#N/A,#N/A,FALSE,"Plan1";#N/A,#N/A,FALSE,"Plan2"}</definedName>
    <definedName name="iojtkheayed" localSheetId="1" hidden="1">{#N/A,#N/A,FALSE,"Plan1";#N/A,#N/A,FALSE,"Plan2"}</definedName>
    <definedName name="iojtkheayed" hidden="1">{#N/A,#N/A,FALSE,"Plan1";#N/A,#N/A,FALSE,"Plan2"}</definedName>
    <definedName name="iouweroieuw4" localSheetId="1" hidden="1">{#N/A,#N/A,FALSE,"Plan1";#N/A,#N/A,FALSE,"Plan2"}</definedName>
    <definedName name="iouweroieuw4" hidden="1">{#N/A,#N/A,FALSE,"Plan1";#N/A,#N/A,FALSE,"Plan2"}</definedName>
    <definedName name="iphifpgh" localSheetId="1" hidden="1">{#N/A,#N/A,FALSE,"Plan1";#N/A,#N/A,FALSE,"Plan2"}</definedName>
    <definedName name="iphifpgh" hidden="1">{#N/A,#N/A,FALSE,"Plan1";#N/A,#N/A,FALSE,"Plan2"}</definedName>
    <definedName name="IPMF" localSheetId="1">#REF!</definedName>
    <definedName name="IPMF">#REF!</definedName>
    <definedName name="ipodsifgpds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1" hidden="1">{#N/A,#N/A,FALSE,"Plan1";#N/A,#N/A,FALSE,"Plan2"}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 localSheetId="1">#REF!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 localSheetId="16">#REF!</definedName>
    <definedName name="item_1" localSheetId="19">#REF!</definedName>
    <definedName name="item_1" localSheetId="0">#REF!</definedName>
    <definedName name="item_1" localSheetId="8">#REF!</definedName>
    <definedName name="item_1" localSheetId="2">#REF!</definedName>
    <definedName name="item_1" localSheetId="9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 localSheetId="1">#REF!</definedName>
    <definedName name="ITENS">#REF!</definedName>
    <definedName name="ITENS0" localSheetId="1">#REF!</definedName>
    <definedName name="ITENS0">#REF!</definedName>
    <definedName name="ITENS1" localSheetId="1">#REF!</definedName>
    <definedName name="ITENS1">#REF!</definedName>
    <definedName name="ITENSP">#REF!</definedName>
    <definedName name="ITENSPMED">#REF!</definedName>
    <definedName name="IUGFGDFUY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 localSheetId="1">#REF!</definedName>
    <definedName name="IV">#REF!</definedName>
    <definedName name="iyguygiyt" localSheetId="1" hidden="1">{#N/A,#N/A,FALSE,"Plan1";#N/A,#N/A,FALSE,"Plan2"}</definedName>
    <definedName name="iyguygiyt" hidden="1">{#N/A,#N/A,FALSE,"Plan1";#N/A,#N/A,FALSE,"Plan2"}</definedName>
    <definedName name="iyuyheturtd" localSheetId="1" hidden="1">{#N/A,#N/A,FALSE,"Plan1";#N/A,#N/A,FALSE,"Plan2"}</definedName>
    <definedName name="iyuyheturtd" hidden="1">{#N/A,#N/A,FALSE,"Plan1";#N/A,#N/A,FALSE,"Plan2"}</definedName>
    <definedName name="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1" hidden="1">{#N/A,#N/A,FALSE,"Plan1";#N/A,#N/A,FALSE,"Plan2"}</definedName>
    <definedName name="jalejdasjf" hidden="1">{#N/A,#N/A,FALSE,"Plan1";#N/A,#N/A,FALSE,"Plan2"}</definedName>
    <definedName name="jan_05" localSheetId="1">#REF!</definedName>
    <definedName name="jan_05">#REF!</definedName>
    <definedName name="jan17RJ" localSheetId="1">#REF!</definedName>
    <definedName name="jan17RJ">#REF!</definedName>
    <definedName name="JANEIRO2001" localSheetId="1">#REF!</definedName>
    <definedName name="JANEIRO2001">#REF!</definedName>
    <definedName name="JASDJS" localSheetId="1" hidden="1">{#N/A,#N/A,FALSE,"Plan1";#N/A,#N/A,FALSE,"Plan2"}</definedName>
    <definedName name="JASDJS" hidden="1">{#N/A,#N/A,FALSE,"Plan1";#N/A,#N/A,FALSE,"Plan2"}</definedName>
    <definedName name="jaskldjlse" localSheetId="1" hidden="1">{#N/A,#N/A,FALSE,"Plan1";#N/A,#N/A,FALSE,"Plan2"}</definedName>
    <definedName name="jaskldjlse" hidden="1">{#N/A,#N/A,FALSE,"Plan1";#N/A,#N/A,FALSE,"Plan2"}</definedName>
    <definedName name="JASLDKLD" localSheetId="1" hidden="1">{#N/A,#N/A,FALSE,"Plan1";#N/A,#N/A,FALSE,"Plan2"}</definedName>
    <definedName name="JASLDKLD" hidden="1">{#N/A,#N/A,FALSE,"Plan1";#N/A,#N/A,FALSE,"Plan2"}</definedName>
    <definedName name="jasoe" localSheetId="1" hidden="1">#REF!</definedName>
    <definedName name="jasoe" hidden="1">#REF!</definedName>
    <definedName name="jbzxffcbgdhgft" localSheetId="1" hidden="1">#REF!</definedName>
    <definedName name="jbzxffcbgdhgft" hidden="1">#REF!</definedName>
    <definedName name="JÇDFHDF" localSheetId="1" hidden="1">{"Econ Consolidado",#N/A,FALSE,"Econ Consol";"Fluxo de Caixa",#N/A,FALSE,"Fluxo Caixa";"Investimentos",#N/A,FALSE,"Investimentos"}</definedName>
    <definedName name="JÇDFHDF" hidden="1">{"Econ Consolidado",#N/A,FALSE,"Econ Consol";"Fluxo de Caixa",#N/A,FALSE,"Fluxo Caixa";"Investimentos",#N/A,FALSE,"Investimentos"}</definedName>
    <definedName name="jdbgftbhr" localSheetId="1" hidden="1">{#N/A,#N/A,FALSE,"Plan1";#N/A,#N/A,FALSE,"Plan2"}</definedName>
    <definedName name="jdbgftbhr" hidden="1">{#N/A,#N/A,FALSE,"Plan1";#N/A,#N/A,FALSE,"Plan2"}</definedName>
    <definedName name="jdfgkrhgft" localSheetId="1" hidden="1">#REF!</definedName>
    <definedName name="jdfgkrhgft" hidden="1">#REF!</definedName>
    <definedName name="jdfgldfjgklh" localSheetId="1" hidden="1">{#N/A,#N/A,FALSE,"Plan1";#N/A,#N/A,FALSE,"Plan2"}</definedName>
    <definedName name="jdfgldfjgklh" hidden="1">{#N/A,#N/A,FALSE,"Plan1";#N/A,#N/A,FALSE,"Plan2"}</definedName>
    <definedName name="jdfhjkdrhjtkg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1" hidden="1">{#N/A,#N/A,FALSE,"Plan1";#N/A,#N/A,FALSE,"Plan2"}</definedName>
    <definedName name="jdfjdtrgt" hidden="1">{#N/A,#N/A,FALSE,"Plan1";#N/A,#N/A,FALSE,"Plan2"}</definedName>
    <definedName name="JDFJLDJR" localSheetId="1" hidden="1">{#N/A,#N/A,FALSE,"Plan1";#N/A,#N/A,FALSE,"Plan2"}</definedName>
    <definedName name="JDFJLDJR" hidden="1">{#N/A,#N/A,FALSE,"Plan1";#N/A,#N/A,FALSE,"Plan2"}</definedName>
    <definedName name="jdfkgitfgdrtt" localSheetId="1" hidden="1">{#N/A,#N/A,FALSE,"Plan1";#N/A,#N/A,FALSE,"Plan2"}</definedName>
    <definedName name="jdfkgitfgdrtt" hidden="1">{#N/A,#N/A,FALSE,"Plan1";#N/A,#N/A,FALSE,"Plan2"}</definedName>
    <definedName name="JDFKHFKJ" localSheetId="1" hidden="1">{#N/A,#N/A,FALSE,"Plan1";#N/A,#N/A,FALSE,"Plan2"}</definedName>
    <definedName name="JDFKHFKJ" hidden="1">{#N/A,#N/A,FALSE,"Plan1";#N/A,#N/A,FALSE,"Plan2"}</definedName>
    <definedName name="jdfklgtdtr" localSheetId="1" hidden="1">{#N/A,#N/A,FALSE,"Plan1";#N/A,#N/A,FALSE,"Plan2"}</definedName>
    <definedName name="jdfklgtdtr" hidden="1">{#N/A,#N/A,FALSE,"Plan1";#N/A,#N/A,FALSE,"Plan2"}</definedName>
    <definedName name="JDFKTHRT" localSheetId="1" hidden="1">{#N/A,#N/A,FALSE,"Plan1";#N/A,#N/A,FALSE,"Plan2"}</definedName>
    <definedName name="JDFKTHRT" hidden="1">{#N/A,#N/A,FALSE,"Plan1";#N/A,#N/A,FALSE,"Plan2"}</definedName>
    <definedName name="JDFLKJDRF" localSheetId="1" hidden="1">{#N/A,#N/A,FALSE,"Plan1";#N/A,#N/A,FALSE,"Plan2"}</definedName>
    <definedName name="JDFLKJDRF" hidden="1">{#N/A,#N/A,FALSE,"Plan1";#N/A,#N/A,FALSE,"Plan2"}</definedName>
    <definedName name="jdfzlkjgfdht" localSheetId="1" hidden="1">{#N/A,#N/A,FALSE,"Plan1";#N/A,#N/A,FALSE,"Plan2"}</definedName>
    <definedName name="jdfzlkjgfdht" hidden="1">{#N/A,#N/A,FALSE,"Plan1";#N/A,#N/A,FALSE,"Plan2"}</definedName>
    <definedName name="jdglhfghkt" localSheetId="1" hidden="1">{#N/A,#N/A,FALSE,"Plan1";#N/A,#N/A,FALSE,"Plan2"}</definedName>
    <definedName name="jdglhfghkt" hidden="1">{#N/A,#N/A,FALSE,"Plan1";#N/A,#N/A,FALSE,"Plan2"}</definedName>
    <definedName name="jdhfjdhgfd" localSheetId="1" hidden="1">{#N/A,#N/A,FALSE,"Plan1";#N/A,#N/A,FALSE,"Plan2"}</definedName>
    <definedName name="jdhfjdhgfd" hidden="1">{#N/A,#N/A,FALSE,"Plan1";#N/A,#N/A,FALSE,"Plan2"}</definedName>
    <definedName name="jdjdjdjd" localSheetId="1" hidden="1">{#N/A,#N/A,FALSE,"명세표"}</definedName>
    <definedName name="jdjdjdjd" hidden="1">{#N/A,#N/A,FALSE,"명세표"}</definedName>
    <definedName name="jdkfhgjhf" localSheetId="1" hidden="1">{#N/A,#N/A,FALSE,"Plan1";#N/A,#N/A,FALSE,"Plan2"}</definedName>
    <definedName name="jdkfhgjhf" hidden="1">{#N/A,#N/A,FALSE,"Plan1";#N/A,#N/A,FALSE,"Plan2"}</definedName>
    <definedName name="jdkfjdtr" localSheetId="1" hidden="1">{#N/A,#N/A,FALSE,"Plan1";#N/A,#N/A,FALSE,"Plan2"}</definedName>
    <definedName name="jdkfjdtr" hidden="1">{#N/A,#N/A,FALSE,"Plan1";#N/A,#N/A,FALSE,"Plan2"}</definedName>
    <definedName name="jdljgftldjti5r" localSheetId="1" hidden="1">{#N/A,#N/A,FALSE,"Plan1";#N/A,#N/A,FALSE,"Plan2"}</definedName>
    <definedName name="jdljgftldjti5r" hidden="1">{#N/A,#N/A,FALSE,"Plan1";#N/A,#N/A,FALSE,"Plan2"}</definedName>
    <definedName name="JDLKJDASGF" localSheetId="1" hidden="1">{#N/A,#N/A,FALSE,"Plan1";#N/A,#N/A,FALSE,"Plan2"}</definedName>
    <definedName name="JDLKJDASGF" hidden="1">{#N/A,#N/A,FALSE,"Plan1";#N/A,#N/A,FALSE,"Plan2"}</definedName>
    <definedName name="jdrfkdjfghrtfjg" localSheetId="1" hidden="1">{#N/A,#N/A,FALSE,"Plan1";#N/A,#N/A,FALSE,"Plan2"}</definedName>
    <definedName name="jdrfkdjfghrtfjg" hidden="1">{#N/A,#N/A,FALSE,"Plan1";#N/A,#N/A,FALSE,"Plan2"}</definedName>
    <definedName name="jdskfhdk" localSheetId="1" hidden="1">{#N/A,#N/A,FALSE,"Plan1";#N/A,#N/A,FALSE,"Plan2"}</definedName>
    <definedName name="jdskfhdk" hidden="1">{#N/A,#N/A,FALSE,"Plan1";#N/A,#N/A,FALSE,"Plan2"}</definedName>
    <definedName name="JDSKLGKDRHGGF" localSheetId="1" hidden="1">{#N/A,#N/A,FALSE,"Plan1";#N/A,#N/A,FALSE,"Plan2"}</definedName>
    <definedName name="JDSKLGKDRHGGF" hidden="1">{#N/A,#N/A,FALSE,"Plan1";#N/A,#N/A,FALSE,"Plan2"}</definedName>
    <definedName name="jefsgfr" localSheetId="1" hidden="1">{#N/A,#N/A,FALSE,"Plan1";#N/A,#N/A,FALSE,"Plan2"}</definedName>
    <definedName name="jefsgfr" hidden="1">{#N/A,#N/A,FALSE,"Plan1";#N/A,#N/A,FALSE,"Plan2"}</definedName>
    <definedName name="JERHIEHYURE" localSheetId="1" hidden="1">{#N/A,#N/A,FALSE,"Plan1";#N/A,#N/A,FALSE,"Plan2"}</definedName>
    <definedName name="JERHIEHYURE" hidden="1">{#N/A,#N/A,FALSE,"Plan1";#N/A,#N/A,FALSE,"Plan2"}</definedName>
    <definedName name="jfddlsrtyty" localSheetId="1" hidden="1">{#N/A,#N/A,FALSE,"Plan1";#N/A,#N/A,FALSE,"Plan2"}</definedName>
    <definedName name="jfddlsrtyty" hidden="1">{#N/A,#N/A,FALSE,"Plan1";#N/A,#N/A,FALSE,"Plan2"}</definedName>
    <definedName name="jfdjtgdjghitfyh" localSheetId="1" hidden="1">{#N/A,#N/A,FALSE,"Plan1";#N/A,#N/A,FALSE,"Plan2"}</definedName>
    <definedName name="jfdjtgdjghitfyh" hidden="1">{#N/A,#N/A,FALSE,"Plan1";#N/A,#N/A,FALSE,"Plan2"}</definedName>
    <definedName name="jfdkgkftftg" localSheetId="1" hidden="1">{#N/A,#N/A,FALSE,"Plan1";#N/A,#N/A,FALSE,"Plan2"}</definedName>
    <definedName name="jfdkgkftftg" hidden="1">{#N/A,#N/A,FALSE,"Plan1";#N/A,#N/A,FALSE,"Plan2"}</definedName>
    <definedName name="jfghjkfdhtkyru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1" hidden="1">{#N/A,#N/A,FALSE,"Plan1";#N/A,#N/A,FALSE,"Plan2"}</definedName>
    <definedName name="JFGJYHTY" hidden="1">{#N/A,#N/A,FALSE,"Plan1";#N/A,#N/A,FALSE,"Plan2"}</definedName>
    <definedName name="jfgkflcnjkglc" localSheetId="1" hidden="1">{#N/A,#N/A,FALSE,"Plan1";#N/A,#N/A,FALSE,"Plan2"}</definedName>
    <definedName name="jfgkflcnjkglc" hidden="1">{#N/A,#N/A,FALSE,"Plan1";#N/A,#N/A,FALSE,"Plan2"}</definedName>
    <definedName name="JFHRE" localSheetId="1" hidden="1">{#N/A,#N/A,FALSE,"Plan1";#N/A,#N/A,FALSE,"Plan2"}</definedName>
    <definedName name="JFHRE" hidden="1">{#N/A,#N/A,FALSE,"Plan1";#N/A,#N/A,FALSE,"Plan2"}</definedName>
    <definedName name="jfkdls5jtirjd" localSheetId="1" hidden="1">{#N/A,#N/A,FALSE,"Plan1";#N/A,#N/A,FALSE,"Plan2"}</definedName>
    <definedName name="jfkdls5jtirjd" hidden="1">{#N/A,#N/A,FALSE,"Plan1";#N/A,#N/A,FALSE,"Plan2"}</definedName>
    <definedName name="jfkljdkfcj" localSheetId="1" hidden="1">{#N/A,#N/A,FALSE,"Plan1";#N/A,#N/A,FALSE,"Plan2"}</definedName>
    <definedName name="jfkljdkfcj" hidden="1">{#N/A,#N/A,FALSE,"Plan1";#N/A,#N/A,FALSE,"Plan2"}</definedName>
    <definedName name="jfkrhdtghdut" localSheetId="1" hidden="1">{#N/A,#N/A,FALSE,"Plan1";#N/A,#N/A,FALSE,"Plan2"}</definedName>
    <definedName name="jfkrhdtghdut" hidden="1">{#N/A,#N/A,FALSE,"Plan1";#N/A,#N/A,FALSE,"Plan2"}</definedName>
    <definedName name="JFRESR" localSheetId="1" hidden="1">{#N/A,#N/A,FALSE,"Plan1";#N/A,#N/A,FALSE,"Plan2"}</definedName>
    <definedName name="JFRESR" hidden="1">{#N/A,#N/A,FALSE,"Plan1";#N/A,#N/A,FALSE,"Plan2"}</definedName>
    <definedName name="jgdfdgfjgdj" localSheetId="1" hidden="1">{#N/A,#N/A,FALSE,"Plan1";#N/A,#N/A,FALSE,"Plan2"}</definedName>
    <definedName name="jgdfdgfjgdj" hidden="1">{#N/A,#N/A,FALSE,"Plan1";#N/A,#N/A,FALSE,"Plan2"}</definedName>
    <definedName name="jgdfght" localSheetId="1" hidden="1">{#N/A,#N/A,FALSE,"Plan1";#N/A,#N/A,FALSE,"Plan2"}</definedName>
    <definedName name="jgdfght" hidden="1">{#N/A,#N/A,FALSE,"Plan1";#N/A,#N/A,FALSE,"Plan2"}</definedName>
    <definedName name="jgfgdsgfdhrf" localSheetId="1" hidden="1">{#N/A,#N/A,FALSE,"Plan1";#N/A,#N/A,FALSE,"Plan2"}</definedName>
    <definedName name="jgfgdsgfdhrf" hidden="1">{#N/A,#N/A,FALSE,"Plan1";#N/A,#N/A,FALSE,"Plan2"}</definedName>
    <definedName name="JGFJGTFT" localSheetId="1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localSheetId="1" hidden="1">{#N/A,#N/A,FALSE,"Plan1";#N/A,#N/A,FALSE,"Plan2"}</definedName>
    <definedName name="jgkjkhjuftgi" hidden="1">{#N/A,#N/A,FALSE,"Plan1";#N/A,#N/A,FALSE,"Plan2"}</definedName>
    <definedName name="jh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1" hidden="1">{#N/A,#N/A,FALSE,"Plan1";#N/A,#N/A,FALSE,"Plan2"}</definedName>
    <definedName name="jhdfjjhirft" hidden="1">{#N/A,#N/A,FALSE,"Plan1";#N/A,#N/A,FALSE,"Plan2"}</definedName>
    <definedName name="jhdfjkhtrdhf" localSheetId="1" hidden="1">{#N/A,#N/A,FALSE,"Plan1";#N/A,#N/A,FALSE,"Plan2"}</definedName>
    <definedName name="jhdfjkhtrdhf" hidden="1">{#N/A,#N/A,FALSE,"Plan1";#N/A,#N/A,FALSE,"Plan2"}</definedName>
    <definedName name="jhdfuthr" localSheetId="1" hidden="1">{#N/A,#N/A,FALSE,"Plan1";#N/A,#N/A,FALSE,"Plan2"}</definedName>
    <definedName name="jhdfuthr" hidden="1">{#N/A,#N/A,FALSE,"Plan1";#N/A,#N/A,FALSE,"Plan2"}</definedName>
    <definedName name="JHDFZGRDHF" localSheetId="1" hidden="1">{"Econ Consolidado",#N/A,FALSE,"Econ Consol";"Fluxo de Caixa",#N/A,FALSE,"Fluxo Caixa";"Investimentos",#N/A,FALSE,"Investimentos"}</definedName>
    <definedName name="JHDFZGRDHF" hidden="1">{"Econ Consolidado",#N/A,FALSE,"Econ Consol";"Fluxo de Caixa",#N/A,FALSE,"Fluxo Caixa";"Investimentos",#N/A,FALSE,"Investimentos"}</definedName>
    <definedName name="JHERKHKFGH" localSheetId="1" hidden="1">{#N/A,#N/A,FALSE,"Plan1";#N/A,#N/A,FALSE,"Plan2"}</definedName>
    <definedName name="JHERKHKFGH" hidden="1">{#N/A,#N/A,FALSE,"Plan1";#N/A,#N/A,FALSE,"Plan2"}</definedName>
    <definedName name="jhfhhztfhe" localSheetId="1" hidden="1">#REF!</definedName>
    <definedName name="jhfhhztfhe" hidden="1">#REF!</definedName>
    <definedName name="JHGKJFJFJGL" localSheetId="1" hidden="1">{#N/A,#N/A,FALSE,"Plan1";#N/A,#N/A,FALSE,"Plan2"}</definedName>
    <definedName name="JHGKJFJFJGL" hidden="1">{#N/A,#N/A,FALSE,"Plan1";#N/A,#N/A,FALSE,"Plan2"}</definedName>
    <definedName name="jhsdjkhfuks" localSheetId="1" hidden="1">{#N/A,#N/A,FALSE,"Plan1";#N/A,#N/A,FALSE,"Plan2"}</definedName>
    <definedName name="jhsdjkhfuks" hidden="1">{#N/A,#N/A,FALSE,"Plan1";#N/A,#N/A,FALSE,"Plan2"}</definedName>
    <definedName name="jisdrkje" localSheetId="1" hidden="1">{#N/A,#N/A,FALSE,"Plan1";#N/A,#N/A,FALSE,"Plan2"}</definedName>
    <definedName name="jisdrkje" hidden="1">{#N/A,#N/A,FALSE,"Plan1";#N/A,#N/A,FALSE,"Plan2"}</definedName>
    <definedName name="jishfrieyhtau" localSheetId="1" hidden="1">{#N/A,#N/A,FALSE,"Plan1";#N/A,#N/A,FALSE,"Plan2"}</definedName>
    <definedName name="jishfrieyhtau" hidden="1">{#N/A,#N/A,FALSE,"Plan1";#N/A,#N/A,FALSE,"Plan2"}</definedName>
    <definedName name="jiu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1" hidden="1">{"'Apr-00'!$B$4:$AD$44"}</definedName>
    <definedName name="jj" hidden="1">{"'Apr-00'!$B$4:$AD$44"}</definedName>
    <definedName name="jjfdsktyhhy" localSheetId="1" hidden="1">{#N/A,#N/A,FALSE,"Plan1";#N/A,#N/A,FALSE,"Plan2"}</definedName>
    <definedName name="jjfdsktyhhy" hidden="1">{#N/A,#N/A,FALSE,"Plan1";#N/A,#N/A,FALSE,"Plan2"}</definedName>
    <definedName name="jjjjjjjjjjjjjjjjjjjj" localSheetId="1">#REF!</definedName>
    <definedName name="jjjjjjjjjjjjjjjjjjjj">#REF!</definedName>
    <definedName name="jjkjkjk" localSheetId="1" hidden="1">{#N/A,#N/A,FALSE,"Plan1";#N/A,#N/A,FALSE,"Plan2"}</definedName>
    <definedName name="jjkjkjk" hidden="1">{#N/A,#N/A,FALSE,"Plan1";#N/A,#N/A,FALSE,"Plan2"}</definedName>
    <definedName name="JKDCK" localSheetId="1" hidden="1">{#N/A,#N/A,FALSE,"Plan1";#N/A,#N/A,FALSE,"Plan2"}</definedName>
    <definedName name="JKDCK" hidden="1">{#N/A,#N/A,FALSE,"Plan1";#N/A,#N/A,FALSE,"Plan2"}</definedName>
    <definedName name="JKDFHKHFR" localSheetId="1" hidden="1">{#N/A,#N/A,FALSE,"Plan1";#N/A,#N/A,FALSE,"Plan2"}</definedName>
    <definedName name="JKDFHKHFR" hidden="1">{#N/A,#N/A,FALSE,"Plan1";#N/A,#N/A,FALSE,"Plan2"}</definedName>
    <definedName name="JKDFTRDRJ" localSheetId="1" hidden="1">{#N/A,#N/A,FALSE,"Plan1";#N/A,#N/A,FALSE,"Plan2"}</definedName>
    <definedName name="JKDFTRDRJ" hidden="1">{#N/A,#N/A,FALSE,"Plan1";#N/A,#N/A,FALSE,"Plan2"}</definedName>
    <definedName name="jkdhfukhddf" localSheetId="1" hidden="1">{#N/A,#N/A,FALSE,"Plan1";#N/A,#N/A,FALSE,"Plan2"}</definedName>
    <definedName name="jkdhfukhddf" hidden="1">{#N/A,#N/A,FALSE,"Plan1";#N/A,#N/A,FALSE,"Plan2"}</definedName>
    <definedName name="JKDRKGJHTDR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1" hidden="1">{#N/A,#N/A,FALSE,"Plan1";#N/A,#N/A,FALSE,"Plan2"}</definedName>
    <definedName name="jkelsjreja" hidden="1">{#N/A,#N/A,FALSE,"Plan1";#N/A,#N/A,FALSE,"Plan2"}</definedName>
    <definedName name="jkfhjgkfhghh" localSheetId="1" hidden="1">{#N/A,#N/A,FALSE,"Plan1";#N/A,#N/A,FALSE,"Plan2"}</definedName>
    <definedName name="jkfhjgkfhghh" hidden="1">{#N/A,#N/A,FALSE,"Plan1";#N/A,#N/A,FALSE,"Plan2"}</definedName>
    <definedName name="jkhderjkhes" localSheetId="1" hidden="1">{#N/A,#N/A,FALSE,"Plan1";#N/A,#N/A,FALSE,"Plan2"}</definedName>
    <definedName name="jkhderjkhes" hidden="1">{#N/A,#N/A,FALSE,"Plan1";#N/A,#N/A,FALSE,"Plan2"}</definedName>
    <definedName name="jkhdfhfd" localSheetId="1" hidden="1">{#N/A,#N/A,FALSE,"Plan1";#N/A,#N/A,FALSE,"Plan2"}</definedName>
    <definedName name="jkhdfhfd" hidden="1">{#N/A,#N/A,FALSE,"Plan1";#N/A,#N/A,FALSE,"Plan2"}</definedName>
    <definedName name="jkhfhest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1" hidden="1">{#N/A,#N/A,FALSE,"Plan1";#N/A,#N/A,FALSE,"Plan2"}</definedName>
    <definedName name="JKHFKJHGKFTHUDET" hidden="1">{#N/A,#N/A,FALSE,"Plan1";#N/A,#N/A,FALSE,"Plan2"}</definedName>
    <definedName name="JKHGDHFUHTG" localSheetId="1" hidden="1">{#N/A,#N/A,FALSE,"Plan1";#N/A,#N/A,FALSE,"Plan2"}</definedName>
    <definedName name="JKHGDHFUHTG" hidden="1">{#N/A,#N/A,FALSE,"Plan1";#N/A,#N/A,FALSE,"Plan2"}</definedName>
    <definedName name="jkhsdzjkfyiu" localSheetId="1" hidden="1">{#N/A,#N/A,FALSE,"Plan1";#N/A,#N/A,FALSE,"Plan2"}</definedName>
    <definedName name="jkhsdzjkfyiu" hidden="1">{#N/A,#N/A,FALSE,"Plan1";#N/A,#N/A,FALSE,"Plan2"}</definedName>
    <definedName name="jkjsdkhfdhrf" localSheetId="1" hidden="1">{#N/A,#N/A,FALSE,"Plan1";#N/A,#N/A,FALSE,"Plan2"}</definedName>
    <definedName name="jkjsdkhfdhrf" hidden="1">{#N/A,#N/A,FALSE,"Plan1";#N/A,#N/A,FALSE,"Plan2"}</definedName>
    <definedName name="jklgfsjgtjtg" localSheetId="1" hidden="1">{#N/A,#N/A,FALSE,"Plan1";#N/A,#N/A,FALSE,"Plan2"}</definedName>
    <definedName name="jklgfsjgtjtg" hidden="1">{#N/A,#N/A,FALSE,"Plan1";#N/A,#N/A,FALSE,"Plan2"}</definedName>
    <definedName name="jksldfjsdhf" localSheetId="1" hidden="1">{#N/A,#N/A,FALSE,"Plan1";#N/A,#N/A,FALSE,"Plan2"}</definedName>
    <definedName name="jksldfjsdhf" hidden="1">{#N/A,#N/A,FALSE,"Plan1";#N/A,#N/A,FALSE,"Plan2"}</definedName>
    <definedName name="jkxhcjkhfr" localSheetId="1" hidden="1">{#N/A,#N/A,FALSE,"Plan1";#N/A,#N/A,FALSE,"Plan2"}</definedName>
    <definedName name="jkxhcjkhfr" hidden="1">{#N/A,#N/A,FALSE,"Plan1";#N/A,#N/A,FALSE,"Plan2"}</definedName>
    <definedName name="JNGCKFKJFGH" localSheetId="1" hidden="1">{#N/A,#N/A,FALSE,"Plan1";#N/A,#N/A,FALSE,"Plan2"}</definedName>
    <definedName name="JNGCKFKJFGH" hidden="1">{#N/A,#N/A,FALSE,"Plan1";#N/A,#N/A,FALSE,"Plan2"}</definedName>
    <definedName name="JOALDO" localSheetId="1">#REF!</definedName>
    <definedName name="JOALDO">#REF!</definedName>
    <definedName name="joao_cdi" localSheetId="1">#REF!</definedName>
    <definedName name="joao_cdi">#REF!</definedName>
    <definedName name="joao_hist" localSheetId="1">#REF!</definedName>
    <definedName name="joao_hist">#REF!</definedName>
    <definedName name="joao_uss">#REF!</definedName>
    <definedName name="JREJRW" localSheetId="1" hidden="1">{#N/A,#N/A,FALSE,"Plan1";#N/A,#N/A,FALSE,"Plan2"}</definedName>
    <definedName name="JREJRW" hidden="1">{#N/A,#N/A,FALSE,"Plan1";#N/A,#N/A,FALSE,"Plan2"}</definedName>
    <definedName name="JSADKAH" localSheetId="1" hidden="1">{"Econ Consolidado",#N/A,FALSE,"Econ Consol";"Fluxo de Caixa",#N/A,FALSE,"Fluxo Caixa";"Investimentos",#N/A,FALSE,"Investimentos"}</definedName>
    <definedName name="JSADKAH" hidden="1">{"Econ Consolidado",#N/A,FALSE,"Econ Consol";"Fluxo de Caixa",#N/A,FALSE,"Fluxo Caixa";"Investimentos",#N/A,FALSE,"Investimentos"}</definedName>
    <definedName name="JSDAJRE" localSheetId="1" hidden="1">{#N/A,#N/A,FALSE,"Plan1";#N/A,#N/A,FALSE,"Plan2"}</definedName>
    <definedName name="JSDAJRE" hidden="1">{#N/A,#N/A,FALSE,"Plan1";#N/A,#N/A,FALSE,"Plan2"}</definedName>
    <definedName name="jsdffse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1" hidden="1">{#N/A,#N/A,FALSE,"Plan1";#N/A,#N/A,FALSE,"Plan2"}</definedName>
    <definedName name="jsdfjgx" hidden="1">{#N/A,#N/A,FALSE,"Plan1";#N/A,#N/A,FALSE,"Plan2"}</definedName>
    <definedName name="jsdfkgnfr" localSheetId="1" hidden="1">#REF!</definedName>
    <definedName name="jsdfkgnfr" hidden="1">#REF!</definedName>
    <definedName name="jsdfsdfd" localSheetId="1" hidden="1">{#N/A,#N/A,FALSE,"Plan1";#N/A,#N/A,FALSE,"Plan2"}</definedName>
    <definedName name="jsdfsdfd" hidden="1">{#N/A,#N/A,FALSE,"Plan1";#N/A,#N/A,FALSE,"Plan2"}</definedName>
    <definedName name="jsdljficd" localSheetId="1" hidden="1">{#N/A,#N/A,FALSE,"Plan1";#N/A,#N/A,FALSE,"Plan2"}</definedName>
    <definedName name="jsdljficd" hidden="1">{#N/A,#N/A,FALSE,"Plan1";#N/A,#N/A,FALSE,"Plan2"}</definedName>
    <definedName name="JSDTLFJDRG" localSheetId="1" hidden="1">{#N/A,#N/A,FALSE,"Plan1";#N/A,#N/A,FALSE,"Plan2"}</definedName>
    <definedName name="JSDTLFJDRG" hidden="1">{#N/A,#N/A,FALSE,"Plan1";#N/A,#N/A,FALSE,"Plan2"}</definedName>
    <definedName name="jsfjsjferwea" localSheetId="1" hidden="1">{#N/A,#N/A,FALSE,"Plan1";#N/A,#N/A,FALSE,"Plan2"}</definedName>
    <definedName name="jsfjsjferwea" hidden="1">{#N/A,#N/A,FALSE,"Plan1";#N/A,#N/A,FALSE,"Plan2"}</definedName>
    <definedName name="jslrjer" localSheetId="1" hidden="1">{#N/A,#N/A,FALSE,"Plan1";#N/A,#N/A,FALSE,"Plan2"}</definedName>
    <definedName name="jslrjer" hidden="1">{#N/A,#N/A,FALSE,"Plan1";#N/A,#N/A,FALSE,"Plan2"}</definedName>
    <definedName name="juklhkhdf" localSheetId="1" hidden="1">{#N/A,#N/A,FALSE,"Plan1";#N/A,#N/A,FALSE,"Plan2"}</definedName>
    <definedName name="juklhkhdf" hidden="1">{#N/A,#N/A,FALSE,"Plan1";#N/A,#N/A,FALSE,"Plan2"}</definedName>
    <definedName name="jul17RJ" localSheetId="1">#REF!</definedName>
    <definedName name="jul17RJ">#REF!</definedName>
    <definedName name="JULHO" localSheetId="1">#REF!</definedName>
    <definedName name="JULHO">#REF!</definedName>
    <definedName name="JULHO2001" localSheetId="1">#REF!</definedName>
    <definedName name="JULHO2001">#REF!</definedName>
    <definedName name="JULHO99" localSheetId="1" hidden="1">{#N/A,#N/A,TRUE,"Quinzena 01 à 15-04-98 "}</definedName>
    <definedName name="JULHO99" hidden="1">{#N/A,#N/A,TRUE,"Quinzena 01 à 15-04-98 "}</definedName>
    <definedName name="jun17RJ" localSheetId="1">#REF!</definedName>
    <definedName name="jun17RJ">#REF!</definedName>
    <definedName name="JUNHO" localSheetId="1">#REF!</definedName>
    <definedName name="JUNHO">#REF!</definedName>
    <definedName name="JUNHO2001" localSheetId="1">#REF!</definedName>
    <definedName name="JUNHO2001">#REF!</definedName>
    <definedName name="JurosTpMes">#REF!</definedName>
    <definedName name="jwekljd" localSheetId="1" hidden="1">{#N/A,#N/A,FALSE,"Plan1";#N/A,#N/A,FALSE,"Plan2"}</definedName>
    <definedName name="jwekljd" hidden="1">{#N/A,#N/A,FALSE,"Plan1";#N/A,#N/A,FALSE,"Plan2"}</definedName>
    <definedName name="JWEOITORU5Y" localSheetId="1" hidden="1">{#N/A,#N/A,FALSE,"Plan1";#N/A,#N/A,FALSE,"Plan2"}</definedName>
    <definedName name="JWEOITORU5Y" hidden="1">{#N/A,#N/A,FALSE,"Plan1";#N/A,#N/A,FALSE,"Plan2"}</definedName>
    <definedName name="jxdfjsrf" localSheetId="1" hidden="1">{#N/A,#N/A,FALSE,"Plan1";#N/A,#N/A,FALSE,"Plan2"}</definedName>
    <definedName name="jxdfjsrf" hidden="1">{#N/A,#N/A,FALSE,"Plan1";#N/A,#N/A,FALSE,"Plan2"}</definedName>
    <definedName name="jxdklfjv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localSheetId="1" hidden="1">#REF!</definedName>
    <definedName name="JY" hidden="1">#REF!</definedName>
    <definedName name="jzsdjkszl" localSheetId="1" hidden="1">{#N/A,#N/A,FALSE,"Plan1";#N/A,#N/A,FALSE,"Plan2"}</definedName>
    <definedName name="jzsdjkszl" hidden="1">{#N/A,#N/A,FALSE,"Plan1";#N/A,#N/A,FALSE,"Plan2"}</definedName>
    <definedName name="JZXFKLJLDJF" localSheetId="1" hidden="1">{#N/A,#N/A,FALSE,"Plan1";#N/A,#N/A,FALSE,"Plan2"}</definedName>
    <definedName name="JZXFKLJLDJF" hidden="1">{#N/A,#N/A,FALSE,"Plan1";#N/A,#N/A,FALSE,"Plan2"}</definedName>
    <definedName name="jzxklfdlvgfg" localSheetId="1" hidden="1">{#N/A,#N/A,FALSE,"Plan1";#N/A,#N/A,FALSE,"Plan2"}</definedName>
    <definedName name="jzxklfdlvgfg" hidden="1">{#N/A,#N/A,FALSE,"Plan1";#N/A,#N/A,FALSE,"Plan2"}</definedName>
    <definedName name="k" localSheetId="1" hidden="1">{#N/A,#N/A,FALSE,"Plan1";#N/A,#N/A,FALSE,"Plan2"}</definedName>
    <definedName name="k" hidden="1">{#N/A,#N/A,FALSE,"Plan1";#N/A,#N/A,FALSE,"Plan2"}</definedName>
    <definedName name="K_1" localSheetId="1">#REF!</definedName>
    <definedName name="K_1">#REF!</definedName>
    <definedName name="kaedkroswr" localSheetId="1" hidden="1">{"Econ Consolidado",#N/A,FALSE,"Econ Consol";"Fluxo de Caixa",#N/A,FALSE,"Fluxo Caixa";"Investimentos",#N/A,FALSE,"Investimentos"}</definedName>
    <definedName name="kaedkroswr" hidden="1">{"Econ Consolidado",#N/A,FALSE,"Econ Consol";"Fluxo de Caixa",#N/A,FALSE,"Fluxo Caixa";"Investimentos",#N/A,FALSE,"Investimentos"}</definedName>
    <definedName name="kapa" localSheetId="1">#REF!</definedName>
    <definedName name="kapa">#REF!</definedName>
    <definedName name="kç\lKçaksdçaqew" localSheetId="1" hidden="1">{#N/A,#N/A,FALSE,"Plan1";#N/A,#N/A,FALSE,"Plan2"}</definedName>
    <definedName name="kç\lKçaksdçaqew" hidden="1">{#N/A,#N/A,FALSE,"Plan1";#N/A,#N/A,FALSE,"Plan2"}</definedName>
    <definedName name="kçdasekr" localSheetId="1" hidden="1">{#N/A,#N/A,FALSE,"Plan1";#N/A,#N/A,FALSE,"Plan2"}</definedName>
    <definedName name="kçdasekr" hidden="1">{#N/A,#N/A,FALSE,"Plan1";#N/A,#N/A,FALSE,"Plan2"}</definedName>
    <definedName name="kçfdljtredr" localSheetId="1" hidden="1">{#N/A,#N/A,FALSE,"Plan1";#N/A,#N/A,FALSE,"Plan2"}</definedName>
    <definedName name="kçfdljtredr" hidden="1">{#N/A,#N/A,FALSE,"Plan1";#N/A,#N/A,FALSE,"Plan2"}</definedName>
    <definedName name="KCIVIL" localSheetId="1">#REF!</definedName>
    <definedName name="KCIVIL">#REF!</definedName>
    <definedName name="kclçkglf" localSheetId="1" hidden="1">{#N/A,#N/A,FALSE,"Plan1";#N/A,#N/A,FALSE,"Plan2"}</definedName>
    <definedName name="kclçkglf" hidden="1">{#N/A,#N/A,FALSE,"Plan1";#N/A,#N/A,FALSE,"Plan2"}</definedName>
    <definedName name="kçlkasçkere" localSheetId="1" hidden="1">{#N/A,#N/A,FALSE,"Plan1";#N/A,#N/A,FALSE,"Plan2"}</definedName>
    <definedName name="kçlkasçkere" hidden="1">{#N/A,#N/A,FALSE,"Plan1";#N/A,#N/A,FALSE,"Plan2"}</definedName>
    <definedName name="kdfbngtjkbf" localSheetId="1" hidden="1">{#N/A,#N/A,FALSE,"Plan1";#N/A,#N/A,FALSE,"Plan2"}</definedName>
    <definedName name="kdfbngtjkbf" hidden="1">{#N/A,#N/A,FALSE,"Plan1";#N/A,#N/A,FALSE,"Plan2"}</definedName>
    <definedName name="kdfhkghkrh" localSheetId="1" hidden="1">{#N/A,#N/A,FALSE,"Plan1";#N/A,#N/A,FALSE,"Plan2"}</definedName>
    <definedName name="kdfhkghkrh" hidden="1">{#N/A,#N/A,FALSE,"Plan1";#N/A,#N/A,FALSE,"Plan2"}</definedName>
    <definedName name="kdfier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1" hidden="1">{#N/A,#N/A,FALSE,"Plan1";#N/A,#N/A,FALSE,"Plan2"}</definedName>
    <definedName name="kdfkçrkf" hidden="1">{#N/A,#N/A,FALSE,"Plan1";#N/A,#N/A,FALSE,"Plan2"}</definedName>
    <definedName name="kdfljlfr" localSheetId="1" hidden="1">{#N/A,#N/A,FALSE,"Plan1";#N/A,#N/A,FALSE,"Plan2"}</definedName>
    <definedName name="kdfljlfr" hidden="1">{#N/A,#N/A,FALSE,"Plan1";#N/A,#N/A,FALSE,"Plan2"}</definedName>
    <definedName name="kdhfgkdfhytgu" localSheetId="1" hidden="1">{#N/A,#N/A,FALSE,"Plan1";#N/A,#N/A,FALSE,"Plan2"}</definedName>
    <definedName name="kdhfgkdfhytgu" hidden="1">{#N/A,#N/A,FALSE,"Plan1";#N/A,#N/A,FALSE,"Plan2"}</definedName>
    <definedName name="kdhgftfg" localSheetId="1" hidden="1">{#N/A,#N/A,FALSE,"Plan1";#N/A,#N/A,FALSE,"Plan2"}</definedName>
    <definedName name="kdhgftfg" hidden="1">{#N/A,#N/A,FALSE,"Plan1";#N/A,#N/A,FALSE,"Plan2"}</definedName>
    <definedName name="KDHKFGKKHGF" localSheetId="1" hidden="1">{#N/A,#N/A,FALSE,"Plan1";#N/A,#N/A,FALSE,"Plan2"}</definedName>
    <definedName name="KDHKFGKKHGF" hidden="1">{#N/A,#N/A,FALSE,"Plan1";#N/A,#N/A,FALSE,"Plan2"}</definedName>
    <definedName name="kdjfdr" localSheetId="1" hidden="1">#REF!</definedName>
    <definedName name="kdjfdr" hidden="1">#REF!</definedName>
    <definedName name="kdjgkfjgd" localSheetId="1" hidden="1">{#N/A,#N/A,FALSE,"Plan1";#N/A,#N/A,FALSE,"Plan2"}</definedName>
    <definedName name="kdjgkfjgd" hidden="1">{#N/A,#N/A,FALSE,"Plan1";#N/A,#N/A,FALSE,"Plan2"}</definedName>
    <definedName name="kdjglkdlgjd" localSheetId="1" hidden="1">{#N/A,#N/A,FALSE,"Plan1";#N/A,#N/A,FALSE,"Plan2"}</definedName>
    <definedName name="kdjglkdlgjd" hidden="1">{#N/A,#N/A,FALSE,"Plan1";#N/A,#N/A,FALSE,"Plan2"}</definedName>
    <definedName name="kdjsfkldjgkty" localSheetId="1" hidden="1">{#N/A,#N/A,FALSE,"Plan1";#N/A,#N/A,FALSE,"Plan2"}</definedName>
    <definedName name="kdjsfkldjgkty" hidden="1">{#N/A,#N/A,FALSE,"Plan1";#N/A,#N/A,FALSE,"Plan2"}</definedName>
    <definedName name="KDJU" localSheetId="1" hidden="1">{"'장비'!$A$3:$M$12"}</definedName>
    <definedName name="KDJU" hidden="1">{"'장비'!$A$3:$M$12"}</definedName>
    <definedName name="kdkjhgdkfhjk" localSheetId="1" hidden="1">{#N/A,#N/A,FALSE,"Plan1";#N/A,#N/A,FALSE,"Plan2"}</definedName>
    <definedName name="kdkjhgdkfhjk" hidden="1">{#N/A,#N/A,FALSE,"Plan1";#N/A,#N/A,FALSE,"Plan2"}</definedName>
    <definedName name="kdsf" localSheetId="1" hidden="1">{#N/A,#N/A,FALSE,"Plan1";#N/A,#N/A,FALSE,"Plan2"}</definedName>
    <definedName name="kdsf" hidden="1">{#N/A,#N/A,FALSE,"Plan1";#N/A,#N/A,FALSE,"Plan2"}</definedName>
    <definedName name="kdsr" localSheetId="1" hidden="1">{#N/A,#N/A,FALSE,"Plan1";#N/A,#N/A,FALSE,"Plan2"}</definedName>
    <definedName name="kdsr" hidden="1">{#N/A,#N/A,FALSE,"Plan1";#N/A,#N/A,FALSE,"Plan2"}</definedName>
    <definedName name="kergtfdstr" localSheetId="1" hidden="1">{#N/A,#N/A,FALSE,"Plan1";#N/A,#N/A,FALSE,"Plan2"}</definedName>
    <definedName name="kergtfdstr" hidden="1">{#N/A,#N/A,FALSE,"Plan1";#N/A,#N/A,FALSE,"Plan2"}</definedName>
    <definedName name="kesp" localSheetId="1">#REF!</definedName>
    <definedName name="kesp">#REF!</definedName>
    <definedName name="KFDKTHGT" localSheetId="1" hidden="1">{#N/A,#N/A,FALSE,"Plan1";#N/A,#N/A,FALSE,"Plan2"}</definedName>
    <definedName name="KFDKTHGT" hidden="1">{#N/A,#N/A,FALSE,"Plan1";#N/A,#N/A,FALSE,"Plan2"}</definedName>
    <definedName name="kfdxlfdzs" localSheetId="1" hidden="1">{"Econ Consolidado",#N/A,FALSE,"Econ Consol";"Fluxo de Caixa",#N/A,FALSE,"Fluxo Caixa";"Investimentos",#N/A,FALSE,"Investimentos"}</definedName>
    <definedName name="kfdxlfdzs" hidden="1">{"Econ Consolidado",#N/A,FALSE,"Econ Consol";"Fluxo de Caixa",#N/A,FALSE,"Fluxo Caixa";"Investimentos",#N/A,FALSE,"Investimentos"}</definedName>
    <definedName name="kfgkhjkjhy" localSheetId="1" hidden="1">{#N/A,#N/A,FALSE,"Plan1";#N/A,#N/A,FALSE,"Plan2"}</definedName>
    <definedName name="kfgkhjkjhy" hidden="1">{#N/A,#N/A,FALSE,"Plan1";#N/A,#N/A,FALSE,"Plan2"}</definedName>
    <definedName name="KFJFDSDF" localSheetId="1" hidden="1">{#N/A,#N/A,FALSE,"Plan1";#N/A,#N/A,FALSE,"Plan2"}</definedName>
    <definedName name="KFJFDSDF" hidden="1">{#N/A,#N/A,FALSE,"Plan1";#N/A,#N/A,FALSE,"Plan2"}</definedName>
    <definedName name="kfnkeasd" localSheetId="1" hidden="1">{#N/A,#N/A,FALSE,"Plan1";#N/A,#N/A,FALSE,"Plan2"}</definedName>
    <definedName name="kfnkeasd" hidden="1">{#N/A,#N/A,FALSE,"Plan1";#N/A,#N/A,FALSE,"Plan2"}</definedName>
    <definedName name="khdjkfkjhtg" localSheetId="1" hidden="1">{#N/A,#N/A,FALSE,"Plan1";#N/A,#N/A,FALSE,"Plan2"}</definedName>
    <definedName name="khdjkfkjhtg" hidden="1">{#N/A,#N/A,FALSE,"Plan1";#N/A,#N/A,FALSE,"Plan2"}</definedName>
    <definedName name="khdkfjhhfsdg" localSheetId="1" hidden="1">{#N/A,#N/A,FALSE,"Plan1";#N/A,#N/A,FALSE,"Plan2"}</definedName>
    <definedName name="khdkfjhhfsdg" hidden="1">{#N/A,#N/A,FALSE,"Plan1";#N/A,#N/A,FALSE,"Plan2"}</definedName>
    <definedName name="khdkjfhgudytu" localSheetId="1" hidden="1">{#N/A,#N/A,FALSE,"Plan1";#N/A,#N/A,FALSE,"Plan2"}</definedName>
    <definedName name="khdkjfhgudytu" hidden="1">{#N/A,#N/A,FALSE,"Plan1";#N/A,#N/A,FALSE,"Plan2"}</definedName>
    <definedName name="khfdghhhgd" localSheetId="1" hidden="1">{#N/A,#N/A,FALSE,"Plan1";#N/A,#N/A,FALSE,"Plan2"}</definedName>
    <definedName name="khfdghhhgd" hidden="1">{#N/A,#N/A,FALSE,"Plan1";#N/A,#N/A,FALSE,"Plan2"}</definedName>
    <definedName name="khfdkjhsdjf" localSheetId="1" hidden="1">{#N/A,#N/A,FALSE,"Plan1";#N/A,#N/A,FALSE,"Plan2"}</definedName>
    <definedName name="khfdkjhsdjf" hidden="1">{#N/A,#N/A,FALSE,"Plan1";#N/A,#N/A,FALSE,"Plan2"}</definedName>
    <definedName name="khgdkftfy" localSheetId="1" hidden="1">{#N/A,#N/A,FALSE,"Plan1";#N/A,#N/A,FALSE,"Plan2"}</definedName>
    <definedName name="khgdkftfy" hidden="1">{#N/A,#N/A,FALSE,"Plan1";#N/A,#N/A,FALSE,"Plan2"}</definedName>
    <definedName name="khgfhhtuhf" localSheetId="1" hidden="1">{#N/A,#N/A,FALSE,"Plan1";#N/A,#N/A,FALSE,"Plan2"}</definedName>
    <definedName name="khgfhhtuhf" hidden="1">{#N/A,#N/A,FALSE,"Plan1";#N/A,#N/A,FALSE,"Plan2"}</definedName>
    <definedName name="khjkh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1" hidden="1">{#N/A,#N/A,FALSE,"Plan1";#N/A,#N/A,FALSE,"Plan2"}</definedName>
    <definedName name="KHJKLSDF" hidden="1">{#N/A,#N/A,FALSE,"Plan1";#N/A,#N/A,FALSE,"Plan2"}</definedName>
    <definedName name="kieret" localSheetId="1" hidden="1">{#N/A,#N/A,FALSE,"Plan1";#N/A,#N/A,FALSE,"Plan2"}</definedName>
    <definedName name="kieret" hidden="1">{#N/A,#N/A,FALSE,"Plan1";#N/A,#N/A,FALSE,"Plan2"}</definedName>
    <definedName name="kiweokwr" localSheetId="1" hidden="1">#REF!</definedName>
    <definedName name="kiweokwr" hidden="1">#REF!</definedName>
    <definedName name="kjchkfhsezk" localSheetId="1" hidden="1">{#N/A,#N/A,FALSE,"Plan1";#N/A,#N/A,FALSE,"Plan2"}</definedName>
    <definedName name="kjchkfhsezk" hidden="1">{#N/A,#N/A,FALSE,"Plan1";#N/A,#N/A,FALSE,"Plan2"}</definedName>
    <definedName name="kjdghksef" localSheetId="1" hidden="1">{#N/A,#N/A,FALSE,"Plan1";#N/A,#N/A,FALSE,"Plan2"}</definedName>
    <definedName name="kjdghksef" hidden="1">{#N/A,#N/A,FALSE,"Plan1";#N/A,#N/A,FALSE,"Plan2"}</definedName>
    <definedName name="kjdkftyhtert" localSheetId="1" hidden="1">{#N/A,#N/A,FALSE,"Plan1";#N/A,#N/A,FALSE,"Plan2"}</definedName>
    <definedName name="kjdkftyhtert" hidden="1">{#N/A,#N/A,FALSE,"Plan1";#N/A,#N/A,FALSE,"Plan2"}</definedName>
    <definedName name="kjdlfkjds" localSheetId="1" hidden="1">{#N/A,#N/A,FALSE,"Plan1";#N/A,#N/A,FALSE,"Plan2"}</definedName>
    <definedName name="kjdlfkjds" hidden="1">{#N/A,#N/A,FALSE,"Plan1";#N/A,#N/A,FALSE,"Plan2"}</definedName>
    <definedName name="kjdzhfytrfy" localSheetId="1" hidden="1">{#N/A,#N/A,FALSE,"Plan1";#N/A,#N/A,FALSE,"Plan2"}</definedName>
    <definedName name="kjdzhfytrfy" hidden="1">{#N/A,#N/A,FALSE,"Plan1";#N/A,#N/A,FALSE,"Plan2"}</definedName>
    <definedName name="kjhdfgjthdft" localSheetId="1" hidden="1">{#N/A,#N/A,FALSE,"Plan1";#N/A,#N/A,FALSE,"Plan2"}</definedName>
    <definedName name="kjhdfgjthdft" hidden="1">{#N/A,#N/A,FALSE,"Plan1";#N/A,#N/A,FALSE,"Plan2"}</definedName>
    <definedName name="kjhsdfk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1" hidden="1">{#N/A,#N/A,FALSE,"Plan1";#N/A,#N/A,FALSE,"Plan2"}</definedName>
    <definedName name="kjhsiorf" hidden="1">{#N/A,#N/A,FALSE,"Plan1";#N/A,#N/A,FALSE,"Plan2"}</definedName>
    <definedName name="KJ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1" hidden="1">{#N/A,#N/A,FALSE,"Plan1";#N/A,#N/A,FALSE,"Plan2"}</definedName>
    <definedName name="kjjwww" hidden="1">{#N/A,#N/A,FALSE,"Plan1";#N/A,#N/A,FALSE,"Plan2"}</definedName>
    <definedName name="kjl" localSheetId="1" hidden="1">{#N/A,#N/A,FALSE,"ENG'G(보호계전기)"}</definedName>
    <definedName name="kjl" hidden="1">{#N/A,#N/A,FALSE,"ENG'G(보호계전기)"}</definedName>
    <definedName name="KJOI" localSheetId="1" hidden="1">{#N/A,#N/A,FALSE,"Plan1";#N/A,#N/A,FALSE,"Plan2"}</definedName>
    <definedName name="KJOI" hidden="1">{#N/A,#N/A,FALSE,"Plan1";#N/A,#N/A,FALSE,"Plan2"}</definedName>
    <definedName name="kjqwerw" localSheetId="1" hidden="1">{#N/A,#N/A,FALSE,"Plan1";#N/A,#N/A,FALSE,"Plan2"}</definedName>
    <definedName name="kjqwerw" hidden="1">{#N/A,#N/A,FALSE,"Plan1";#N/A,#N/A,FALSE,"Plan2"}</definedName>
    <definedName name="kjsfert" localSheetId="1" hidden="1">{#N/A,#N/A,FALSE,"Plan1";#N/A,#N/A,FALSE,"Plan2"}</definedName>
    <definedName name="kjsfert" hidden="1">{#N/A,#N/A,FALSE,"Plan1";#N/A,#N/A,FALSE,"Plan2"}</definedName>
    <definedName name="KJXCFKR" localSheetId="1" hidden="1">{#N/A,#N/A,FALSE,"Plan1";#N/A,#N/A,FALSE,"Plan2"}</definedName>
    <definedName name="KJXCFKR" hidden="1">{#N/A,#N/A,FALSE,"Plan1";#N/A,#N/A,FALSE,"Plan2"}</definedName>
    <definedName name="KJXDFD" localSheetId="1" hidden="1">{#N/A,#N/A,FALSE,"Plan1";#N/A,#N/A,FALSE,"Plan2"}</definedName>
    <definedName name="KJXDFD" hidden="1">{#N/A,#N/A,FALSE,"Plan1";#N/A,#N/A,FALSE,"Plan2"}</definedName>
    <definedName name="kjydhfkjghkjfh" localSheetId="1" hidden="1">#REF!</definedName>
    <definedName name="kjydhfkjghkjfh" hidden="1">#REF!</definedName>
    <definedName name="kk" localSheetId="1">#REF!</definedName>
    <definedName name="kk">#REF!</definedName>
    <definedName name="kk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1" hidden="1">{#N/A,#N/A,FALSE,"Plan1";#N/A,#N/A,FALSE,"Plan2"}</definedName>
    <definedName name="kkk" hidden="1">{#N/A,#N/A,FALSE,"Plan1";#N/A,#N/A,FALSE,"Plan2"}</definedName>
    <definedName name="kkkkk" localSheetId="1" hidden="1">{#N/A,#N/A,FALSE,"Plan1";#N/A,#N/A,FALSE,"Plan2"}</definedName>
    <definedName name="kkkkk" hidden="1">{#N/A,#N/A,FALSE,"Plan1";#N/A,#N/A,FALSE,"Plan2"}</definedName>
    <definedName name="kkkkkk" localSheetId="1" hidden="1">{#N/A,#N/A,FALSE,"Plan1";#N/A,#N/A,FALSE,"Plan2"}</definedName>
    <definedName name="kkkkkk" hidden="1">{#N/A,#N/A,FALSE,"Plan1";#N/A,#N/A,FALSE,"Plan2"}</definedName>
    <definedName name="kko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1" hidden="1">{#N/A,#N/A,FALSE,"Plan1";#N/A,#N/A,FALSE,"Plan2"}</definedName>
    <definedName name="kksaklçer" hidden="1">{#N/A,#N/A,FALSE,"Plan1";#N/A,#N/A,FALSE,"Plan2"}</definedName>
    <definedName name="kksarde" localSheetId="1" hidden="1">{#N/A,#N/A,FALSE,"Plan1";#N/A,#N/A,FALSE,"Plan2"}</definedName>
    <definedName name="kksarde" hidden="1">{#N/A,#N/A,FALSE,"Plan1";#N/A,#N/A,FALSE,"Plan2"}</definedName>
    <definedName name="klaskldjsw" localSheetId="1" hidden="1">{#N/A,#N/A,FALSE,"Plan1";#N/A,#N/A,FALSE,"Plan2"}</definedName>
    <definedName name="klaskldjsw" hidden="1">{#N/A,#N/A,FALSE,"Plan1";#N/A,#N/A,FALSE,"Plan2"}</definedName>
    <definedName name="klçkop" localSheetId="1" hidden="1">{#N/A,#N/A,FALSE,"Plan1";#N/A,#N/A,FALSE,"Plan2"}</definedName>
    <definedName name="klçkop" hidden="1">{#N/A,#N/A,FALSE,"Plan1";#N/A,#N/A,FALSE,"Plan2"}</definedName>
    <definedName name="KLDFNTRDT" localSheetId="1" hidden="1">{#N/A,#N/A,FALSE,"Plan1";#N/A,#N/A,FALSE,"Plan2"}</definedName>
    <definedName name="KLDFNTRDT" hidden="1">{#N/A,#N/A,FALSE,"Plan1";#N/A,#N/A,FALSE,"Plan2"}</definedName>
    <definedName name="klhjsdklhdf" localSheetId="1" hidden="1">{#N/A,#N/A,FALSE,"Plan1";#N/A,#N/A,FALSE,"Plan2"}</definedName>
    <definedName name="klhjsdklhdf" hidden="1">{#N/A,#N/A,FALSE,"Plan1";#N/A,#N/A,FALSE,"Plan2"}</definedName>
    <definedName name="KLHSKLRHWE" localSheetId="1" hidden="1">{#N/A,#N/A,FALSE,"Plan1";#N/A,#N/A,FALSE,"Plan2"}</definedName>
    <definedName name="KLHSKLRHWE" hidden="1">{#N/A,#N/A,FALSE,"Plan1";#N/A,#N/A,FALSE,"Plan2"}</definedName>
    <definedName name="KLJASKJD" localSheetId="1" hidden="1">{#N/A,#N/A,FALSE,"Plan1";#N/A,#N/A,FALSE,"Plan2"}</definedName>
    <definedName name="KLJASKJD" hidden="1">{#N/A,#N/A,FALSE,"Plan1";#N/A,#N/A,FALSE,"Plan2"}</definedName>
    <definedName name="KLJDXL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1" hidden="1">{#N/A,#N/A,FALSE,"Plan1";#N/A,#N/A,FALSE,"Plan2"}</definedName>
    <definedName name="kljeflwr" hidden="1">{#N/A,#N/A,FALSE,"Plan1";#N/A,#N/A,FALSE,"Plan2"}</definedName>
    <definedName name="kljflgjrf" localSheetId="1" hidden="1">{#N/A,#N/A,FALSE,"Plan1";#N/A,#N/A,FALSE,"Plan2"}</definedName>
    <definedName name="kljflgjrf" hidden="1">{#N/A,#N/A,FALSE,"Plan1";#N/A,#N/A,FALSE,"Plan2"}</definedName>
    <definedName name="kljgfdfr" localSheetId="1" hidden="1">{#N/A,#N/A,FALSE,"Plan1";#N/A,#N/A,FALSE,"Plan2"}</definedName>
    <definedName name="kljgfdfr" hidden="1">{#N/A,#N/A,FALSE,"Plan1";#N/A,#N/A,FALSE,"Plan2"}</definedName>
    <definedName name="kljgfjrt" localSheetId="1" hidden="1">{#N/A,#N/A,FALSE,"Plan1";#N/A,#N/A,FALSE,"Plan2"}</definedName>
    <definedName name="kljgfjrt" hidden="1">{#N/A,#N/A,FALSE,"Plan1";#N/A,#N/A,FALSE,"Plan2"}</definedName>
    <definedName name="kljlkdfj" localSheetId="1" hidden="1">{#N/A,#N/A,FALSE,"Plan1";#N/A,#N/A,FALSE,"Plan2"}</definedName>
    <definedName name="kljlkdfj" hidden="1">{#N/A,#N/A,FALSE,"Plan1";#N/A,#N/A,FALSE,"Plan2"}</definedName>
    <definedName name="kljsakjfr" localSheetId="1" hidden="1">{#N/A,#N/A,FALSE,"Plan1";#N/A,#N/A,FALSE,"Plan2"}</definedName>
    <definedName name="kljsakjfr" hidden="1">{#N/A,#N/A,FALSE,"Plan1";#N/A,#N/A,FALSE,"Plan2"}</definedName>
    <definedName name="kljsdje" localSheetId="1" hidden="1">{#N/A,#N/A,FALSE,"Plan1";#N/A,#N/A,FALSE,"Plan2"}</definedName>
    <definedName name="kljsdje" hidden="1">{#N/A,#N/A,FALSE,"Plan1";#N/A,#N/A,FALSE,"Plan2"}</definedName>
    <definedName name="kljsfwe" localSheetId="1" hidden="1">{#N/A,#N/A,FALSE,"Plan1";#N/A,#N/A,FALSE,"Plan2"}</definedName>
    <definedName name="kljsfwe" hidden="1">{#N/A,#N/A,FALSE,"Plan1";#N/A,#N/A,FALSE,"Plan2"}</definedName>
    <definedName name="klk" localSheetId="1" hidden="1">{#N/A,#N/A,FALSE,"Plan1";#N/A,#N/A,FALSE,"Plan2"}</definedName>
    <definedName name="klk" hidden="1">{#N/A,#N/A,FALSE,"Plan1";#N/A,#N/A,FALSE,"Plan2"}</definedName>
    <definedName name="KLKKLKÇJÇ" localSheetId="1" hidden="1">{#N/A,#N/A,FALSE,"Plan1";#N/A,#N/A,FALSE,"Plan2"}</definedName>
    <definedName name="KLKKLKÇJÇ" hidden="1">{#N/A,#N/A,FALSE,"Plan1";#N/A,#N/A,FALSE,"Plan2"}</definedName>
    <definedName name="KLSDFT" localSheetId="1" hidden="1">{#N/A,#N/A,FALSE,"Plan1";#N/A,#N/A,FALSE,"Plan2"}</definedName>
    <definedName name="KLSDFT" hidden="1">{#N/A,#N/A,FALSE,"Plan1";#N/A,#N/A,FALSE,"Plan2"}</definedName>
    <definedName name="KLSDHSJKHF" localSheetId="1" hidden="1">{#N/A,#N/A,FALSE,"Plan1";#N/A,#N/A,FALSE,"Plan2"}</definedName>
    <definedName name="KLSDHSJKHF" hidden="1">{#N/A,#N/A,FALSE,"Plan1";#N/A,#N/A,FALSE,"Plan2"}</definedName>
    <definedName name="klsdkre" localSheetId="1" hidden="1">{#N/A,#N/A,FALSE,"Plan1";#N/A,#N/A,FALSE,"Plan2"}</definedName>
    <definedName name="klsdkre" hidden="1">{#N/A,#N/A,FALSE,"Plan1";#N/A,#N/A,FALSE,"Plan2"}</definedName>
    <definedName name="KLSIDJE" localSheetId="1" hidden="1">{#N/A,#N/A,FALSE,"Plan1";#N/A,#N/A,FALSE,"Plan2"}</definedName>
    <definedName name="KLSIDJE" hidden="1">{#N/A,#N/A,FALSE,"Plan1";#N/A,#N/A,FALSE,"Plan2"}</definedName>
    <definedName name="klsjarsf" localSheetId="1" hidden="1">{#N/A,#N/A,FALSE,"Plan1";#N/A,#N/A,FALSE,"Plan2"}</definedName>
    <definedName name="klsjarsf" hidden="1">{#N/A,#N/A,FALSE,"Plan1";#N/A,#N/A,FALSE,"Plan2"}</definedName>
    <definedName name="klsjdwe" localSheetId="1" hidden="1">#REF!</definedName>
    <definedName name="klsjdwe" hidden="1">#REF!</definedName>
    <definedName name="klxhjfdkhser" localSheetId="1" hidden="1">{#N/A,#N/A,FALSE,"Plan1";#N/A,#N/A,FALSE,"Plan2"}</definedName>
    <definedName name="klxhjfdkhser" hidden="1">{#N/A,#N/A,FALSE,"Plan1";#N/A,#N/A,FALSE,"Plan2"}</definedName>
    <definedName name="kopipnsdfne" localSheetId="1" hidden="1">{#N/A,#N/A,FALSE,"Plan1";#N/A,#N/A,FALSE,"Plan2"}</definedName>
    <definedName name="kopipnsdfne" hidden="1">{#N/A,#N/A,FALSE,"Plan1";#N/A,#N/A,FALSE,"Plan2"}</definedName>
    <definedName name="kp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1" hidden="1">{#N/A,#N/A,FALSE,"Plan1";#N/A,#N/A,FALSE,"Plan2"}</definedName>
    <definedName name="KSDLDF" hidden="1">{#N/A,#N/A,FALSE,"Plan1";#N/A,#N/A,FALSE,"Plan2"}</definedName>
    <definedName name="ksdlkfsçzd" localSheetId="1" hidden="1">{#N/A,#N/A,FALSE,"Plan1";#N/A,#N/A,FALSE,"Plan2"}</definedName>
    <definedName name="ksdlkfsçzd" hidden="1">{#N/A,#N/A,FALSE,"Plan1";#N/A,#N/A,FALSE,"Plan2"}</definedName>
    <definedName name="KSDNFK" localSheetId="1">#REF!</definedName>
    <definedName name="KSDNFK">#REF!</definedName>
    <definedName name="ksdoçierfe" localSheetId="1" hidden="1">{#N/A,#N/A,FALSE,"Plan1";#N/A,#N/A,FALSE,"Plan2"}</definedName>
    <definedName name="ksdoçierfe" hidden="1">{#N/A,#N/A,FALSE,"Plan1";#N/A,#N/A,FALSE,"Plan2"}</definedName>
    <definedName name="ksdtrdrkf" localSheetId="1" hidden="1">{#N/A,#N/A,FALSE,"Plan1";#N/A,#N/A,FALSE,"Plan2"}</definedName>
    <definedName name="ksdtrdrkf" hidden="1">{#N/A,#N/A,FALSE,"Plan1";#N/A,#N/A,FALSE,"Plan2"}</definedName>
    <definedName name="KSFÇJDFJL" localSheetId="1" hidden="1">{#N/A,#N/A,FALSE,"Plan1";#N/A,#N/A,FALSE,"Plan2"}</definedName>
    <definedName name="KSFÇJDFJL" hidden="1">{#N/A,#N/A,FALSE,"Plan1";#N/A,#N/A,FALSE,"Plan2"}</definedName>
    <definedName name="ksfhse" localSheetId="1" hidden="1">{#N/A,#N/A,FALSE,"Plan1";#N/A,#N/A,FALSE,"Plan2"}</definedName>
    <definedName name="ksfhse" hidden="1">{#N/A,#N/A,FALSE,"Plan1";#N/A,#N/A,FALSE,"Plan2"}</definedName>
    <definedName name="KSRKOE" localSheetId="1" hidden="1">{#N/A,#N/A,FALSE,"Plan1";#N/A,#N/A,FALSE,"Plan2"}</definedName>
    <definedName name="KSRKOE" hidden="1">{#N/A,#N/A,FALSE,"Plan1";#N/A,#N/A,FALSE,"Plan2"}</definedName>
    <definedName name="KSWKE" localSheetId="1" hidden="1">{#N/A,#N/A,FALSE,"Plan1";#N/A,#N/A,FALSE,"Plan2"}</definedName>
    <definedName name="KSWKE" hidden="1">{#N/A,#N/A,FALSE,"Plan1";#N/A,#N/A,FALSE,"Plan2"}</definedName>
    <definedName name="kubus" localSheetId="1">#REF!</definedName>
    <definedName name="kubus">#REF!</definedName>
    <definedName name="kubus1" localSheetId="1">#REF!</definedName>
    <definedName name="kubus1">#REF!</definedName>
    <definedName name="kysdusf" localSheetId="1" hidden="1">{#N/A,#N/A,FALSE,"Plan1";#N/A,#N/A,FALSE,"Plan2"}</definedName>
    <definedName name="kysdusf" hidden="1">{#N/A,#N/A,FALSE,"Plan1";#N/A,#N/A,FALSE,"Plan2"}</definedName>
    <definedName name="kzslçdkçle" localSheetId="1" hidden="1">{#N/A,#N/A,FALSE,"Plan1";#N/A,#N/A,FALSE,"Plan2"}</definedName>
    <definedName name="kzslçdkçle" hidden="1">{#N/A,#N/A,FALSE,"Plan1";#N/A,#N/A,FALSE,"Plan2"}</definedName>
    <definedName name="L_" localSheetId="1">#REF!</definedName>
    <definedName name="L_">#REF!</definedName>
    <definedName name="LAEKWRK" localSheetId="1" hidden="1">{#N/A,#N/A,FALSE,"Plan1";#N/A,#N/A,FALSE,"Plan2"}</definedName>
    <definedName name="LAEKWRK" hidden="1">{#N/A,#N/A,FALSE,"Plan1";#N/A,#N/A,FALSE,"Plan2"}</definedName>
    <definedName name="laeqwep" localSheetId="1" hidden="1">#REF!</definedName>
    <definedName name="laeqwep" hidden="1">#REF!</definedName>
    <definedName name="LAKDEWRF" localSheetId="1" hidden="1">{#N/A,#N/A,FALSE,"Plan1";#N/A,#N/A,FALSE,"Plan2"}</definedName>
    <definedName name="LAKDEWRF" hidden="1">{#N/A,#N/A,FALSE,"Plan1";#N/A,#N/A,FALSE,"Plan2"}</definedName>
    <definedName name="Lancamentos" localSheetId="1">#REF!</definedName>
    <definedName name="Lancamentos">#REF!</definedName>
    <definedName name="LARGURA" localSheetId="1">#REF!</definedName>
    <definedName name="LARGURA">#REF!</definedName>
    <definedName name="LASÇDSRLF" localSheetId="1" hidden="1">{#N/A,#N/A,FALSE,"Plan1";#N/A,#N/A,FALSE,"Plan2"}</definedName>
    <definedName name="LASÇDSRLF" hidden="1">{#N/A,#N/A,FALSE,"Plan1";#N/A,#N/A,FALSE,"Plan2"}</definedName>
    <definedName name="LASDAKWE" hidden="1">25</definedName>
    <definedName name="lasrlswer" localSheetId="1" hidden="1">{#N/A,#N/A,FALSE,"Plan1";#N/A,#N/A,FALSE,"Plan2"}</definedName>
    <definedName name="lasrlswer" hidden="1">{#N/A,#N/A,FALSE,"Plan1";#N/A,#N/A,FALSE,"Plan2"}</definedName>
    <definedName name="LAZER" localSheetId="1">#REF!</definedName>
    <definedName name="LAZER">#REF!</definedName>
    <definedName name="lbla1" localSheetId="1" hidden="1">#REF!</definedName>
    <definedName name="lbla1" hidden="1">#REF!</definedName>
    <definedName name="lbla10" localSheetId="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localSheetId="1" hidden="1">{#N/A,#N/A,FALSE,"Plan1";#N/A,#N/A,FALSE,"Plan2"}</definedName>
    <definedName name="lçadple4r" hidden="1">{#N/A,#N/A,FALSE,"Plan1";#N/A,#N/A,FALSE,"Plan2"}</definedName>
    <definedName name="lçasser" localSheetId="1" hidden="1">{#N/A,#N/A,FALSE,"Plan1";#N/A,#N/A,FALSE,"Plan2"}</definedName>
    <definedName name="lçasser" hidden="1">{#N/A,#N/A,FALSE,"Plan1";#N/A,#N/A,FALSE,"Plan2"}</definedName>
    <definedName name="lcdgjtklfrn" localSheetId="1" hidden="1">{#N/A,#N/A,FALSE,"Plan1";#N/A,#N/A,FALSE,"Plan2"}</definedName>
    <definedName name="lcdgjtklfrn" hidden="1">{#N/A,#N/A,FALSE,"Plan1";#N/A,#N/A,FALSE,"Plan2"}</definedName>
    <definedName name="lçfklsdkçaer" localSheetId="1" hidden="1">{#N/A,#N/A,FALSE,"Plan1";#N/A,#N/A,FALSE,"Plan2"}</definedName>
    <definedName name="lçfklsdkçaer" hidden="1">{#N/A,#N/A,FALSE,"Plan1";#N/A,#N/A,FALSE,"Plan2"}</definedName>
    <definedName name="lçjkgf" localSheetId="1" hidden="1">{#N/A,#N/A,FALSE,"Plan1";#N/A,#N/A,FALSE,"Plan2"}</definedName>
    <definedName name="lçjkgf" hidden="1">{#N/A,#N/A,FALSE,"Plan1";#N/A,#N/A,FALSE,"Plan2"}</definedName>
    <definedName name="LÇJSLDFJ" localSheetId="1" hidden="1">{#N/A,#N/A,FALSE,"Plan1";#N/A,#N/A,FALSE,"Plan2"}</definedName>
    <definedName name="LÇJSLDFJ" hidden="1">{#N/A,#N/A,FALSE,"Plan1";#N/A,#N/A,FALSE,"Plan2"}</definedName>
    <definedName name="LÇKÇSDRLK" localSheetId="1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1" hidden="1">{#N/A,#N/A,FALSE,"Plan1";#N/A,#N/A,FALSE,"Plan2"}</definedName>
    <definedName name="lçlfklçdglfdgt" hidden="1">{#N/A,#N/A,FALSE,"Plan1";#N/A,#N/A,FALSE,"Plan2"}</definedName>
    <definedName name="lçslrr4r" localSheetId="1" hidden="1">{#N/A,#N/A,FALSE,"Plan1";#N/A,#N/A,FALSE,"Plan2"}</definedName>
    <definedName name="lçslrr4r" hidden="1">{#N/A,#N/A,FALSE,"Plan1";#N/A,#N/A,FALSE,"Plan2"}</definedName>
    <definedName name="ldfjgry" localSheetId="1" hidden="1">{#N/A,#N/A,FALSE,"Plan1";#N/A,#N/A,FALSE,"Plan2"}</definedName>
    <definedName name="ldfjgry" hidden="1">{#N/A,#N/A,FALSE,"Plan1";#N/A,#N/A,FALSE,"Plan2"}</definedName>
    <definedName name="ldfjgtilrf" localSheetId="1" hidden="1">{#N/A,#N/A,FALSE,"Plan1";#N/A,#N/A,FALSE,"Plan2"}</definedName>
    <definedName name="ldfjgtilrf" hidden="1">{#N/A,#N/A,FALSE,"Plan1";#N/A,#N/A,FALSE,"Plan2"}</definedName>
    <definedName name="ldk" localSheetId="1" hidden="1">{#N/A,#N/A,FALSE,"Plan1";#N/A,#N/A,FALSE,"Plan2"}</definedName>
    <definedName name="ldk" hidden="1">{#N/A,#N/A,FALSE,"Plan1";#N/A,#N/A,FALSE,"Plan2"}</definedName>
    <definedName name="ldkgkdfjgkh" localSheetId="1" hidden="1">{#N/A,#N/A,FALSE,"Plan1";#N/A,#N/A,FALSE,"Plan2"}</definedName>
    <definedName name="ldkgkdfjgkh" hidden="1">{#N/A,#N/A,FALSE,"Plan1";#N/A,#N/A,FALSE,"Plan2"}</definedName>
    <definedName name="LDTJGR" localSheetId="1" hidden="1">{#N/A,#N/A,FALSE,"Plan1";#N/A,#N/A,FALSE,"Plan2"}</definedName>
    <definedName name="LDTJGR" hidden="1">{#N/A,#N/A,FALSE,"Plan1";#N/A,#N/A,FALSE,"Plan2"}</definedName>
    <definedName name="Leg" localSheetId="1" hidden="1">#REF!</definedName>
    <definedName name="Leg" hidden="1">#REF!</definedName>
    <definedName name="legr_cdi" localSheetId="1">#REF!</definedName>
    <definedName name="legr_cdi">#REF!</definedName>
    <definedName name="legr_hist">#REF!</definedName>
    <definedName name="legr_uss">#REF!</definedName>
    <definedName name="LEKG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 localSheetId="1">#REF!</definedName>
    <definedName name="LEVANTAMENTO">#REF!</definedName>
    <definedName name="lfjdjrt" localSheetId="1" hidden="1">{#N/A,#N/A,FALSE,"Plan1";#N/A,#N/A,FALSE,"Plan2"}</definedName>
    <definedName name="lfjdjrt" hidden="1">{#N/A,#N/A,FALSE,"Plan1";#N/A,#N/A,FALSE,"Plan2"}</definedName>
    <definedName name="LI" localSheetId="1">#REF!</definedName>
    <definedName name="LI">#REF!</definedName>
    <definedName name="LIDER_OPER" localSheetId="1">#REF!</definedName>
    <definedName name="LIDER_OPER">#REF!</definedName>
    <definedName name="lidfjgklruf" localSheetId="1" hidden="1">{#N/A,#N/A,FALSE,"Plan1";#N/A,#N/A,FALSE,"Plan2"}</definedName>
    <definedName name="lidfjgklruf" hidden="1">{#N/A,#N/A,FALSE,"Plan1";#N/A,#N/A,FALSE,"Plan2"}</definedName>
    <definedName name="LII" localSheetId="1">#REF!</definedName>
    <definedName name="LII">#REF!</definedName>
    <definedName name="LIII" localSheetId="1">#REF!</definedName>
    <definedName name="LIII">#REF!</definedName>
    <definedName name="LIMBO" localSheetId="1">#REF!</definedName>
    <definedName name="LIMBO">#REF!</definedName>
    <definedName name="limcount" hidden="1">3</definedName>
    <definedName name="LIN" localSheetId="1">#REF!</definedName>
    <definedName name="LIN">#REF!</definedName>
    <definedName name="list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 localSheetId="1">#REF!</definedName>
    <definedName name="LISTA">#REF!</definedName>
    <definedName name="LISTA_CONTAS" localSheetId="1">#REF!</definedName>
    <definedName name="LISTA_CONTAS">#REF!</definedName>
    <definedName name="lista_empresa" localSheetId="1">OFFSET(INDEX(#REF!,MATCH(#REF!,#REF!,0)),1,0,COUNTA(#REF!)-1)</definedName>
    <definedName name="lista_empresa">OFFSET(INDEX(#REF!,MATCH(#REF!,#REF!,0)),1,0,COUNTA(#REF!)-1)</definedName>
    <definedName name="LISTA_FORNECEDORES" localSheetId="1">#REF!</definedName>
    <definedName name="LISTA_FORNECEDORES">#REF!</definedName>
    <definedName name="LISTSEL" localSheetId="1">#REF!</definedName>
    <definedName name="LISTSEL">#REF!</definedName>
    <definedName name="listt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 localSheetId="1">#REF!</definedName>
    <definedName name="LIV">#REF!</definedName>
    <definedName name="LIX" localSheetId="1">#REF!</definedName>
    <definedName name="LIX">#REF!</definedName>
    <definedName name="ljdfkgyt" localSheetId="1" hidden="1">{#N/A,#N/A,FALSE,"Plan1";#N/A,#N/A,FALSE,"Plan2"}</definedName>
    <definedName name="ljdfkgyt" hidden="1">{#N/A,#N/A,FALSE,"Plan1";#N/A,#N/A,FALSE,"Plan2"}</definedName>
    <definedName name="LJDFLJRL" localSheetId="1" hidden="1">{#N/A,#N/A,FALSE,"Plan1";#N/A,#N/A,FALSE,"Plan2"}</definedName>
    <definedName name="LJDFLJRL" hidden="1">{#N/A,#N/A,FALSE,"Plan1";#N/A,#N/A,FALSE,"Plan2"}</definedName>
    <definedName name="ljsdfrd" localSheetId="1" hidden="1">{#N/A,#N/A,FALSE,"Plan1";#N/A,#N/A,FALSE,"Plan2"}</definedName>
    <definedName name="ljsdfrd" hidden="1">{#N/A,#N/A,FALSE,"Plan1";#N/A,#N/A,FALSE,"Plan2"}</definedName>
    <definedName name="LJSFLDJDLKFJG" localSheetId="1" hidden="1">#REF!</definedName>
    <definedName name="LJSFLDJDLKFJG" hidden="1">#REF!</definedName>
    <definedName name="LK" localSheetId="1" hidden="1">{#N/A,#N/A,TRUE,"Quinzena 01 à 15-04-98 "}</definedName>
    <definedName name="LK" hidden="1">{#N/A,#N/A,TRUE,"Quinzena 01 à 15-04-98 "}</definedName>
    <definedName name="lkasdkeo" localSheetId="1" hidden="1">{#N/A,#N/A,FALSE,"Plan1";#N/A,#N/A,FALSE,"Plan2"}</definedName>
    <definedName name="lkasdkeo" hidden="1">{#N/A,#N/A,FALSE,"Plan1";#N/A,#N/A,FALSE,"Plan2"}</definedName>
    <definedName name="lkdeas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1" hidden="1">{#N/A,#N/A,FALSE,"Plan1";#N/A,#N/A,FALSE,"Plan2"}</definedName>
    <definedName name="lkdzxfsdrf" hidden="1">{#N/A,#N/A,FALSE,"Plan1";#N/A,#N/A,FALSE,"Plan2"}</definedName>
    <definedName name="lkfdkçtktr" localSheetId="1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localSheetId="1" hidden="1">{#N/A,#N/A,FALSE,"Plan1";#N/A,#N/A,FALSE,"Plan2"}</definedName>
    <definedName name="LKSSDKÇ\E" hidden="1">{#N/A,#N/A,FALSE,"Plan1";#N/A,#N/A,FALSE,"Plan2"}</definedName>
    <definedName name="lkt" localSheetId="1" hidden="1">{#N/A,#N/A,FALSE,"Plan1";#N/A,#N/A,FALSE,"Plan2"}</definedName>
    <definedName name="lkt" hidden="1">{#N/A,#N/A,FALSE,"Plan1";#N/A,#N/A,FALSE,"Plan2"}</definedName>
    <definedName name="lktlyklt" localSheetId="1" hidden="1">{#N/A,#N/A,FALSE,"Plan1";#N/A,#N/A,FALSE,"Plan2"}</definedName>
    <definedName name="lktlyklt" hidden="1">{#N/A,#N/A,FALSE,"Plan1";#N/A,#N/A,FALSE,"Plan2"}</definedName>
    <definedName name="LKTTYT" localSheetId="1" hidden="1">{#N/A,#N/A,FALSE,"Plan1";#N/A,#N/A,FALSE,"Plan2"}</definedName>
    <definedName name="LKTTYT" hidden="1">{#N/A,#N/A,FALSE,"Plan1";#N/A,#N/A,FALSE,"Plan2"}</definedName>
    <definedName name="llgg" localSheetId="1" hidden="1">{#N/A,#N/A,FALSE,"Plan1";#N/A,#N/A,FALSE,"Plan2"}</definedName>
    <definedName name="llgg" hidden="1">{#N/A,#N/A,FALSE,"Plan1";#N/A,#N/A,FALSE,"Plan2"}</definedName>
    <definedName name="LLL" localSheetId="1" hidden="1">{#N/A,#N/A,FALSE,"Plan1";#N/A,#N/A,FALSE,"Plan2"}</definedName>
    <definedName name="LLL" hidden="1">{#N/A,#N/A,FALSE,"Plan1";#N/A,#N/A,FALSE,"Plan2"}</definedName>
    <definedName name="LM_AR" localSheetId="1" hidden="1">{#N/A,#N/A,FALSE,"F-01"}</definedName>
    <definedName name="LM_AR" hidden="1">{#N/A,#N/A,FALSE,"F-01"}</definedName>
    <definedName name="LM_AT" localSheetId="1" hidden="1">{#N/A,#N/A,FALSE,"F-01"}</definedName>
    <definedName name="LM_AT" hidden="1">{#N/A,#N/A,FALSE,"F-01"}</definedName>
    <definedName name="LM_INC" localSheetId="1" hidden="1">{#N/A,#N/A,FALSE,"F-01"}</definedName>
    <definedName name="LM_INC" hidden="1">{#N/A,#N/A,FALSE,"F-01"}</definedName>
    <definedName name="LMPAS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 localSheetId="1">#REF!</definedName>
    <definedName name="LOCALMENU">#REF!</definedName>
    <definedName name="LOCALOBRA" localSheetId="1">#REF!</definedName>
    <definedName name="LOCALOBRA">#REF!</definedName>
    <definedName name="LS" localSheetId="16">'[1]M.O.'!#REF!</definedName>
    <definedName name="LS" localSheetId="19">'[1]M.O.'!#REF!</definedName>
    <definedName name="LS" localSheetId="0">'[1]M.O.'!#REF!</definedName>
    <definedName name="LS" localSheetId="8">'[1]M.O.'!#REF!</definedName>
    <definedName name="LS" localSheetId="2">'[1]M.O.'!#REF!</definedName>
    <definedName name="LS" localSheetId="9">'[1]M.O.'!#REF!</definedName>
    <definedName name="LS">'[1]M.O.'!#REF!</definedName>
    <definedName name="LSDFKLDKFTR" localSheetId="1" hidden="1">{#N/A,#N/A,FALSE,"Plan1";#N/A,#N/A,FALSE,"Plan2"}</definedName>
    <definedName name="LSDFKLDKFTR" hidden="1">{#N/A,#N/A,FALSE,"Plan1";#N/A,#N/A,FALSE,"Plan2"}</definedName>
    <definedName name="lsdjs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1" hidden="1">{#N/A,#N/A,FALSE,"Plan1";#N/A,#N/A,FALSE,"Plan2"}</definedName>
    <definedName name="lsdkljfkg" hidden="1">{#N/A,#N/A,FALSE,"Plan1";#N/A,#N/A,FALSE,"Plan2"}</definedName>
    <definedName name="lsdsder" localSheetId="1" hidden="1">{#N/A,#N/A,FALSE,"Plan1";#N/A,#N/A,FALSE,"Plan2"}</definedName>
    <definedName name="lsdsder" hidden="1">{#N/A,#N/A,FALSE,"Plan1";#N/A,#N/A,FALSE,"Plan2"}</definedName>
    <definedName name="ltj6ljyhdjhngças" localSheetId="1" hidden="1">{#N/A,#N/A,FALSE,"Plan1";#N/A,#N/A,FALSE,"Plan2"}</definedName>
    <definedName name="ltj6ljyhdjhngças" hidden="1">{#N/A,#N/A,FALSE,"Plan1";#N/A,#N/A,FALSE,"Plan2"}</definedName>
    <definedName name="LUCRO" localSheetId="1">#REF!</definedName>
    <definedName name="LUCRO">#REF!</definedName>
    <definedName name="luis_cdi" localSheetId="1">#REF!</definedName>
    <definedName name="luis_cdi">#REF!</definedName>
    <definedName name="luis_hist" localSheetId="1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 hidden="1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 localSheetId="1">#REF!</definedName>
    <definedName name="MADRI">#REF!</definedName>
    <definedName name="mai17RJ" localSheetId="1">#REF!</definedName>
    <definedName name="mai17RJ">#REF!</definedName>
    <definedName name="MAIO" localSheetId="1">#REF!</definedName>
    <definedName name="MAIO">#REF!</definedName>
    <definedName name="MAIO2001">#REF!</definedName>
    <definedName name="MAISAP" localSheetId="1" hidden="1">{#N/A,#N/A,FALSE,"Plan1";#N/A,#N/A,FALSE,"Plan2"}</definedName>
    <definedName name="MAISAP" hidden="1">{#N/A,#N/A,FALSE,"Plan1";#N/A,#N/A,FALSE,"Plan2"}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 localSheetId="1">#REF!</definedName>
    <definedName name="MAO_DE_OBRA">#REF!</definedName>
    <definedName name="mar17RJ" localSheetId="1">#REF!</definedName>
    <definedName name="mar17RJ">#REF!</definedName>
    <definedName name="MARCAX" localSheetId="1">#REF!</definedName>
    <definedName name="MARCAX">#REF!</definedName>
    <definedName name="MARÇO">#REF!</definedName>
    <definedName name="MARÇO2001">#REF!</definedName>
    <definedName name="martha">#REF!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 localSheetId="1">#REF!</definedName>
    <definedName name="MATERIAL">#REF!</definedName>
    <definedName name="mattubcu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1" hidden="1">{#N/A,#N/A,FALSE,"Plan1";#N/A,#N/A,FALSE,"Plan2"}</definedName>
    <definedName name="MAURILIO" hidden="1">{#N/A,#N/A,FALSE,"Plan1";#N/A,#N/A,FALSE,"Plan2"}</definedName>
    <definedName name="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 localSheetId="1">#REF!</definedName>
    <definedName name="MCMV">#REF!</definedName>
    <definedName name="mdfgtr" localSheetId="1" hidden="1">{#N/A,#N/A,FALSE,"Plan1";#N/A,#N/A,FALSE,"Plan2"}</definedName>
    <definedName name="mdfgtr" hidden="1">{#N/A,#N/A,FALSE,"Plan1";#N/A,#N/A,FALSE,"Plan2"}</definedName>
    <definedName name="MDSÇLFJKJSD" localSheetId="1" hidden="1">{#N/A,#N/A,FALSE,"Plan1";#N/A,#N/A,FALSE,"Plan2"}</definedName>
    <definedName name="MDSÇLFJKJSD" hidden="1">{#N/A,#N/A,FALSE,"Plan1";#N/A,#N/A,FALSE,"Plan2"}</definedName>
    <definedName name="ME" localSheetId="1" hidden="1">{"HW",#N/A,FALSE,"1998"}</definedName>
    <definedName name="ME" hidden="1">{"HW",#N/A,FALSE,"1998"}</definedName>
    <definedName name="Medido_Fin_Medições" localSheetId="1">#REF!</definedName>
    <definedName name="Medido_Fin_Medições">#REF!</definedName>
    <definedName name="melo_cdi" localSheetId="1">#REF!</definedName>
    <definedName name="melo_cdi">#REF!</definedName>
    <definedName name="melo_hist" localSheetId="1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 localSheetId="16">#REF!</definedName>
    <definedName name="MENU" localSheetId="19">#REF!</definedName>
    <definedName name="MENU" localSheetId="0">#REF!</definedName>
    <definedName name="MENU" localSheetId="8">#REF!</definedName>
    <definedName name="MENU" localSheetId="2">#REF!</definedName>
    <definedName name="MENU" localSheetId="9">#REF!</definedName>
    <definedName name="MENU">#REF!</definedName>
    <definedName name="MENU1" localSheetId="0">#REF!</definedName>
    <definedName name="MENU1">#REF!</definedName>
    <definedName name="MENU2" localSheetId="0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 localSheetId="1">#REF!</definedName>
    <definedName name="meta_venda">#REF!</definedName>
    <definedName name="MetaBP" localSheetId="1">#REF!</definedName>
    <definedName name="MetaBP">#REF!</definedName>
    <definedName name="MILENA" hidden="1">#REF!</definedName>
    <definedName name="Minha_Casa_Minha_Vida">#REF!</definedName>
    <definedName name="MLMÇLKJKI" localSheetId="1" hidden="1">{#N/A,#N/A,FALSE,"Plan1";#N/A,#N/A,FALSE,"Plan2"}</definedName>
    <definedName name="MLMÇLKJKI" hidden="1">{#N/A,#N/A,FALSE,"Plan1";#N/A,#N/A,FALSE,"Plan2"}</definedName>
    <definedName name="M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1" hidden="1">{"tabela",#N/A,FALSE,"Tabela";"decoração",#N/A,FALSE,"Decor.";"Informações",#N/A,FALSE,"Inform."}</definedName>
    <definedName name="mmmmm" hidden="1">{"tabela",#N/A,FALSE,"Tabela";"decoração",#N/A,FALSE,"Decor.";"Informações",#N/A,FALSE,"Inform."}</definedName>
    <definedName name="mmmmmmm" localSheetId="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NBXFKGS" localSheetId="1" hidden="1">{#N/A,#N/A,FALSE,"Plan1";#N/A,#N/A,FALSE,"Plan2"}</definedName>
    <definedName name="MNBXFKGS" hidden="1">{#N/A,#N/A,FALSE,"Plan1";#N/A,#N/A,FALSE,"Plan2"}</definedName>
    <definedName name="mncvbgcvmc" localSheetId="1" hidden="1">{#N/A,#N/A,FALSE,"Plan1";#N/A,#N/A,FALSE,"Plan2"}</definedName>
    <definedName name="mncvbgcvmc" hidden="1">{#N/A,#N/A,FALSE,"Plan1";#N/A,#N/A,FALSE,"Plan2"}</definedName>
    <definedName name="MNDKZSFNCEA" localSheetId="1" hidden="1">{#N/A,#N/A,FALSE,"Plan1";#N/A,#N/A,FALSE,"Plan2"}</definedName>
    <definedName name="MNDKZSFNCEA" hidden="1">{#N/A,#N/A,FALSE,"Plan1";#N/A,#N/A,FALSE,"Plan2"}</definedName>
    <definedName name="mnhdshfgfhd" localSheetId="1" hidden="1">{#N/A,#N/A,FALSE,"Plan1";#N/A,#N/A,FALSE,"Plan2"}</definedName>
    <definedName name="mnhdshfgfhd" hidden="1">{#N/A,#N/A,FALSE,"Plan1";#N/A,#N/A,FALSE,"Plan2"}</definedName>
    <definedName name="mo" localSheetId="1">#REF!</definedName>
    <definedName name="mo">#REF!</definedName>
    <definedName name="mobr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1" hidden="1">{#N/A,#N/A,FALSE,"cdi";#N/A,#N/A,FALSE,"debent";#N/A,#N/A,FALSE,"fdos";#N/A,#N/A,FALSE,"resumo"}</definedName>
    <definedName name="Modelo1" hidden="1">{#N/A,#N/A,FALSE,"cdi";#N/A,#N/A,FALSE,"debent";#N/A,#N/A,FALSE,"fdos";#N/A,#N/A,FALSE,"resumo"}</definedName>
    <definedName name="Modelo1a" localSheetId="1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localSheetId="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 localSheetId="1">#REF!</definedName>
    <definedName name="módulo">#REF!</definedName>
    <definedName name="mond_cdi" localSheetId="1">#REF!</definedName>
    <definedName name="mond_cdi">#REF!</definedName>
    <definedName name="mond_hist" localSheetId="1">#REF!</definedName>
    <definedName name="mond_hist">#REF!</definedName>
    <definedName name="mond_uss">#REF!</definedName>
    <definedName name="MP" localSheetId="1" hidden="1">{#N/A,#N/A,FALSE,"CCTV"}</definedName>
    <definedName name="MP" hidden="1">{#N/A,#N/A,FALSE,"CCTV"}</definedName>
    <definedName name="MSDFJKDT" hidden="1">25</definedName>
    <definedName name="MSDRFSWER" localSheetId="1" hidden="1">{"Econ Consolidado",#N/A,FALSE,"Econ Consol";"Fluxo de Caixa",#N/A,FALSE,"Fluxo Caixa";"Investimentos",#N/A,FALSE,"Investimentos"}</definedName>
    <definedName name="MSDRFSWER" hidden="1">{"Econ Consolidado",#N/A,FALSE,"Econ Consol";"Fluxo de Caixa",#N/A,FALSE,"Fluxo Caixa";"Investimentos",#N/A,FALSE,"Investimentos"}</definedName>
    <definedName name="MURBOMB" localSheetId="1">#REF!</definedName>
    <definedName name="MURBOMB">#REF!</definedName>
    <definedName name="mzshdjshjs" localSheetId="1" hidden="1">{#N/A,#N/A,FALSE,"Plan1";#N/A,#N/A,FALSE,"Plan2"}</definedName>
    <definedName name="mzshdjshjs" hidden="1">{#N/A,#N/A,FALSE,"Plan1";#N/A,#N/A,FALSE,"Plan2"}</definedName>
    <definedName name="na" localSheetId="1" hidden="1">{#N/A,#N/A,FALSE,"$170M Cash";#N/A,#N/A,FALSE,"$250M Cash";#N/A,#N/A,FALSE,"$325M Cash"}</definedName>
    <definedName name="na" hidden="1">{#N/A,#N/A,FALSE,"$170M Cash";#N/A,#N/A,FALSE,"$250M Cash";#N/A,#N/A,FALSE,"$325M Cash"}</definedName>
    <definedName name="ncdgrdhrtg" localSheetId="1" hidden="1">{#N/A,#N/A,FALSE,"Plan1";#N/A,#N/A,FALSE,"Plan2"}</definedName>
    <definedName name="ncdgrdhrtg" hidden="1">{#N/A,#N/A,FALSE,"Plan1";#N/A,#N/A,FALSE,"Plan2"}</definedName>
    <definedName name="nchngdfhgdh" localSheetId="1" hidden="1">{#N/A,#N/A,FALSE,"Plan1";#N/A,#N/A,FALSE,"Plan2"}</definedName>
    <definedName name="nchngdfhgdh" hidden="1">{#N/A,#N/A,FALSE,"Plan1";#N/A,#N/A,FALSE,"Plan2"}</definedName>
    <definedName name="NCJFKNGJHF" localSheetId="1" hidden="1">{#N/A,#N/A,FALSE,"Plan1";#N/A,#N/A,FALSE,"Plan2"}</definedName>
    <definedName name="NCJFKNGJHF" hidden="1">{#N/A,#N/A,FALSE,"Plan1";#N/A,#N/A,FALSE,"Plan2"}</definedName>
    <definedName name="NDATA" localSheetId="1">#REF!</definedName>
    <definedName name="NDATA">#REF!</definedName>
    <definedName name="ndcxhgdhf" localSheetId="1" hidden="1">{#N/A,#N/A,FALSE,"Plan1";#N/A,#N/A,FALSE,"Plan2"}</definedName>
    <definedName name="ndcxhgdhf" hidden="1">{#N/A,#N/A,FALSE,"Plan1";#N/A,#N/A,FALSE,"Plan2"}</definedName>
    <definedName name="ndfjnjkrhdgt" localSheetId="1" hidden="1">{#N/A,#N/A,FALSE,"Plan1";#N/A,#N/A,FALSE,"Plan2"}</definedName>
    <definedName name="ndfjnjkrhdgt" hidden="1">{#N/A,#N/A,FALSE,"Plan1";#N/A,#N/A,FALSE,"Plan2"}</definedName>
    <definedName name="ndfkghkjthfyst" localSheetId="1" hidden="1">{#N/A,#N/A,FALSE,"Plan1";#N/A,#N/A,FALSE,"Plan2"}</definedName>
    <definedName name="ndfkghkjthfyst" hidden="1">{#N/A,#N/A,FALSE,"Plan1";#N/A,#N/A,FALSE,"Plan2"}</definedName>
    <definedName name="ndfldslvjnvberugberqubquierbv" localSheetId="1">#REF!</definedName>
    <definedName name="ndfldslvjnvberugberqubquierbv">#REF!</definedName>
    <definedName name="NDJGKFKGHUFG" localSheetId="1" hidden="1">{#N/A,#N/A,FALSE,"Plan1";#N/A,#N/A,FALSE,"Plan2"}</definedName>
    <definedName name="NDJGKFKGHUFG" hidden="1">{#N/A,#N/A,FALSE,"Plan1";#N/A,#N/A,FALSE,"Plan2"}</definedName>
    <definedName name="ndrjkt" localSheetId="1" hidden="1">{#N/A,#N/A,FALSE,"Plan1";#N/A,#N/A,FALSE,"Plan2"}</definedName>
    <definedName name="ndrjkt" hidden="1">{#N/A,#N/A,FALSE,"Plan1";#N/A,#N/A,FALSE,"Plan2"}</definedName>
    <definedName name="new" localSheetId="1" hidden="1">{#N/A,#N/A,FALSE,"Global by BU";#N/A,#N/A,FALSE,"U.S. by BU";#N/A,#N/A,FALSE,"Canada by BU";#N/A,#N/A,FALSE,"Europe by BU";#N/A,#N/A,FALSE,"Asia by BU";#N/A,#N/A,FALSE,"Cala by BU"}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localSheetId="1" hidden="1">{#N/A,#N/A,FALSE,"CCTV"}</definedName>
    <definedName name="NEWNAME" hidden="1">{#N/A,#N/A,FALSE,"CCTV"}</definedName>
    <definedName name="nfgjkhvhfghn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1" hidden="1">{#N/A,#N/A,FALSE,"Plan1";#N/A,#N/A,FALSE,"Plan2"}</definedName>
    <definedName name="nfkhdjkthde" hidden="1">{#N/A,#N/A,FALSE,"Plan1";#N/A,#N/A,FALSE,"Plan2"}</definedName>
    <definedName name="nh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1" hidden="1">{#N/A,#N/A,FALSE,"Plan1";#N/A,#N/A,FALSE,"Plan2"}</definedName>
    <definedName name="NHJHFDSHF" hidden="1">{#N/A,#N/A,FALSE,"Plan1";#N/A,#N/A,FALSE,"Plan2"}</definedName>
    <definedName name="NJSDFHERTG" localSheetId="1" hidden="1">{#N/A,#N/A,FALSE,"Plan1";#N/A,#N/A,FALSE,"Plan2"}</definedName>
    <definedName name="NJSDFHERTG" hidden="1">{#N/A,#N/A,FALSE,"Plan1";#N/A,#N/A,FALSE,"Plan2"}</definedName>
    <definedName name="nkfnsskdn" localSheetId="1" hidden="1">{#N/A,#N/A,FALSE,"Plan1";#N/A,#N/A,FALSE,"Plan2"}</definedName>
    <definedName name="nkfnsskdn" hidden="1">{#N/A,#N/A,FALSE,"Plan1";#N/A,#N/A,FALSE,"Plan2"}</definedName>
    <definedName name="NKJL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 localSheetId="1">#REF!</definedName>
    <definedName name="nl">#REF!</definedName>
    <definedName name="nlaksjdwe" localSheetId="1" hidden="1">{#N/A,#N/A,FALSE,"Plan1";#N/A,#N/A,FALSE,"Plan2"}</definedName>
    <definedName name="nlaksjdwe" hidden="1">{#N/A,#N/A,FALSE,"Plan1";#N/A,#N/A,FALSE,"Plan2"}</definedName>
    <definedName name="nljsdfljfdsfr" localSheetId="1" hidden="1">{#N/A,#N/A,FALSE,"Plan1";#N/A,#N/A,FALSE,"Plan2"}</definedName>
    <definedName name="nljsdfljfdsfr" hidden="1">{#N/A,#N/A,FALSE,"Plan1";#N/A,#N/A,FALSE,"Plan2"}</definedName>
    <definedName name="nm_k1" localSheetId="1">#REF!</definedName>
    <definedName name="nm_k1">#REF!</definedName>
    <definedName name="nm_k2" localSheetId="1">#REF!</definedName>
    <definedName name="nm_k2">#REF!</definedName>
    <definedName name="nm_k3" localSheetId="1">#REF!</definedName>
    <definedName name="nm_k3">#REF!</definedName>
    <definedName name="nmjdfhxj" localSheetId="1" hidden="1">{#N/A,#N/A,FALSE,"Plan1";#N/A,#N/A,FALSE,"Plan2"}</definedName>
    <definedName name="nmjdfhxj" hidden="1">{#N/A,#N/A,FALSE,"Plan1";#N/A,#N/A,FALSE,"Plan2"}</definedName>
    <definedName name="nnmn" localSheetId="1" hidden="1">{#N/A,#N/A,FALSE,"Plan1";#N/A,#N/A,FALSE,"Plan2"}</definedName>
    <definedName name="nnmn" hidden="1">{#N/A,#N/A,FALSE,"Plan1";#N/A,#N/A,FALSE,"Plan2"}</definedName>
    <definedName name="nnn" localSheetId="1" hidden="1">{#N/A,#N/A,FALSE,"$170M Cash";#N/A,#N/A,FALSE,"$250M Cash";#N/A,#N/A,FALSE,"$325M Cash"}</definedName>
    <definedName name="nnn" hidden="1">{#N/A,#N/A,FALSE,"$170M Cash";#N/A,#N/A,FALSE,"$250M Cash";#N/A,#N/A,FALSE,"$325M Cash"}</definedName>
    <definedName name="nnnnnnnnnnn" localSheetId="1" hidden="1">{"HW",#N/A,FALSE,"1998"}</definedName>
    <definedName name="nnnnnnnnnnn" hidden="1">{"HW",#N/A,FALSE,"1998"}</definedName>
    <definedName name="NNNNNNNNNNNNNNN" localSheetId="1" hidden="1">{#N/A,#N/A,FALSE,"Plan1";#N/A,#N/A,FALSE,"Plan2"}</definedName>
    <definedName name="NNNNNNNNNNNNNNN" hidden="1">{#N/A,#N/A,FALSE,"Plan1";#N/A,#N/A,FALSE,"Plan2"}</definedName>
    <definedName name="nnnnnnnnnnnnnnnnnnnn" localSheetId="1" hidden="1">{#N/A,#N/A,FALSE,"Plan1";#N/A,#N/A,FALSE,"Plan2"}</definedName>
    <definedName name="nnnnnnnnnnnnnnnnnnnn" hidden="1">{#N/A,#N/A,FALSE,"Plan1";#N/A,#N/A,FALSE,"Plan2"}</definedName>
    <definedName name="NNXFT" localSheetId="1" hidden="1">{#N/A,#N/A,FALSE,"Plan1";#N/A,#N/A,FALSE,"Plan2"}</definedName>
    <definedName name="NNXFT" hidden="1">{#N/A,#N/A,FALSE,"Plan1";#N/A,#N/A,FALSE,"Plan2"}</definedName>
    <definedName name="no" localSheetId="1">#REF!</definedName>
    <definedName name="no">#REF!</definedName>
    <definedName name="NOME" localSheetId="1">#REF!</definedName>
    <definedName name="NOME">#REF!</definedName>
    <definedName name="nome2" localSheetId="1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 localSheetId="1" hidden="1">{#N/A,#N/A,FALSE,"Plan1";#N/A,#N/A,FALSE,"Plan2"}</definedName>
    <definedName name="nsdkfndgfdnatf" hidden="1">{#N/A,#N/A,FALSE,"Plan1";#N/A,#N/A,FALSE,"Plan2"}</definedName>
    <definedName name="nsfljdiljrf" localSheetId="1" hidden="1">{#N/A,#N/A,FALSE,"Plan1";#N/A,#N/A,FALSE,"Plan2"}</definedName>
    <definedName name="nsfljdiljrf" hidden="1">{#N/A,#N/A,FALSE,"Plan1";#N/A,#N/A,FALSE,"Plan2"}</definedName>
    <definedName name="NUCOPIAS" localSheetId="1">#REF!</definedName>
    <definedName name="NUCOPIAS">#REF!</definedName>
    <definedName name="NUMOBRA" localSheetId="1">#REF!</definedName>
    <definedName name="NUMOBRA">#REF!</definedName>
    <definedName name="NutN" localSheetId="1">#REF!</definedName>
    <definedName name="NutN">#REF!</definedName>
    <definedName name="nzxcnnjkd" localSheetId="1" hidden="1">{#N/A,#N/A,FALSE,"Plan1";#N/A,#N/A,FALSE,"Plan2"}</definedName>
    <definedName name="nzxcnnjkd" hidden="1">{#N/A,#N/A,FALSE,"Plan1";#N/A,#N/A,FALSE,"Plan2"}</definedName>
    <definedName name="OAE" localSheetId="1">#REF!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 hidden="1">25</definedName>
    <definedName name="odfuudor" localSheetId="1" hidden="1">{#N/A,#N/A,FALSE,"Plan1";#N/A,#N/A,FALSE,"Plan2"}</definedName>
    <definedName name="odfuudor" hidden="1">{#N/A,#N/A,FALSE,"Plan1";#N/A,#N/A,FALSE,"Plan2"}</definedName>
    <definedName name="ODH" localSheetId="1" hidden="1">#REF!</definedName>
    <definedName name="ODH" hidden="1">#REF!</definedName>
    <definedName name="oficial_mes" localSheetId="1">#REF!</definedName>
    <definedName name="oficial_mes">#REF!</definedName>
    <definedName name="oficial2_mes">#REF!</definedName>
    <definedName name="oiditrot" localSheetId="1" hidden="1">{#N/A,#N/A,FALSE,"Plan1";#N/A,#N/A,FALSE,"Plan2"}</definedName>
    <definedName name="oiditrot" hidden="1">{#N/A,#N/A,FALSE,"Plan1";#N/A,#N/A,FALSE,"Plan2"}</definedName>
    <definedName name="oio" localSheetId="1" hidden="1">{#N/A,#N/A,FALSE,"Plan1";#N/A,#N/A,FALSE,"Plan2"}</definedName>
    <definedName name="oio" hidden="1">{#N/A,#N/A,FALSE,"Plan1";#N/A,#N/A,FALSE,"Plan2"}</definedName>
    <definedName name="OITO" localSheetId="1">#REF!</definedName>
    <definedName name="OITO">#REF!</definedName>
    <definedName name="oiufioorif" localSheetId="1" hidden="1">#REF!</definedName>
    <definedName name="oiufioorif" hidden="1">#REF!</definedName>
    <definedName name="OJÇLJ" localSheetId="1" hidden="1">{#N/A,#N/A,FALSE,"Plan1";#N/A,#N/A,FALSE,"Plan2"}</definedName>
    <definedName name="OJÇLJ" hidden="1">{#N/A,#N/A,FALSE,"Plan1";#N/A,#N/A,FALSE,"Plan2"}</definedName>
    <definedName name="ojkdfit" localSheetId="1" hidden="1">{#N/A,#N/A,FALSE,"Plan1";#N/A,#N/A,FALSE,"Plan2"}</definedName>
    <definedName name="ojkdfit" hidden="1">{#N/A,#N/A,FALSE,"Plan1";#N/A,#N/A,FALSE,"Plan2"}</definedName>
    <definedName name="oMISSOS" localSheetId="1" hidden="1">#REF!</definedName>
    <definedName name="oMISSOS" hidden="1">#REF!</definedName>
    <definedName name="ONZE" localSheetId="1">#REF!</definedName>
    <definedName name="ONZE">#REF!</definedName>
    <definedName name="ooo" localSheetId="1" hidden="1">{#N/A,#N/A,FALSE,"Plan1";#N/A,#N/A,FALSE,"Plan2"}</definedName>
    <definedName name="ooo" hidden="1">{#N/A,#N/A,FALSE,"Plan1";#N/A,#N/A,FALSE,"Plan2"}</definedName>
    <definedName name="OPASEDWED" localSheetId="1" hidden="1">{"Econ Consolidado",#N/A,FALSE,"Econ Consol";"Fluxo de Caixa",#N/A,FALSE,"Fluxo Caixa";"Investimentos",#N/A,FALSE,"Investimentos"}</definedName>
    <definedName name="OPASEDWED" hidden="1">{"Econ Consolidado",#N/A,FALSE,"Econ Consol";"Fluxo de Caixa",#N/A,FALSE,"Fluxo Caixa";"Investimentos",#N/A,FALSE,"Investimentos"}</definedName>
    <definedName name="opcao_taxa_desconto" localSheetId="1">#REF!</definedName>
    <definedName name="opcao_taxa_desconto">#REF!</definedName>
    <definedName name="opções" localSheetId="1">#REF!</definedName>
    <definedName name="opções">#REF!</definedName>
    <definedName name="opiwre" localSheetId="1" hidden="1">{#N/A,#N/A,FALSE,"Plan1";#N/A,#N/A,FALSE,"Plan2"}</definedName>
    <definedName name="opiwre" hidden="1">{#N/A,#N/A,FALSE,"Plan1";#N/A,#N/A,FALSE,"Plan2"}</definedName>
    <definedName name="ORCAMEN" localSheetId="1">#REF!</definedName>
    <definedName name="ORCAMEN">#REF!</definedName>
    <definedName name="Orcamentistas" localSheetId="1">#REF!</definedName>
    <definedName name="Orcamentistas">#REF!</definedName>
    <definedName name="origem_recebiveis" localSheetId="1">#REF!</definedName>
    <definedName name="origem_recebiveis">#REF!</definedName>
    <definedName name="origem_unidades">#REF!</definedName>
    <definedName name="Origem2_Recebimento_Fin_Medições">#REF!</definedName>
    <definedName name="os" localSheetId="1" hidden="1">{#N/A,#N/A,FALSE,"TABLE"}</definedName>
    <definedName name="os" hidden="1">{#N/A,#N/A,FALSE,"TABLE"}</definedName>
    <definedName name="osca_cdi" localSheetId="1">#REF!</definedName>
    <definedName name="osca_cdi">#REF!</definedName>
    <definedName name="osca_hist" localSheetId="1">#REF!</definedName>
    <definedName name="osca_hist">#REF!</definedName>
    <definedName name="osca_uss" localSheetId="1">#REF!</definedName>
    <definedName name="osca_uss">#REF!</definedName>
    <definedName name="otodgkrjglsrd" localSheetId="1" hidden="1">{#N/A,#N/A,FALSE,"Plan1";#N/A,#N/A,FALSE,"Plan2"}</definedName>
    <definedName name="otodgkrjglsrd" hidden="1">{#N/A,#N/A,FALSE,"Plan1";#N/A,#N/A,FALSE,"Plan2"}</definedName>
    <definedName name="OUERWRSR" localSheetId="1" hidden="1">{#N/A,#N/A,FALSE,"Plan1";#N/A,#N/A,FALSE,"Plan2"}</definedName>
    <definedName name="OUERWRSR" hidden="1">{#N/A,#N/A,FALSE,"Plan1";#N/A,#N/A,FALSE,"Plan2"}</definedName>
    <definedName name="out17RJ" localSheetId="1">#REF!</definedName>
    <definedName name="out17RJ">#REF!</definedName>
    <definedName name="outro" localSheetId="1" hidden="1">#REF!</definedName>
    <definedName name="outro" hidden="1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 localSheetId="1">#REF!</definedName>
    <definedName name="oxfo_cdi">#REF!</definedName>
    <definedName name="oxfo_hist" localSheetId="1">#REF!</definedName>
    <definedName name="oxfo_hist">#REF!</definedName>
    <definedName name="oxfo_uss" localSheetId="1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 localSheetId="1">ROW()-Linha_Cabeçalho</definedName>
    <definedName name="Pagamento_Num">ROW()-Linha_Cabeçalho</definedName>
    <definedName name="Pago_Até_2015_Controladoria" localSheetId="1">#REF!</definedName>
    <definedName name="Pago_Até_2015_Controladoria">#REF!</definedName>
    <definedName name="Pal_Workbook_GUID" hidden="1">"3HURD34M2XKWJ5V6M4BWCR5Q"</definedName>
    <definedName name="PAP" localSheetId="1">#REF!</definedName>
    <definedName name="PAP">#REF!</definedName>
    <definedName name="PARAM_FIS_1" localSheetId="1">#REF!</definedName>
    <definedName name="PARAM_FIS_1">#REF!</definedName>
    <definedName name="PARAM_FIS_2" localSheetId="1">#REF!</definedName>
    <definedName name="PARAM_FIS_2">#REF!</definedName>
    <definedName name="ParamValues1">[3]ParamValues!$A$1:$A$39</definedName>
    <definedName name="ParamValues2" localSheetId="1">#REF!</definedName>
    <definedName name="ParamValues2">#REF!</definedName>
    <definedName name="Parao_E" localSheetId="1">#REF!</definedName>
    <definedName name="Parao_E">#REF!</definedName>
    <definedName name="Parede1" localSheetId="1">#REF!</definedName>
    <definedName name="Parede1">#REF!</definedName>
    <definedName name="Parede2">#REF!</definedName>
    <definedName name="PAREDES">#REF!</definedName>
    <definedName name="PAV" localSheetId="16">#REF!</definedName>
    <definedName name="PAV" localSheetId="19">#REF!</definedName>
    <definedName name="PAV" localSheetId="0">#REF!</definedName>
    <definedName name="PAV" localSheetId="8">#REF!</definedName>
    <definedName name="PAV" localSheetId="2">#REF!</definedName>
    <definedName name="PAV" localSheetId="9">#REF!</definedName>
    <definedName name="PAV">#REF!</definedName>
    <definedName name="PAVILHAO">#REF!</definedName>
    <definedName name="PAVT">#REF!</definedName>
    <definedName name="pçgktr" hidden="1">#REF!</definedName>
    <definedName name="PDER">#REF!</definedName>
    <definedName name="PDIVERS">#REF!</definedName>
    <definedName name="PE">#REF!</definedName>
    <definedName name="PEMD">#REF!</definedName>
    <definedName name="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 localSheetId="1">#REF!</definedName>
    <definedName name="perfura">#REF!</definedName>
    <definedName name="Perímetro_lajão" localSheetId="1">#REF!</definedName>
    <definedName name="Perímetro_lajão">#REF!</definedName>
    <definedName name="Perímetro_Terreno" localSheetId="1">#REF!</definedName>
    <definedName name="Perímetro_Terreno">#REF!</definedName>
    <definedName name="Perímetro_torre">#REF!</definedName>
    <definedName name="pessoal">#REF!</definedName>
    <definedName name="petro2" hidden="1">#REF!</definedName>
    <definedName name="PhyG">#REF!</definedName>
    <definedName name="PhyGS">#REF!</definedName>
    <definedName name="PI">#REF!</definedName>
    <definedName name="piaz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 localSheetId="1">#REF!</definedName>
    <definedName name="PIEQUIP">#REF!</definedName>
    <definedName name="Pintura" localSheetId="1">'[1]M.O.'!#REF!</definedName>
    <definedName name="Pintura">'[1]M.O.'!#REF!</definedName>
    <definedName name="PIS_COFINS" localSheetId="1">#REF!</definedName>
    <definedName name="PIS_COFINS">#REF!</definedName>
    <definedName name="PisCofins" localSheetId="1">#REF!</definedName>
    <definedName name="PisCofins">#REF!</definedName>
    <definedName name="Piso1" localSheetId="1">#REF!</definedName>
    <definedName name="Piso1">#REF!</definedName>
    <definedName name="Piso2">#REF!</definedName>
    <definedName name="PISOS">#REF!</definedName>
    <definedName name="PL">#REF!</definedName>
    <definedName name="PLACAS" localSheetId="1" hidden="1">{#N/A,#N/A,TRUE,"Quinzena 01 à 15-04-98 "}</definedName>
    <definedName name="PLACAS" hidden="1">{#N/A,#N/A,TRUE,"Quinzena 01 à 15-04-98 "}</definedName>
    <definedName name="Placas_Areas" localSheetId="1" hidden="1">{#N/A,#N/A,TRUE,"Quinzena 01 à 15-04-98 "}</definedName>
    <definedName name="Placas_Areas" hidden="1">{#N/A,#N/A,TRUE,"Quinzena 01 à 15-04-98 "}</definedName>
    <definedName name="plan" localSheetId="1" hidden="1">#REF!</definedName>
    <definedName name="plan" hidden="1">#REF!</definedName>
    <definedName name="plan2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 localSheetId="1">#REF!</definedName>
    <definedName name="PLANILHA">#REF!</definedName>
    <definedName name="Planilha2" localSheetId="1">#REF!</definedName>
    <definedName name="Planilha2">#REF!</definedName>
    <definedName name="plasçdeaw" localSheetId="1" hidden="1">{#N/A,#N/A,FALSE,"Plan1";#N/A,#N/A,FALSE,"Plan2"}</definedName>
    <definedName name="plasçdeaw" hidden="1">{#N/A,#N/A,FALSE,"Plan1";#N/A,#N/A,FALSE,"Plan2"}</definedName>
    <definedName name="plaslrswe" localSheetId="1" hidden="1">{#N/A,#N/A,FALSE,"Plan1";#N/A,#N/A,FALSE,"Plan2"}</definedName>
    <definedName name="plaslrswe" hidden="1">{#N/A,#N/A,FALSE,"Plan1";#N/A,#N/A,FALSE,"Plan2"}</definedName>
    <definedName name="pls" localSheetId="1" hidden="1">#REF!</definedName>
    <definedName name="pls" hidden="1">#REF!</definedName>
    <definedName name="plsearpef" localSheetId="1" hidden="1">{#N/A,#N/A,FALSE,"Plan1";#N/A,#N/A,FALSE,"Plan2"}</definedName>
    <definedName name="plsearpef" hidden="1">{#N/A,#N/A,FALSE,"Plan1";#N/A,#N/A,FALSE,"Plan2"}</definedName>
    <definedName name="plss" localSheetId="1" hidden="1">{#N/A,#N/A,FALSE,"Plan1";#N/A,#N/A,FALSE,"Plan2"}</definedName>
    <definedName name="plss" hidden="1">{#N/A,#N/A,FALSE,"Plan1";#N/A,#N/A,FALSE,"Plan2"}</definedName>
    <definedName name="PMUR" localSheetId="1">#REF!</definedName>
    <definedName name="PMUR">#REF!</definedName>
    <definedName name="PN2건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 localSheetId="1">#REF!</definedName>
    <definedName name="Ponderações">#REF!</definedName>
    <definedName name="Pós_Chaves" localSheetId="1">#REF!</definedName>
    <definedName name="Pós_Chaves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>#REF!</definedName>
    <definedName name="PREÇ" localSheetId="1">OFFSET(#REF!,0,0,COUNTA(#REF!),1)</definedName>
    <definedName name="PREÇ">OFFSET(#REF!,0,0,COUNTA(#REF!),1)</definedName>
    <definedName name="Previsão_Inicial_abr_16" localSheetId="1">#REF!</definedName>
    <definedName name="Previsão_Inicial_abr_16">#REF!</definedName>
    <definedName name="Previsão_Inicial_ago_16" localSheetId="1">#REF!</definedName>
    <definedName name="Previsão_Inicial_ago_16">#REF!</definedName>
    <definedName name="Previsão_Inicial_dez_16" localSheetId="1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 localSheetId="1" hidden="1">{#N/A,#N/A,FALSE,"$170M Cash";#N/A,#N/A,FALSE,"$250M Cash";#N/A,#N/A,FALSE,"$325M Cash"}</definedName>
    <definedName name="print" hidden="1">{#N/A,#N/A,FALSE,"$170M Cash";#N/A,#N/A,FALSE,"$250M Cash";#N/A,#N/A,FALSE,"$325M Cash"}</definedName>
    <definedName name="Print_Area" localSheetId="1">#REF!</definedName>
    <definedName name="Print_Area">#REF!</definedName>
    <definedName name="Print_Area_MI">#REF!</definedName>
    <definedName name="Print_Titles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 localSheetId="1">IF((COUNTA(#REF!)-2)&gt;1,"TERRENO "&amp;VLOOKUP(#REF!,#REF!,8,0),VLOOKUP(#REF!,#REF!,3,0))</definedName>
    <definedName name="projeto_nome_com">IF((COUNTA(#REF!)-2)&gt;1,"TERRENO "&amp;VLOOKUP(#REF!,#REF!,8,0),VLOOKUP(#REF!,#REF!,3,0))</definedName>
    <definedName name="PROPAGANDA" localSheetId="1">#REF!</definedName>
    <definedName name="PROPAGANDA">#REF!</definedName>
    <definedName name="ptirigyiotut" localSheetId="1" hidden="1">{#N/A,#N/A,FALSE,"Plan1";#N/A,#N/A,FALSE,"Plan2"}</definedName>
    <definedName name="ptirigyiotut" hidden="1">{#N/A,#N/A,FALSE,"Plan1";#N/A,#N/A,FALSE,"Plan2"}</definedName>
    <definedName name="PWER3" localSheetId="1" hidden="1">{#N/A,#N/A,FALSE,"Plan1";#N/A,#N/A,FALSE,"Plan2"}</definedName>
    <definedName name="PWER3" hidden="1">{#N/A,#N/A,FALSE,"Plan1";#N/A,#N/A,FALSE,"Plan2"}</definedName>
    <definedName name="q" localSheetId="1" hidden="1">#REF!</definedName>
    <definedName name="q" hidden="1">#REF!</definedName>
    <definedName name="QCLIENTE_PCLIENTE" localSheetId="1">#REF!</definedName>
    <definedName name="QCLIENTE_PCLIENTE">#REF!</definedName>
    <definedName name="QCliente_PCliente1">#REF!</definedName>
    <definedName name="qe">#REF!</definedName>
    <definedName name="qee">#REF!</definedName>
    <definedName name="qkqh1" localSheetId="1" hidden="1">{#N/A,#N/A,FALSE,"명세표"}</definedName>
    <definedName name="qkqh1" hidden="1">{#N/A,#N/A,FALSE,"명세표"}</definedName>
    <definedName name="QOAS_POAS" localSheetId="1">#REF!</definedName>
    <definedName name="QOAS_POAS">#REF!</definedName>
    <definedName name="QQ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 localSheetId="1">#REF!:#REF!</definedName>
    <definedName name="QQQ">#REF!:#REF!</definedName>
    <definedName name="QQQQQQQQ" localSheetId="1" hidden="1">#REF!</definedName>
    <definedName name="QQQQQQQQ" hidden="1">#REF!</definedName>
    <definedName name="QREAL_PCLIENTE" localSheetId="1">#REF!</definedName>
    <definedName name="QREAL_PCLIENTE">#REF!</definedName>
    <definedName name="QReal_PCliente1">#REF!</definedName>
    <definedName name="QSQWSE" localSheetId="1" hidden="1">{#N/A,#N/A,FALSE,"Plan1";#N/A,#N/A,FALSE,"Plan2"}</definedName>
    <definedName name="QSQWSE" hidden="1">{#N/A,#N/A,FALSE,"Plan1";#N/A,#N/A,FALSE,"Plan2"}</definedName>
    <definedName name="qtd_mensal" localSheetId="1">#REF!</definedName>
    <definedName name="qtd_mensal">#REF!</definedName>
    <definedName name="qtd3esta" localSheetId="1">#REF!</definedName>
    <definedName name="qtd3esta">#REF!</definedName>
    <definedName name="qtdbase" localSheetId="1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 localSheetId="1" hidden="1">{#N/A,#N/A,FALSE,"Plan1";#N/A,#N/A,FALSE,"Plan2"}</definedName>
    <definedName name="qwdqw" hidden="1">{#N/A,#N/A,FALSE,"Plan1";#N/A,#N/A,FALSE,"Plan2"}</definedName>
    <definedName name="qweqwe" localSheetId="1" hidden="1">{#N/A,#N/A,FALSE,"Plan1";#N/A,#N/A,FALSE,"Plan2"}</definedName>
    <definedName name="qweqwe" hidden="1">{#N/A,#N/A,FALSE,"Plan1";#N/A,#N/A,FALSE,"Plan2"}</definedName>
    <definedName name="qweqwe4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localSheetId="1" hidden="1">#REF!</definedName>
    <definedName name="qwewqe" hidden="1">#REF!</definedName>
    <definedName name="qwqw" localSheetId="1" hidden="1">#REF!</definedName>
    <definedName name="qwqw" hidden="1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 localSheetId="1" hidden="1">{"HW",#N/A,FALSE,"1998"}</definedName>
    <definedName name="RADIO" hidden="1">{"HW",#N/A,FALSE,"1998"}</definedName>
    <definedName name="RANGE" localSheetId="1">#REF!</definedName>
    <definedName name="RANGE">#REF!</definedName>
    <definedName name="RANGE1" localSheetId="1">#REF!</definedName>
    <definedName name="RANGE1">#REF!</definedName>
    <definedName name="RANGE2" localSheetId="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1">#REF!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 localSheetId="1">#REF!</definedName>
    <definedName name="RESUMO">#REF!</definedName>
    <definedName name="RESUMO2" localSheetId="1" hidden="1">{#N/A,#N/A,TRUE,"Quinzena 01 à 15-04-98 "}</definedName>
    <definedName name="RESUMO2" hidden="1">{#N/A,#N/A,TRUE,"Quinzena 01 à 15-04-98 "}</definedName>
    <definedName name="REV" localSheetId="1">#REF!</definedName>
    <definedName name="REV">#REF!</definedName>
    <definedName name="RF" localSheetId="1" hidden="1">{#N/A,#N/A,FALSE,"CCTV"}</definedName>
    <definedName name="RF" hidden="1">{#N/A,#N/A,FALSE,"CCTV"}</definedName>
    <definedName name="rgedrfrgfdg" localSheetId="1" hidden="1">{#N/A,#N/A,FALSE,"Plan1";#N/A,#N/A,FALSE,"Plan2"}</definedName>
    <definedName name="rgedrfrgfdg" hidden="1">{#N/A,#N/A,FALSE,"Plan1";#N/A,#N/A,FALSE,"Plan2"}</definedName>
    <definedName name="rhdrmq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 localSheetId="1">#REF!</definedName>
    <definedName name="RI">#REF!</definedName>
    <definedName name="ridbeb" localSheetId="1">#REF!</definedName>
    <definedName name="ridbeb">#REF!</definedName>
    <definedName name="RIDCHAF" localSheetId="1">#REF!</definedName>
    <definedName name="RIDCHAF">#REF!</definedName>
    <definedName name="ridres05">#REF!</definedName>
    <definedName name="RIDRES10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 localSheetId="1">#REF!</definedName>
    <definedName name="RO">#REF!</definedName>
    <definedName name="Rodapé" localSheetId="1">#REF!</definedName>
    <definedName name="Rodapé">#REF!</definedName>
    <definedName name="RODAPÉS" localSheetId="1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 hidden="1">#REF!</definedName>
    <definedName name="rrrrr" localSheetId="1" hidden="1">{"'장비'!$A$3:$M$12"}</definedName>
    <definedName name="rrrrr" hidden="1">{"'장비'!$A$3:$M$12"}</definedName>
    <definedName name="rrrrrrrr" localSheetId="1" hidden="1">{"'장비'!$A$3:$M$12"}</definedName>
    <definedName name="rrrrrrrr" hidden="1">{"'장비'!$A$3:$M$12"}</definedName>
    <definedName name="rrrrrrrrrrr" localSheetId="1" hidden="1">{#N/A,#N/A,TRUE,"Quinzena 01 à 15-04-98 "}</definedName>
    <definedName name="rrrrrrrrrrr" hidden="1">{#N/A,#N/A,TRUE,"Quinzena 01 à 15-04-98 "}</definedName>
    <definedName name="RSEQ" localSheetId="1">#REF!</definedName>
    <definedName name="RSEQ">#REF!</definedName>
    <definedName name="RSUBTOT" localSheetId="1">#REF!</definedName>
    <definedName name="RSUBTOT">#REF!</definedName>
    <definedName name="rtitbeb" localSheetId="1">#REF!</definedName>
    <definedName name="rtitbeb">#REF!</definedName>
    <definedName name="RTITCHAF">#REF!</definedName>
    <definedName name="rtubos">#REF!</definedName>
    <definedName name="RTYE" localSheetId="1" hidden="1">{"'장비'!$A$3:$M$12"}</definedName>
    <definedName name="RTYE" hidden="1">{"'장비'!$A$3:$M$12"}</definedName>
    <definedName name="s">#REF!</definedName>
    <definedName name="sa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>#REF!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1" hidden="1">{#N/A,#N/A,FALSE,"Plan1";#N/A,#N/A,FALSE,"Plan2"}</definedName>
    <definedName name="sadasd" hidden="1">{#N/A,#N/A,FALSE,"Plan1";#N/A,#N/A,FALSE,"Plan2"}</definedName>
    <definedName name="sadke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1" hidden="1">{#N/A,#N/A,FALSE,"Plan1";#N/A,#N/A,FALSE,"Plan2"}</definedName>
    <definedName name="sadkrjkedft" hidden="1">{#N/A,#N/A,FALSE,"Plan1";#N/A,#N/A,FALSE,"Plan2"}</definedName>
    <definedName name="SADSRTR" localSheetId="1" hidden="1">{#N/A,#N/A,FALSE,"Plan1";#N/A,#N/A,FALSE,"Plan2"}</definedName>
    <definedName name="SADSRTR" hidden="1">{#N/A,#N/A,FALSE,"Plan1";#N/A,#N/A,FALSE,"Plan2"}</definedName>
    <definedName name="sadwde" localSheetId="1" hidden="1">{#N/A,#N/A,FALSE,"Plan1";#N/A,#N/A,FALSE,"Plan2"}</definedName>
    <definedName name="sadwde" hidden="1">{#N/A,#N/A,FALSE,"Plan1";#N/A,#N/A,FALSE,"Plan2"}</definedName>
    <definedName name="Salas" localSheetId="1">#REF!</definedName>
    <definedName name="Salas">#REF!</definedName>
    <definedName name="sanjay" localSheetId="1" hidden="1">{#N/A,#N/A,FALSE,"TABLE"}</definedName>
    <definedName name="sanjay" hidden="1">{#N/A,#N/A,FALSE,"TABLE"}</definedName>
    <definedName name="sapata" localSheetId="1">#REF!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localSheetId="1" hidden="1">{#N/A,#N/A,FALSE,"Plan1";#N/A,#N/A,FALSE,"Plan2"}</definedName>
    <definedName name="SAS" hidden="1">{#N/A,#N/A,FALSE,"Plan1";#N/A,#N/A,FALSE,"Plan2"}</definedName>
    <definedName name="sasads" localSheetId="1" hidden="1">{#N/A,#N/A,FALSE,"Plan1";#N/A,#N/A,FALSE,"Plan2"}</definedName>
    <definedName name="sasads" hidden="1">{#N/A,#N/A,FALSE,"Plan1";#N/A,#N/A,FALSE,"Plan2"}</definedName>
    <definedName name="SC" localSheetId="1" hidden="1">#REF!</definedName>
    <definedName name="SC" hidden="1">#REF!</definedName>
    <definedName name="sçadldfsfd" hidden="1">25</definedName>
    <definedName name="sda" localSheetId="1">#REF!</definedName>
    <definedName name="sda">#REF!</definedName>
    <definedName name="sda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1" hidden="1">{#N/A,#N/A,FALSE,"Plan1";#N/A,#N/A,FALSE,"Plan2"}</definedName>
    <definedName name="SDAOTGFR" hidden="1">{#N/A,#N/A,FALSE,"Plan1";#N/A,#N/A,FALSE,"Plan2"}</definedName>
    <definedName name="sdckd" localSheetId="1" hidden="1">{#N/A,#N/A,FALSE,"Plan1";#N/A,#N/A,FALSE,"Plan2"}</definedName>
    <definedName name="sdckd" hidden="1">{#N/A,#N/A,FALSE,"Plan1";#N/A,#N/A,FALSE,"Plan2"}</definedName>
    <definedName name="SDDFKSEDE" localSheetId="1" hidden="1">{#N/A,#N/A,FALSE,"Plan1";#N/A,#N/A,FALSE,"Plan2"}</definedName>
    <definedName name="SDDFKSEDE" hidden="1">{#N/A,#N/A,FALSE,"Plan1";#N/A,#N/A,FALSE,"Plan2"}</definedName>
    <definedName name="sddkslker" localSheetId="1" hidden="1">{#N/A,#N/A,FALSE,"Plan1";#N/A,#N/A,FALSE,"Plan2"}</definedName>
    <definedName name="sddkslker" hidden="1">{#N/A,#N/A,FALSE,"Plan1";#N/A,#N/A,FALSE,"Plan2"}</definedName>
    <definedName name="sdefr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localSheetId="1" hidden="1">#REF!</definedName>
    <definedName name="sdert" hidden="1">#REF!</definedName>
    <definedName name="sdf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1" hidden="1">{#N/A,#N/A,FALSE,"Plan1";#N/A,#N/A,FALSE,"Plan2"}</definedName>
    <definedName name="sdfdds" hidden="1">{#N/A,#N/A,FALSE,"Plan1";#N/A,#N/A,FALSE,"Plan2"}</definedName>
    <definedName name="sdfdfc" localSheetId="1" hidden="1">{#N/A,#N/A,FALSE,"Plan1";#N/A,#N/A,FALSE,"Plan2"}</definedName>
    <definedName name="sdfdfc" hidden="1">{#N/A,#N/A,FALSE,"Plan1";#N/A,#N/A,FALSE,"Plan2"}</definedName>
    <definedName name="sdfdf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1" hidden="1">{#N/A,#N/A,FALSE,"Plan1";#N/A,#N/A,FALSE,"Plan2"}</definedName>
    <definedName name="sdfdgft" hidden="1">{#N/A,#N/A,FALSE,"Plan1";#N/A,#N/A,FALSE,"Plan2"}</definedName>
    <definedName name="sdfdsf" localSheetId="1" hidden="1">{#N/A,#N/A,FALSE,"Plan1";#N/A,#N/A,FALSE,"Plan2"}</definedName>
    <definedName name="sdfdsf" hidden="1">{#N/A,#N/A,FALSE,"Plan1";#N/A,#N/A,FALSE,"Plan2"}</definedName>
    <definedName name="sdfdsf\da" localSheetId="1" hidden="1">{#N/A,#N/A,FALSE,"Plan1";#N/A,#N/A,FALSE,"Plan2"}</definedName>
    <definedName name="sdfdsf\da" hidden="1">{#N/A,#N/A,FALSE,"Plan1";#N/A,#N/A,FALSE,"Plan2"}</definedName>
    <definedName name="SDFEDRT" localSheetId="1" hidden="1">{#N/A,#N/A,FALSE,"Plan1";#N/A,#N/A,FALSE,"Plan2"}</definedName>
    <definedName name="SDFEDRT" hidden="1">{#N/A,#N/A,FALSE,"Plan1";#N/A,#N/A,FALSE,"Plan2"}</definedName>
    <definedName name="sdfer" localSheetId="1" hidden="1">{#N/A,#N/A,FALSE,"Plan1";#N/A,#N/A,FALSE,"Plan2"}</definedName>
    <definedName name="sdfer" hidden="1">{#N/A,#N/A,FALSE,"Plan1";#N/A,#N/A,FALSE,"Plan2"}</definedName>
    <definedName name="sdferr" localSheetId="1" hidden="1">{#N/A,#N/A,FALSE,"Plan1";#N/A,#N/A,FALSE,"Plan2"}</definedName>
    <definedName name="sdferr" hidden="1">{#N/A,#N/A,FALSE,"Plan1";#N/A,#N/A,FALSE,"Plan2"}</definedName>
    <definedName name="sdfe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1" hidden="1">{#N/A,#N/A,FALSE,"Plan1";#N/A,#N/A,FALSE,"Plan2"}</definedName>
    <definedName name="SDFGJFSRF" hidden="1">{#N/A,#N/A,FALSE,"Plan1";#N/A,#N/A,FALSE,"Plan2"}</definedName>
    <definedName name="sdfgtr" localSheetId="1" hidden="1">{#N/A,#N/A,FALSE,"Plan1";#N/A,#N/A,FALSE,"Plan2"}</definedName>
    <definedName name="sdfgtr" hidden="1">{#N/A,#N/A,FALSE,"Plan1";#N/A,#N/A,FALSE,"Plan2"}</definedName>
    <definedName name="sdfjdetrt" localSheetId="1" hidden="1">{#N/A,#N/A,FALSE,"Plan1";#N/A,#N/A,FALSE,"Plan2"}</definedName>
    <definedName name="sdfjdetrt" hidden="1">{#N/A,#N/A,FALSE,"Plan1";#N/A,#N/A,FALSE,"Plan2"}</definedName>
    <definedName name="SDFJDRTJEIDR" localSheetId="1" hidden="1">{#N/A,#N/A,FALSE,"Plan1";#N/A,#N/A,FALSE,"Plan2"}</definedName>
    <definedName name="SDFJDRTJEIDR" hidden="1">{#N/A,#N/A,FALSE,"Plan1";#N/A,#N/A,FALSE,"Plan2"}</definedName>
    <definedName name="sdfjergtij" localSheetId="1" hidden="1">{#N/A,#N/A,FALSE,"Plan1";#N/A,#N/A,FALSE,"Plan2"}</definedName>
    <definedName name="sdfjergtij" hidden="1">{#N/A,#N/A,FALSE,"Plan1";#N/A,#N/A,FALSE,"Plan2"}</definedName>
    <definedName name="SDFOPJKWE" localSheetId="1" hidden="1">{#N/A,#N/A,FALSE,"Plan1";#N/A,#N/A,FALSE,"Plan2"}</definedName>
    <definedName name="SDFOPJKWE" hidden="1">{#N/A,#N/A,FALSE,"Plan1";#N/A,#N/A,FALSE,"Plan2"}</definedName>
    <definedName name="sdfrdt5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1" hidden="1">{#N/A,#N/A,FALSE,"Plan1";#N/A,#N/A,FALSE,"Plan2"}</definedName>
    <definedName name="sdfrt" hidden="1">{#N/A,#N/A,FALSE,"Plan1";#N/A,#N/A,FALSE,"Plan2"}</definedName>
    <definedName name="SDFRTKK" localSheetId="1" hidden="1">{#N/A,#N/A,FALSE,"Plan1";#N/A,#N/A,FALSE,"Plan2"}</definedName>
    <definedName name="SDFRTKK" hidden="1">{#N/A,#N/A,FALSE,"Plan1";#N/A,#N/A,FALSE,"Plan2"}</definedName>
    <definedName name="SDFRTR" localSheetId="1" hidden="1">{#N/A,#N/A,FALSE,"Plan1";#N/A,#N/A,FALSE,"Plan2"}</definedName>
    <definedName name="SDFRTR" hidden="1">{#N/A,#N/A,FALSE,"Plan1";#N/A,#N/A,FALSE,"Plan2"}</definedName>
    <definedName name="sdfry6" localSheetId="1" hidden="1">{#N/A,#N/A,FALSE,"Plan1";#N/A,#N/A,FALSE,"Plan2"}</definedName>
    <definedName name="sdfry6" hidden="1">{#N/A,#N/A,FALSE,"Plan1";#N/A,#N/A,FALSE,"Plan2"}</definedName>
    <definedName name="sdfsaf" localSheetId="1" hidden="1">{#N/A,#N/A,FALSE,"Plan1";#N/A,#N/A,FALSE,"Plan2"}</definedName>
    <definedName name="sdfsaf" hidden="1">{#N/A,#N/A,FALSE,"Plan1";#N/A,#N/A,FALSE,"Plan2"}</definedName>
    <definedName name="sdfsd" localSheetId="1" hidden="1">{"'Estimativa de Lançamento-JAN'!$A$1:$AI$85"}</definedName>
    <definedName name="sdfsd" hidden="1">{"'Estimativa de Lançamento-JAN'!$A$1:$AI$85"}</definedName>
    <definedName name="sdfsdfg" localSheetId="1" hidden="1">{#N/A,#N/A,FALSE,"Plan1";#N/A,#N/A,FALSE,"Plan2"}</definedName>
    <definedName name="sdfsdfg" hidden="1">{#N/A,#N/A,FALSE,"Plan1";#N/A,#N/A,FALSE,"Plan2"}</definedName>
    <definedName name="SDFSDFK" localSheetId="1" hidden="1">{#N/A,#N/A,FALSE,"Plan1";#N/A,#N/A,FALSE,"Plan2"}</definedName>
    <definedName name="SDFSDFK" hidden="1">{#N/A,#N/A,FALSE,"Plan1";#N/A,#N/A,FALSE,"Plan2"}</definedName>
    <definedName name="sdfsdgftret" localSheetId="1" hidden="1">{#N/A,#N/A,FALSE,"Plan1";#N/A,#N/A,FALSE,"Plan2"}</definedName>
    <definedName name="sdfsdgftret" hidden="1">{#N/A,#N/A,FALSE,"Plan1";#N/A,#N/A,FALSE,"Plan2"}</definedName>
    <definedName name="sdfsdr" hidden="1">1</definedName>
    <definedName name="SDFS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RT" localSheetId="1" hidden="1">{"Econ Consolidado",#N/A,FALSE,"Econ Consol";"Fluxo de Caixa",#N/A,FALSE,"Fluxo Caixa";"Investimentos",#N/A,FALSE,"Investimentos"}</definedName>
    <definedName name="SDFSFRT" hidden="1">{"Econ Consolidado",#N/A,FALSE,"Econ Consol";"Fluxo de Caixa",#N/A,FALSE,"Fluxo Caixa";"Investimentos",#N/A,FALSE,"Investimentos"}</definedName>
    <definedName name="sdfsr" localSheetId="1" hidden="1">{#N/A,#N/A,FALSE,"Plan1";#N/A,#N/A,FALSE,"Plan2"}</definedName>
    <definedName name="sdfsr" hidden="1">{#N/A,#N/A,FALSE,"Plan1";#N/A,#N/A,FALSE,"Plan2"}</definedName>
    <definedName name="sdfty" localSheetId="1" hidden="1">{#N/A,#N/A,FALSE,"Plan1";#N/A,#N/A,FALSE,"Plan2"}</definedName>
    <definedName name="sdfty" hidden="1">{#N/A,#N/A,FALSE,"Plan1";#N/A,#N/A,FALSE,"Plan2"}</definedName>
    <definedName name="sdgdf" localSheetId="1" hidden="1">{#N/A,#N/A,FALSE,"Plan1";#N/A,#N/A,FALSE,"Plan2"}</definedName>
    <definedName name="sdgdf" hidden="1">{#N/A,#N/A,FALSE,"Plan1";#N/A,#N/A,FALSE,"Plan2"}</definedName>
    <definedName name="sdgfrt" localSheetId="1" hidden="1">{#N/A,#N/A,FALSE,"Plan1";#N/A,#N/A,FALSE,"Plan2"}</definedName>
    <definedName name="sdgfrt" hidden="1">{#N/A,#N/A,FALSE,"Plan1";#N/A,#N/A,FALSE,"Plan2"}</definedName>
    <definedName name="sdgft" localSheetId="1" hidden="1">{#N/A,#N/A,FALSE,"Plan1";#N/A,#N/A,FALSE,"Plan2"}</definedName>
    <definedName name="sdgft" hidden="1">{#N/A,#N/A,FALSE,"Plan1";#N/A,#N/A,FALSE,"Plan2"}</definedName>
    <definedName name="sdgt" localSheetId="1" hidden="1">{#N/A,#N/A,FALSE,"Plan1";#N/A,#N/A,FALSE,"Plan2"}</definedName>
    <definedName name="sdgt" hidden="1">{#N/A,#N/A,FALSE,"Plan1";#N/A,#N/A,FALSE,"Plan2"}</definedName>
    <definedName name="sdgtry" localSheetId="1" hidden="1">#REF!</definedName>
    <definedName name="sdgtry" hidden="1">#REF!</definedName>
    <definedName name="sdhfghdsfg" localSheetId="1" hidden="1">{#N/A,#N/A,FALSE,"Plan1";#N/A,#N/A,FALSE,"Plan2"}</definedName>
    <definedName name="sdhfghdsfg" hidden="1">{#N/A,#N/A,FALSE,"Plan1";#N/A,#N/A,FALSE,"Plan2"}</definedName>
    <definedName name="SDHFJKHDFJRE" localSheetId="1" hidden="1">{#N/A,#N/A,FALSE,"Plan1";#N/A,#N/A,FALSE,"Plan2"}</definedName>
    <definedName name="SDHFJKHDFJRE" hidden="1">{#N/A,#N/A,FALSE,"Plan1";#N/A,#N/A,FALSE,"Plan2"}</definedName>
    <definedName name="SDHKFDRKGTR" localSheetId="1" hidden="1">{#N/A,#N/A,FALSE,"Plan1";#N/A,#N/A,FALSE,"Plan2"}</definedName>
    <definedName name="SDHKFDRKGTR" hidden="1">{#N/A,#N/A,FALSE,"Plan1";#N/A,#N/A,FALSE,"Plan2"}</definedName>
    <definedName name="sdjdswger" localSheetId="1" hidden="1">{#N/A,#N/A,FALSE,"Plan1";#N/A,#N/A,FALSE,"Plan2"}</definedName>
    <definedName name="sdjdswger" hidden="1">{#N/A,#N/A,FALSE,"Plan1";#N/A,#N/A,FALSE,"Plan2"}</definedName>
    <definedName name="sdjfdf" localSheetId="1" hidden="1">{#N/A,#N/A,FALSE,"Plan1";#N/A,#N/A,FALSE,"Plan2"}</definedName>
    <definedName name="sdjfdf" hidden="1">{#N/A,#N/A,FALSE,"Plan1";#N/A,#N/A,FALSE,"Plan2"}</definedName>
    <definedName name="sdjfhdjk" localSheetId="1" hidden="1">{#N/A,#N/A,FALSE,"Plan1";#N/A,#N/A,FALSE,"Plan2"}</definedName>
    <definedName name="sdjfhdjk" hidden="1">{#N/A,#N/A,FALSE,"Plan1";#N/A,#N/A,FALSE,"Plan2"}</definedName>
    <definedName name="SDJFJDER" localSheetId="1" hidden="1">{#N/A,#N/A,FALSE,"Plan1";#N/A,#N/A,FALSE,"Plan2"}</definedName>
    <definedName name="SDJFJDER" hidden="1">{#N/A,#N/A,FALSE,"Plan1";#N/A,#N/A,FALSE,"Plan2"}</definedName>
    <definedName name="sdjflsdjfl" localSheetId="1" hidden="1">{#N/A,#N/A,FALSE,"Plan1";#N/A,#N/A,FALSE,"Plan2"}</definedName>
    <definedName name="sdjflsdjfl" hidden="1">{#N/A,#N/A,FALSE,"Plan1";#N/A,#N/A,FALSE,"Plan2"}</definedName>
    <definedName name="SDJHF" localSheetId="1" hidden="1">{#N/A,#N/A,FALSE,"Plan1";#N/A,#N/A,FALSE,"Plan2"}</definedName>
    <definedName name="SDJHF" hidden="1">{#N/A,#N/A,FALSE,"Plan1";#N/A,#N/A,FALSE,"Plan2"}</definedName>
    <definedName name="sdjrderertrr" localSheetId="1" hidden="1">{#N/A,#N/A,FALSE,"Plan1";#N/A,#N/A,FALSE,"Plan2"}</definedName>
    <definedName name="sdjrderertrr" hidden="1">{#N/A,#N/A,FALSE,"Plan1";#N/A,#N/A,FALSE,"Plan2"}</definedName>
    <definedName name="sdkdjk" localSheetId="1" hidden="1">{#N/A,#N/A,FALSE,"Plan1";#N/A,#N/A,FALSE,"Plan2"}</definedName>
    <definedName name="sdkdjk" hidden="1">{#N/A,#N/A,FALSE,"Plan1";#N/A,#N/A,FALSE,"Plan2"}</definedName>
    <definedName name="sdkfjhkdgfhk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1" hidden="1">{#N/A,#N/A,FALSE,"Plan1";#N/A,#N/A,FALSE,"Plan2"}</definedName>
    <definedName name="sdkfnjd" hidden="1">{#N/A,#N/A,FALSE,"Plan1";#N/A,#N/A,FALSE,"Plan2"}</definedName>
    <definedName name="sdkk" localSheetId="1" hidden="1">{#N/A,#N/A,FALSE,"Plan1";#N/A,#N/A,FALSE,"Plan2"}</definedName>
    <definedName name="sdkk" hidden="1">{#N/A,#N/A,FALSE,"Plan1";#N/A,#N/A,FALSE,"Plan2"}</definedName>
    <definedName name="sdlfsdflj" localSheetId="1" hidden="1">{#N/A,#N/A,FALSE,"Plan1";#N/A,#N/A,FALSE,"Plan2"}</definedName>
    <definedName name="sdlfsdflj" hidden="1">{#N/A,#N/A,FALSE,"Plan1";#N/A,#N/A,FALSE,"Plan2"}</definedName>
    <definedName name="sdmfmdfsgfd" localSheetId="1" hidden="1">{#N/A,#N/A,FALSE,"Plan1";#N/A,#N/A,FALSE,"Plan2"}</definedName>
    <definedName name="sdmfmdfsgfd" hidden="1">{#N/A,#N/A,FALSE,"Plan1";#N/A,#N/A,FALSE,"Plan2"}</definedName>
    <definedName name="sd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1" hidden="1">{#N/A,#N/A,FALSE,"Plan1";#N/A,#N/A,FALSE,"Plan2"}</definedName>
    <definedName name="sdrfgt" hidden="1">{#N/A,#N/A,FALSE,"Plan1";#N/A,#N/A,FALSE,"Plan2"}</definedName>
    <definedName name="sdsd" localSheetId="1" hidden="1">{#N/A,#N/A,FALSE,"Plan1";#N/A,#N/A,FALSE,"Plan2"}</definedName>
    <definedName name="sdsd" hidden="1">{#N/A,#N/A,FALSE,"Plan1";#N/A,#N/A,FALSE,"Plan2"}</definedName>
    <definedName name="sdser" localSheetId="1" hidden="1">{#N/A,#N/A,FALSE,"Plan1";#N/A,#N/A,FALSE,"Plan2"}</definedName>
    <definedName name="sdser" hidden="1">{#N/A,#N/A,FALSE,"Plan1";#N/A,#N/A,FALSE,"Plan2"}</definedName>
    <definedName name="sdsre" localSheetId="1" hidden="1">{#N/A,#N/A,FALSE,"Plan1";#N/A,#N/A,FALSE,"Plan2"}</definedName>
    <definedName name="sdsre" hidden="1">{#N/A,#N/A,FALSE,"Plan1";#N/A,#N/A,FALSE,"Plan2"}</definedName>
    <definedName name="sdss" localSheetId="1" hidden="1">{#N/A,#N/A,FALSE,"Plan1";#N/A,#N/A,FALSE,"Plan2"}</definedName>
    <definedName name="sdss" hidden="1">{#N/A,#N/A,FALSE,"Plan1";#N/A,#N/A,FALSE,"Plan2"}</definedName>
    <definedName name="sdtrtg" localSheetId="1" hidden="1">#REF!</definedName>
    <definedName name="sdtrtg" hidden="1">#REF!</definedName>
    <definedName name="sdusi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1" hidden="1">{"Econ Consolidado",#N/A,FALSE,"Econ Consol";"Fluxo de Caixa",#N/A,FALSE,"Fluxo Caixa";"Investimentos",#N/A,FALSE,"Investimentos"}</definedName>
    <definedName name="SDWER" hidden="1">{"Econ Consolidado",#N/A,FALSE,"Econ Consol";"Fluxo de Caixa",#N/A,FALSE,"Fluxo Caixa";"Investimentos",#N/A,FALSE,"Investimentos"}</definedName>
    <definedName name="sdxfrt" localSheetId="1" hidden="1">{#N/A,#N/A,FALSE,"Plan1";#N/A,#N/A,FALSE,"Plan2"}</definedName>
    <definedName name="sdxfrt" hidden="1">{#N/A,#N/A,FALSE,"Plan1";#N/A,#N/A,FALSE,"Plan2"}</definedName>
    <definedName name="SDZFERF" localSheetId="1" hidden="1">{#N/A,#N/A,FALSE,"Plan1";#N/A,#N/A,FALSE,"Plan2"}</definedName>
    <definedName name="SDZFERF" hidden="1">{#N/A,#N/A,FALSE,"Plan1";#N/A,#N/A,FALSE,"Plan2"}</definedName>
    <definedName name="se" localSheetId="1">#REF!</definedName>
    <definedName name="se">#REF!</definedName>
    <definedName name="SEDE" localSheetId="1">#REF!</definedName>
    <definedName name="SEDE">#REF!</definedName>
    <definedName name="sefret4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1">#REF!</definedName>
    <definedName name="SEG">#REF!</definedName>
    <definedName name="segftru" localSheetId="1" hidden="1">{#N/A,#N/A,FALSE,"Plan1";#N/A,#N/A,FALSE,"Plan2"}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 localSheetId="1">#REF!</definedName>
    <definedName name="SEIS">#REF!</definedName>
    <definedName name="sencount" hidden="1">1</definedName>
    <definedName name="SEQUENCIA" localSheetId="1">#REF!</definedName>
    <definedName name="SEQUENCIA">#REF!</definedName>
    <definedName name="SEREWRSWE" localSheetId="1" hidden="1">{"tabela",#N/A,FALSE,"Tabela";"decoração",#N/A,FALSE,"Decor.";"Informações",#N/A,FALSE,"Inform."}</definedName>
    <definedName name="SEREWRSWE" hidden="1">{"tabela",#N/A,FALSE,"Tabela";"decoração",#N/A,FALSE,"Decor.";"Informações",#N/A,FALSE,"Inform."}</definedName>
    <definedName name="Set_17" localSheetId="1">#REF!</definedName>
    <definedName name="Set_17">#REF!</definedName>
    <definedName name="SETE" localSheetId="1">#REF!</definedName>
    <definedName name="SETE">#REF!</definedName>
    <definedName name="SETEMBRO" localSheetId="1">#REF!</definedName>
    <definedName name="SETEMBRO">#REF!</definedName>
    <definedName name="setRJ17">#REF!</definedName>
    <definedName name="severo">#REF!</definedName>
    <definedName name="sf" localSheetId="1" hidden="1">{#N/A,#N/A,FALSE,"Plan1";#N/A,#N/A,FALSE,"Plan2"}</definedName>
    <definedName name="sf" hidden="1">{#N/A,#N/A,FALSE,"Plan1";#N/A,#N/A,FALSE,"Plan2"}</definedName>
    <definedName name="sfcre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1" hidden="1">{#N/A,#N/A,FALSE,"Plan1";#N/A,#N/A,FALSE,"Plan2"}</definedName>
    <definedName name="sfddfd" hidden="1">{#N/A,#N/A,FALSE,"Plan1";#N/A,#N/A,FALSE,"Plan2"}</definedName>
    <definedName name="sfds" localSheetId="1" hidden="1">{#N/A,#N/A,FALSE,"Plan1";#N/A,#N/A,FALSE,"Plan2"}</definedName>
    <definedName name="sfds" hidden="1">{#N/A,#N/A,FALSE,"Plan1";#N/A,#N/A,FALSE,"Plan2"}</definedName>
    <definedName name="sfdsd" localSheetId="1" hidden="1">{#N/A,#N/A,FALSE,"Plan1";#N/A,#N/A,FALSE,"Plan2"}</definedName>
    <definedName name="sfdsd" hidden="1">{#N/A,#N/A,FALSE,"Plan1";#N/A,#N/A,FALSE,"Plan2"}</definedName>
    <definedName name="SFDSF" hidden="1">34</definedName>
    <definedName name="sfrsdrgt" localSheetId="1" hidden="1">{#N/A,#N/A,FALSE,"Plan1";#N/A,#N/A,FALSE,"Plan2"}</definedName>
    <definedName name="sfrsdrgt" hidden="1">{#N/A,#N/A,FALSE,"Plan1";#N/A,#N/A,FALSE,"Plan2"}</definedName>
    <definedName name="SFRT" localSheetId="1" hidden="1">{#N/A,#N/A,FALSE,"Plan1";#N/A,#N/A,FALSE,"Plan2"}</definedName>
    <definedName name="SFRT" hidden="1">{#N/A,#N/A,FALSE,"Plan1";#N/A,#N/A,FALSE,"Plan2"}</definedName>
    <definedName name="sfsdferf" localSheetId="1" hidden="1">{#N/A,#N/A,FALSE,"Plan1";#N/A,#N/A,FALSE,"Plan2"}</definedName>
    <definedName name="sfsdferf" hidden="1">{#N/A,#N/A,FALSE,"Plan1";#N/A,#N/A,FALSE,"Plan2"}</definedName>
    <definedName name="sfsdfs" hidden="1">34</definedName>
    <definedName name="SFSDS" localSheetId="1" hidden="1">{#N/A,#N/A,FALSE,"Plan1";#N/A,#N/A,FALSE,"Plan2"}</definedName>
    <definedName name="SFSDS" hidden="1">{#N/A,#N/A,FALSE,"Plan1";#N/A,#N/A,FALSE,"Plan2"}</definedName>
    <definedName name="SGarantia" localSheetId="1">#REF!</definedName>
    <definedName name="SGarantia">#REF!</definedName>
    <definedName name="sgtghty" localSheetId="1" hidden="1">{#N/A,#N/A,FALSE,"Plan1";#N/A,#N/A,FALSE,"Plan2"}</definedName>
    <definedName name="sgtghty" hidden="1">{#N/A,#N/A,FALSE,"Plan1";#N/A,#N/A,FALSE,"Plan2"}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 localSheetId="1">#REF!</definedName>
    <definedName name="SIH">#REF!</definedName>
    <definedName name="SISTEM1">#REF!</definedName>
    <definedName name="SISTEM2">#REF!</definedName>
    <definedName name="SIV">#REF!</definedName>
    <definedName name="sjawe" localSheetId="1" hidden="1">{#N/A,#N/A,FALSE,"Plan1";#N/A,#N/A,FALSE,"Plan2"}</definedName>
    <definedName name="sjawe" hidden="1">{#N/A,#N/A,FALSE,"Plan1";#N/A,#N/A,FALSE,"Plan2"}</definedName>
    <definedName name="sjdffd" localSheetId="1" hidden="1">{#N/A,#N/A,FALSE,"Plan1";#N/A,#N/A,FALSE,"Plan2"}</definedName>
    <definedName name="sjdffd" hidden="1">{#N/A,#N/A,FALSE,"Plan1";#N/A,#N/A,FALSE,"Plan2"}</definedName>
    <definedName name="SJDFHDJS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1" hidden="1">{#N/A,#N/A,FALSE,"Plan1";#N/A,#N/A,FALSE,"Plan2"}</definedName>
    <definedName name="SJDHFHRE" hidden="1">{#N/A,#N/A,FALSE,"Plan1";#N/A,#N/A,FALSE,"Plan2"}</definedName>
    <definedName name="SJDKJDE" localSheetId="1" hidden="1">{"Econ Consolidado",#N/A,FALSE,"Econ Consol";"Fluxo de Caixa",#N/A,FALSE,"Fluxo Caixa";"Investimentos",#N/A,FALSE,"Investimentos"}</definedName>
    <definedName name="SJDKJDE" hidden="1">{"Econ Consolidado",#N/A,FALSE,"Econ Consol";"Fluxo de Caixa",#N/A,FALSE,"Fluxo Caixa";"Investimentos",#N/A,FALSE,"Investimentos"}</definedName>
    <definedName name="sjekwjri" localSheetId="1" hidden="1">{#N/A,#N/A,FALSE,"Plan1";#N/A,#N/A,FALSE,"Plan2"}</definedName>
    <definedName name="sjekwjri" hidden="1">{#N/A,#N/A,FALSE,"Plan1";#N/A,#N/A,FALSE,"Plan2"}</definedName>
    <definedName name="sjfkdhsfds" localSheetId="1" hidden="1">{#N/A,#N/A,FALSE,"Plan1";#N/A,#N/A,FALSE,"Plan2"}</definedName>
    <definedName name="sjfkdhsfds" hidden="1">{#N/A,#N/A,FALSE,"Plan1";#N/A,#N/A,FALSE,"Plan2"}</definedName>
    <definedName name="sjkdljslkrje" localSheetId="1" hidden="1">{#N/A,#N/A,FALSE,"Plan1";#N/A,#N/A,FALSE,"Plan2"}</definedName>
    <definedName name="sjkdljslkrje" hidden="1">{#N/A,#N/A,FALSE,"Plan1";#N/A,#N/A,FALSE,"Plan2"}</definedName>
    <definedName name="skadadaszs" localSheetId="1" hidden="1">{#N/A,#N/A,FALSE,"Plan1";#N/A,#N/A,FALSE,"Plan2"}</definedName>
    <definedName name="skadadaszs" hidden="1">{#N/A,#N/A,FALSE,"Plan1";#N/A,#N/A,FALSE,"Plan2"}</definedName>
    <definedName name="SKASH" localSheetId="1" hidden="1">{#N/A,#N/A,FALSE,"Plan1";#N/A,#N/A,FALSE,"Plan2"}</definedName>
    <definedName name="SKASH" hidden="1">{#N/A,#N/A,FALSE,"Plan1";#N/A,#N/A,FALSE,"Plan2"}</definedName>
    <definedName name="skldfrde" localSheetId="1" hidden="1">{#N/A,#N/A,FALSE,"Plan1";#N/A,#N/A,FALSE,"Plan2"}</definedName>
    <definedName name="skldfrde" hidden="1">{#N/A,#N/A,FALSE,"Plan1";#N/A,#N/A,FALSE,"Plan2"}</definedName>
    <definedName name="skosroer" localSheetId="1" hidden="1">{#N/A,#N/A,FALSE,"Plan1";#N/A,#N/A,FALSE,"Plan2"}</definedName>
    <definedName name="skosroer" hidden="1">{#N/A,#N/A,FALSE,"Plan1";#N/A,#N/A,FALSE,"Plan2"}</definedName>
    <definedName name="SO" localSheetId="1">#REF!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 localSheetId="1">#REF!</definedName>
    <definedName name="soma">#REF!</definedName>
    <definedName name="sp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1" hidden="1">{#N/A,#N/A,FALSE,"Plan1";#N/A,#N/A,FALSE,"Plan2"}</definedName>
    <definedName name="sQEWWE" hidden="1">{#N/A,#N/A,FALSE,"Plan1";#N/A,#N/A,FALSE,"Plan2"}</definedName>
    <definedName name="SR" localSheetId="1" hidden="1">#REF!</definedName>
    <definedName name="SR" hidden="1">#REF!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1" hidden="1">#REF!</definedName>
    <definedName name="ss">#REF!</definedName>
    <definedName name="sssss" hidden="1">#REF!</definedName>
    <definedName name="stake_cury">#REF!</definedName>
    <definedName name="status_projeto" localSheetId="1" hidden="1">OFFSET(INDEX(#REF!,MATCH(#REF!,#REF!,0)),1,0,COUNTA(#REF!)-1)</definedName>
    <definedName name="status_projeto" hidden="1">OFFSET(INDEX(#REF!,MATCH(#REF!,#REF!,0)),1,0,COUNTA(#REF!)-1)</definedName>
    <definedName name="SUB_TOTAL_1" localSheetId="1">#REF!</definedName>
    <definedName name="SUB_TOTAL_1">#REF!</definedName>
    <definedName name="SUBDER" localSheetId="1">#REF!</definedName>
    <definedName name="SUBDER">#REF!</definedName>
    <definedName name="SUBDIV" localSheetId="1">#REF!</definedName>
    <definedName name="SUBDIV">#REF!</definedName>
    <definedName name="SUBEQP">#REF!</definedName>
    <definedName name="SUBMUR">#REF!</definedName>
    <definedName name="summ" hidden="1">#REF!</definedName>
    <definedName name="susref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_actual">#REF!</definedName>
    <definedName name="t_cc">#REF!</definedName>
    <definedName name="t_KSB1_Transport">#REF!</definedName>
    <definedName name="tab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 localSheetId="1">#REF!</definedName>
    <definedName name="TAB_GASTOS">#REF!</definedName>
    <definedName name="TABACABAMENTOS" localSheetId="1">#REF!</definedName>
    <definedName name="TABACABAMENTOS">#REF!</definedName>
    <definedName name="tabela" localSheetId="1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 localSheetId="1">OFFSET(#REF!,0,0,COUNTA(#REF!)+1,1)</definedName>
    <definedName name="TAUX2">OFFSET(#REF!,0,0,COUNTA(#REF!)+1,1)</definedName>
    <definedName name="TAUX3">OFFSET(#REF!,0,0,COUNTA(#REF!)+1,1)</definedName>
    <definedName name="TAXA_VENTO" localSheetId="1">#REF!</definedName>
    <definedName name="TAXA_VENTO">#REF!</definedName>
    <definedName name="TAXAS" localSheetId="1">#REF!</definedName>
    <definedName name="TAXAS">#REF!</definedName>
    <definedName name="TbDin" localSheetId="1">OFFSET(#REF!,0,0,COUNTA(#REF!),13)</definedName>
    <definedName name="TbDin">OFFSET(#REF!,0,0,COUNTA(#REF!),13)</definedName>
    <definedName name="tc" localSheetId="1">#REF!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 localSheetId="1" hidden="1">{"'Edit'!$A$1:$V$2277"}</definedName>
    <definedName name="Test" hidden="1">{"'Edit'!$A$1:$V$2277"}</definedName>
    <definedName name="TESTANDO" localSheetId="1" hidden="1">{#N/A,#N/A,TRUE,"Quinzena 01 à 15-04-98 "}</definedName>
    <definedName name="TESTANDO" hidden="1">{#N/A,#N/A,TRUE,"Quinzena 01 à 15-04-98 "}</definedName>
    <definedName name="teste" localSheetId="1">#REF!</definedName>
    <definedName name="teste">#REF!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 localSheetId="1">#REF!</definedName>
    <definedName name="teste3">#REF!</definedName>
    <definedName name="TESTHKEY" localSheetId="1">#REF!</definedName>
    <definedName name="TESTHKEY">#REF!</definedName>
    <definedName name="teto1" localSheetId="1">#REF!</definedName>
    <definedName name="teto1">#REF!</definedName>
    <definedName name="Teto2">#REF!</definedName>
    <definedName name="tetuytw">#REF!</definedName>
    <definedName name="TextRefCopyRangeCount" hidden="1">1</definedName>
    <definedName name="thjgsergsr" localSheetId="1" hidden="1">{#N/A,#N/A,FALSE,"Plan1";#N/A,#N/A,FALSE,"Plan2"}</definedName>
    <definedName name="thjgsergsr" hidden="1">{#N/A,#N/A,FALSE,"Plan1";#N/A,#N/A,FALSE,"Plan2"}</definedName>
    <definedName name="THYJ" localSheetId="1" hidden="1">{#N/A,#N/A,FALSE,"Plan1";#N/A,#N/A,FALSE,"Plan2"}</definedName>
    <definedName name="THYJ" hidden="1">{#N/A,#N/A,FALSE,"Plan1";#N/A,#N/A,FALSE,"Plan2"}</definedName>
    <definedName name="tihjgih" localSheetId="1" hidden="1">{#N/A,#N/A,FALSE,"Plan1";#N/A,#N/A,FALSE,"Plan2"}</definedName>
    <definedName name="tihjgih" hidden="1">{#N/A,#N/A,FALSE,"Plan1";#N/A,#N/A,FALSE,"Plan2"}</definedName>
    <definedName name="TIPO_CTT" localSheetId="1">#REF!</definedName>
    <definedName name="TIPO_CTT">#REF!</definedName>
    <definedName name="Tipo_de_Diretoria" localSheetId="1">#REF!</definedName>
    <definedName name="Tipo_de_Diretoria">#REF!</definedName>
    <definedName name="Tipo_de_Gestao" localSheetId="1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_xlnm.Print_Titles" localSheetId="14">'Acabamentos de Piso e Parede'!$7:$11</definedName>
    <definedName name="_xlnm.Print_Titles" localSheetId="7">ALVENARIA!$2:$2</definedName>
    <definedName name="_xlnm.Print_Titles" localSheetId="16">COBERTURA!#REF!</definedName>
    <definedName name="_xlnm.Print_Titles" localSheetId="19">COMPLEMENTARES!#REF!</definedName>
    <definedName name="_xlnm.Print_Titles" localSheetId="5">CONTENÇÃO!$2:$2</definedName>
    <definedName name="_xlnm.Print_Titles" localSheetId="3">CONTENÇÕES!$2:$2</definedName>
    <definedName name="_xlnm.Print_Titles" localSheetId="1">#REF!</definedName>
    <definedName name="_xlnm.Print_Titles" localSheetId="0">DADOS_INICIAIS!$1:$6</definedName>
    <definedName name="_xlnm.Print_Titles" localSheetId="17">ESQUADRIAS!$2:$2</definedName>
    <definedName name="_xlnm.Print_Titles" localSheetId="10">IMPERMEABILIZAÇÃO!$2:$2</definedName>
    <definedName name="_xlnm.Print_Titles" localSheetId="4">INFRAESTRUTURA!$2:$2</definedName>
    <definedName name="_xlnm.Print_Titles" localSheetId="8">INSTALAÇÕES!#REF!</definedName>
    <definedName name="_xlnm.Print_Titles" localSheetId="2">MOVIMENTAÇÃO_DE_TERRA!#REF!</definedName>
    <definedName name="_xlnm.Print_Titles" localSheetId="15">'PINTURA INTERNA'!$2:$2</definedName>
    <definedName name="_xlnm.Print_Titles" localSheetId="18">'Rev. Fachada'!$7:$11</definedName>
    <definedName name="_xlnm.Print_Titles" localSheetId="12">'Rev. Internos Piso e Parede'!$7:$11</definedName>
    <definedName name="_xlnm.Print_Titles" localSheetId="9">'SISTEMAS ESPECIAIS'!#REF!</definedName>
    <definedName name="_xlnm.Print_Titles" localSheetId="6">SUPRAESTRUTURA!$2:$2</definedName>
    <definedName name="_xlnm.Print_Titles" localSheetId="13">TETO!$2:$2</definedName>
    <definedName name="_xlnm.Print_Titles">#REF!</definedName>
    <definedName name="Títulos_impressão_IM">#REF!</definedName>
    <definedName name="TMO">#REF!</definedName>
    <definedName name="TOLTAL2">#REF!</definedName>
    <definedName name="TOT" localSheetId="16">#REF!</definedName>
    <definedName name="TOT" localSheetId="19">#REF!</definedName>
    <definedName name="TOT" localSheetId="0">#REF!</definedName>
    <definedName name="TOT" localSheetId="8">#REF!</definedName>
    <definedName name="TOT" localSheetId="2">#REF!</definedName>
    <definedName name="TOT" localSheetId="9">#REF!</definedName>
    <definedName name="TOT">#REF!</definedName>
    <definedName name="tot3estac">#REF!</definedName>
    <definedName name="TOTAIS">#REF!</definedName>
    <definedName name="Total" localSheetId="0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 localSheetId="1">OFFSET(#REF!,0,0,COUNTA(#REF!),1)</definedName>
    <definedName name="TOTG">OFFSET(#REF!,0,0,COUNTA(#REF!),1)</definedName>
    <definedName name="totperfura" localSheetId="1">#REF!</definedName>
    <definedName name="totperfura">#REF!</definedName>
    <definedName name="TOTQTS" localSheetId="1">#REF!</definedName>
    <definedName name="TOTQTS">#REF!</definedName>
    <definedName name="TOTT" localSheetId="1">OFFSET(#REF!,0,0,COUNTA(#REF!)+1,1)</definedName>
    <definedName name="TOTT">OFFSET(#REF!,0,0,COUNTA(#REF!)+1,1)</definedName>
    <definedName name="TR" localSheetId="1">#REF!</definedName>
    <definedName name="TR">#REF!</definedName>
    <definedName name="Transferencia1" localSheetId="1">#REF!</definedName>
    <definedName name="Transferencia1">#REF!</definedName>
    <definedName name="TRES" localSheetId="1">#REF!</definedName>
    <definedName name="TRES">#REF!</definedName>
    <definedName name="TREZE">#REF!</definedName>
    <definedName name="tri">#REF!</definedName>
    <definedName name="Trimestre_data_base">#REF!</definedName>
    <definedName name="trjyidih" localSheetId="1" hidden="1">{#N/A,#N/A,FALSE,"Plan1";#N/A,#N/A,FALSE,"Plan2"}</definedName>
    <definedName name="trjyidih" hidden="1">{#N/A,#N/A,FALSE,"Plan1";#N/A,#N/A,FALSE,"Plan2"}</definedName>
    <definedName name="TRP" localSheetId="1">#REF!</definedName>
    <definedName name="TRP">#REF!</definedName>
    <definedName name="TTT">#REF!</definedName>
    <definedName name="TURNO">#REF!</definedName>
    <definedName name="tuyedjsksj" localSheetId="1" hidden="1">{#N/A,#N/A,FALSE,"Plan1";#N/A,#N/A,FALSE,"Plan2"}</definedName>
    <definedName name="tuyedjsksj" hidden="1">{#N/A,#N/A,FALSE,"Plan1";#N/A,#N/A,FALSE,"Plan2"}</definedName>
    <definedName name="TX_ADM" localSheetId="1">#REF!</definedName>
    <definedName name="TX_ADM">#REF!</definedName>
    <definedName name="tx_desconto_real" localSheetId="1">#REF!</definedName>
    <definedName name="tx_desconto_real">#REF!</definedName>
    <definedName name="TxAplicMes" localSheetId="1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 localSheetId="1" hidden="1">{#N/A,#N/A,FALSE,"Plan1";#N/A,#N/A,FALSE,"Plan2"}</definedName>
    <definedName name="TYHGFHFHG" hidden="1">{#N/A,#N/A,FALSE,"Plan1";#N/A,#N/A,FALSE,"Plan2"}</definedName>
    <definedName name="u" localSheetId="16" hidden="1">{#N/A,#N/A,FALSE,"ET-CAPA";#N/A,#N/A,FALSE,"ET-PAG1";#N/A,#N/A,FALSE,"ET-PAG2";#N/A,#N/A,FALSE,"ET-PAG3";#N/A,#N/A,FALSE,"ET-PAG4";#N/A,#N/A,FALSE,"ET-PAG5"}</definedName>
    <definedName name="u" localSheetId="19" hidden="1">{#N/A,#N/A,FALSE,"ET-CAPA";#N/A,#N/A,FALSE,"ET-PAG1";#N/A,#N/A,FALSE,"ET-PAG2";#N/A,#N/A,FALSE,"ET-PAG3";#N/A,#N/A,FALSE,"ET-PAG4";#N/A,#N/A,FALSE,"ET-PAG5"}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8" hidden="1">{#N/A,#N/A,FALSE,"ET-CAPA";#N/A,#N/A,FALSE,"ET-PAG1";#N/A,#N/A,FALSE,"ET-PAG2";#N/A,#N/A,FALSE,"ET-PAG3";#N/A,#N/A,FALSE,"ET-PAG4";#N/A,#N/A,FALSE,"ET-PAG5"}</definedName>
    <definedName name="u" localSheetId="2" hidden="1">{#N/A,#N/A,FALSE,"ET-CAPA";#N/A,#N/A,FALSE,"ET-PAG1";#N/A,#N/A,FALSE,"ET-PAG2";#N/A,#N/A,FALSE,"ET-PAG3";#N/A,#N/A,FALSE,"ET-PAG4";#N/A,#N/A,FALSE,"ET-PAG5"}</definedName>
    <definedName name="u" localSheetId="9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udhgfhfg" localSheetId="1" hidden="1">{#N/A,#N/A,FALSE,"Plan1";#N/A,#N/A,FALSE,"Plan2"}</definedName>
    <definedName name="udhgfhfg" hidden="1">{#N/A,#N/A,FALSE,"Plan1";#N/A,#N/A,FALSE,"Plan2"}</definedName>
    <definedName name="ueiutriuef" localSheetId="1" hidden="1">{#N/A,#N/A,FALSE,"Plan1";#N/A,#N/A,FALSE,"Plan2"}</definedName>
    <definedName name="ueiutriuef" hidden="1">{#N/A,#N/A,FALSE,"Plan1";#N/A,#N/A,FALSE,"Plan2"}</definedName>
    <definedName name="UENSIT" localSheetId="1">#REF!</definedName>
    <definedName name="UENSIT">#REF!</definedName>
    <definedName name="UENSITS" localSheetId="1">#REF!</definedName>
    <definedName name="UENSITS">#REF!</definedName>
    <definedName name="UHGSDUS" localSheetId="1" hidden="1">{#N/A,#N/A,FALSE,"Plan1";#N/A,#N/A,FALSE,"Plan2"}</definedName>
    <definedName name="UHGSDUS" hidden="1">{#N/A,#N/A,FALSE,"Plan1";#N/A,#N/A,FALSE,"Plan2"}</definedName>
    <definedName name="UI" localSheetId="1" hidden="1">#REF!</definedName>
    <definedName name="UI" hidden="1">#REF!</definedName>
    <definedName name="UIHWER45R" localSheetId="1" hidden="1">{#N/A,#N/A,FALSE,"Plan1";#N/A,#N/A,FALSE,"Plan2"}</definedName>
    <definedName name="UIHWER45R" hidden="1">{#N/A,#N/A,FALSE,"Plan1";#N/A,#N/A,FALSE,"Plan2"}</definedName>
    <definedName name="uiosderuiu" localSheetId="1" hidden="1">{#N/A,#N/A,FALSE,"Plan1";#N/A,#N/A,FALSE,"Plan2"}</definedName>
    <definedName name="uiosderuiu" hidden="1">{#N/A,#N/A,FALSE,"Plan1";#N/A,#N/A,FALSE,"Plan2"}</definedName>
    <definedName name="UIOURET" localSheetId="1" hidden="1">{#N/A,#N/A,FALSE,"Plan1";#N/A,#N/A,FALSE,"Plan2"}</definedName>
    <definedName name="UIOURET" hidden="1">{#N/A,#N/A,FALSE,"Plan1";#N/A,#N/A,FALSE,"Plan2"}</definedName>
    <definedName name="uiwuer" localSheetId="1" hidden="1">{#N/A,#N/A,FALSE,"Plan1";#N/A,#N/A,FALSE,"Plan2"}</definedName>
    <definedName name="uiwuer" hidden="1">{#N/A,#N/A,FALSE,"Plan1";#N/A,#N/A,FALSE,"Plan2"}</definedName>
    <definedName name="UKHDFDSGUDFKD" localSheetId="1" hidden="1">{#N/A,#N/A,FALSE,"Plan1";#N/A,#N/A,FALSE,"Plan2"}</definedName>
    <definedName name="UKHDFDSGUDFKD" hidden="1">{#N/A,#N/A,FALSE,"Plan1";#N/A,#N/A,FALSE,"Plan2"}</definedName>
    <definedName name="um" hidden="1">0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 localSheetId="1">OFFSET(#REF!,0,0,COUNTA(#REF!),1)</definedName>
    <definedName name="UNID">OFFSET(#REF!,0,0,COUNTA(#REF!),1)</definedName>
    <definedName name="uni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 localSheetId="1">#REF!</definedName>
    <definedName name="univ_cdi">#REF!</definedName>
    <definedName name="univ_hist" localSheetId="1">#REF!</definedName>
    <definedName name="univ_hist">#REF!</definedName>
    <definedName name="univ_uss" localSheetId="1">#REF!</definedName>
    <definedName name="univ_uss">#REF!</definedName>
    <definedName name="UPS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1" hidden="1">{#N/A,#N/A,FALSE,"Plan1";#N/A,#N/A,FALSE,"Plan2"}</definedName>
    <definedName name="uryrtyt" hidden="1">{#N/A,#N/A,FALSE,"Plan1";#N/A,#N/A,FALSE,"Plan2"}</definedName>
    <definedName name="V" localSheetId="1">#REF!</definedName>
    <definedName name="V">#REF!</definedName>
    <definedName name="VALIDADE_EXECUÇÃO" localSheetId="1">#REF!</definedName>
    <definedName name="VALIDADE_EXECUÇÃO">#REF!</definedName>
    <definedName name="Valor_PLS_Controladoria" localSheetId="1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 localSheetId="1">#REF!</definedName>
    <definedName name="VAOS">#REF!</definedName>
    <definedName name="vdsgfrhgfr" localSheetId="1" hidden="1">{#N/A,#N/A,FALSE,"Plan1";#N/A,#N/A,FALSE,"Plan2"}</definedName>
    <definedName name="vdsgfrhgfr" hidden="1">{#N/A,#N/A,FALSE,"Plan1";#N/A,#N/A,FALSE,"Plan2"}</definedName>
    <definedName name="Veiculos" localSheetId="1">#REF!</definedName>
    <definedName name="Veiculos">#REF!</definedName>
    <definedName name="VENDA_ADOTADA" localSheetId="1">#REF!</definedName>
    <definedName name="VENDA_ADOTADA">#REF!</definedName>
    <definedName name="VENDAFINAL_R" localSheetId="1">#REF!</definedName>
    <definedName name="VENDAFINAL_R">#REF!</definedName>
    <definedName name="VENDAFINAL_U">#REF!</definedName>
    <definedName name="Vendas">#REF!</definedName>
    <definedName name="vendas_">#REF!</definedName>
    <definedName name="VERIFICAR" localSheetId="1" hidden="1">{#N/A,#N/A,TRUE,"Quinzena 01 à 15-04-98 "}</definedName>
    <definedName name="VERIFICAR" hidden="1">{#N/A,#N/A,TRUE,"Quinzena 01 à 15-04-98 "}</definedName>
    <definedName name="versao_estudo" localSheetId="1">#REF!</definedName>
    <definedName name="versao_estudo">#REF!</definedName>
    <definedName name="vfbg" localSheetId="1">#REF!</definedName>
    <definedName name="vfbg">#REF!</definedName>
    <definedName name="vfnijf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1" hidden="1">{#N/A,#N/A,FALSE,"Plan1";#N/A,#N/A,FALSE,"Plan2"}</definedName>
    <definedName name="VFV" hidden="1">{#N/A,#N/A,FALSE,"Plan1";#N/A,#N/A,FALSE,"Plan2"}</definedName>
    <definedName name="VI" localSheetId="1">#REF!</definedName>
    <definedName name="VI">#REF!</definedName>
    <definedName name="VINTE" localSheetId="1">#REF!</definedName>
    <definedName name="VINTE">#REF!</definedName>
    <definedName name="visao_cashflow" localSheetId="1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 localSheetId="1" hidden="1">IF(#REF!="Ativa",OFFSET(INDEX(rng_list_classificacao,MATCH(#REF!,rng_list_classificacao,0)),1,0,COUNTA(rng_list_classificacao)-1),#REF!)</definedName>
    <definedName name="vld_classificacao" hidden="1">IF(#REF!="Ativa",OFFSET(INDEX(rng_list_classificacao,MATCH(#REF!,rng_list_classificacao,0)),1,0,COUNTA(rng_list_classificacao)-1),#REF!)</definedName>
    <definedName name="vld_regional" localSheetId="1" hidden="1">OFFSET(INDEX(rng_list_regional,MATCH(#REF!,rng_list_regional,0)),1,0,COUNTA(rng_list_regional)-1)</definedName>
    <definedName name="vld_regional" hidden="1">OFFSET(INDEX(rng_list_regional,MATCH(#REF!,rng_list_regional,0)),1,0,COUNTA(rng_list_regional)-1)</definedName>
    <definedName name="vld_segmento" localSheetId="1" hidden="1">IF(#REF!="Ativa",OFFSET(INDEX(rng_list_segmento,MATCH(#REF!,rng_list_segmento,0)),1,0,COUNTA(rng_list_segmento)-1),#REF!)</definedName>
    <definedName name="vld_segmento" hidden="1">IF(#REF!="Ativa",OFFSET(INDEX(rng_list_segmento,MATCH(#REF!,rng_list_segmento,0)),1,0,COUNTA(rng_list_segmento)-1),#REF!)</definedName>
    <definedName name="vld_sociedade" localSheetId="1" hidden="1">OFFSET(INDEX(rng_list_sociedade,MATCH(#REF!,rng_list_sociedade,0)),1,0,COUNTA(rng_list_sociedade)-1)</definedName>
    <definedName name="vld_sociedade" hidden="1">OFFSET(INDEX(rng_list_sociedade,MATCH(#REF!,rng_list_sociedade,0)),1,0,COUNTA(rng_list_sociedade)-1)</definedName>
    <definedName name="vld_status_empresa" localSheetId="1" hidden="1">OFFSET(INDEX(rng_list_status_empresa,MATCH(#REF!,rng_list_status_empresa,0)),1,0,COUNTA(rng_list_status_empresa)-1)</definedName>
    <definedName name="vld_status_empresa" hidden="1">OFFSET(INDEX(rng_list_status_empresa,MATCH(#REF!,rng_list_status_empresa,0)),1,0,COUNTA(rng_list_status_empresa)-1)</definedName>
    <definedName name="vld_status_lancamento" localSheetId="1" hidden="1">IF(#REF!="Ativa",OFFSET(INDEX(rng_list_status_lancamento,MATCH(#REF!,rng_list_status_lancamento,0)),1,0,COUNTA(rng_list_status_lancamento)-1),#REF!)</definedName>
    <definedName name="vld_status_lancamento" hidden="1">IF(#REF!="Ativa",OFFSET(INDEX(rng_list_status_lancamento,MATCH(#REF!,rng_list_status_lancamento,0)),1,0,COUNTA(rng_list_status_lancamento)-1),#REF!)</definedName>
    <definedName name="vld_status_projeto" localSheetId="1" hidden="1">IF(#REF!="Ativa",OFFSET(INDEX(rng_list_status_projeto,MATCH(#REF!,rng_list_status_projeto,0)),1,0,COUNTA(rng_list_status_projeto)-1),#REF!)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localSheetId="1" hidden="1">OFFSET(INDEX(rng_list_status_viabilidade,MATCH(#REF!,rng_list_status_viabilidade,0)),1,0,COUNTA(rng_list_status_viabilidade)-1)</definedName>
    <definedName name="vld_status_viabilidade" hidden="1">OFFSET(INDEX(rng_list_status_viabilidade,MATCH(#REF!,rng_list_status_viabilidade,0)),1,0,COUNTA(rng_list_status_viabilidade)-1)</definedName>
    <definedName name="VOLUME1" localSheetId="1">#REF!</definedName>
    <definedName name="VOLUME1">#REF!</definedName>
    <definedName name="VOLUME2" localSheetId="1">#REF!</definedName>
    <definedName name="VOLUME2">#REF!</definedName>
    <definedName name="VOLUME3" localSheetId="1">#REF!</definedName>
    <definedName name="VOLUME3">#REF!</definedName>
    <definedName name="VSDHFGDFGR" localSheetId="1" hidden="1">{#N/A,#N/A,FALSE,"Plan1";#N/A,#N/A,FALSE,"Plan2"}</definedName>
    <definedName name="VSDHFGDFGR" hidden="1">{#N/A,#N/A,FALSE,"Plan1";#N/A,#N/A,FALSE,"Plan2"}</definedName>
    <definedName name="vvbb" localSheetId="1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1" hidden="1">{#N/A,#N/A,FALSE,"Plan1";#N/A,#N/A,FALSE,"Plan2"}</definedName>
    <definedName name="vvcbnb" hidden="1">{#N/A,#N/A,FALSE,"Plan1";#N/A,#N/A,FALSE,"Plan2"}</definedName>
    <definedName name="vvvvv" localSheetId="1" hidden="1">{"Econ Consolidado",#N/A,FALSE,"Econ Consol";"Fluxo de Caixa",#N/A,FALSE,"Fluxo Caixa";"Investimentos",#N/A,FALSE,"Investimentos"}</definedName>
    <definedName name="vvvvv" hidden="1">{"Econ Consolidado",#N/A,FALSE,"Econ Consol";"Fluxo de Caixa",#N/A,FALSE,"Fluxo Caixa";"Investimentos",#N/A,FALSE,"Investimentos"}</definedName>
    <definedName name="vvvvvv" localSheetId="1" hidden="1">{#N/A,#N/A,FALSE,"Plan1";#N/A,#N/A,FALSE,"Plan2"}</definedName>
    <definedName name="vvvvvv" hidden="1">{#N/A,#N/A,FALSE,"Plan1";#N/A,#N/A,FALSE,"Plan2"}</definedName>
    <definedName name="vvvvvvvvvvvvvvvvv" localSheetId="1" hidden="1">{"HW",#N/A,FALSE,"1998"}</definedName>
    <definedName name="vvvvvvvvvvvvvvvvv" hidden="1">{"HW",#N/A,FALSE,"1998"}</definedName>
    <definedName name="VX" localSheetId="1" hidden="1">#REF!</definedName>
    <definedName name="VX" hidden="1">#REF!</definedName>
    <definedName name="w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cc" localSheetId="1">#REF!</definedName>
    <definedName name="wacc">#REF!</definedName>
    <definedName name="wadalrdjlaev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localSheetId="1" hidden="1">#REF!</definedName>
    <definedName name="wdewr" hidden="1">#REF!</definedName>
    <definedName name="WE" hidden="1">#REF!</definedName>
    <definedName name="weki_9701.xls" hidden="1">#REF!</definedName>
    <definedName name="wekir9701.xls" hidden="1">#REF!</definedName>
    <definedName name="werw4tr" localSheetId="1" hidden="1">{#N/A,#N/A,FALSE,"Plan1";#N/A,#N/A,FALSE,"Plan2"}</definedName>
    <definedName name="werw4tr" hidden="1">{#N/A,#N/A,FALSE,"Plan1";#N/A,#N/A,FALSE,"Plan2"}</definedName>
    <definedName name="wetoedjtkdr" localSheetId="1" hidden="1">{#N/A,#N/A,FALSE,"Plan1";#N/A,#N/A,FALSE,"Plan2"}</definedName>
    <definedName name="wetoedjtkdr" hidden="1">{#N/A,#N/A,FALSE,"Plan1";#N/A,#N/A,FALSE,"Plan2"}</definedName>
    <definedName name="WHATS" localSheetId="1" hidden="1">{"'Edit'!$A$1:$V$2277"}</definedName>
    <definedName name="WHATS" hidden="1">{"'Edit'!$A$1:$V$2277"}</definedName>
    <definedName name="win.VESSEL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 localSheetId="1">#REF!</definedName>
    <definedName name="WITENS">#REF!</definedName>
    <definedName name="WKJHIR" localSheetId="1" hidden="1">{#N/A,#N/A,FALSE,"Plan1";#N/A,#N/A,FALSE,"Plan2"}</definedName>
    <definedName name="WKJHIR" hidden="1">{#N/A,#N/A,FALSE,"Plan1";#N/A,#N/A,FALSE,"Plan2"}</definedName>
    <definedName name="WLQ" localSheetId="1" hidden="1">{#N/A,#N/A,FALSE,"명세표"}</definedName>
    <definedName name="WLQ" hidden="1">{#N/A,#N/A,FALSE,"명세표"}</definedName>
    <definedName name="WNMLOCAL" localSheetId="1">#REF!</definedName>
    <definedName name="WNMLOCAL">#REF!</definedName>
    <definedName name="WNMMUN" localSheetId="1">#REF!</definedName>
    <definedName name="WNMMUN">#REF!</definedName>
    <definedName name="WNMSERV" localSheetId="1">#REF!</definedName>
    <definedName name="WNMSERV">#REF!</definedName>
    <definedName name="worl_cdi">#REF!</definedName>
    <definedName name="worl_hist">#REF!</definedName>
    <definedName name="worl_uss">#REF!</definedName>
    <definedName name="WRITE" localSheetId="1" hidden="1">{#N/A,#N/A,FALSE,"CCTV"}</definedName>
    <definedName name="WRITE" hidden="1">{#N/A,#N/A,FALSE,"CCTV"}</definedName>
    <definedName name="wrn.BM." localSheetId="1" hidden="1">{#N/A,#N/A,FALSE,"CCTV"}</definedName>
    <definedName name="wrn.BM." hidden="1">{#N/A,#N/A,FALSE,"CCTV"}</definedName>
    <definedName name="wrn.Brita98.xls." localSheetId="1" hidden="1">{#N/A,#N/A,TRUE,"Quinzena 01 à 15-04-98 "}</definedName>
    <definedName name="wrn.Brita98.xls." hidden="1">{#N/A,#N/A,TRUE,"Quinzena 01 à 15-04-98 "}</definedName>
    <definedName name="wrn.Completo." localSheetId="1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1" hidden="1">{"EconCons",#N/A,TRUE,"Econômico - Consolidado";"CaixaCons",#N/A,TRUE,"Caixa - Consolidado";"InvestCons",#N/A,TRUE,"Invest Consolidado"}</definedName>
    <definedName name="wrn.Cons." hidden="1">{"EconCons",#N/A,TRUE,"Econômico - Consolidado";"CaixaCons",#N/A,TRUE,"Caixa - Consolidado";"InvestCons",#N/A,TRUE,"Invest Consolidado"}</definedName>
    <definedName name="wrn.Consolidado." localSheetId="1" hidden="1">{"Econ Consolidado",#N/A,FALSE,"Econ Consol";"Fluxo de Caixa",#N/A,FALSE,"Fluxo Caixa";"Investimentos",#N/A,FALSE,"Investimentos"}</definedName>
    <definedName name="wrn.Consolidado." hidden="1">{"Econ Consolidado",#N/A,FALSE,"Econ Consol";"Fluxo de Caixa",#N/A,FALSE,"Fluxo Caixa";"Investimentos",#N/A,FALSE,"Investimentos"}</definedName>
    <definedName name="wrn.GERAL." localSheetId="16" hidden="1">{#N/A,#N/A,FALSE,"ET-CAPA";#N/A,#N/A,FALSE,"ET-PAG1";#N/A,#N/A,FALSE,"ET-PAG2";#N/A,#N/A,FALSE,"ET-PAG3";#N/A,#N/A,FALSE,"ET-PAG4";#N/A,#N/A,FALSE,"ET-PAG5"}</definedName>
    <definedName name="wrn.GERAL." localSheetId="19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8" hidden="1">{#N/A,#N/A,FALSE,"ET-CAPA";#N/A,#N/A,FALSE,"ET-PAG1";#N/A,#N/A,FALSE,"ET-PAG2";#N/A,#N/A,FALSE,"ET-PAG3";#N/A,#N/A,FALSE,"ET-PAG4";#N/A,#N/A,FALSE,"ET-PAG5"}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localSheetId="9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HAGE." localSheetId="1" hidden="1">{#N/A,#N/A,FALSE,"cdi";#N/A,#N/A,FALSE,"debent";#N/A,#N/A,FALSE,"fdos";#N/A,#N/A,FALSE,"resumo"}</definedName>
    <definedName name="wrn.HAGE." hidden="1">{#N/A,#N/A,FALSE,"cdi";#N/A,#N/A,FALSE,"debent";#N/A,#N/A,FALSE,"fdos";#N/A,#N/A,FALSE,"resumo"}</definedName>
    <definedName name="wrn.HAGE01" localSheetId="1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localSheetId="1" hidden="1">{"HW",#N/A,FALSE,"1998"}</definedName>
    <definedName name="wrn.HW." hidden="1">{"HW",#N/A,FALSE,"1998"}</definedName>
    <definedName name="wrn.imp_flx." localSheetId="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1" hidden="1">{#N/A,#N/A,FALSE,"Plan1";#N/A,#N/A,FALSE,"Plan2"}</definedName>
    <definedName name="wrn.IMPRESSO." hidden="1">{#N/A,#N/A,FALSE,"Plan1";#N/A,#N/A,FALSE,"Plan2"}</definedName>
    <definedName name="wrn.Imprimir." localSheetId="1" hidden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LPU._.MG." localSheetId="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1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localSheetId="1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_.Report._.Package." localSheetId="1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1" hidden="1">{#N/A,#N/A,FALSE,"F-01"}</definedName>
    <definedName name="wrn.Planiha._.de._.Medição._.F._.01." hidden="1">{#N/A,#N/A,FALSE,"F-01"}</definedName>
    <definedName name="wrn.Planiha._.de._.Medição._.F._.01._1" localSheetId="1" hidden="1">{#N/A,#N/A,FALSE,"F-01"}</definedName>
    <definedName name="wrn.Planiha._.de._.Medição._.F._.01._1" hidden="1">{#N/A,#N/A,FALSE,"F-01"}</definedName>
    <definedName name="wrn.Planilha_de_Medição_F_02" localSheetId="1" hidden="1">{#N/A,#N/A,FALSE,"F-01"}</definedName>
    <definedName name="wrn.Planilha_de_Medição_F_02" hidden="1">{#N/A,#N/A,FALSE,"F-01"}</definedName>
    <definedName name="wrn.print._.all." localSheetId="1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All." localSheetId="1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1" hidden="1">{#N/A,#N/A,FALSE,"Sheet1";#N/A,#N/A,FALSE,"Sheet2";#N/A,#N/A,FALSE,"Sheet3"}</definedName>
    <definedName name="wrn.PrintCurr." hidden="1">{#N/A,#N/A,FALSE,"Sheet1";#N/A,#N/A,FALSE,"Sheet2";#N/A,#N/A,FALSE,"Sheet3"}</definedName>
    <definedName name="wrn.PrintPrev1." localSheetId="1" hidden="1">{#N/A,#N/A,FALSE,"Sheet4";#N/A,#N/A,FALSE,"Sheet5";#N/A,#N/A,FALSE,"Sheet6"}</definedName>
    <definedName name="wrn.PrintPrev1." hidden="1">{#N/A,#N/A,FALSE,"Sheet4";#N/A,#N/A,FALSE,"Sheet5";#N/A,#N/A,FALSE,"Sheet6"}</definedName>
    <definedName name="wrn.PrintPrev2." localSheetId="1" hidden="1">{#N/A,#N/A,FALSE,"Sheet7";#N/A,#N/A,FALSE,"Sheet8";#N/A,#N/A,FALSE,"Sheet9"}</definedName>
    <definedName name="wrn.PrintPrev2." hidden="1">{#N/A,#N/A,FALSE,"Sheet7";#N/A,#N/A,FALSE,"Sheet8";#N/A,#N/A,FALSE,"Sheet9"}</definedName>
    <definedName name="wrn.Quadros._.relatório." localSheetId="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1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1" hidden="1">{#N/A,#N/A,FALSE,"TABLE"}</definedName>
    <definedName name="wrn.STAFFS." hidden="1">{#N/A,#N/A,FALSE,"TABLE"}</definedName>
    <definedName name="wrn.TERCEIRO." localSheetId="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1" hidden="1">{#N/A,#N/A,FALSE,"명세표"}</definedName>
    <definedName name="wrn.test1." hidden="1">{#N/A,#N/A,FALSE,"명세표"}</definedName>
    <definedName name="wrn.Unidades." localSheetId="1" hidden="1">{"Rio Branco",#N/A,FALSE,"Rio Branco";"Itajaí",#N/A,FALSE,"Itajaí";"Pinheiro Machado",#N/A,FALSE,"PMachado";"Esteio",#N/A,FALSE,"Esteio"}</definedName>
    <definedName name="wrn.Unidades." hidden="1">{"Rio Branco",#N/A,FALSE,"Rio Branco";"Itajaí",#N/A,FALSE,"Itajaí";"Pinheiro Machado",#N/A,FALSE,"PMachado";"Esteio",#N/A,FALSE,"Esteio"}</definedName>
    <definedName name="wrn.VESSEL및N2._.구입사양서.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1" hidden="1">{#N/A,#N/A,FALSE,"Sheet1";#N/A,#N/A,FALSE,"Sheet2";#N/A,#N/A,FALSE,"TAB96-1"}</definedName>
    <definedName name="wrn.견적." hidden="1">{#N/A,#N/A,FALSE,"Sheet1";#N/A,#N/A,FALSE,"Sheet2";#N/A,#N/A,FALSE,"TAB96-1"}</definedName>
    <definedName name="wrn.보호계전기." localSheetId="1" hidden="1">{#N/A,#N/A,FALSE,"ENG'G(보호계전기)"}</definedName>
    <definedName name="wrn.보호계전기." hidden="1">{#N/A,#N/A,FALSE,"ENG'G(보호계전기)"}</definedName>
    <definedName name="wrn.현장._.NCR._.분석." localSheetId="1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1.Cons." localSheetId="1" hidden="1">{"EconCons",#N/A,TRUE,"Econômico - Consolidado";"CaixaCons",#N/A,TRUE,"Caixa - Consolidado";"InvestCons",#N/A,TRUE,"Invest Consolidado"}</definedName>
    <definedName name="wrn1.Cons." hidden="1">{"EconCons",#N/A,TRUE,"Econômico - Consolidado";"CaixaCons",#N/A,TRUE,"Caixa - Consolidado";"InvestCons",#N/A,TRUE,"Invest Consolidado"}</definedName>
    <definedName name="wrn1.print._.all." localSheetId="1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S" localSheetId="1" hidden="1">{"'장비'!$A$3:$M$12"}</definedName>
    <definedName name="WRS" hidden="1">{"'장비'!$A$3:$M$12"}</definedName>
    <definedName name="wrt" localSheetId="1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vu.PLANILHA2.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1">#REF!</definedName>
    <definedName name="X">#REF!</definedName>
    <definedName name="XALFA" localSheetId="1">#REF!</definedName>
    <definedName name="XALFA">#REF!</definedName>
    <definedName name="XC" localSheetId="1">#REF!</definedName>
    <definedName name="XC">#REF!</definedName>
    <definedName name="xcfrt" localSheetId="1" hidden="1">{#N/A,#N/A,FALSE,"Plan1";#N/A,#N/A,FALSE,"Plan2"}</definedName>
    <definedName name="xcfrt" hidden="1">{#N/A,#N/A,FALSE,"Plan1";#N/A,#N/A,FALSE,"Plan2"}</definedName>
    <definedName name="xcgjkfghf" localSheetId="1" hidden="1">{#N/A,#N/A,FALSE,"Plan1";#N/A,#N/A,FALSE,"Plan2"}</definedName>
    <definedName name="xcgjkfghf" hidden="1">{#N/A,#N/A,FALSE,"Plan1";#N/A,#N/A,FALSE,"Plan2"}</definedName>
    <definedName name="XCGJKVHFDG" localSheetId="1" hidden="1">{#N/A,#N/A,FALSE,"Plan1";#N/A,#N/A,FALSE,"Plan2"}</definedName>
    <definedName name="XCGJKVHFDG" hidden="1">{#N/A,#N/A,FALSE,"Plan1";#N/A,#N/A,FALSE,"Plan2"}</definedName>
    <definedName name="xcgtrty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 localSheetId="1">#REF!</definedName>
    <definedName name="XCI">#REF!</definedName>
    <definedName name="XCII" localSheetId="1">#REF!</definedName>
    <definedName name="XCII">#REF!</definedName>
    <definedName name="XCIII" localSheetId="1">#REF!</definedName>
    <definedName name="XCIII">#REF!</definedName>
    <definedName name="XCIV">#REF!</definedName>
    <definedName name="XCIX">#REF!</definedName>
    <definedName name="xçl" localSheetId="1" hidden="1">{#N/A,#N/A,FALSE,"Plan1";#N/A,#N/A,FALSE,"Plan2"}</definedName>
    <definedName name="xçl" hidden="1">{#N/A,#N/A,FALSE,"Plan1";#N/A,#N/A,FALSE,"Plan2"}</definedName>
    <definedName name="xcndj" localSheetId="1" hidden="1">{#N/A,#N/A,FALSE,"Plan1";#N/A,#N/A,FALSE,"Plan2"}</definedName>
    <definedName name="xcndj" hidden="1">{#N/A,#N/A,FALSE,"Plan1";#N/A,#N/A,FALSE,"Plan2"}</definedName>
    <definedName name="XCV" localSheetId="1">#REF!</definedName>
    <definedName name="XCV">#REF!</definedName>
    <definedName name="XCVGGT" localSheetId="1" hidden="1">{#N/A,#N/A,FALSE,"Plan1";#N/A,#N/A,FALSE,"Plan2"}</definedName>
    <definedName name="XCVGGT" hidden="1">{#N/A,#N/A,FALSE,"Plan1";#N/A,#N/A,FALSE,"Plan2"}</definedName>
    <definedName name="XCVI" localSheetId="1">#REF!</definedName>
    <definedName name="XCVI">#REF!</definedName>
    <definedName name="XCVII" localSheetId="1">#REF!</definedName>
    <definedName name="XCVII">#REF!</definedName>
    <definedName name="XCVIII" localSheetId="1">#REF!</definedName>
    <definedName name="XCVIII">#REF!</definedName>
    <definedName name="xcvrg" localSheetId="1" hidden="1">{#N/A,#N/A,FALSE,"Plan1";#N/A,#N/A,FALSE,"Plan2"}</definedName>
    <definedName name="xcvrg" hidden="1">{#N/A,#N/A,FALSE,"Plan1";#N/A,#N/A,FALSE,"Plan2"}</definedName>
    <definedName name="XDATA" localSheetId="1">#REF!</definedName>
    <definedName name="XDATA">#REF!</definedName>
    <definedName name="xdfef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1" hidden="1">{#N/A,#N/A,FALSE,"Plan1";#N/A,#N/A,FALSE,"Plan2"}</definedName>
    <definedName name="xdgtyhyt" hidden="1">{#N/A,#N/A,FALSE,"Plan1";#N/A,#N/A,FALSE,"Plan2"}</definedName>
    <definedName name="xfdlfj" localSheetId="1" hidden="1">{#N/A,#N/A,FALSE,"Plan1";#N/A,#N/A,FALSE,"Plan2"}</definedName>
    <definedName name="xfdlfj" hidden="1">{#N/A,#N/A,FALSE,"Plan1";#N/A,#N/A,FALSE,"Plan2"}</definedName>
    <definedName name="xfdxfdf" localSheetId="1" hidden="1">{#N/A,#N/A,FALSE,"Plan1";#N/A,#N/A,FALSE,"Plan2"}</definedName>
    <definedName name="xfdxfdf" hidden="1">{#N/A,#N/A,FALSE,"Plan1";#N/A,#N/A,FALSE,"Plan2"}</definedName>
    <definedName name="XFJKLDJKLG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1" hidden="1">{#N/A,#N/A,FALSE,"Plan1";#N/A,#N/A,FALSE,"Plan2"}</definedName>
    <definedName name="xfrty" hidden="1">{#N/A,#N/A,FALSE,"Plan1";#N/A,#N/A,FALSE,"Plan2"}</definedName>
    <definedName name="XF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1" hidden="1">{"Econ Consolidado",#N/A,FALSE,"Econ Consol";"Fluxo de Caixa",#N/A,FALSE,"Fluxo Caixa";"Investimentos",#N/A,FALSE,"Investimentos"}</definedName>
    <definedName name="xfvchdhhd" hidden="1">{"Econ Consolidado",#N/A,FALSE,"Econ Consol";"Fluxo de Caixa",#N/A,FALSE,"Fluxo Caixa";"Investimentos",#N/A,FALSE,"Investimentos"}</definedName>
    <definedName name="xfvgcfgt" localSheetId="1" hidden="1">{#N/A,#N/A,FALSE,"Plan1";#N/A,#N/A,FALSE,"Plan2"}</definedName>
    <definedName name="xfvgcfgt" hidden="1">{#N/A,#N/A,FALSE,"Plan1";#N/A,#N/A,FALSE,"Plan2"}</definedName>
    <definedName name="xgrg" localSheetId="1" hidden="1">{#N/A,#N/A,FALSE,"Plan1";#N/A,#N/A,FALSE,"Plan2"}</definedName>
    <definedName name="xgrg" hidden="1">{#N/A,#N/A,FALSE,"Plan1";#N/A,#N/A,FALSE,"Plan2"}</definedName>
    <definedName name="XI" localSheetId="1">#REF!</definedName>
    <definedName name="XI">#REF!</definedName>
    <definedName name="XII" localSheetId="1">#REF!</definedName>
    <definedName name="XII">#REF!</definedName>
    <definedName name="XIII" localSheetId="1">#REF!</definedName>
    <definedName name="XIII">#REF!</definedName>
    <definedName name="XITEM">#REF!</definedName>
    <definedName name="XIV">#REF!</definedName>
    <definedName name="XLOC">#REF!</definedName>
    <definedName name="xmght" localSheetId="1" hidden="1">{#N/A,#N/A,FALSE,"Plan1";#N/A,#N/A,FALSE,"Plan2"}</definedName>
    <definedName name="xmght" hidden="1">{#N/A,#N/A,FALSE,"Plan1";#N/A,#N/A,FALSE,"Plan2"}</definedName>
    <definedName name="xnInforme_quantos_bebedouros____bebqt__if_bebqt__0__xlQt.bebedouros_invalida___ENTER_p_reinformar__xresp__branch_rqtderv" localSheetId="1">#REF!</definedName>
    <definedName name="xnInforme_quantos_bebedouros____bebqt__if_bebqt__0__xlQt.bebedouros_invalida___ENTER_p_reinformar__xresp__branch_rqtderv">#REF!</definedName>
    <definedName name="XNUCOPIAS" localSheetId="1">#REF!</definedName>
    <definedName name="XNUCOPIAS">#REF!</definedName>
    <definedName name="xo" localSheetId="1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localSheetId="1" hidden="1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ColumnsCount" hidden="1">1</definedName>
    <definedName name="XRefCopy2" hidden="1">#REF!</definedName>
    <definedName name="XRefCopy3Row" hidden="1">#REF!</definedName>
    <definedName name="XRefCopy4Row" hidden="1">#REF!</definedName>
    <definedName name="XRefCopy6" hidden="1">#REF!</definedName>
    <definedName name="XRefCopyRangeCount" hidden="1">1</definedName>
    <definedName name="XRefPaste2" hidden="1">#REF!</definedName>
    <definedName name="XRefPaste4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RESP" localSheetId="1">#REF!</definedName>
    <definedName name="XRESP">#REF!</definedName>
    <definedName name="XTITRES" localSheetId="1">#REF!</definedName>
    <definedName name="XTITRES">#REF!</definedName>
    <definedName name="XV" localSheetId="1">#REF!</definedName>
    <definedName name="XV">#REF!</definedName>
    <definedName name="xx" hidden="1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I" localSheetId="1">#REF!</definedName>
    <definedName name="XXXI">#REF!</definedName>
    <definedName name="XXXII" localSheetId="1">#REF!</definedName>
    <definedName name="XXXII">#REF!</definedName>
    <definedName name="XXXIII" localSheetId="1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 localSheetId="16">#REF!</definedName>
    <definedName name="xxxx" localSheetId="19">#REF!</definedName>
    <definedName name="xxxx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0">#REF!</definedName>
    <definedName name="xxxx" localSheetId="8">#REF!</definedName>
    <definedName name="xxxx" localSheetId="2">#REF!</definedName>
    <definedName name="xxxx" localSheetId="9">#REF!</definedName>
    <definedName name="xxxx">#REF!</definedName>
    <definedName name="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1" hidden="1">{"'Edit'!$A$1:$V$2277"}</definedName>
    <definedName name="xxxxxxxxxxxx" hidden="1">{"'Edit'!$A$1:$V$2277"}</definedName>
    <definedName name="xxxxxxxxxxxxxx" localSheetId="1" hidden="1">{#N/A,#N/A,FALSE,"Plan1";#N/A,#N/A,FALSE,"Plan2"}</definedName>
    <definedName name="xxxxxxxxxxxxxx" hidden="1">{#N/A,#N/A,FALSE,"Plan1";#N/A,#N/A,FALSE,"Plan2"}</definedName>
    <definedName name="xzfrt" localSheetId="1" hidden="1">{#N/A,#N/A,FALSE,"Plan1";#N/A,#N/A,FALSE,"Plan2"}</definedName>
    <definedName name="xzfrt" hidden="1">{#N/A,#N/A,FALSE,"Plan1";#N/A,#N/A,FALSE,"Plan2"}</definedName>
    <definedName name="yeitrtged" localSheetId="1" hidden="1">{#N/A,#N/A,FALSE,"Plan1";#N/A,#N/A,FALSE,"Plan2"}</definedName>
    <definedName name="yeitrtged" hidden="1">{#N/A,#N/A,FALSE,"Plan1";#N/A,#N/A,FALSE,"Plan2"}</definedName>
    <definedName name="yhdfiuygrui" localSheetId="1" hidden="1">{#N/A,#N/A,FALSE,"Plan1";#N/A,#N/A,FALSE,"Plan2"}</definedName>
    <definedName name="yhdfiuygrui" hidden="1">{#N/A,#N/A,FALSE,"Plan1";#N/A,#N/A,FALSE,"Plan2"}</definedName>
    <definedName name="YRGUYDRIY" localSheetId="1" hidden="1">{"Econ Consolidado",#N/A,FALSE,"Econ Consol";"Fluxo de Caixa",#N/A,FALSE,"Fluxo Caixa";"Investimentos",#N/A,FALSE,"Investimentos"}</definedName>
    <definedName name="YRGUYDRIY" hidden="1">{"Econ Consolidado",#N/A,FALSE,"Econ Consol";"Fluxo de Caixa",#N/A,FALSE,"Fluxo Caixa";"Investimentos",#N/A,FALSE,"Investimentos"}</definedName>
    <definedName name="ytdju" localSheetId="1">#REF!</definedName>
    <definedName name="ytdju">#REF!</definedName>
    <definedName name="yuegursdmksf" localSheetId="1" hidden="1">{#N/A,#N/A,FALSE,"Plan1";#N/A,#N/A,FALSE,"Plan2"}</definedName>
    <definedName name="yuegursdmksf" hidden="1">{#N/A,#N/A,FALSE,"Plan1";#N/A,#N/A,FALSE,"Plan2"}</definedName>
    <definedName name="yuekl4fr" localSheetId="1" hidden="1">{#N/A,#N/A,FALSE,"Plan1";#N/A,#N/A,FALSE,"Plan2"}</definedName>
    <definedName name="yuekl4fr" hidden="1">{#N/A,#N/A,FALSE,"Plan1";#N/A,#N/A,FALSE,"Plan2"}</definedName>
    <definedName name="yureytuyrea" localSheetId="1" hidden="1">{#N/A,#N/A,FALSE,"Plan1";#N/A,#N/A,FALSE,"Plan2"}</definedName>
    <definedName name="yureytuyrea" hidden="1">{#N/A,#N/A,FALSE,"Plan1";#N/A,#N/A,FALSE,"Plan2"}</definedName>
    <definedName name="z" localSheetId="1" hidden="1">{"'Estimativa de Lançamento-JAN'!$A$1:$AI$85"}</definedName>
    <definedName name="z" hidden="1">{"'Estimativa de Lançamento-JAN'!$A$1:$AI$85"}</definedName>
    <definedName name="z\djs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localSheetId="1" hidden="1">#REF!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localSheetId="1" hidden="1">#REF!,#REF!</definedName>
    <definedName name="Z_60DF8B29_1C1F_4B50_BDA8_B8E0C7DD04C3_.wvu.Cols" hidden="1">#REF!,#REF!</definedName>
    <definedName name="Z_60DF8B29_1C1F_4B50_BDA8_B8E0C7DD04C3_.wvu.FilterData" localSheetId="1" hidden="1">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localSheetId="1" hidden="1">#REF!,#REF!</definedName>
    <definedName name="Z_E3FFE9E0_6C4F_4FB4_A56E_FBE96871B5C8_.wvu.Cols" hidden="1">#REF!,#REF!</definedName>
    <definedName name="Z_E3FFE9E0_6C4F_4FB4_A56E_FBE96871B5C8_.wvu.FilterData" localSheetId="1" hidden="1">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localSheetId="1" hidden="1">{#N/A,#N/A,FALSE,"Plan1";#N/A,#N/A,FALSE,"Plan2"}</definedName>
    <definedName name="zcdçskld" hidden="1">{#N/A,#N/A,FALSE,"Plan1";#N/A,#N/A,FALSE,"Plan2"}</definedName>
    <definedName name="zcsdrfrt" localSheetId="1" hidden="1">{#N/A,#N/A,FALSE,"Plan1";#N/A,#N/A,FALSE,"Plan2"}</definedName>
    <definedName name="zcsdrfrt" hidden="1">{#N/A,#N/A,FALSE,"Plan1";#N/A,#N/A,FALSE,"Plan2"}</definedName>
    <definedName name="ZDRE" localSheetId="1" hidden="1">{#N/A,#N/A,FALSE,"Plan1";#N/A,#N/A,FALSE,"Plan2"}</definedName>
    <definedName name="ZDRE" hidden="1">{#N/A,#N/A,FALSE,"Plan1";#N/A,#N/A,FALSE,"Plan2"}</definedName>
    <definedName name="ZEZE" localSheetId="1">#REF!</definedName>
    <definedName name="ZEZE">#REF!</definedName>
    <definedName name="ZIN" localSheetId="1">#REF!</definedName>
    <definedName name="ZIN">#REF!</definedName>
    <definedName name="ZINS" localSheetId="1">#REF!</definedName>
    <definedName name="ZINS">#REF!</definedName>
    <definedName name="ZSADF" localSheetId="1" hidden="1">{#N/A,#N/A,FALSE,"Plan1";#N/A,#N/A,FALSE,"Plan2"}</definedName>
    <definedName name="ZSADF" hidden="1">{#N/A,#N/A,FALSE,"Plan1";#N/A,#N/A,FALSE,"Plan2"}</definedName>
    <definedName name="zsads" localSheetId="1" hidden="1">{#N/A,#N/A,FALSE,"Plan1";#N/A,#N/A,FALSE,"Plan2"}</definedName>
    <definedName name="zsads" hidden="1">{#N/A,#N/A,FALSE,"Plan1";#N/A,#N/A,FALSE,"Plan2"}</definedName>
    <definedName name="ZSDFSETR" localSheetId="1" hidden="1">#REF!</definedName>
    <definedName name="ZSDFSETR" hidden="1">#REF!</definedName>
    <definedName name="zsds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1" hidden="1">{#N/A,#N/A,FALSE,"Plan1";#N/A,#N/A,FALSE,"Plan2"}</definedName>
    <definedName name="zxccdf" hidden="1">{#N/A,#N/A,FALSE,"Plan1";#N/A,#N/A,FALSE,"Plan2"}</definedName>
    <definedName name="zxcdsf" localSheetId="1" hidden="1">#REF!</definedName>
    <definedName name="zxcdsf" hidden="1">#REF!</definedName>
    <definedName name="zxcfdstrrt" localSheetId="1" hidden="1">{#N/A,#N/A,FALSE,"Plan1";#N/A,#N/A,FALSE,"Plan2"}</definedName>
    <definedName name="zxcfdstrrt" hidden="1">{#N/A,#N/A,FALSE,"Plan1";#N/A,#N/A,FALSE,"Plan2"}</definedName>
    <definedName name="zxcx" localSheetId="1" hidden="1">{#N/A,#N/A,FALSE,"Plan1";#N/A,#N/A,FALSE,"Plan2"}</definedName>
    <definedName name="zxcx" hidden="1">{#N/A,#N/A,FALSE,"Plan1";#N/A,#N/A,FALSE,"Plan2"}</definedName>
    <definedName name="ZXFCR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1" hidden="1">{#N/A,#N/A,FALSE,"Plan1";#N/A,#N/A,FALSE,"Plan2"}</definedName>
    <definedName name="ZXFHDFRHDF" hidden="1">{#N/A,#N/A,FALSE,"Plan1";#N/A,#N/A,FALSE,"Plan2"}</definedName>
    <definedName name="ZZ" localSheetId="1">#REF!</definedName>
    <definedName name="ZZ">#REF!</definedName>
    <definedName name="zzdftr" localSheetId="1" hidden="1">{#N/A,#N/A,FALSE,"Plan1";#N/A,#N/A,FALSE,"Plan2"}</definedName>
    <definedName name="zzdftr" hidden="1">{#N/A,#N/A,FALSE,"Plan1";#N/A,#N/A,FALSE,"Plan2"}</definedName>
    <definedName name="zzz" localSheetId="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ㄱ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1" hidden="1">{"'장비'!$A$3:$M$12"}</definedName>
    <definedName name="ㄱㄷㄱㄷㄱㄱㅎㄺㄷ" hidden="1">{"'장비'!$A$3:$M$12"}</definedName>
    <definedName name="가나다" hidden="1">#REF!</definedName>
    <definedName name="검증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localSheetId="1" hidden="1">#REF!</definedName>
    <definedName name="견적조건" hidden="1">#REF!</definedName>
    <definedName name="계약고햔황2" hidden="1">#REF!</definedName>
    <definedName name="계약고현황2" hidden="1">#REF!</definedName>
    <definedName name="고문" localSheetId="1" hidden="1">{#N/A,#N/A,FALSE,"현장 NCR 분석";#N/A,#N/A,FALSE,"현장품질감사";#N/A,#N/A,FALSE,"현장품질감사"}</definedName>
    <definedName name="고문" hidden="1">{#N/A,#N/A,FALSE,"현장 NCR 분석";#N/A,#N/A,FALSE,"현장품질감사";#N/A,#N/A,FALSE,"현장품질감사"}</definedName>
    <definedName name="고문2" localSheetId="1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1" hidden="1">{#N/A,#N/A,FALSE,"ENG'G(보호계전기)"}</definedName>
    <definedName name="공급구분표_수정" hidden="1">{#N/A,#N/A,FALSE,"ENG'G(보호계전기)"}</definedName>
    <definedName name="공급표표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localSheetId="1" hidden="1">#REF!</definedName>
    <definedName name="ㄴㄴㄴㄴ" hidden="1">#REF!</definedName>
    <definedName name="내역" localSheetId="1" hidden="1">{#N/A,#N/A,FALSE,"CCTV"}</definedName>
    <definedName name="내역" hidden="1">{#N/A,#N/A,FALSE,"CCTV"}</definedName>
    <definedName name="ㄷㄳ" localSheetId="1" hidden="1">{"'장비'!$A$3:$M$12"}</definedName>
    <definedName name="ㄷㄳ" hidden="1">{"'장비'!$A$3:$M$12"}</definedName>
    <definedName name="ㄷㄷㄷㄷ" localSheetId="1" hidden="1">{"'장비'!$A$3:$M$12"}</definedName>
    <definedName name="ㄷㄷㄷㄷ" hidden="1">{"'장비'!$A$3:$M$12"}</definedName>
    <definedName name="ㄷㅈㅂㄷ" localSheetId="1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localSheetId="1" hidden="1">{"'장비'!$A$3:$M$12"}</definedName>
    <definedName name="ㄹㄹ" hidden="1">{"'장비'!$A$3:$M$12"}</definedName>
    <definedName name="ㄹㄹㄹ" hidden="1">#REF!</definedName>
    <definedName name="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1" hidden="1">{#N/A,#N/A,FALSE,"현장 NCR 분석";#N/A,#N/A,FALSE,"현장품질감사";#N/A,#N/A,FALSE,"현장품질감사"}</definedName>
    <definedName name="러러러" hidden="1">{#N/A,#N/A,FALSE,"현장 NCR 분석";#N/A,#N/A,FALSE,"현장품질감사";#N/A,#N/A,FALSE,"현장품질감사"}</definedName>
    <definedName name="ㅁ" localSheetId="1" hidden="1">{#N/A,#N/A,FALSE,"명세표"}</definedName>
    <definedName name="ㅁ" hidden="1">{#N/A,#N/A,FALSE,"명세표"}</definedName>
    <definedName name="ㅁㄱ해ㅜ5" localSheetId="1" hidden="1">#REF!</definedName>
    <definedName name="ㅁㄱ해ㅜ5" hidden="1">#REF!</definedName>
    <definedName name="ㅁ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1" hidden="1">{#N/A,#N/A,FALSE,"명세표"}</definedName>
    <definedName name="ㅁㅁ" hidden="1">{#N/A,#N/A,FALSE,"명세표"}</definedName>
    <definedName name="ㅁㅁㅁ" localSheetId="1" hidden="1">#REF!</definedName>
    <definedName name="ㅁㅁㅁ" hidden="1">#REF!</definedName>
    <definedName name="ㅁㅁㅁㅁㅁㅁㅁㅁㅁㅁㅁㅁ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1" hidden="1">{#N/A,#N/A,FALSE,"명세표"}</definedName>
    <definedName name="머" hidden="1">{#N/A,#N/A,FALSE,"명세표"}</definedName>
    <definedName name="ㅂㅂㅂㅂ" localSheetId="1" hidden="1">{#N/A,#N/A,FALSE,"명세표"}</definedName>
    <definedName name="ㅂㅂㅂㅂ" hidden="1">{#N/A,#N/A,FALSE,"명세표"}</definedName>
    <definedName name="ㅂㅂㅂㅂㅂㅂㅂ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1" hidden="1">{"'장비'!$A$3:$M$12"}</definedName>
    <definedName name="ㅂㅈㄱㅂㅈㄷㄱ" hidden="1">{"'장비'!$A$3:$M$12"}</definedName>
    <definedName name="ㅂㅈㄷ" localSheetId="1" hidden="1">{"'장비'!$A$3:$M$12"}</definedName>
    <definedName name="ㅂㅈㄷ" hidden="1">{"'장비'!$A$3:$M$12"}</definedName>
    <definedName name="ㅂㅈㄷㄷㅂㅈㅈㅂ" localSheetId="1" hidden="1">{"'장비'!$A$3:$M$12"}</definedName>
    <definedName name="ㅂㅈㄷㄷㅂㅈㅈㅂ" hidden="1">{"'장비'!$A$3:$M$12"}</definedName>
    <definedName name="ㅂㅈㄷㅂㅈ" localSheetId="1" hidden="1">{"'장비'!$A$3:$M$12"}</definedName>
    <definedName name="ㅂㅈㄷㅂㅈ" hidden="1">{"'장비'!$A$3:$M$12"}</definedName>
    <definedName name="ㅂㅈㄷㅂㅈㅈㅂㄷ" localSheetId="1" hidden="1">{"'장비'!$A$3:$M$12"}</definedName>
    <definedName name="ㅂㅈㄷㅂㅈㅈㅂㄷ" hidden="1">{"'장비'!$A$3:$M$12"}</definedName>
    <definedName name="ㅂㅈㄷㅈㅂㄷ" localSheetId="1" hidden="1">{"'장비'!$A$3:$M$12"}</definedName>
    <definedName name="ㅂㅈㄷㅈㅂㄷ" hidden="1">{"'장비'!$A$3:$M$12"}</definedName>
    <definedName name="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localSheetId="1" hidden="1">#REF!</definedName>
    <definedName name="보충" hidden="1">#REF!</definedName>
    <definedName name="보호" localSheetId="1" hidden="1">{#N/A,#N/A,FALSE,"ENG'G(보호계전기)"}</definedName>
    <definedName name="보호" hidden="1">{#N/A,#N/A,FALSE,"ENG'G(보호계전기)"}</definedName>
    <definedName name="본공사공정표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1" hidden="1">#REF!</definedName>
    <definedName name="부대공사" hidden="1">#REF!</definedName>
    <definedName name="부손익" localSheetId="1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분야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1" hidden="1">{"'장비'!$A$3:$M$12"}</definedName>
    <definedName name="ㅅㄱㄱㄷ" hidden="1">{"'장비'!$A$3:$M$12"}</definedName>
    <definedName name="ㅅㅅㅅㅅㅅ" localSheetId="1" hidden="1">{"'장비'!$A$3:$M$12"}</definedName>
    <definedName name="ㅅㅅㅅㅅㅅ" hidden="1">{"'장비'!$A$3:$M$12"}</definedName>
    <definedName name="사업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localSheetId="1" hidden="1">#REF!</definedName>
    <definedName name="사업계획수정" hidden="1">#REF!</definedName>
    <definedName name="사업관리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localSheetId="1" hidden="1">#REF!</definedName>
    <definedName name="사업부양식2" hidden="1">#REF!</definedName>
    <definedName name="산출" hidden="1">#REF!</definedName>
    <definedName name="새안" localSheetId="1" hidden="1">{#N/A,#N/A,FALSE,"TABLE"}</definedName>
    <definedName name="새안" hidden="1">{#N/A,#N/A,FALSE,"TABLE"}</definedName>
    <definedName name="석항" localSheetId="1" hidden="1">{#N/A,#N/A,FALSE,"명세표"}</definedName>
    <definedName name="석항" hidden="1">{#N/A,#N/A,FALSE,"명세표"}</definedName>
    <definedName name="설계현황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localSheetId="1" hidden="1">#REF!</definedName>
    <definedName name="손익계산서" hidden="1">#REF!</definedName>
    <definedName name="쇼ㅗㅎ로" localSheetId="1" hidden="1">{"'장비'!$A$3:$M$12"}</definedName>
    <definedName name="쇼ㅗㅎ로" hidden="1">{"'장비'!$A$3:$M$12"}</definedName>
    <definedName name="수" hidden="1">#REF!</definedName>
    <definedName name="수당" hidden="1">#N/A</definedName>
    <definedName name="신설" localSheetId="1" hidden="1">{#N/A,#N/A,FALSE,"명세표"}</definedName>
    <definedName name="신설" hidden="1">{#N/A,#N/A,FALSE,"명세표"}</definedName>
    <definedName name="실적총괄1" localSheetId="1" hidden="1">#REF!</definedName>
    <definedName name="실적총괄1" hidden="1">#REF!</definedName>
    <definedName name="실총" hidden="1">#REF!</definedName>
    <definedName name="ㅇㄹㄹ" hidden="1">#REF!</definedName>
    <definedName name="ㅇㅇ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localSheetId="1" hidden="1">#REF!</definedName>
    <definedName name="ㅇㅇㅇㅇ" hidden="1">#REF!</definedName>
    <definedName name="양식변경123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localSheetId="1" hidden="1">#REF!</definedName>
    <definedName name="이월" hidden="1">#REF!</definedName>
    <definedName name="이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1" hidden="1">{#N/A,#N/A,FALSE,"명세표"}</definedName>
    <definedName name="ㅈ" hidden="1">{#N/A,#N/A,FALSE,"명세표"}</definedName>
    <definedName name="ㅈㅈㅈㅈ" localSheetId="1" hidden="1">{#N/A,#N/A,FALSE,"명세표"}</definedName>
    <definedName name="ㅈㅈㅈㅈ" hidden="1">{#N/A,#N/A,FALSE,"명세표"}</definedName>
    <definedName name="자미" localSheetId="1" hidden="1">{#N/A,#N/A,FALSE,"명세표"}</definedName>
    <definedName name="자미" hidden="1">{#N/A,#N/A,FALSE,"명세표"}</definedName>
    <definedName name="자운" localSheetId="1" hidden="1">#REF!</definedName>
    <definedName name="자운" hidden="1">#REF!</definedName>
    <definedName name="자재3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localSheetId="1" hidden="1">#REF!</definedName>
    <definedName name="전계장금액" hidden="1">#REF!</definedName>
    <definedName name="전기사양_SAMPLE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1" hidden="1">#REF!</definedName>
    <definedName name="전선조장" hidden="1">#REF!</definedName>
    <definedName name="조직표현장" hidden="1">#REF!</definedName>
    <definedName name="종합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1" hidden="1">{#N/A,#N/A,FALSE,"ENG'G(보호계전기)"}</definedName>
    <definedName name="중량비교검토" hidden="1">{#N/A,#N/A,FALSE,"ENG'G(보호계전기)"}</definedName>
    <definedName name="집계" localSheetId="1" hidden="1">{#N/A,#N/A,FALSE,"명세표"}</definedName>
    <definedName name="집계" hidden="1">{#N/A,#N/A,FALSE,"명세표"}</definedName>
    <definedName name="철골공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1" hidden="1">{#N/A,#N/A,FALSE,"명세표"}</definedName>
    <definedName name="ㅋㅁ" hidden="1">{#N/A,#N/A,FALSE,"명세표"}</definedName>
    <definedName name="ㅋㅋㅋ" localSheetId="1" hidden="1">{#N/A,#N/A,FALSE,"명세표"}</definedName>
    <definedName name="ㅋㅋㅋ" hidden="1">{#N/A,#N/A,FALSE,"명세표"}</definedName>
    <definedName name="ㅌㅌ" localSheetId="1" hidden="1">{#N/A,#N/A,FALSE,"명세표"}</definedName>
    <definedName name="ㅌㅌ" hidden="1">{#N/A,#N/A,FALSE,"명세표"}</definedName>
    <definedName name="토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1" hidden="1">{"'장비'!$A$3:$M$12"}</definedName>
    <definedName name="ㅎㅎㅎㅎ" hidden="1">{"'장비'!$A$3:$M$12"}</definedName>
    <definedName name="하하하" localSheetId="1" hidden="1">{#N/A,#N/A,FALSE,"명세표"}</definedName>
    <definedName name="하하하" hidden="1">{#N/A,#N/A,FALSE,"명세표"}</definedName>
    <definedName name="한국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1" hidden="1">{#N/A,#N/A,FALSE,"명세표"}</definedName>
    <definedName name="호호호" hidden="1">{#N/A,#N/A,FALSE,"명세표"}</definedName>
    <definedName name="ㅏㅏㅏ" localSheetId="1" hidden="1">{#N/A,#N/A,FALSE,"명세표"}</definedName>
    <definedName name="ㅏㅏㅏ" hidden="1">{#N/A,#N/A,FALSE,"명세표"}</definedName>
    <definedName name="ㅔㅔ" localSheetId="1" hidden="1">{#N/A,#N/A,FALSE,"명세표"}</definedName>
    <definedName name="ㅔㅔ" hidden="1">{#N/A,#N/A,FALSE,"명세표"}</definedName>
    <definedName name="ㅔㅔㅔㅔㅔ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1" hidden="1">{"'장비'!$A$3:$M$12"}</definedName>
    <definedName name="ㅗ홓ㅎ로" hidden="1">{"'장비'!$A$3:$M$12"}</definedName>
    <definedName name="ㅗㅗ" localSheetId="1" hidden="1">{#N/A,#N/A,FALSE,"명세표"}</definedName>
    <definedName name="ㅗㅗ" hidden="1">{#N/A,#N/A,FALSE,"명세표"}</definedName>
    <definedName name="ㅗㅗㅗㅗㅗ" localSheetId="1" hidden="1">{"'장비'!$A$3:$M$12"}</definedName>
    <definedName name="ㅗㅗㅗㅗㅗ" hidden="1">{"'장비'!$A$3:$M$12"}</definedName>
    <definedName name="ㅛ" localSheetId="1" hidden="1">{"'장비'!$A$3:$M$12"}</definedName>
    <definedName name="ㅛ" hidden="1">{"'장비'!$A$3:$M$12"}</definedName>
    <definedName name="ㅛㅕㅛㅕㅛ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1" hidden="1">{"'장비'!$A$3:$M$12"}</definedName>
    <definedName name="ㅛㅛㅛ" hidden="1">{"'장비'!$A$3:$M$12"}</definedName>
    <definedName name="ㅜ" localSheetId="1" hidden="1">{#N/A,#N/A,FALSE,"명세표"}</definedName>
    <definedName name="ㅜ" hidden="1">{#N/A,#N/A,FALSE,"명세표"}</definedName>
    <definedName name="ㅠㅠ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1" hidden="1">{#N/A,#N/A,FALSE,"명세표"}</definedName>
    <definedName name="ㅡㅡ" hidden="1">{#N/A,#N/A,FALSE,"명세표"}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48" l="1"/>
  <c r="D22" i="48"/>
  <c r="G30" i="61"/>
  <c r="H10" i="61"/>
  <c r="B34" i="61"/>
  <c r="B35" i="61" l="1"/>
  <c r="E36" i="65" l="1"/>
  <c r="F16" i="64" l="1"/>
  <c r="D16" i="64"/>
  <c r="B16" i="64"/>
  <c r="B28" i="53"/>
  <c r="E34" i="53"/>
  <c r="E33" i="53"/>
  <c r="C34" i="53"/>
  <c r="C33" i="53"/>
  <c r="B33" i="53"/>
  <c r="D19" i="53"/>
  <c r="C49" i="46" l="1"/>
  <c r="E10" i="46" l="1"/>
  <c r="C30" i="46" l="1"/>
  <c r="F12" i="65"/>
  <c r="F14" i="65"/>
  <c r="F15" i="65"/>
  <c r="F17" i="65"/>
  <c r="F21" i="65"/>
  <c r="D15" i="65"/>
  <c r="D14" i="65"/>
  <c r="H30" i="65"/>
  <c r="H29" i="65"/>
  <c r="G29" i="65"/>
  <c r="G30" i="65"/>
  <c r="F30" i="65"/>
  <c r="E29" i="65"/>
  <c r="E30" i="65"/>
  <c r="D30" i="65"/>
  <c r="D18" i="65"/>
  <c r="D17" i="65"/>
  <c r="D21" i="65"/>
  <c r="G11" i="65"/>
  <c r="D11" i="65"/>
  <c r="D12" i="65"/>
  <c r="G28" i="53"/>
  <c r="F15" i="64"/>
  <c r="F17" i="64" s="1"/>
  <c r="F14" i="64"/>
  <c r="G16" i="64" s="1"/>
  <c r="F13" i="64"/>
  <c r="F10" i="64"/>
  <c r="D13" i="64"/>
  <c r="D14" i="64"/>
  <c r="D15" i="64"/>
  <c r="D17" i="64"/>
  <c r="D10" i="64"/>
  <c r="D11" i="64"/>
  <c r="G27" i="53"/>
  <c r="G26" i="53"/>
  <c r="G25" i="53"/>
  <c r="D9" i="66"/>
  <c r="B24" i="53"/>
  <c r="B22" i="53"/>
  <c r="B21" i="53"/>
  <c r="B20" i="53"/>
  <c r="B19" i="53"/>
  <c r="B18" i="53"/>
  <c r="B17" i="53"/>
  <c r="B16" i="53"/>
  <c r="B15" i="53"/>
  <c r="K44" i="67"/>
  <c r="E21" i="46" s="1"/>
  <c r="F15" i="60"/>
  <c r="D15" i="60"/>
  <c r="F14" i="60"/>
  <c r="F13" i="60"/>
  <c r="D14" i="60"/>
  <c r="D13" i="60"/>
  <c r="G12" i="66"/>
  <c r="G10" i="66"/>
  <c r="G9" i="66"/>
  <c r="F10" i="66"/>
  <c r="D12" i="66"/>
  <c r="G20" i="62"/>
  <c r="F17" i="62"/>
  <c r="F14" i="62"/>
  <c r="F13" i="62"/>
  <c r="G12" i="62"/>
  <c r="F12" i="62"/>
  <c r="D17" i="62"/>
  <c r="G11" i="64" l="1"/>
  <c r="G17" i="53"/>
  <c r="G16" i="53"/>
  <c r="D16" i="62" l="1"/>
  <c r="D18" i="62"/>
  <c r="D13" i="62"/>
  <c r="B36" i="55"/>
  <c r="D10" i="62" l="1"/>
  <c r="D11" i="62"/>
  <c r="G11" i="62" s="1"/>
  <c r="G38" i="46"/>
  <c r="G29" i="53"/>
  <c r="B12" i="63"/>
  <c r="B10" i="63"/>
  <c r="D11" i="63"/>
  <c r="G18" i="51"/>
  <c r="G19" i="51"/>
  <c r="G23" i="51"/>
  <c r="B23" i="51"/>
  <c r="G25" i="55" l="1"/>
  <c r="G24" i="55"/>
  <c r="G23" i="55"/>
  <c r="B24" i="55"/>
  <c r="G30" i="55"/>
  <c r="G32" i="55" s="1"/>
  <c r="G35" i="55" s="1"/>
  <c r="C42" i="46" s="1"/>
  <c r="G17" i="55"/>
  <c r="D10" i="65"/>
  <c r="K23" i="55"/>
  <c r="L20" i="55"/>
  <c r="L22" i="55"/>
  <c r="L23" i="55"/>
  <c r="B19" i="51"/>
  <c r="B18" i="51"/>
  <c r="B16" i="51"/>
  <c r="B15" i="51"/>
  <c r="G14" i="61"/>
  <c r="D11" i="61"/>
  <c r="I11" i="61" s="1"/>
  <c r="D12" i="61"/>
  <c r="D10" i="61"/>
  <c r="D32" i="59"/>
  <c r="D29" i="59"/>
  <c r="D26" i="59"/>
  <c r="D18" i="59"/>
  <c r="D19" i="59"/>
  <c r="D20" i="59"/>
  <c r="D17" i="59"/>
  <c r="D41" i="59"/>
  <c r="D32" i="58"/>
  <c r="D31" i="58"/>
  <c r="D30" i="58"/>
  <c r="D24" i="58"/>
  <c r="D23" i="58"/>
  <c r="D22" i="58"/>
  <c r="D21" i="58"/>
  <c r="D20" i="58"/>
  <c r="D19" i="58"/>
  <c r="D13" i="58"/>
  <c r="D12" i="58"/>
  <c r="D11" i="58"/>
  <c r="D10" i="58"/>
  <c r="D9" i="58"/>
  <c r="D8" i="58"/>
  <c r="D7" i="58"/>
  <c r="C34" i="59"/>
  <c r="D33" i="59"/>
  <c r="C27" i="59"/>
  <c r="D27" i="59" s="1"/>
  <c r="M8" i="59"/>
  <c r="L8" i="59"/>
  <c r="L9" i="59"/>
  <c r="K10" i="59"/>
  <c r="K9" i="59"/>
  <c r="K7" i="59"/>
  <c r="L7" i="59" s="1"/>
  <c r="J8" i="59"/>
  <c r="I8" i="59"/>
  <c r="H8" i="59"/>
  <c r="G9" i="59"/>
  <c r="G7" i="59"/>
  <c r="B11" i="59"/>
  <c r="D11" i="59" s="1"/>
  <c r="G11" i="61" l="1"/>
  <c r="D21" i="59"/>
  <c r="B8" i="59"/>
  <c r="B9" i="59"/>
  <c r="B7" i="59"/>
  <c r="L10" i="59"/>
  <c r="B10" i="59" s="1"/>
  <c r="G24" i="48" l="1"/>
  <c r="J27" i="48"/>
  <c r="J26" i="48"/>
  <c r="F29" i="48"/>
  <c r="D146" i="74"/>
  <c r="D81" i="74" s="1"/>
  <c r="C3" i="74"/>
  <c r="C4" i="74"/>
  <c r="C8" i="74"/>
  <c r="C9" i="74" s="1"/>
  <c r="C21" i="74" s="1"/>
  <c r="C32" i="74" s="1"/>
  <c r="C35" i="74" s="1"/>
  <c r="C80" i="74" s="1"/>
  <c r="C82" i="74" s="1"/>
  <c r="C84" i="74" s="1"/>
  <c r="C140" i="74" s="1"/>
  <c r="C145" i="74" s="1"/>
  <c r="C148" i="74" s="1"/>
  <c r="C33" i="74"/>
  <c r="C34" i="74"/>
  <c r="C81" i="74"/>
  <c r="C83" i="74"/>
  <c r="C141" i="74"/>
  <c r="C143" i="74"/>
  <c r="G140" i="74"/>
  <c r="G139" i="74"/>
  <c r="C142" i="74" s="1"/>
  <c r="B139" i="74"/>
  <c r="G138" i="74"/>
  <c r="B138" i="74"/>
  <c r="B137" i="74"/>
  <c r="B136" i="74"/>
  <c r="B135" i="74"/>
  <c r="B134" i="74"/>
  <c r="B133" i="74"/>
  <c r="B132" i="74"/>
  <c r="B131" i="74"/>
  <c r="B130" i="74"/>
  <c r="B128" i="74"/>
  <c r="B127" i="74"/>
  <c r="B126" i="74"/>
  <c r="B125" i="74"/>
  <c r="B124" i="74"/>
  <c r="B123" i="74"/>
  <c r="B122" i="74"/>
  <c r="B121" i="74"/>
  <c r="B120" i="74"/>
  <c r="B119" i="74"/>
  <c r="B118" i="74"/>
  <c r="B117" i="74"/>
  <c r="B116" i="74"/>
  <c r="B115" i="74"/>
  <c r="B114" i="74"/>
  <c r="B113" i="74"/>
  <c r="B112" i="74"/>
  <c r="B111" i="74"/>
  <c r="B110" i="74"/>
  <c r="B109" i="74"/>
  <c r="B108" i="74"/>
  <c r="B107" i="74"/>
  <c r="B106" i="74"/>
  <c r="B105" i="74"/>
  <c r="B104" i="74"/>
  <c r="B103" i="74"/>
  <c r="B102" i="74"/>
  <c r="B101" i="74"/>
  <c r="B100" i="74"/>
  <c r="B99" i="74"/>
  <c r="B98" i="74"/>
  <c r="B97" i="74"/>
  <c r="B95" i="74"/>
  <c r="B94" i="74"/>
  <c r="B93" i="74"/>
  <c r="B92" i="74"/>
  <c r="B91" i="74"/>
  <c r="B90" i="74"/>
  <c r="G89" i="74"/>
  <c r="G92" i="74" s="1"/>
  <c r="B129" i="74" s="1"/>
  <c r="B89" i="74"/>
  <c r="B88" i="74"/>
  <c r="B87" i="74"/>
  <c r="B86" i="74"/>
  <c r="H85" i="74"/>
  <c r="B85" i="74"/>
  <c r="B81" i="74"/>
  <c r="B79" i="74"/>
  <c r="B78" i="74"/>
  <c r="B77" i="74"/>
  <c r="B76" i="74"/>
  <c r="B75" i="74"/>
  <c r="B74" i="74"/>
  <c r="B73" i="74"/>
  <c r="B72" i="74"/>
  <c r="B71" i="74"/>
  <c r="B70" i="74"/>
  <c r="B69" i="74"/>
  <c r="B68" i="74"/>
  <c r="B67" i="74"/>
  <c r="B66" i="74"/>
  <c r="B65" i="74"/>
  <c r="B64" i="74"/>
  <c r="B63" i="74"/>
  <c r="B62" i="74"/>
  <c r="B61" i="74"/>
  <c r="B60" i="74"/>
  <c r="B59" i="74"/>
  <c r="B58" i="74"/>
  <c r="B57" i="74"/>
  <c r="B56" i="74"/>
  <c r="B55" i="74"/>
  <c r="B54" i="74"/>
  <c r="B53" i="74"/>
  <c r="B52" i="74"/>
  <c r="B51" i="74"/>
  <c r="B50" i="74"/>
  <c r="B49" i="74"/>
  <c r="B48" i="74"/>
  <c r="B46" i="74"/>
  <c r="B45" i="74"/>
  <c r="B44" i="74"/>
  <c r="B43" i="74"/>
  <c r="B42" i="74"/>
  <c r="B41" i="74"/>
  <c r="B40" i="74"/>
  <c r="G39" i="74"/>
  <c r="B47" i="74" s="1"/>
  <c r="B39" i="74"/>
  <c r="G38" i="74"/>
  <c r="B36" i="74" s="1"/>
  <c r="B38" i="74"/>
  <c r="B37" i="74"/>
  <c r="A32" i="74"/>
  <c r="B31" i="74"/>
  <c r="B30" i="74"/>
  <c r="B29" i="74"/>
  <c r="B28" i="74"/>
  <c r="B27" i="74"/>
  <c r="B26" i="74"/>
  <c r="B25" i="74"/>
  <c r="B24" i="74"/>
  <c r="B23" i="74"/>
  <c r="B22" i="74"/>
  <c r="B20" i="74"/>
  <c r="B19" i="74"/>
  <c r="B18" i="74"/>
  <c r="B17" i="74"/>
  <c r="B16" i="74"/>
  <c r="B15" i="74"/>
  <c r="B14" i="74"/>
  <c r="B13" i="74"/>
  <c r="B12" i="74"/>
  <c r="B11" i="74"/>
  <c r="B10" i="74"/>
  <c r="I7" i="74"/>
  <c r="I6" i="74"/>
  <c r="I5" i="74"/>
  <c r="I4" i="74"/>
  <c r="C16" i="74" l="1"/>
  <c r="C91" i="74"/>
  <c r="C63" i="74"/>
  <c r="C131" i="74"/>
  <c r="C79" i="74"/>
  <c r="C78" i="74"/>
  <c r="D78" i="74" s="1"/>
  <c r="C114" i="74"/>
  <c r="D114" i="74" s="1"/>
  <c r="C90" i="74"/>
  <c r="D90" i="74" s="1"/>
  <c r="C27" i="74"/>
  <c r="D27" i="74" s="1"/>
  <c r="C45" i="74"/>
  <c r="C54" i="74"/>
  <c r="C12" i="74"/>
  <c r="D12" i="74" s="1"/>
  <c r="C113" i="74"/>
  <c r="D113" i="74" s="1"/>
  <c r="C136" i="74"/>
  <c r="D136" i="74" s="1"/>
  <c r="C115" i="74"/>
  <c r="D115" i="74" s="1"/>
  <c r="C49" i="74"/>
  <c r="D49" i="74" s="1"/>
  <c r="C14" i="74"/>
  <c r="D14" i="74" s="1"/>
  <c r="C22" i="74"/>
  <c r="D22" i="74" s="1"/>
  <c r="C117" i="74"/>
  <c r="C50" i="74"/>
  <c r="C139" i="74"/>
  <c r="C144" i="74" s="1"/>
  <c r="C62" i="74"/>
  <c r="C116" i="74"/>
  <c r="D116" i="74" s="1"/>
  <c r="C13" i="74"/>
  <c r="D13" i="74" s="1"/>
  <c r="C51" i="74"/>
  <c r="D51" i="74" s="1"/>
  <c r="C28" i="74"/>
  <c r="D28" i="74" s="1"/>
  <c r="C29" i="74"/>
  <c r="D29" i="74" s="1"/>
  <c r="C39" i="74"/>
  <c r="D39" i="74" s="1"/>
  <c r="C66" i="74"/>
  <c r="D66" i="74" s="1"/>
  <c r="C46" i="74"/>
  <c r="D46" i="74" s="1"/>
  <c r="C20" i="74"/>
  <c r="D20" i="74" s="1"/>
  <c r="C23" i="74"/>
  <c r="D23" i="74" s="1"/>
  <c r="C24" i="74"/>
  <c r="D24" i="74" s="1"/>
  <c r="C42" i="74"/>
  <c r="D42" i="74" s="1"/>
  <c r="C75" i="74"/>
  <c r="C93" i="74"/>
  <c r="C112" i="74"/>
  <c r="D112" i="74" s="1"/>
  <c r="C125" i="74"/>
  <c r="D125" i="74" s="1"/>
  <c r="C67" i="74"/>
  <c r="D67" i="74" s="1"/>
  <c r="C87" i="74"/>
  <c r="D87" i="74" s="1"/>
  <c r="C40" i="74"/>
  <c r="D40" i="74" s="1"/>
  <c r="C25" i="74"/>
  <c r="D25" i="74" s="1"/>
  <c r="C43" i="74"/>
  <c r="D43" i="74" s="1"/>
  <c r="C59" i="74"/>
  <c r="D59" i="74" s="1"/>
  <c r="C64" i="74"/>
  <c r="D64" i="74" s="1"/>
  <c r="C65" i="74"/>
  <c r="D65" i="74" s="1"/>
  <c r="C38" i="74"/>
  <c r="C52" i="74"/>
  <c r="D52" i="74" s="1"/>
  <c r="C119" i="74"/>
  <c r="D119" i="74" s="1"/>
  <c r="C88" i="74"/>
  <c r="D88" i="74" s="1"/>
  <c r="C57" i="74"/>
  <c r="D57" i="74" s="1"/>
  <c r="C41" i="74"/>
  <c r="D41" i="74" s="1"/>
  <c r="C92" i="74"/>
  <c r="C26" i="74"/>
  <c r="D26" i="74" s="1"/>
  <c r="C44" i="74"/>
  <c r="C61" i="74"/>
  <c r="D61" i="74" s="1"/>
  <c r="C77" i="74"/>
  <c r="D77" i="74" s="1"/>
  <c r="C95" i="74"/>
  <c r="D95" i="74" s="1"/>
  <c r="C128" i="74"/>
  <c r="D128" i="74" s="1"/>
  <c r="E146" i="74"/>
  <c r="J6" i="74" s="1"/>
  <c r="D141" i="74"/>
  <c r="G141" i="74" s="1"/>
  <c r="D80" i="74"/>
  <c r="D4" i="74"/>
  <c r="D83" i="74"/>
  <c r="G83" i="74" s="1"/>
  <c r="D6" i="74"/>
  <c r="D34" i="74"/>
  <c r="G34" i="74" s="1"/>
  <c r="D8" i="74"/>
  <c r="G8" i="74" s="1"/>
  <c r="D32" i="74"/>
  <c r="D82" i="74"/>
  <c r="D142" i="74"/>
  <c r="G142" i="74" s="1"/>
  <c r="D21" i="74"/>
  <c r="G21" i="74" s="1"/>
  <c r="D35" i="74"/>
  <c r="D7" i="74"/>
  <c r="D131" i="74"/>
  <c r="D84" i="74"/>
  <c r="D140" i="74"/>
  <c r="D9" i="74"/>
  <c r="G28" i="48" s="1"/>
  <c r="D3" i="74"/>
  <c r="G3" i="74" s="1"/>
  <c r="D5" i="74"/>
  <c r="D33" i="74"/>
  <c r="G33" i="74" s="1"/>
  <c r="D10" i="74"/>
  <c r="G10" i="74" s="1"/>
  <c r="D145" i="74"/>
  <c r="G145" i="74" s="1"/>
  <c r="D144" i="74"/>
  <c r="C109" i="74"/>
  <c r="D109" i="74" s="1"/>
  <c r="C108" i="74"/>
  <c r="D108" i="74" s="1"/>
  <c r="C55" i="74"/>
  <c r="D55" i="74" s="1"/>
  <c r="C124" i="74"/>
  <c r="D124" i="74" s="1"/>
  <c r="C122" i="74"/>
  <c r="D122" i="74" s="1"/>
  <c r="C70" i="74"/>
  <c r="D70" i="74" s="1"/>
  <c r="C18" i="74"/>
  <c r="D18" i="74" s="1"/>
  <c r="C138" i="74"/>
  <c r="D138" i="74" s="1"/>
  <c r="C120" i="74"/>
  <c r="D120" i="74" s="1"/>
  <c r="C30" i="74"/>
  <c r="D30" i="74" s="1"/>
  <c r="C133" i="74"/>
  <c r="D133" i="74" s="1"/>
  <c r="C132" i="74"/>
  <c r="D132" i="74" s="1"/>
  <c r="C11" i="74"/>
  <c r="D11" i="74" s="1"/>
  <c r="C89" i="74"/>
  <c r="D89" i="74" s="1"/>
  <c r="D143" i="74"/>
  <c r="G143" i="74" s="1"/>
  <c r="C53" i="74"/>
  <c r="D53" i="74" s="1"/>
  <c r="C86" i="74"/>
  <c r="D86" i="74" s="1"/>
  <c r="C31" i="74"/>
  <c r="D31" i="74" s="1"/>
  <c r="C48" i="74"/>
  <c r="D48" i="74" s="1"/>
  <c r="D44" i="74"/>
  <c r="C56" i="74"/>
  <c r="D56" i="74" s="1"/>
  <c r="C71" i="74"/>
  <c r="D71" i="74" s="1"/>
  <c r="C121" i="74"/>
  <c r="D121" i="74" s="1"/>
  <c r="C94" i="74"/>
  <c r="D94" i="74" s="1"/>
  <c r="C60" i="74"/>
  <c r="D60" i="74" s="1"/>
  <c r="D63" i="74"/>
  <c r="C74" i="74"/>
  <c r="D74" i="74" s="1"/>
  <c r="D38" i="74"/>
  <c r="C123" i="74"/>
  <c r="D123" i="74" s="1"/>
  <c r="C68" i="74"/>
  <c r="D68" i="74" s="1"/>
  <c r="C126" i="74"/>
  <c r="D126" i="74" s="1"/>
  <c r="C73" i="74"/>
  <c r="C72" i="74"/>
  <c r="D72" i="74" s="1"/>
  <c r="C37" i="74"/>
  <c r="D37" i="74" s="1"/>
  <c r="C19" i="74"/>
  <c r="D19" i="74" s="1"/>
  <c r="C17" i="74"/>
  <c r="D17" i="74" s="1"/>
  <c r="C137" i="74"/>
  <c r="D137" i="74" s="1"/>
  <c r="C15" i="74"/>
  <c r="D15" i="74" s="1"/>
  <c r="C135" i="74"/>
  <c r="D135" i="74" s="1"/>
  <c r="C134" i="74"/>
  <c r="D134" i="74" s="1"/>
  <c r="D45" i="74"/>
  <c r="C130" i="74"/>
  <c r="D130" i="74" s="1"/>
  <c r="C111" i="74"/>
  <c r="D111" i="74" s="1"/>
  <c r="C76" i="74"/>
  <c r="D76" i="74" s="1"/>
  <c r="C127" i="74"/>
  <c r="D127" i="74" s="1"/>
  <c r="C110" i="74"/>
  <c r="D110" i="74" s="1"/>
  <c r="G81" i="74"/>
  <c r="D92" i="74"/>
  <c r="D16" i="74"/>
  <c r="D79" i="74"/>
  <c r="D50" i="74"/>
  <c r="D62" i="74"/>
  <c r="D73" i="74"/>
  <c r="D91" i="74"/>
  <c r="D54" i="74"/>
  <c r="E8" i="74"/>
  <c r="D93" i="74"/>
  <c r="D75" i="74"/>
  <c r="D117" i="74"/>
  <c r="B96" i="74"/>
  <c r="C103" i="74" s="1"/>
  <c r="D103" i="74" s="1"/>
  <c r="E3" i="74"/>
  <c r="E30" i="46"/>
  <c r="D10" i="21"/>
  <c r="C105" i="74" l="1"/>
  <c r="D105" i="74" s="1"/>
  <c r="J7" i="74"/>
  <c r="J5" i="74"/>
  <c r="J3" i="74"/>
  <c r="J4" i="74"/>
  <c r="G144" i="74"/>
  <c r="D36" i="74"/>
  <c r="C106" i="74"/>
  <c r="D106" i="74" s="1"/>
  <c r="C97" i="74"/>
  <c r="D97" i="74" s="1"/>
  <c r="D47" i="74"/>
  <c r="G47" i="74" s="1"/>
  <c r="C102" i="74"/>
  <c r="D102" i="74" s="1"/>
  <c r="C104" i="74"/>
  <c r="D104" i="74" s="1"/>
  <c r="C99" i="74"/>
  <c r="D99" i="74" s="1"/>
  <c r="C101" i="74"/>
  <c r="D101" i="74" s="1"/>
  <c r="C98" i="74"/>
  <c r="D98" i="74" s="1"/>
  <c r="C100" i="74"/>
  <c r="D100" i="74" s="1"/>
  <c r="D118" i="74"/>
  <c r="D85" i="74"/>
  <c r="E9" i="74"/>
  <c r="D69" i="74"/>
  <c r="G20" i="51" s="1"/>
  <c r="D139" i="74"/>
  <c r="D129" i="74" s="1"/>
  <c r="E144" i="74"/>
  <c r="D58" i="74"/>
  <c r="G13" i="63" s="1"/>
  <c r="D107" i="74"/>
  <c r="G9" i="74"/>
  <c r="G36" i="74" l="1"/>
  <c r="G24" i="51"/>
  <c r="H24" i="51" s="1"/>
  <c r="D96" i="74"/>
  <c r="G96" i="74" s="1"/>
  <c r="G97" i="74" s="1"/>
  <c r="G130" i="74"/>
  <c r="G132" i="74"/>
  <c r="G58" i="74"/>
  <c r="G107" i="74"/>
  <c r="E21" i="74"/>
  <c r="G85" i="74"/>
  <c r="G69" i="74"/>
  <c r="G70" i="74" s="1"/>
  <c r="G71" i="74" s="1"/>
  <c r="G72" i="74" s="1"/>
  <c r="G118" i="74"/>
  <c r="G119" i="74" s="1"/>
  <c r="G120" i="74" s="1"/>
  <c r="M12" i="67"/>
  <c r="M11" i="67"/>
  <c r="M24" i="67"/>
  <c r="M25" i="67"/>
  <c r="M26" i="67"/>
  <c r="M27" i="67"/>
  <c r="M28" i="67"/>
  <c r="M29" i="67"/>
  <c r="M30" i="67"/>
  <c r="M31" i="67"/>
  <c r="M32" i="67"/>
  <c r="M33" i="67"/>
  <c r="M34" i="67"/>
  <c r="M35" i="67"/>
  <c r="M36" i="67"/>
  <c r="M37" i="67"/>
  <c r="M38" i="67"/>
  <c r="M39" i="67"/>
  <c r="D112" i="67"/>
  <c r="D111" i="67"/>
  <c r="D109" i="67"/>
  <c r="D108" i="67"/>
  <c r="D106" i="67"/>
  <c r="D110" i="67" s="1"/>
  <c r="D103" i="67"/>
  <c r="D96" i="67"/>
  <c r="D94" i="67"/>
  <c r="D91" i="67"/>
  <c r="D92" i="67" s="1"/>
  <c r="D93" i="67"/>
  <c r="D89" i="67"/>
  <c r="D84" i="67"/>
  <c r="D86" i="67" s="1"/>
  <c r="D81" i="67"/>
  <c r="D83" i="67" s="1"/>
  <c r="D79" i="67"/>
  <c r="D77" i="67"/>
  <c r="D72" i="67"/>
  <c r="D71" i="67"/>
  <c r="D69" i="67"/>
  <c r="D68" i="67"/>
  <c r="D67" i="67"/>
  <c r="D63" i="67"/>
  <c r="D66" i="67"/>
  <c r="D65" i="67"/>
  <c r="D64" i="67"/>
  <c r="D59" i="67"/>
  <c r="D58" i="67"/>
  <c r="D57" i="67"/>
  <c r="D55" i="67"/>
  <c r="D54" i="67"/>
  <c r="D53" i="67"/>
  <c r="D46" i="67"/>
  <c r="D43" i="67"/>
  <c r="D42" i="67"/>
  <c r="D40" i="67"/>
  <c r="D39" i="67"/>
  <c r="D38" i="67"/>
  <c r="D34" i="67"/>
  <c r="I34" i="67" s="1"/>
  <c r="E32" i="74" l="1"/>
  <c r="D37" i="67"/>
  <c r="D36" i="67"/>
  <c r="D29" i="67"/>
  <c r="D31" i="67"/>
  <c r="D30" i="67"/>
  <c r="D27" i="67"/>
  <c r="D22" i="67"/>
  <c r="D21" i="67"/>
  <c r="D24" i="67"/>
  <c r="D23" i="67"/>
  <c r="D20" i="67"/>
  <c r="E22" i="46"/>
  <c r="E35" i="74" l="1"/>
  <c r="E80" i="74" l="1"/>
  <c r="E82" i="74" l="1"/>
  <c r="E84" i="74" l="1"/>
  <c r="K44" i="62"/>
  <c r="L44" i="62" s="1"/>
  <c r="F43" i="62"/>
  <c r="G43" i="62" s="1"/>
  <c r="F42" i="62"/>
  <c r="G42" i="62" s="1"/>
  <c r="H42" i="62" s="1"/>
  <c r="F41" i="62"/>
  <c r="G41" i="62" s="1"/>
  <c r="F40" i="62"/>
  <c r="G40" i="62" s="1"/>
  <c r="F39" i="62"/>
  <c r="G39" i="62" s="1"/>
  <c r="F38" i="62"/>
  <c r="G38" i="62" s="1"/>
  <c r="H38" i="62" s="1"/>
  <c r="F37" i="62"/>
  <c r="G37" i="62" s="1"/>
  <c r="F36" i="62"/>
  <c r="G36" i="62" s="1"/>
  <c r="F35" i="62"/>
  <c r="E140" i="74" l="1"/>
  <c r="G35" i="62"/>
  <c r="G44" i="62" s="1"/>
  <c r="E145" i="74" l="1"/>
  <c r="B15" i="64"/>
  <c r="D11" i="60"/>
  <c r="F11" i="60" s="1"/>
  <c r="D13" i="61" l="1"/>
  <c r="B21" i="51" s="1"/>
  <c r="G21" i="51" s="1"/>
  <c r="I58" i="67" l="1"/>
  <c r="F34" i="68"/>
  <c r="D29" i="68"/>
  <c r="G32" i="68"/>
  <c r="F18" i="62" l="1"/>
  <c r="G19" i="65" l="1"/>
  <c r="B17" i="64"/>
  <c r="D24" i="53"/>
  <c r="D23" i="53"/>
  <c r="E14" i="46" l="1"/>
  <c r="B29" i="48"/>
  <c r="F29" i="21"/>
  <c r="F19" i="21"/>
  <c r="F13" i="48"/>
  <c r="F26" i="48"/>
  <c r="H25" i="48"/>
  <c r="F25" i="48" s="1"/>
  <c r="E31" i="47" l="1"/>
  <c r="D31" i="47"/>
  <c r="F31" i="47" s="1"/>
  <c r="D9" i="47"/>
  <c r="D41" i="21"/>
  <c r="D40" i="21"/>
  <c r="C40" i="21"/>
  <c r="D39" i="21"/>
  <c r="F31" i="21" s="1"/>
  <c r="C39" i="21"/>
  <c r="D31" i="21" l="1"/>
  <c r="G31" i="21" s="1"/>
  <c r="D28" i="68" l="1"/>
  <c r="I17" i="67"/>
  <c r="I18" i="67"/>
  <c r="I19" i="67"/>
  <c r="I20" i="67"/>
  <c r="I21" i="67"/>
  <c r="I22" i="67"/>
  <c r="I23" i="67"/>
  <c r="I24" i="67"/>
  <c r="I26" i="67"/>
  <c r="I27" i="67"/>
  <c r="I28" i="67"/>
  <c r="I29" i="67"/>
  <c r="I30" i="67"/>
  <c r="I31" i="67"/>
  <c r="I32" i="67"/>
  <c r="I33" i="67"/>
  <c r="I25" i="67"/>
  <c r="I16" i="67"/>
  <c r="C29" i="62"/>
  <c r="C27" i="62"/>
  <c r="C26" i="62"/>
  <c r="C28" i="62" s="1"/>
  <c r="F16" i="62"/>
  <c r="D35" i="68" l="1"/>
  <c r="G35" i="68" s="1"/>
  <c r="D31" i="68"/>
  <c r="D30" i="68"/>
  <c r="G30" i="68" s="1"/>
  <c r="H28" i="68"/>
  <c r="D34" i="68"/>
  <c r="D33" i="68" s="1"/>
  <c r="G31" i="68"/>
  <c r="G33" i="68" l="1"/>
  <c r="G34" i="68"/>
  <c r="G36" i="68" l="1"/>
  <c r="D28" i="59" l="1"/>
  <c r="D17" i="51"/>
  <c r="I112" i="67"/>
  <c r="I109" i="67"/>
  <c r="I108" i="67"/>
  <c r="I107" i="67"/>
  <c r="I106" i="67"/>
  <c r="I105" i="67"/>
  <c r="I104" i="67"/>
  <c r="I103" i="67"/>
  <c r="I101" i="67"/>
  <c r="I96" i="67"/>
  <c r="I97" i="67"/>
  <c r="I98" i="67"/>
  <c r="I99" i="67"/>
  <c r="I100" i="67"/>
  <c r="I87" i="67"/>
  <c r="I88" i="67"/>
  <c r="I89" i="67"/>
  <c r="I90" i="67"/>
  <c r="I91" i="67"/>
  <c r="I92" i="67"/>
  <c r="I93" i="67"/>
  <c r="I94" i="67"/>
  <c r="I95" i="67"/>
  <c r="I79" i="67"/>
  <c r="I80" i="67"/>
  <c r="I81" i="67"/>
  <c r="I82" i="67"/>
  <c r="I83" i="67"/>
  <c r="I84" i="67"/>
  <c r="I85" i="67"/>
  <c r="I86" i="67"/>
  <c r="I102" i="67"/>
  <c r="I110" i="67"/>
  <c r="I111" i="67"/>
  <c r="I72" i="67"/>
  <c r="I73" i="67"/>
  <c r="I74" i="67"/>
  <c r="I75" i="67"/>
  <c r="I76" i="67"/>
  <c r="I77" i="67"/>
  <c r="I78" i="67"/>
  <c r="I61" i="67"/>
  <c r="I63" i="67"/>
  <c r="I64" i="67"/>
  <c r="I65" i="67"/>
  <c r="M17" i="67" s="1"/>
  <c r="I66" i="67"/>
  <c r="I67" i="67"/>
  <c r="I68" i="67"/>
  <c r="I69" i="67"/>
  <c r="I70" i="67"/>
  <c r="I71" i="67"/>
  <c r="I62" i="67"/>
  <c r="I60" i="67"/>
  <c r="I59" i="67"/>
  <c r="I45" i="67"/>
  <c r="I46" i="67"/>
  <c r="I48" i="67"/>
  <c r="I49" i="67"/>
  <c r="I50" i="67"/>
  <c r="I51" i="67"/>
  <c r="I52" i="67"/>
  <c r="I53" i="67"/>
  <c r="I54" i="67"/>
  <c r="I55" i="67"/>
  <c r="I56" i="67"/>
  <c r="I57" i="67"/>
  <c r="I47" i="67"/>
  <c r="B2" i="67"/>
  <c r="B1" i="67"/>
  <c r="G23" i="53" l="1"/>
  <c r="G18" i="62"/>
  <c r="C35" i="61" l="1"/>
  <c r="D35" i="59" l="1"/>
  <c r="G21" i="68"/>
  <c r="F19" i="68"/>
  <c r="G16" i="68"/>
  <c r="G14" i="68"/>
  <c r="D32" i="21"/>
  <c r="D29" i="21"/>
  <c r="D28" i="21"/>
  <c r="D10" i="47"/>
  <c r="F10" i="47" s="1"/>
  <c r="K18" i="64"/>
  <c r="D30" i="21" l="1"/>
  <c r="G29" i="21"/>
  <c r="G18" i="68"/>
  <c r="G22" i="68"/>
  <c r="G12" i="68" l="1"/>
  <c r="G20" i="68" l="1"/>
  <c r="G19" i="68"/>
  <c r="I11" i="67"/>
  <c r="I12" i="67"/>
  <c r="I13" i="67"/>
  <c r="I14" i="67"/>
  <c r="I15" i="67"/>
  <c r="I35" i="67"/>
  <c r="I36" i="67"/>
  <c r="I37" i="67"/>
  <c r="I38" i="67"/>
  <c r="I39" i="67"/>
  <c r="I40" i="67"/>
  <c r="I41" i="67"/>
  <c r="I42" i="67"/>
  <c r="I43" i="67"/>
  <c r="I44" i="67"/>
  <c r="G20" i="53" l="1"/>
  <c r="G18" i="53"/>
  <c r="B17" i="62"/>
  <c r="M16" i="67"/>
  <c r="M15" i="67"/>
  <c r="G23" i="68"/>
  <c r="G39" i="68" s="1"/>
  <c r="M23" i="67"/>
  <c r="D12" i="63" l="1"/>
  <c r="D10" i="63"/>
  <c r="G24" i="53"/>
  <c r="G10" i="64"/>
  <c r="I15" i="51"/>
  <c r="G22" i="53"/>
  <c r="H39" i="68"/>
  <c r="H41" i="68" s="1"/>
  <c r="G21" i="53"/>
  <c r="D20" i="65"/>
  <c r="G12" i="65"/>
  <c r="G13" i="65"/>
  <c r="G15" i="64" l="1"/>
  <c r="G14" i="64"/>
  <c r="D9" i="60" l="1"/>
  <c r="F9" i="60" s="1"/>
  <c r="F16" i="60" s="1"/>
  <c r="G10" i="65"/>
  <c r="I10" i="65" l="1"/>
  <c r="E37" i="65"/>
  <c r="G18" i="63"/>
  <c r="G17" i="51"/>
  <c r="D31" i="59"/>
  <c r="D36" i="59" s="1"/>
  <c r="D11" i="66" l="1"/>
  <c r="G11" i="66" s="1"/>
  <c r="G14" i="66" s="1"/>
  <c r="G20" i="65"/>
  <c r="G22" i="65" s="1"/>
  <c r="G15" i="65"/>
  <c r="G12" i="63"/>
  <c r="G11" i="63"/>
  <c r="D26" i="61" l="1"/>
  <c r="D25" i="61"/>
  <c r="D24" i="61"/>
  <c r="D23" i="61"/>
  <c r="D22" i="61"/>
  <c r="D21" i="61"/>
  <c r="D20" i="61"/>
  <c r="D55" i="48"/>
  <c r="D17" i="21"/>
  <c r="D11" i="21" l="1"/>
  <c r="D27" i="61"/>
  <c r="D13" i="21"/>
  <c r="D15" i="21"/>
  <c r="F58" i="48"/>
  <c r="G58" i="48" s="1"/>
  <c r="F57" i="48"/>
  <c r="F55" i="48"/>
  <c r="D57" i="48"/>
  <c r="D56" i="48"/>
  <c r="G56" i="48" s="1"/>
  <c r="F52" i="48"/>
  <c r="D52" i="48"/>
  <c r="D53" i="48" s="1"/>
  <c r="G53" i="48" s="1"/>
  <c r="D54" i="48"/>
  <c r="D51" i="48"/>
  <c r="G51" i="48" s="1"/>
  <c r="D50" i="48"/>
  <c r="D49" i="48" s="1"/>
  <c r="F54" i="48"/>
  <c r="G54" i="48" l="1"/>
  <c r="G52" i="48"/>
  <c r="G55" i="48"/>
  <c r="G50" i="48"/>
  <c r="G49" i="48"/>
  <c r="G57" i="48"/>
  <c r="G59" i="48" l="1"/>
  <c r="D18" i="21" l="1"/>
  <c r="G18" i="21" s="1"/>
  <c r="G25" i="61" l="1"/>
  <c r="G24" i="61"/>
  <c r="F27" i="61"/>
  <c r="I10" i="61" l="1"/>
  <c r="D28" i="61"/>
  <c r="G27" i="61"/>
  <c r="G23" i="61"/>
  <c r="F16" i="48"/>
  <c r="D28" i="48"/>
  <c r="D26" i="48"/>
  <c r="D15" i="48"/>
  <c r="D13" i="48"/>
  <c r="D14" i="48" s="1"/>
  <c r="D23" i="48"/>
  <c r="D12" i="48"/>
  <c r="D11" i="48"/>
  <c r="D27" i="48" l="1"/>
  <c r="G26" i="48"/>
  <c r="J23" i="61"/>
  <c r="J24" i="61" s="1"/>
  <c r="G16" i="51" l="1"/>
  <c r="K19" i="51" l="1"/>
  <c r="J19" i="51"/>
  <c r="G15" i="51"/>
  <c r="G19" i="53"/>
  <c r="G30" i="53" s="1"/>
  <c r="C40" i="46" s="1"/>
  <c r="G15" i="53"/>
  <c r="G13" i="62"/>
  <c r="D30" i="59"/>
  <c r="H15" i="51" l="1"/>
  <c r="G12" i="64"/>
  <c r="G18" i="65"/>
  <c r="K22" i="55"/>
  <c r="K20" i="55"/>
  <c r="L25" i="55" s="1"/>
  <c r="G13" i="66"/>
  <c r="D12" i="60"/>
  <c r="F12" i="60" s="1"/>
  <c r="D10" i="60"/>
  <c r="F10" i="60" s="1"/>
  <c r="F16" i="65"/>
  <c r="G16" i="65" s="1"/>
  <c r="G21" i="65"/>
  <c r="G17" i="65"/>
  <c r="K22" i="65"/>
  <c r="L22" i="65" s="1"/>
  <c r="L18" i="64"/>
  <c r="G10" i="63"/>
  <c r="K14" i="63"/>
  <c r="L14" i="63" s="1"/>
  <c r="G16" i="66" l="1"/>
  <c r="C44" i="46" s="1"/>
  <c r="G14" i="63"/>
  <c r="H14" i="63" s="1"/>
  <c r="B16" i="55"/>
  <c r="L27" i="55"/>
  <c r="L30" i="55" s="1"/>
  <c r="B15" i="55"/>
  <c r="L29" i="55"/>
  <c r="G14" i="65"/>
  <c r="G16" i="55" l="1"/>
  <c r="H24" i="55"/>
  <c r="B17" i="55"/>
  <c r="B23" i="55"/>
  <c r="H23" i="55" s="1"/>
  <c r="G15" i="55"/>
  <c r="G18" i="55" s="1"/>
  <c r="H14" i="64"/>
  <c r="G24" i="65"/>
  <c r="C43" i="46" s="1"/>
  <c r="H16" i="66"/>
  <c r="G16" i="63"/>
  <c r="C38" i="46" s="1"/>
  <c r="B22" i="51" l="1"/>
  <c r="G22" i="51" s="1"/>
  <c r="G25" i="51" s="1"/>
  <c r="G17" i="64"/>
  <c r="G13" i="64"/>
  <c r="G18" i="64" s="1"/>
  <c r="H13" i="64"/>
  <c r="H24" i="65"/>
  <c r="H16" i="63"/>
  <c r="E24" i="58"/>
  <c r="E13" i="58"/>
  <c r="D9" i="59"/>
  <c r="D8" i="59"/>
  <c r="F12" i="48"/>
  <c r="G12" i="48"/>
  <c r="C37" i="46" l="1"/>
  <c r="H35" i="55"/>
  <c r="H19" i="63"/>
  <c r="D10" i="59"/>
  <c r="G26" i="61"/>
  <c r="D7" i="59"/>
  <c r="D12" i="59" s="1"/>
  <c r="D25" i="58"/>
  <c r="G20" i="64" l="1"/>
  <c r="D22" i="47"/>
  <c r="D23" i="47" s="1"/>
  <c r="H20" i="64" l="1"/>
  <c r="H22" i="64" s="1"/>
  <c r="C41" i="46"/>
  <c r="F19" i="62"/>
  <c r="G19" i="62" s="1"/>
  <c r="H19" i="62" s="1"/>
  <c r="F15" i="62"/>
  <c r="G15" i="62" s="1"/>
  <c r="K20" i="62"/>
  <c r="L20" i="62" s="1"/>
  <c r="G12" i="61"/>
  <c r="G22" i="61"/>
  <c r="G21" i="61"/>
  <c r="K15" i="61"/>
  <c r="L15" i="61" s="1"/>
  <c r="G11" i="48"/>
  <c r="F42" i="48"/>
  <c r="F40" i="48"/>
  <c r="F39" i="48"/>
  <c r="G29" i="48"/>
  <c r="G27" i="48"/>
  <c r="G23" i="48"/>
  <c r="K17" i="48"/>
  <c r="L17" i="48" s="1"/>
  <c r="G16" i="48"/>
  <c r="G21" i="21"/>
  <c r="F16" i="47"/>
  <c r="B39" i="49"/>
  <c r="F39" i="49" s="1"/>
  <c r="G10" i="61"/>
  <c r="D42" i="59"/>
  <c r="D14" i="58"/>
  <c r="D33" i="58"/>
  <c r="D44" i="59" l="1"/>
  <c r="C36" i="46" s="1"/>
  <c r="H15" i="62"/>
  <c r="G16" i="62"/>
  <c r="G13" i="61"/>
  <c r="G15" i="61" s="1"/>
  <c r="G17" i="61"/>
  <c r="G17" i="62"/>
  <c r="F18" i="60"/>
  <c r="C45" i="46" s="1"/>
  <c r="F32" i="47"/>
  <c r="H31" i="47"/>
  <c r="G20" i="61"/>
  <c r="G28" i="61"/>
  <c r="G22" i="48"/>
  <c r="G25" i="48"/>
  <c r="D10" i="48"/>
  <c r="G10" i="48" s="1"/>
  <c r="D35" i="58"/>
  <c r="C35" i="46" s="1"/>
  <c r="G10" i="62" l="1"/>
  <c r="G30" i="48"/>
  <c r="G62" i="48" s="1"/>
  <c r="C33" i="46" s="1"/>
  <c r="G32" i="61"/>
  <c r="C34" i="46" s="1"/>
  <c r="G29" i="61"/>
  <c r="G18" i="60"/>
  <c r="E44" i="59"/>
  <c r="E35" i="58"/>
  <c r="E37" i="58" s="1"/>
  <c r="J33" i="55"/>
  <c r="H32" i="61" l="1"/>
  <c r="G35" i="61"/>
  <c r="H35" i="61" s="1"/>
  <c r="H36" i="55" l="1"/>
  <c r="D29" i="49"/>
  <c r="B29" i="49"/>
  <c r="F29" i="49" s="1"/>
  <c r="D27" i="49"/>
  <c r="G27" i="49" s="1"/>
  <c r="D26" i="49"/>
  <c r="G26" i="49" s="1"/>
  <c r="G20" i="49"/>
  <c r="D10" i="49"/>
  <c r="D11" i="49" s="1"/>
  <c r="D12" i="49" s="1"/>
  <c r="G12" i="49" s="1"/>
  <c r="G29" i="49" l="1"/>
  <c r="D28" i="49"/>
  <c r="G28" i="49" s="1"/>
  <c r="D15" i="49"/>
  <c r="D16" i="49" s="1"/>
  <c r="G16" i="49" s="1"/>
  <c r="D13" i="49"/>
  <c r="D14" i="49" s="1"/>
  <c r="B32" i="21"/>
  <c r="F32" i="21" s="1"/>
  <c r="F15" i="48"/>
  <c r="G28" i="21"/>
  <c r="D14" i="21"/>
  <c r="F17" i="47"/>
  <c r="D14" i="62" l="1"/>
  <c r="G15" i="48"/>
  <c r="G13" i="48"/>
  <c r="G32" i="21"/>
  <c r="G14" i="21"/>
  <c r="G30" i="21"/>
  <c r="G30" i="49"/>
  <c r="D17" i="49"/>
  <c r="B17" i="49"/>
  <c r="G14" i="49"/>
  <c r="D16" i="21"/>
  <c r="G16" i="21" s="1"/>
  <c r="G33" i="21" l="1"/>
  <c r="G14" i="62"/>
  <c r="F23" i="47"/>
  <c r="F22" i="47"/>
  <c r="F9" i="47"/>
  <c r="F11" i="47" s="1"/>
  <c r="D18" i="49"/>
  <c r="G18" i="49" s="1"/>
  <c r="D19" i="49"/>
  <c r="G19" i="49" s="1"/>
  <c r="G17" i="49"/>
  <c r="G22" i="62" l="1"/>
  <c r="C39" i="46" s="1"/>
  <c r="D24" i="47"/>
  <c r="F24" i="47" s="1"/>
  <c r="G21" i="49"/>
  <c r="G46" i="49" s="1"/>
  <c r="H46" i="49" s="1"/>
  <c r="H22" i="62" l="1"/>
  <c r="H25" i="62" s="1"/>
  <c r="G14" i="48"/>
  <c r="G17" i="48" s="1"/>
  <c r="H11" i="36"/>
  <c r="H10" i="36"/>
  <c r="H9" i="36"/>
  <c r="H8" i="36"/>
  <c r="H7" i="36"/>
  <c r="H6" i="36"/>
  <c r="H12" i="36"/>
  <c r="H5" i="36"/>
  <c r="H62" i="48" l="1"/>
  <c r="H64" i="48" s="1"/>
  <c r="D12" i="21"/>
  <c r="D22" i="21"/>
  <c r="G22" i="21" s="1"/>
  <c r="G12" i="21" l="1"/>
  <c r="D19" i="21"/>
  <c r="D25" i="47" l="1"/>
  <c r="F25" i="47" s="1"/>
  <c r="G19" i="21"/>
  <c r="F26" i="47"/>
  <c r="F34" i="47" s="1"/>
  <c r="F35" i="47" s="1"/>
  <c r="D20" i="21"/>
  <c r="G20" i="21" s="1"/>
  <c r="G23" i="21" l="1"/>
  <c r="G24" i="21" s="1"/>
  <c r="G34" i="47"/>
  <c r="G36" i="21" l="1"/>
  <c r="H36" i="21" l="1"/>
  <c r="H38" i="21" s="1"/>
  <c r="G28" i="51" l="1"/>
  <c r="H28" i="51" l="1"/>
  <c r="E45" i="46" l="1"/>
  <c r="E39" i="46" l="1"/>
  <c r="E43" i="46" l="1"/>
  <c r="I143" i="74" l="1"/>
  <c r="I142" i="74"/>
  <c r="I107" i="74" l="1"/>
  <c r="J107" i="74" s="1"/>
  <c r="I141" i="74" l="1"/>
  <c r="J141" i="74" s="1"/>
  <c r="I83" i="74"/>
  <c r="J83" i="74" s="1"/>
  <c r="I145" i="74"/>
  <c r="J145" i="74" s="1"/>
  <c r="I22" i="74" l="1"/>
  <c r="I21" i="74"/>
  <c r="I81" i="74"/>
  <c r="J81" i="74" s="1"/>
  <c r="I23" i="74" l="1"/>
  <c r="J21" i="74" s="1"/>
  <c r="I144" i="74"/>
  <c r="J144" i="74" s="1"/>
  <c r="I9" i="74"/>
  <c r="I85" i="74" l="1"/>
  <c r="I132" i="74"/>
  <c r="I97" i="74"/>
  <c r="I96" i="74"/>
  <c r="I130" i="74"/>
  <c r="I119" i="74"/>
  <c r="J129" i="74" l="1"/>
  <c r="J85" i="74"/>
  <c r="I118" i="74"/>
  <c r="I98" i="74"/>
  <c r="J96" i="74" s="1"/>
  <c r="I120" i="74"/>
  <c r="J118" i="74" l="1"/>
  <c r="J84" i="74"/>
  <c r="I10" i="74" l="1"/>
  <c r="J9" i="74" s="1"/>
  <c r="I8" i="74"/>
  <c r="J8" i="74" l="1"/>
  <c r="I33" i="74" l="1"/>
  <c r="J33" i="74" l="1"/>
  <c r="E42" i="46" l="1"/>
  <c r="E41" i="46"/>
  <c r="F43" i="48" s="1"/>
  <c r="G43" i="48" s="1"/>
  <c r="E33" i="46"/>
  <c r="B40" i="62" s="1"/>
  <c r="E40" i="46"/>
  <c r="E44" i="46"/>
  <c r="E34" i="46"/>
  <c r="C32" i="46"/>
  <c r="C31" i="46"/>
  <c r="C46" i="46" l="1"/>
  <c r="C47" i="46" s="1"/>
  <c r="D37" i="48"/>
  <c r="G37" i="48" s="1"/>
  <c r="E32" i="46"/>
  <c r="E35" i="46"/>
  <c r="E31" i="46"/>
  <c r="E46" i="46" l="1"/>
  <c r="D39" i="49"/>
  <c r="G39" i="49" s="1"/>
  <c r="D36" i="49"/>
  <c r="G36" i="49" s="1"/>
  <c r="D37" i="49"/>
  <c r="E38" i="46"/>
  <c r="D38" i="48" l="1"/>
  <c r="G38" i="48" s="1"/>
  <c r="D42" i="48"/>
  <c r="G42" i="48" s="1"/>
  <c r="D36" i="48"/>
  <c r="D39" i="48"/>
  <c r="G39" i="48" s="1"/>
  <c r="D40" i="48"/>
  <c r="D38" i="49"/>
  <c r="G38" i="49" s="1"/>
  <c r="G37" i="49"/>
  <c r="G40" i="49" l="1"/>
  <c r="D41" i="48"/>
  <c r="G41" i="48" s="1"/>
  <c r="G40" i="48"/>
  <c r="G36" i="48"/>
  <c r="D35" i="48"/>
  <c r="G35" i="48" s="1"/>
  <c r="G44" i="48" l="1"/>
  <c r="E36" i="46" l="1"/>
  <c r="I47" i="74" l="1"/>
  <c r="J47" i="74" s="1"/>
  <c r="I36" i="74"/>
  <c r="I58" i="74"/>
  <c r="J58" i="74" s="1"/>
  <c r="I69" i="74"/>
  <c r="J36" i="74" l="1"/>
  <c r="I70" i="74"/>
  <c r="D37" i="46" l="1"/>
  <c r="E37" i="46"/>
  <c r="E47" i="46" s="1"/>
  <c r="I71" i="74"/>
  <c r="E48" i="46" l="1"/>
  <c r="D31" i="46"/>
  <c r="D30" i="46"/>
  <c r="I72" i="74"/>
  <c r="J69" i="74" s="1"/>
  <c r="D45" i="46"/>
  <c r="D39" i="46"/>
  <c r="D43" i="46"/>
  <c r="D46" i="46"/>
  <c r="D42" i="46"/>
  <c r="D44" i="46"/>
  <c r="D41" i="46"/>
  <c r="D33" i="46"/>
  <c r="D40" i="46"/>
  <c r="D34" i="46"/>
  <c r="D32" i="46"/>
  <c r="D35" i="46"/>
  <c r="D38" i="46"/>
  <c r="D36" i="46"/>
  <c r="H147" i="74" l="1"/>
  <c r="H148" i="74" s="1"/>
  <c r="D47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6" authorId="0" shapeId="0" xr:uid="{255BEB06-A237-439E-9203-EB5CCD91F641}">
      <text>
        <r>
          <rPr>
            <b/>
            <sz val="9"/>
            <color indexed="81"/>
            <rFont val="Segoe UI"/>
            <family val="2"/>
          </rPr>
          <t>TEMPO DE EXECUÇÃO DO SUBOLO</t>
        </r>
      </text>
    </comment>
    <comment ref="B24" authorId="0" shapeId="0" xr:uid="{24E26533-CC5C-4581-B306-D492C246179F}">
      <text>
        <r>
          <rPr>
            <b/>
            <sz val="9"/>
            <color indexed="81"/>
            <rFont val="Segoe UI"/>
            <family val="2"/>
          </rPr>
          <t>EMPOLAMENTO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19" authorId="0" shapeId="0" xr:uid="{D8DF5BAD-98F5-43BE-892A-4FA5FBCF8F29}">
      <text>
        <r>
          <rPr>
            <sz val="9"/>
            <color indexed="81"/>
            <rFont val="Segoe UI"/>
            <family val="2"/>
          </rPr>
          <t>30% de perda</t>
        </r>
      </text>
    </comment>
    <comment ref="G29" authorId="0" shapeId="0" xr:uid="{D8202987-3B4C-45BF-B1C8-25FB05DD6B6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30" authorId="0" shapeId="0" xr:uid="{3898590B-17B9-40D2-A0C6-EB5B71EBE615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19" authorId="0" shapeId="0" xr:uid="{A1B1C653-6A30-40D0-A361-28559755B50A}">
      <text>
        <r>
          <rPr>
            <sz val="9"/>
            <color indexed="81"/>
            <rFont val="Segoe UI"/>
            <family val="2"/>
          </rPr>
          <t>30% de perda</t>
        </r>
      </text>
    </comment>
    <comment ref="F33" authorId="0" shapeId="0" xr:uid="{82D2F4CB-C9BF-40F1-B6DD-475307089183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0" authorId="0" shapeId="0" xr:uid="{7A7D1CAA-C999-4F28-8CCA-47A34CF3D7FD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10" authorId="0" shapeId="0" xr:uid="{D074337E-44C5-47F9-A8F8-6780F729DF55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12" authorId="0" shapeId="0" xr:uid="{3A59A200-8D3A-4012-A665-0423F25263A7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12" authorId="0" shapeId="0" xr:uid="{9AE509B4-3181-43D0-BD36-6FD2A5B68901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13" authorId="0" shapeId="0" xr:uid="{42D385EB-E97A-4FF8-9E25-D21E9843584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14" authorId="0" shapeId="0" xr:uid="{393D86CF-22CF-427B-9EAE-26D0BC5FE81B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22" authorId="0" shapeId="0" xr:uid="{D3A1D1C5-76BD-4435-935F-C7E4F70B0C4A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22" authorId="0" shapeId="0" xr:uid="{907FE9F7-0D4F-46D9-A2C0-C5B647773F5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G26" authorId="0" shapeId="0" xr:uid="{F18420EE-B641-4973-84F8-1AFE5AFC91A5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27" authorId="0" shapeId="0" xr:uid="{CFAE0208-C94E-4720-A99A-392F739C2D0D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35" authorId="0" shapeId="0" xr:uid="{4ECB0ED9-6BCD-4505-A135-121E331946FF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35" authorId="0" shapeId="0" xr:uid="{81951B11-7B56-420D-ADD3-188465EF4D7F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G40" authorId="0" shapeId="0" xr:uid="{E32EABE4-D24C-453B-9857-2D95D3F5FDBF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B49" authorId="0" shapeId="0" xr:uid="{A5B116E8-B653-4F25-BF25-2F85AD2A5008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49" authorId="0" shapeId="0" xr:uid="{AEB90F6D-E8CD-4DCC-9D59-AC6FB9ADEFF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51" authorId="0" shapeId="0" xr:uid="{7C934DBF-7F45-4419-B9D3-A49B4A1EC07E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G55" authorId="0" shapeId="0" xr:uid="{B5E182E8-9D95-4E0F-AA19-F669731AA80B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56" authorId="0" shapeId="0" xr:uid="{09657194-E7DE-4003-90B7-F70AC1A0E4D4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G62" authorId="0" shapeId="0" xr:uid="{9AA28148-10EA-4C94-BDBE-5135BF849D19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32" authorId="0" shapeId="0" xr:uid="{F99D21DE-C680-41FC-80BD-D01F80D77713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sharedStrings.xml><?xml version="1.0" encoding="utf-8"?>
<sst xmlns="http://schemas.openxmlformats.org/spreadsheetml/2006/main" count="2016" uniqueCount="626">
  <si>
    <t>Obra</t>
  </si>
  <si>
    <t>Revisão</t>
  </si>
  <si>
    <t>m²</t>
  </si>
  <si>
    <t>un</t>
  </si>
  <si>
    <t>m</t>
  </si>
  <si>
    <t>Parâmetro</t>
  </si>
  <si>
    <t>R$ / AC</t>
  </si>
  <si>
    <t>AT</t>
  </si>
  <si>
    <t>AC</t>
  </si>
  <si>
    <t>NP</t>
  </si>
  <si>
    <t>NPT</t>
  </si>
  <si>
    <t>APT</t>
  </si>
  <si>
    <t>PPT</t>
  </si>
  <si>
    <t>NS</t>
  </si>
  <si>
    <t>Descrição</t>
  </si>
  <si>
    <t>Identificador</t>
  </si>
  <si>
    <t>Valor total</t>
  </si>
  <si>
    <t>TOTAL</t>
  </si>
  <si>
    <t>Quantidade</t>
  </si>
  <si>
    <t>ESCAVAÇÃO E REATERRO DE VALAS</t>
  </si>
  <si>
    <t>Escavação mecanizada para blocos e baldrames</t>
  </si>
  <si>
    <t>Reaterro para blocos e baldrames</t>
  </si>
  <si>
    <t>m³</t>
  </si>
  <si>
    <t>Armação</t>
  </si>
  <si>
    <t>Concreto</t>
  </si>
  <si>
    <t>Mão de obra</t>
  </si>
  <si>
    <t>kg</t>
  </si>
  <si>
    <t>vb</t>
  </si>
  <si>
    <t>SUPRAESTRUTURA</t>
  </si>
  <si>
    <t>Fabricação forma</t>
  </si>
  <si>
    <t>Montagem de forma</t>
  </si>
  <si>
    <t>Armadura Convencional para Estrutura</t>
  </si>
  <si>
    <t>Escoramento - Torre</t>
  </si>
  <si>
    <t>Escoramento - Embasamento</t>
  </si>
  <si>
    <t>kg / m³</t>
  </si>
  <si>
    <t>AE</t>
  </si>
  <si>
    <t>AL</t>
  </si>
  <si>
    <t>m² / AC</t>
  </si>
  <si>
    <t>m³ / AC</t>
  </si>
  <si>
    <t>APE</t>
  </si>
  <si>
    <t>NPD</t>
  </si>
  <si>
    <t>ND</t>
  </si>
  <si>
    <t xml:space="preserve"> 2 Portões acesso garagem - Área: 9,2m² x 2 = 18,4m²</t>
  </si>
  <si>
    <t>2 portas corta-fogo 1 folha</t>
  </si>
  <si>
    <t>1 porta de correr alumínio 2 folhas – Área: 3,465m²</t>
  </si>
  <si>
    <t>1 porta de correr alumínio 2 folhas – Área: 1,7325m²</t>
  </si>
  <si>
    <t>2 portas de abrir alumínio 2 folhas – Área: 2,6376m² x 2 = 5,2752m²</t>
  </si>
  <si>
    <t>1 porta de abrir alumínio 2 folhas – Área: 4,1916m²</t>
  </si>
  <si>
    <t>1 porta pivotante</t>
  </si>
  <si>
    <t>19 portas de abrir madeira 1 folha</t>
  </si>
  <si>
    <t>3 portas de abrir vidro 1 folha – Área: 2,1m² x 3 = 6,3m²</t>
  </si>
  <si>
    <t>2 portas de abrir vidro 1 folha – Área: 1,89m² x 2 = 3,78m²</t>
  </si>
  <si>
    <t>1 porta de abrir alumínio 1 folha – Área: 2,0076m²</t>
  </si>
  <si>
    <t>Janelas – Área: 3,75 + 4,875 + 2,5 + 1,1 + 1,2 + 5,5402 + 4,4874 = 23,4526m²</t>
  </si>
  <si>
    <t>Muro de vidro – Área: 7,0774 + 5,485 + 3,43 + 4,8138 = 20,8062m²</t>
  </si>
  <si>
    <t>8 portas corta-fogo 1 folha</t>
  </si>
  <si>
    <t xml:space="preserve"> Janelas – Area: (1,1 + 1,2 + 28,7391) x 4 = 124,1564m²</t>
  </si>
  <si>
    <t xml:space="preserve"> 2 portas corta-fogo 1 folha</t>
  </si>
  <si>
    <t xml:space="preserve"> 2 portas de abrir alumínio 1 folha – Área: 1,47m² x 2 = 2,94m²</t>
  </si>
  <si>
    <t xml:space="preserve"> 2 portas de abrir vidro 1 folha – Área: 1,89m² x 2 = 3,78m²</t>
  </si>
  <si>
    <t xml:space="preserve"> 5 portas de abrir madeira 1 folha  </t>
  </si>
  <si>
    <t xml:space="preserve"> 1 janela-porta de correr vidro – Área: 14,7348m²</t>
  </si>
  <si>
    <t xml:space="preserve"> Janelas – Área: 1,2894 + 1,2894 + 23,46 + 1,854 + 5,562 + 5,562 + 1,854 + 1,854 + 1,1 + 1,2 = 45,0248m²</t>
  </si>
  <si>
    <t xml:space="preserve"> Guarda corpo vidro – Área: 7,5299 + 5,7955 + 6,5555 = 19,8809m²</t>
  </si>
  <si>
    <t xml:space="preserve"> 38 portas corta-fogo 1 folha</t>
  </si>
  <si>
    <t xml:space="preserve"> 171 portas de abrir madeira 1 folha</t>
  </si>
  <si>
    <t xml:space="preserve"> 19 porta de abrir alumínio 1 folha – Área: 1,26m² x 19 = 23,94m²</t>
  </si>
  <si>
    <t xml:space="preserve"> 19 janela-porta de correr vidro 5 folhas - Área: 25,4205m² x 19 = 482,9895m²</t>
  </si>
  <si>
    <t xml:space="preserve"> 19 janela-porta de correr vidro 5 folhas - Área: 17,8284m² x 19 = 338,7396m²</t>
  </si>
  <si>
    <t xml:space="preserve"> Janelas – Área: 1,1 + 1,1 + 1,2 + 1,92 + 0,36 + 2,781 + 2,781 + 1,854 + 1,854 + 5,562 + 5,562 + 1,854 = 27,928m² x 19 = 530,632m²</t>
  </si>
  <si>
    <t xml:space="preserve"> Guarda corpo metálico – Área: 4,745m² x 19 = 90,155m² - Perímetro: 3,65m x 19 = 69,35m</t>
  </si>
  <si>
    <t xml:space="preserve"> Guarda corpo vidro – Área: 15,645m² x 19 = 297,255m² - Perímetro: 14,9m x 19 = 283,1m</t>
  </si>
  <si>
    <t xml:space="preserve"> 2 portas de abrir madeira 1 folha</t>
  </si>
  <si>
    <t xml:space="preserve"> 1 porta de abrir alumínio 1 folha – Área: 1,26m²</t>
  </si>
  <si>
    <t xml:space="preserve"> 1 janela-porta de correr vidro 3 folhas - Área: 15,21m²</t>
  </si>
  <si>
    <t xml:space="preserve"> 1 janela-porta de correr vidro 5 folhas - Área: 25,4205m²</t>
  </si>
  <si>
    <t xml:space="preserve"> 1 janela-porta de correr vidro 5 folhas - Área: 17,8284m²</t>
  </si>
  <si>
    <t xml:space="preserve"> Janelas – Área: 1,1 + 1,2 + 1,1 + 1,92 + 0,36 + 2,781 + 2,781 + 1,854 + 1,854 + 5,562 + 5,562 + 1,854 = 27,928m²</t>
  </si>
  <si>
    <t xml:space="preserve"> Guarda corpo metálico – Área: 4,745m² - Perímetro: 3,65m</t>
  </si>
  <si>
    <t xml:space="preserve"> Guarda corpo vidro – Área: 15,645m² - Perímetro: 14,9m</t>
  </si>
  <si>
    <t xml:space="preserve"> 7 portas de abrir madeira 1 folha</t>
  </si>
  <si>
    <t xml:space="preserve"> 2 portas de correr madeira 1 folha</t>
  </si>
  <si>
    <t xml:space="preserve"> Janelas – Área: 1,1 + 1,2 + 1,92 + 0,36 + 2,781 + 2,781 + 1,854 + 1,854 + 5,562 + 5,562 + 1,854 = 26,828m²</t>
  </si>
  <si>
    <t xml:space="preserve"> 4 portas de abrir madeira 1 folha</t>
  </si>
  <si>
    <t xml:space="preserve"> 1 porta de correr madeira 1 folha</t>
  </si>
  <si>
    <t xml:space="preserve"> 1 porta de correr vidro 3 folhas – Área: 10,5m²</t>
  </si>
  <si>
    <t xml:space="preserve"> 1 janela-porta de correr vidro – Área: 5,61m²</t>
  </si>
  <si>
    <t xml:space="preserve"> Janela – Área: 1,1 + 1,2 + 1,92 + 0,36 + 2,781 + 2,781 + 1,854 + 1,854 + 5,562 + 5,562 + 1,854 + 25,0512 + 17,8284 = 69,7076m²</t>
  </si>
  <si>
    <t xml:space="preserve"> Janelas – Area: 1,1 + 1,2 + 0,84 + 0,84 + 3,549 + 3,549 + 10,647 + 10,647 = 32,372m²</t>
  </si>
  <si>
    <t>portão</t>
  </si>
  <si>
    <t>pcf</t>
  </si>
  <si>
    <t xml:space="preserve">porta alumínio </t>
  </si>
  <si>
    <t>porta alumínio</t>
  </si>
  <si>
    <t>madeira</t>
  </si>
  <si>
    <t>pivotante</t>
  </si>
  <si>
    <t>Guarda  alumínio</t>
  </si>
  <si>
    <t>janela</t>
  </si>
  <si>
    <t xml:space="preserve">gradil </t>
  </si>
  <si>
    <t>Brise</t>
  </si>
  <si>
    <t xml:space="preserve">Concreto </t>
  </si>
  <si>
    <t>REGULARIZAÇÃO E APILOAMENTO DE FUNDO DE VALAS</t>
  </si>
  <si>
    <t>Mão de obra - estrutura em concreto armado</t>
  </si>
  <si>
    <t>R$ / APE</t>
  </si>
  <si>
    <t>TOTAL MOVIMENTAÇÃO DE TERRA</t>
  </si>
  <si>
    <t>TOTAL INFRAESTRUTURA</t>
  </si>
  <si>
    <t>TOTAL SUPRAESTRUTURA</t>
  </si>
  <si>
    <t>FUNDAÇÃO PROFUNDA</t>
  </si>
  <si>
    <t>Número de Estacas</t>
  </si>
  <si>
    <t>un / APE</t>
  </si>
  <si>
    <t>Mobilização</t>
  </si>
  <si>
    <t>FUNDAÇÃO RASA</t>
  </si>
  <si>
    <t>Fabricação, montagem e desmontagem de forma para blocos e baldrames resinado</t>
  </si>
  <si>
    <t>m³ / APE</t>
  </si>
  <si>
    <t>m² / APE</t>
  </si>
  <si>
    <t>Estaca Hélice Continua Diâmetro 60</t>
  </si>
  <si>
    <t>Armação 6,3mm</t>
  </si>
  <si>
    <t>Cubetas</t>
  </si>
  <si>
    <t>Empresa</t>
  </si>
  <si>
    <t>Preço unitário</t>
  </si>
  <si>
    <t>M</t>
  </si>
  <si>
    <t>M2</t>
  </si>
  <si>
    <t>MOVIMENTAÇÃO DE TERRA</t>
  </si>
  <si>
    <t>INFRAESTRUTURA</t>
  </si>
  <si>
    <t>UN</t>
  </si>
  <si>
    <t>Rebaixamento de lençol</t>
  </si>
  <si>
    <t>Armação 16mm</t>
  </si>
  <si>
    <t>DADOS OBRA</t>
  </si>
  <si>
    <t>Unidade</t>
  </si>
  <si>
    <t>ÁREA DO TERRENO</t>
  </si>
  <si>
    <t>ÁREA TOTAL CONSTRUÍDA</t>
  </si>
  <si>
    <t>NÚMERO TOTAL DE PAVIMENTOS</t>
  </si>
  <si>
    <t>NÚMERO DE PAVIMENTOS TIPO</t>
  </si>
  <si>
    <t>NÚMERO DE PAVIMENTOS TIPO DIFERENCIADOS</t>
  </si>
  <si>
    <t>NÚMERO DE PAVIMENTOS DUPLEX</t>
  </si>
  <si>
    <t>ÁREA DE PROJEÇÃO DA TORRE</t>
  </si>
  <si>
    <t>PERÍMETRO DE PROJEÇÃO DA TORRE</t>
  </si>
  <si>
    <t>ÁREA DE LAZER</t>
  </si>
  <si>
    <t xml:space="preserve">ÁREA DO EMBASAMENTO </t>
  </si>
  <si>
    <t>ÁREA DE SUBSOLOS</t>
  </si>
  <si>
    <t>S</t>
  </si>
  <si>
    <t>NÚMERO DE SUBSOLOS</t>
  </si>
  <si>
    <t>ÁREA DE PROJEÇÃO DO EMBASAMENTO</t>
  </si>
  <si>
    <t>PERÍMETRO DE PROJEÇÃO DE EMBAMENTO</t>
  </si>
  <si>
    <t>NÚMERO DE PAVIMENTOS DE EMBASAMENTO</t>
  </si>
  <si>
    <t>Movimentação de terra das estacas</t>
  </si>
  <si>
    <t>Escavação</t>
  </si>
  <si>
    <t>Preço unitário de escavação (R$ / m3)</t>
  </si>
  <si>
    <t>Volume total de escavação (m3)</t>
  </si>
  <si>
    <t>Altura do subsolo (m)</t>
  </si>
  <si>
    <t>ESCAVAÇÃO VERTICAL DE SUBSOLO</t>
  </si>
  <si>
    <t>Preço unitário de rebaixamento (R$ / dias)</t>
  </si>
  <si>
    <t>Quantidade (dias)</t>
  </si>
  <si>
    <t>REBAIXAMENTO DE LENÇOL FREÁTICO</t>
  </si>
  <si>
    <t>PE</t>
  </si>
  <si>
    <t>NE</t>
  </si>
  <si>
    <t>Movimentação de bota-fora</t>
  </si>
  <si>
    <t>m³ / Vol Escavação</t>
  </si>
  <si>
    <t>Área de lastro (m²)</t>
  </si>
  <si>
    <t>Preço unitário (R$ / m2)</t>
  </si>
  <si>
    <t>Preço unitário (R$ / m3)</t>
  </si>
  <si>
    <t>Estaca Hélice Continua Diâmetro 50</t>
  </si>
  <si>
    <t>Estaca Hélice Continua Diâmetro 40</t>
  </si>
  <si>
    <t xml:space="preserve">m/un </t>
  </si>
  <si>
    <t>un / APT*NPT</t>
  </si>
  <si>
    <t>un / AE</t>
  </si>
  <si>
    <t>CONTENÇÃO</t>
  </si>
  <si>
    <t>CORTINA DE ESTACAS</t>
  </si>
  <si>
    <t>PAREDE DIAFRAGMA</t>
  </si>
  <si>
    <t>TOTAL ALVENARIA</t>
  </si>
  <si>
    <t>Média</t>
  </si>
  <si>
    <t>R$ / m²</t>
  </si>
  <si>
    <t>Serviços complementares</t>
  </si>
  <si>
    <t>Alvenaria refratárias</t>
  </si>
  <si>
    <t>m² / APT</t>
  </si>
  <si>
    <t>Alvenaria cobertura / reservatório</t>
  </si>
  <si>
    <t xml:space="preserve">Alvenaria escadas </t>
  </si>
  <si>
    <t>m² / APT*(NPT+2ND)</t>
  </si>
  <si>
    <t>Alvenaria tipo</t>
  </si>
  <si>
    <t>m² / AL</t>
  </si>
  <si>
    <t>Alvenaria lazer</t>
  </si>
  <si>
    <t>m² / AE</t>
  </si>
  <si>
    <t>Alvenaria embasamento</t>
  </si>
  <si>
    <t>Referência</t>
  </si>
  <si>
    <t>ALVENARIA</t>
  </si>
  <si>
    <t>R00</t>
  </si>
  <si>
    <t>Data</t>
  </si>
  <si>
    <t>Cliente</t>
  </si>
  <si>
    <r>
      <rPr>
        <b/>
        <sz val="14"/>
        <color rgb="FF255AE5"/>
        <rFont val="Roboto"/>
      </rPr>
      <t>ORÇAMENTO PARAMÉTRICO</t>
    </r>
    <r>
      <rPr>
        <b/>
        <sz val="14"/>
        <color rgb="FF293549"/>
        <rFont val="Roboto"/>
      </rPr>
      <t xml:space="preserve">
</t>
    </r>
    <r>
      <rPr>
        <b/>
        <sz val="11"/>
        <color rgb="FFFF0000"/>
        <rFont val="Roboto"/>
      </rPr>
      <t>GERENCIAMENTO EXECUTIVO</t>
    </r>
  </si>
  <si>
    <t>TOTAL REVESTIMENTOS</t>
  </si>
  <si>
    <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AC</t>
    </r>
  </si>
  <si>
    <t>Reboco</t>
  </si>
  <si>
    <t>Chapisco</t>
  </si>
  <si>
    <t>Manta acústica</t>
  </si>
  <si>
    <t>Contrapiso</t>
  </si>
  <si>
    <t>REVESTIMENTOS INTERNOS EM PISO E PAREDE</t>
  </si>
  <si>
    <t>Chapisco e reboco</t>
  </si>
  <si>
    <t>Estucamento</t>
  </si>
  <si>
    <t>Negativo</t>
  </si>
  <si>
    <t>COBERTURA</t>
  </si>
  <si>
    <t>TERREO</t>
  </si>
  <si>
    <t>Revestimentos de Parede</t>
  </si>
  <si>
    <t>Rodapés</t>
  </si>
  <si>
    <t xml:space="preserve">m² </t>
  </si>
  <si>
    <t>Piscina</t>
  </si>
  <si>
    <t xml:space="preserve">Porcelanato </t>
  </si>
  <si>
    <t>Pintura Interna</t>
  </si>
  <si>
    <t xml:space="preserve">Textura escadas </t>
  </si>
  <si>
    <t>Pintura acrílica antiderrapante</t>
  </si>
  <si>
    <t>Pintura piso epoxi</t>
  </si>
  <si>
    <t>TOTAL FACHADA</t>
  </si>
  <si>
    <t>-</t>
  </si>
  <si>
    <t>ACABAMENTOS ESPECIAIS</t>
  </si>
  <si>
    <t>RESERV</t>
  </si>
  <si>
    <t>EMBASAMENTO</t>
  </si>
  <si>
    <t>PINTURA</t>
  </si>
  <si>
    <t>REVESTIMENTOS ARGAMASSADOS</t>
  </si>
  <si>
    <t>TOTAL IMPERMEABILIZAÇÃO</t>
  </si>
  <si>
    <t>Proteção Mecânica</t>
  </si>
  <si>
    <t>Impermeabilização de peitoril</t>
  </si>
  <si>
    <t>Impermeabilizações com manta asfaltica</t>
  </si>
  <si>
    <t>Impermeabilizações cimenticias</t>
  </si>
  <si>
    <t>Ralos</t>
  </si>
  <si>
    <t>Baldrames</t>
  </si>
  <si>
    <t>Poço do elevador</t>
  </si>
  <si>
    <t>Regularização de Superfície</t>
  </si>
  <si>
    <t>IMPERMEABILIZAÇÃO</t>
  </si>
  <si>
    <t>Esquadrias de Madeira</t>
  </si>
  <si>
    <t>Portão de alumínio</t>
  </si>
  <si>
    <t>Corrimão madeira</t>
  </si>
  <si>
    <t>Guarda-corpo - vidro</t>
  </si>
  <si>
    <t>Serralherias</t>
  </si>
  <si>
    <t>PCF</t>
  </si>
  <si>
    <t>Esquadrias de Alumínio</t>
  </si>
  <si>
    <t>ESQUADRIAS</t>
  </si>
  <si>
    <t>TOTAL INSTALAÇÕES</t>
  </si>
  <si>
    <t>Instalações de Proteção e Aterramento - SPDA</t>
  </si>
  <si>
    <t>Instalações de GLP</t>
  </si>
  <si>
    <t>Instalações Preventivas</t>
  </si>
  <si>
    <t>INSTALAÇÕES PREVENTIVAS E GLP</t>
  </si>
  <si>
    <t>Mão de Obra para Instalações Hidráulicas</t>
  </si>
  <si>
    <t>Louças e Metais</t>
  </si>
  <si>
    <t>Instalações Sanitárias</t>
  </si>
  <si>
    <t>Instalações de Águas Pluviais</t>
  </si>
  <si>
    <t>Instalações de Água Quente</t>
  </si>
  <si>
    <t>Instalações de Água Fria</t>
  </si>
  <si>
    <t>INSTALAÇÕES HIDROSSANITÁRIAS</t>
  </si>
  <si>
    <t>Mão de Obra para Instalações Elétricas</t>
  </si>
  <si>
    <t>Equipamentos e Iluminação</t>
  </si>
  <si>
    <t>Acabamentos Elétricos</t>
  </si>
  <si>
    <t>Quadros e Disjuntores</t>
  </si>
  <si>
    <t>Cabos e Fiações</t>
  </si>
  <si>
    <t>Eletrodutos e Eletrocalhas</t>
  </si>
  <si>
    <t>Entrada de Energia</t>
  </si>
  <si>
    <t>INSTALAÇÕES ELÉTRICAS</t>
  </si>
  <si>
    <t>INSTALAÇÕES</t>
  </si>
  <si>
    <t>TOTAL SISTEMAS ESPECIAIS</t>
  </si>
  <si>
    <t>Outros sistemas</t>
  </si>
  <si>
    <t>OUTROS SISTEMAS ESPECIAIS</t>
  </si>
  <si>
    <t>Infra de carro elétrico</t>
  </si>
  <si>
    <t>Grupo de geradores</t>
  </si>
  <si>
    <t>Elevadores</t>
  </si>
  <si>
    <t>Preço Unitário</t>
  </si>
  <si>
    <t>EQUIPAMENTOS</t>
  </si>
  <si>
    <t>Automação, telecomunicação e sistemas de segurança</t>
  </si>
  <si>
    <t>TV e internet</t>
  </si>
  <si>
    <t>Interfone</t>
  </si>
  <si>
    <t>CFTV</t>
  </si>
  <si>
    <t>COMUNICAÇÃO</t>
  </si>
  <si>
    <t>Churrasqueiras</t>
  </si>
  <si>
    <t>Ventokit</t>
  </si>
  <si>
    <t>Instalação de Ar Condicionado</t>
  </si>
  <si>
    <t>Infraestrutura para Instalação de Ar Condicionado</t>
  </si>
  <si>
    <t>CLIMATIZAÇÃO, EXAUSTÃO MECÂNICA E PRESSURIZAÇÃO</t>
  </si>
  <si>
    <t>SISTEMAS ESPECIAIS</t>
  </si>
  <si>
    <t>TOTAL COMPLEMENTARES</t>
  </si>
  <si>
    <t>Limpeza</t>
  </si>
  <si>
    <t>Desmobilização</t>
  </si>
  <si>
    <t>Ligações definitivas</t>
  </si>
  <si>
    <t>Paisagismo</t>
  </si>
  <si>
    <t>Comunicação visual</t>
  </si>
  <si>
    <t>R$ / AL</t>
  </si>
  <si>
    <t>Móveis e decoração</t>
  </si>
  <si>
    <t>SERVIÇOS COMPLEMENTARES</t>
  </si>
  <si>
    <t>COMPLEMENTARES</t>
  </si>
  <si>
    <t>Arquitetura base</t>
  </si>
  <si>
    <t>UNIDADES RESIDENCIAIS</t>
  </si>
  <si>
    <t>UR</t>
  </si>
  <si>
    <t>Dormitórios</t>
  </si>
  <si>
    <t>Banheiros</t>
  </si>
  <si>
    <t>UNIDADES COMERCIAIS</t>
  </si>
  <si>
    <t>UC</t>
  </si>
  <si>
    <t>dorm</t>
  </si>
  <si>
    <t>ban</t>
  </si>
  <si>
    <t>Arquivo base</t>
  </si>
  <si>
    <t>PAREDE DE CONCRETO</t>
  </si>
  <si>
    <t>Observação</t>
  </si>
  <si>
    <t>Concreto (40 Mpa)</t>
  </si>
  <si>
    <t>Apoio e arrasamento de estacas</t>
  </si>
  <si>
    <t>Perfuração de vigas</t>
  </si>
  <si>
    <t>R$ / NP</t>
  </si>
  <si>
    <t>Coeficiente originário do Gran Torino (R$ 160,00/un)</t>
  </si>
  <si>
    <t>Jogos</t>
  </si>
  <si>
    <t>SUPRAESTRUTURA - LAJE MACIÇA</t>
  </si>
  <si>
    <t>SUPRAESTRUTURA - LAJE CUBETAS</t>
  </si>
  <si>
    <t>SUPRAESTRUTURA - LAJE TRELIÇADA</t>
  </si>
  <si>
    <t>Nova utiliza a verba de 1.500,00 por pav</t>
  </si>
  <si>
    <t>PAREDES E PAINÉIS</t>
  </si>
  <si>
    <t>Drywall tipo</t>
  </si>
  <si>
    <t>CHU</t>
  </si>
  <si>
    <t>m² * CHU</t>
  </si>
  <si>
    <t>perda</t>
  </si>
  <si>
    <t>m³ / Vol infra</t>
  </si>
  <si>
    <t>Escoramento</t>
  </si>
  <si>
    <t>Bombas</t>
  </si>
  <si>
    <t>m / FORRO</t>
  </si>
  <si>
    <t>PINTURA INTERNA</t>
  </si>
  <si>
    <t>REVESTIMENTOS E ACABAMENTOS DE TETO</t>
  </si>
  <si>
    <t xml:space="preserve"> m² / AC</t>
  </si>
  <si>
    <t>Estrutura e telhamento</t>
  </si>
  <si>
    <t>Pergolados</t>
  </si>
  <si>
    <t>Passarelas</t>
  </si>
  <si>
    <t>TELHADO</t>
  </si>
  <si>
    <t>TORRE 1</t>
  </si>
  <si>
    <t>Piso alisado</t>
  </si>
  <si>
    <t>TOTAL ESQUADRIAS</t>
  </si>
  <si>
    <t>M²</t>
  </si>
  <si>
    <t xml:space="preserve">un </t>
  </si>
  <si>
    <t>Estaca Hélice Continua Diâmetro 80</t>
  </si>
  <si>
    <t xml:space="preserve">Armação </t>
  </si>
  <si>
    <t>SUPRAESTRUTURA - LAJE PROTENDIDA</t>
  </si>
  <si>
    <t>RS / m²</t>
  </si>
  <si>
    <t>kg / m²</t>
  </si>
  <si>
    <t>Protensão - lajes - materiais</t>
  </si>
  <si>
    <t>Protensão - lajes - cabos</t>
  </si>
  <si>
    <t>Protensão - lajes - serviços</t>
  </si>
  <si>
    <t>und / pav</t>
  </si>
  <si>
    <t>pav</t>
  </si>
  <si>
    <t>Base obra Trindade Parkside</t>
  </si>
  <si>
    <t>ALVENARIA - DRYWALL</t>
  </si>
  <si>
    <t>CIMENTADO</t>
  </si>
  <si>
    <t>Equipamento de piscina</t>
  </si>
  <si>
    <t>TOTAL FORRO</t>
  </si>
  <si>
    <t>Fechadura Biometrica</t>
  </si>
  <si>
    <t>Piso ranhurado</t>
  </si>
  <si>
    <t>Pele de vidro</t>
  </si>
  <si>
    <t>Brise de fachada</t>
  </si>
  <si>
    <t>Não</t>
  </si>
  <si>
    <t>Sim</t>
  </si>
  <si>
    <t>CIRCULAÇÃO</t>
  </si>
  <si>
    <t>PISCINA</t>
  </si>
  <si>
    <t>HALL</t>
  </si>
  <si>
    <t>ACADEMIA</t>
  </si>
  <si>
    <t>RESERVATORIO</t>
  </si>
  <si>
    <t>Área total</t>
  </si>
  <si>
    <t>Material</t>
  </si>
  <si>
    <t>ACABAMENTOS</t>
  </si>
  <si>
    <t>Revestimento</t>
  </si>
  <si>
    <t>Total</t>
  </si>
  <si>
    <t>Repetição</t>
  </si>
  <si>
    <t>Contrapiso (Sim/Não)</t>
  </si>
  <si>
    <t>Área (m²)</t>
  </si>
  <si>
    <t>Ambiente</t>
  </si>
  <si>
    <t>Pavimento</t>
  </si>
  <si>
    <t>CONTRAPISO</t>
  </si>
  <si>
    <t>LEVANTAMENTO DE PROJETO</t>
  </si>
  <si>
    <t>LEVANTAMENTO QUANTITATIVO</t>
  </si>
  <si>
    <t>Sem rebaixamento</t>
  </si>
  <si>
    <t>Comprimento do muro</t>
  </si>
  <si>
    <t>Altura do muro</t>
  </si>
  <si>
    <t>TOTAL CONTENÇÃO</t>
  </si>
  <si>
    <t>Sistema de placas solares</t>
  </si>
  <si>
    <t>mês</t>
  </si>
  <si>
    <t>VINILICO</t>
  </si>
  <si>
    <t>Vinilico</t>
  </si>
  <si>
    <t>Emborrachado</t>
  </si>
  <si>
    <t>Forro</t>
  </si>
  <si>
    <t>Gesso</t>
  </si>
  <si>
    <t>REVESTIMENTOS E ACABAMENTOS DE PISO E TETO</t>
  </si>
  <si>
    <t>FORRO</t>
  </si>
  <si>
    <t>Plataforma elevatória</t>
  </si>
  <si>
    <t>inox</t>
  </si>
  <si>
    <t>só banheiro</t>
  </si>
  <si>
    <t>cozinha</t>
  </si>
  <si>
    <t>CERAMICA</t>
  </si>
  <si>
    <t>SALA DE JOGOS</t>
  </si>
  <si>
    <t>BRINQUEDOTECA</t>
  </si>
  <si>
    <t>SAUNA</t>
  </si>
  <si>
    <t>DECK</t>
  </si>
  <si>
    <t>MADEIRA</t>
  </si>
  <si>
    <t>ESTAR</t>
  </si>
  <si>
    <t>Profundidade de SPT</t>
  </si>
  <si>
    <t>Laje de subpressão</t>
  </si>
  <si>
    <t>concreto</t>
  </si>
  <si>
    <t>aço</t>
  </si>
  <si>
    <t>mo</t>
  </si>
  <si>
    <t>Área de subsolo (m2)</t>
  </si>
  <si>
    <t>30% de empolamento</t>
  </si>
  <si>
    <t>Lastro de concreto magto e=10cm</t>
  </si>
  <si>
    <t>Polimento de concreto</t>
  </si>
  <si>
    <t>praticamente toda aa rea da torre</t>
  </si>
  <si>
    <t>Ceramica</t>
  </si>
  <si>
    <t>Deck</t>
  </si>
  <si>
    <t>Madeira sauna</t>
  </si>
  <si>
    <t>GC SACADA</t>
  </si>
  <si>
    <t>Gradil area tecnica</t>
  </si>
  <si>
    <t>Corrimão comercial</t>
  </si>
  <si>
    <t>Impermeabilizações com manta asfalticafloreiras</t>
  </si>
  <si>
    <t>Execução de mureta guia</t>
  </si>
  <si>
    <t>Serviço especializado parede diafragma</t>
  </si>
  <si>
    <t>Mobilização para parede diagragma</t>
  </si>
  <si>
    <t>Concreto (30 Mpa) COM CRISTALIZANTE</t>
  </si>
  <si>
    <t>Tratamento em juntas de concretagem com fita hidroexpansiva</t>
  </si>
  <si>
    <t>espessura</t>
  </si>
  <si>
    <t>GESSO</t>
  </si>
  <si>
    <t>LAZER</t>
  </si>
  <si>
    <t>Pintura Interna Tetos</t>
  </si>
  <si>
    <t>Textura Teto</t>
  </si>
  <si>
    <t>2cinco4</t>
  </si>
  <si>
    <t>H Empreendimentos</t>
  </si>
  <si>
    <t>01 - Implantação e Situação - R1</t>
  </si>
  <si>
    <t>SALA 01</t>
  </si>
  <si>
    <t>SALA 02</t>
  </si>
  <si>
    <t>SALA 03</t>
  </si>
  <si>
    <t>SALA 04</t>
  </si>
  <si>
    <t>SALA 05</t>
  </si>
  <si>
    <t>SALA 06</t>
  </si>
  <si>
    <t>SALA 07</t>
  </si>
  <si>
    <t>SALA 08</t>
  </si>
  <si>
    <t>SALA 09</t>
  </si>
  <si>
    <t>LAVABO SALAS</t>
  </si>
  <si>
    <t>Paver</t>
  </si>
  <si>
    <t>PASSEIO/ACESSO FRENTE coberto</t>
  </si>
  <si>
    <t>PASSEIO/ACESSO TRAS</t>
  </si>
  <si>
    <t>PASSEIO/ACESSO TRAS coberto</t>
  </si>
  <si>
    <t xml:space="preserve">PASSEIO/ACESSO FRENTE </t>
  </si>
  <si>
    <t>LIXEIRA</t>
  </si>
  <si>
    <t>CENTRAL DE GÁS</t>
  </si>
  <si>
    <t>ACESSO HALL</t>
  </si>
  <si>
    <t>HALL DE ENTRADA</t>
  </si>
  <si>
    <t>RAMPA CIRC</t>
  </si>
  <si>
    <t xml:space="preserve">LAVAPÉS </t>
  </si>
  <si>
    <t>BICICLETÁRIO</t>
  </si>
  <si>
    <t>DEPOSITO</t>
  </si>
  <si>
    <t>ANTECAMARA 1</t>
  </si>
  <si>
    <t>ESCADA 1</t>
  </si>
  <si>
    <t>ESCADA 2</t>
  </si>
  <si>
    <t xml:space="preserve">PORCELANATO </t>
  </si>
  <si>
    <t>PORCELANATO AC</t>
  </si>
  <si>
    <t>CIMENTADO + EPOXI</t>
  </si>
  <si>
    <t>CIMENTADO + RESINA</t>
  </si>
  <si>
    <t>RAMPA GARAGEM</t>
  </si>
  <si>
    <t>G1</t>
  </si>
  <si>
    <t>G2</t>
  </si>
  <si>
    <t>CIRCULAÇÃO + VAGAS</t>
  </si>
  <si>
    <t>POLIMENTO + RESINA</t>
  </si>
  <si>
    <t>ESCADA GARAGEM</t>
  </si>
  <si>
    <t>CIRC</t>
  </si>
  <si>
    <t>LAVABOS</t>
  </si>
  <si>
    <t>PLAYGROUND</t>
  </si>
  <si>
    <t>ESTAR FESTA</t>
  </si>
  <si>
    <t>SALAO DE FESTAS</t>
  </si>
  <si>
    <t>TERRAÇO FESTAS</t>
  </si>
  <si>
    <t>EMORRACHADO</t>
  </si>
  <si>
    <t>HALL ESCADA</t>
  </si>
  <si>
    <t>GOURMET BBQ</t>
  </si>
  <si>
    <t>LAVABO</t>
  </si>
  <si>
    <t>FIREPLACE</t>
  </si>
  <si>
    <t>PISCINA INFANTIL</t>
  </si>
  <si>
    <t>BORDA PISCINA</t>
  </si>
  <si>
    <t>PATILHA</t>
  </si>
  <si>
    <t>CIMENTO QUEIMADO</t>
  </si>
  <si>
    <t>G3</t>
  </si>
  <si>
    <t>LAVBAO</t>
  </si>
  <si>
    <t>TIPO 1</t>
  </si>
  <si>
    <t>RESERV G3</t>
  </si>
  <si>
    <t>4 paradas</t>
  </si>
  <si>
    <t>LAJE SEM USO</t>
  </si>
  <si>
    <t>LAJE IMPERM</t>
  </si>
  <si>
    <t>PORCELANATO AP</t>
  </si>
  <si>
    <t>AREAS INTIMAS AP 1</t>
  </si>
  <si>
    <t>AREAS GERAIS AP 1 DESCOBERTA</t>
  </si>
  <si>
    <t xml:space="preserve">AREAS GERAIS AP 1 </t>
  </si>
  <si>
    <t>AREAS INTIMAS AP 2</t>
  </si>
  <si>
    <t>AREAS GERAIS AP 2 DESCOBERTA</t>
  </si>
  <si>
    <t xml:space="preserve">AREAS GERAIS AP 2 </t>
  </si>
  <si>
    <t>TIPO (X21)</t>
  </si>
  <si>
    <t>ROOFTOP</t>
  </si>
  <si>
    <t>ESPERA ESCADA</t>
  </si>
  <si>
    <t>DESCANSO</t>
  </si>
  <si>
    <t>MASSAGEM</t>
  </si>
  <si>
    <t>DUCHA</t>
  </si>
  <si>
    <t>PAV TECNICOS</t>
  </si>
  <si>
    <t>MANGOTINHO</t>
  </si>
  <si>
    <t>CASA DE MAQUINAS</t>
  </si>
  <si>
    <t>TAMPA RESERVATORIO</t>
  </si>
  <si>
    <t>ETAPA</t>
  </si>
  <si>
    <t>VALOR ORÇADO</t>
  </si>
  <si>
    <t>%</t>
  </si>
  <si>
    <t>VALOR / m²</t>
  </si>
  <si>
    <t>GERENCIAMENTO TÉCNICO E ADMINISTRATIVO</t>
  </si>
  <si>
    <t>INSTALAÇÕES ELÉTRICAS, HIDRÁULICAS, GLP E PREVENTIVAS</t>
  </si>
  <si>
    <t>REVESTIMENTOS ARGAMASSADOS PISO E PAREDE</t>
  </si>
  <si>
    <t>REVESTIMENTOS E ACABAMENTOS DE FACHADA</t>
  </si>
  <si>
    <t>ESQUADRIAS, VIDROS E FERRAGENS</t>
  </si>
  <si>
    <t>EQUIPAMENTOS E SISTEMAS ESPECIAIS</t>
  </si>
  <si>
    <t>CUB/SC</t>
  </si>
  <si>
    <t>Indice de custos do praticado no Atlantia</t>
  </si>
  <si>
    <t>Rateio do Custo Global</t>
  </si>
  <si>
    <t>Orçamento</t>
  </si>
  <si>
    <t>% Serviço</t>
  </si>
  <si>
    <t>% Acumulado</t>
  </si>
  <si>
    <t>Orçado</t>
  </si>
  <si>
    <t>Orçado Acum.</t>
  </si>
  <si>
    <t>Custo Unitário</t>
  </si>
  <si>
    <t>Gerenciamento Administrativo</t>
  </si>
  <si>
    <t>Mao De Obra Instalacoes De Canteiro</t>
  </si>
  <si>
    <t>Ferramentas/equipamentos</t>
  </si>
  <si>
    <t>Locação Balancim</t>
  </si>
  <si>
    <t>Montagem/Deslocamento/Desmontagem Balancim</t>
  </si>
  <si>
    <t>Fundações</t>
  </si>
  <si>
    <t>Mão de obra para execução de fundação rasa e profunda</t>
  </si>
  <si>
    <t>Supraestrutura</t>
  </si>
  <si>
    <t>Mão de obra para execução de supraestrutura de concreto armado</t>
  </si>
  <si>
    <t xml:space="preserve">   1º PAVIMENTO - TÉRREO - Contrapiso Armado</t>
  </si>
  <si>
    <t>Mão de Obra Polimento de piso</t>
  </si>
  <si>
    <t xml:space="preserve">   1º PAVIMENTO - TÉRREO</t>
  </si>
  <si>
    <t xml:space="preserve">   2º PAVIMENTO - GARAGEM 01</t>
  </si>
  <si>
    <t xml:space="preserve">   3º PAVIMENTO - GARAGEM 02</t>
  </si>
  <si>
    <t xml:space="preserve">   4º PAVIMENTO - GARAGEM 03</t>
  </si>
  <si>
    <t xml:space="preserve">   5º PAVIMENTO -  GARAGEM 04</t>
  </si>
  <si>
    <t xml:space="preserve">   7º PAVIMENTO - TIPO1 X1</t>
  </si>
  <si>
    <t xml:space="preserve">   8º PAVIMENTO - TIPO2 X11</t>
  </si>
  <si>
    <t xml:space="preserve">   9º PAVIMENTO - TIPO3 X1</t>
  </si>
  <si>
    <t xml:space="preserve">   19º PAVIMENTO - ROOFTOP</t>
  </si>
  <si>
    <t xml:space="preserve">   19º PAVIMENTO - TÉCNICO</t>
  </si>
  <si>
    <t>Alvenarias e Vedações</t>
  </si>
  <si>
    <t>Mão de obra para assentamento de blocos cerâmicos</t>
  </si>
  <si>
    <t xml:space="preserve">Mão de obra para assentamento de blocos de Refratário </t>
  </si>
  <si>
    <t>Mão de obra para assentamento de blocos de silico calcarios</t>
  </si>
  <si>
    <t xml:space="preserve">Mão de obra para regularização de superfície </t>
  </si>
  <si>
    <t>Mão de obra para proteção mecânica</t>
  </si>
  <si>
    <t>Revestimentos de Argamassas (internos)</t>
  </si>
  <si>
    <t>Internos Parede</t>
  </si>
  <si>
    <t>Mão de obra execução de massa única em paredes interna, incluindo chapisco</t>
  </si>
  <si>
    <t>Estucamento Parede</t>
  </si>
  <si>
    <t>Mão de obra estucamento de paredes</t>
  </si>
  <si>
    <t>Internos Teto Massa</t>
  </si>
  <si>
    <t>Mão de Obra para Execução de Argamassado em Teto</t>
  </si>
  <si>
    <t>Internos Piso</t>
  </si>
  <si>
    <t>Mão de obra execução de contrapiso comum e Acústico</t>
  </si>
  <si>
    <t>Mão de obra execução regularização de Piso</t>
  </si>
  <si>
    <t>Mão de obra execução Piso Vassourado</t>
  </si>
  <si>
    <t>Mão de obra execução Piso Queimado</t>
  </si>
  <si>
    <t>Revestimentos de Argamassas (Externos)</t>
  </si>
  <si>
    <t>Fachada  - Externos</t>
  </si>
  <si>
    <t>Mao de obra para reboco externo - inclui chapisco</t>
  </si>
  <si>
    <t>Coberturas (telhado)</t>
  </si>
  <si>
    <t>MAO DE OBRA PARA INSTALAÇÃO DE COBERTURA/CALHAS E RUFOS</t>
  </si>
  <si>
    <t>Revestimentos cerâmicos e porcelanatos</t>
  </si>
  <si>
    <t>Internos Peitoril</t>
  </si>
  <si>
    <t xml:space="preserve"> Internos Parede</t>
  </si>
  <si>
    <t>Mão de obra para assentamento de revestimento cerâmico em parede</t>
  </si>
  <si>
    <t>Mão de obra para assentamento de Pastilhas em Piscina</t>
  </si>
  <si>
    <t>Mão de obra para assentamento de Pedras Naturais em parede</t>
  </si>
  <si>
    <t xml:space="preserve"> Internos Soleira</t>
  </si>
  <si>
    <t>Mão de obra de colocação de soleira em granito</t>
  </si>
  <si>
    <t xml:space="preserve"> Internos Piso</t>
  </si>
  <si>
    <t>Mão de Obra Piso Porcenato/ Cerâmico</t>
  </si>
  <si>
    <t>Mão de obra para assentamento de Pedras Naturais em piso</t>
  </si>
  <si>
    <t>Internos Rodapé</t>
  </si>
  <si>
    <t>Mão de obra de rodapé Pedra Natural</t>
  </si>
  <si>
    <t>Mão de obra de rodapé Porcelanato</t>
  </si>
  <si>
    <t>Revestimentos de Acabamentos (Externos)</t>
  </si>
  <si>
    <t>Fachada  - Externos - Cerâmico</t>
  </si>
  <si>
    <t>Mão de obra para aplicação de Pastilhas em paredes externas</t>
  </si>
  <si>
    <t>Fachada  - Externos - Porcelanato</t>
  </si>
  <si>
    <t>Mão de obra para aplicação de Porcelanato em paredes externas</t>
  </si>
  <si>
    <t>Fachada  - Externos - Pedras</t>
  </si>
  <si>
    <t>Mão de obra para aplicação de Pedra Natural em paredes externas</t>
  </si>
  <si>
    <t>Serviços complementares Entrega obra</t>
  </si>
  <si>
    <t>MAO DE OBRA PARA SERVIÇOS COMPLMENTARES E FINAIS DE OBRA</t>
  </si>
  <si>
    <t>Indice Atlantia</t>
  </si>
  <si>
    <t>Mo empreitada Atlantia</t>
  </si>
  <si>
    <t>fim da estrutra</t>
  </si>
  <si>
    <t xml:space="preserve">inicioda estrutra </t>
  </si>
  <si>
    <t>Datas Atlantia</t>
  </si>
  <si>
    <t>um/m²</t>
  </si>
  <si>
    <t>Pressurização de escada</t>
  </si>
  <si>
    <t>TIPO 21</t>
  </si>
  <si>
    <t>TIPO DIF</t>
  </si>
  <si>
    <t xml:space="preserve">Equipamento de sauna </t>
  </si>
  <si>
    <t>Equipamento de spa</t>
  </si>
  <si>
    <t>ACABAMENTOS INTERNOS EM PISO E PAREDE</t>
  </si>
  <si>
    <t>REVESTIMENTOS E ACABAMENTOS EM TETO</t>
  </si>
  <si>
    <t>Alvenaria silico calcario</t>
  </si>
  <si>
    <t>apenas mat</t>
  </si>
  <si>
    <t>Acabamentos especiais (pedras e etc)</t>
  </si>
  <si>
    <t>Tratamento</t>
  </si>
  <si>
    <t>MO acabamentos especiais</t>
  </si>
  <si>
    <t>Mo Tetxura</t>
  </si>
  <si>
    <t>Textura</t>
  </si>
  <si>
    <t>Mao de obra argamassado</t>
  </si>
  <si>
    <t>Mao de obra piso</t>
  </si>
  <si>
    <t>MO Estucamento</t>
  </si>
  <si>
    <t>Forro gesso mineral</t>
  </si>
  <si>
    <t>ACABAMENTOS EM PISO E PAREDE</t>
  </si>
  <si>
    <t>Mao de obra acabamentos</t>
  </si>
  <si>
    <t>Terraços e áreas externas</t>
  </si>
  <si>
    <t>MO reg e prot</t>
  </si>
  <si>
    <t>MO cobertura</t>
  </si>
  <si>
    <t>Custos complementares de entrega da obra</t>
  </si>
  <si>
    <t>Porcelanato AC</t>
  </si>
  <si>
    <t>Porcelanato AP</t>
  </si>
  <si>
    <t xml:space="preserve">Soleiras </t>
  </si>
  <si>
    <t>Peitoris</t>
  </si>
  <si>
    <t>Pintura piso resina</t>
  </si>
  <si>
    <t>Vagas e bicicleta</t>
  </si>
  <si>
    <t>BRISE TEC</t>
  </si>
  <si>
    <t>IMPREVISTOS E CONTINGENCIAS</t>
  </si>
  <si>
    <t>Alvenaria externa</t>
  </si>
  <si>
    <t>Office e family</t>
  </si>
  <si>
    <t>Gourmet e Style</t>
  </si>
  <si>
    <t>apenas box</t>
  </si>
  <si>
    <t>Pintura Interna massa acrilica (banheiros)</t>
  </si>
  <si>
    <t>Esquadrias 25mm</t>
  </si>
  <si>
    <t>Esquadrias 32mm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</si>
</sst>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D_M_-;\-* #,##0.00\ _D_M_-;_-* &quot;-&quot;??\ _D_M_-;_-@_-"/>
    <numFmt numFmtId="165" formatCode="_-* #.##0.00_-;\-* #.##0.00_-;_-* &quot;-&quot;??_-;_-@_-"/>
    <numFmt numFmtId="166" formatCode="_-* #,##0.0000_-;\-* #,##0.0000_-;_-* &quot;-&quot;??_-;_-@_-"/>
    <numFmt numFmtId="167" formatCode="_(&quot;R$&quot;* #,##0.00_);_(&quot;R$&quot;* \(#,##0.00\);_(&quot;R$&quot;* &quot;-&quot;??_);_(@_)"/>
    <numFmt numFmtId="168" formatCode="[$-416]mmm\-yy;@"/>
    <numFmt numFmtId="169" formatCode="_(* #,##0.00_);_(* \(#,##0.00\);_(* &quot;-&quot;??_);_(@_)"/>
    <numFmt numFmtId="170" formatCode="_(* #,##0.000000_);_(* \(#,##0.000000\);_(* &quot;-&quot;??_);_(@_)"/>
    <numFmt numFmtId="171" formatCode="0.0000%"/>
    <numFmt numFmtId="172" formatCode="_(* #,##0.0000_);_(* \(#,##0.0000\);_(* &quot;-&quot;??_);_(@_)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Roboto"/>
    </font>
    <font>
      <sz val="10"/>
      <color rgb="FFFF0000"/>
      <name val="Roboto"/>
    </font>
    <font>
      <b/>
      <sz val="8"/>
      <color theme="0"/>
      <name val="Poppins"/>
    </font>
    <font>
      <sz val="10"/>
      <color rgb="FF121212"/>
      <name val="Poppins"/>
    </font>
    <font>
      <sz val="8"/>
      <color rgb="FF121212"/>
      <name val="Poppins"/>
    </font>
    <font>
      <b/>
      <sz val="10"/>
      <color theme="0"/>
      <name val="Poppins"/>
    </font>
    <font>
      <b/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8"/>
      <color rgb="FF002060"/>
      <name val="Poppins"/>
    </font>
    <font>
      <sz val="11"/>
      <color rgb="FF121212"/>
      <name val="Poppins"/>
    </font>
    <font>
      <sz val="8"/>
      <color theme="1"/>
      <name val="Poppins"/>
    </font>
    <font>
      <sz val="10"/>
      <color theme="1"/>
      <name val="Poppins"/>
    </font>
    <font>
      <sz val="10"/>
      <name val="Poppins"/>
    </font>
    <font>
      <b/>
      <sz val="11"/>
      <color theme="1"/>
      <name val="Poppins"/>
    </font>
    <font>
      <sz val="11"/>
      <color theme="1"/>
      <name val="Roboto"/>
    </font>
    <font>
      <b/>
      <u/>
      <sz val="11"/>
      <color theme="1"/>
      <name val="Poppins"/>
    </font>
    <font>
      <b/>
      <sz val="11"/>
      <color theme="0"/>
      <name val="Poppins"/>
    </font>
    <font>
      <b/>
      <sz val="9"/>
      <color indexed="81"/>
      <name val="Segoe UI"/>
      <family val="2"/>
    </font>
    <font>
      <b/>
      <sz val="10"/>
      <color theme="0"/>
      <name val="Roboto"/>
    </font>
    <font>
      <sz val="11"/>
      <color rgb="FFFF0000"/>
      <name val="Roboto"/>
    </font>
    <font>
      <sz val="11"/>
      <name val="Roboto"/>
    </font>
    <font>
      <sz val="11"/>
      <name val="Poppins"/>
    </font>
    <font>
      <b/>
      <sz val="11"/>
      <color theme="0"/>
      <name val="Roboto"/>
    </font>
    <font>
      <b/>
      <sz val="10"/>
      <color theme="1"/>
      <name val="Roboto"/>
    </font>
    <font>
      <sz val="10"/>
      <name val="Roboto"/>
    </font>
    <font>
      <b/>
      <u/>
      <sz val="10"/>
      <color theme="1"/>
      <name val="Roboto"/>
    </font>
    <font>
      <sz val="10"/>
      <color rgb="FF000000"/>
      <name val="Roboto"/>
    </font>
    <font>
      <b/>
      <sz val="14"/>
      <color rgb="FF293549"/>
      <name val="Roboto"/>
    </font>
    <font>
      <b/>
      <sz val="14"/>
      <color rgb="FF255AE5"/>
      <name val="Roboto"/>
    </font>
    <font>
      <b/>
      <sz val="11"/>
      <color rgb="FFFF0000"/>
      <name val="Roboto"/>
    </font>
    <font>
      <b/>
      <sz val="10"/>
      <color rgb="FFFF0000"/>
      <name val="Roboto"/>
    </font>
    <font>
      <sz val="9"/>
      <color indexed="81"/>
      <name val="Segoe UI"/>
      <family val="2"/>
    </font>
    <font>
      <sz val="11"/>
      <color rgb="FFFF0000"/>
      <name val="Poppins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Roboto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1A1A1A"/>
      <name val="Dosis"/>
    </font>
    <font>
      <sz val="8"/>
      <name val="Arial"/>
      <family val="2"/>
    </font>
    <font>
      <sz val="8"/>
      <name val="Poppins"/>
    </font>
    <font>
      <sz val="10"/>
      <color rgb="FF00B050"/>
      <name val="Arial"/>
      <family val="2"/>
    </font>
    <font>
      <sz val="8"/>
      <color rgb="FF00B050"/>
      <name val="Arial"/>
      <family val="2"/>
    </font>
    <font>
      <sz val="11"/>
      <color rgb="FFFFC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ECECE"/>
        <bgColor rgb="FFCECEC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255AE5"/>
        <bgColor rgb="FF255AE5"/>
      </patternFill>
    </fill>
    <fill>
      <patternFill patternType="solid">
        <fgColor rgb="FFA5A5A5"/>
        <bgColor rgb="FFA5A5A5"/>
      </patternFill>
    </fill>
    <fill>
      <patternFill patternType="solid">
        <fgColor rgb="FF121212"/>
        <bgColor rgb="FF121212"/>
      </patternFill>
    </fill>
    <fill>
      <patternFill patternType="solid">
        <fgColor rgb="FFFC3400"/>
        <bgColor rgb="FFFC3400"/>
      </patternFill>
    </fill>
    <fill>
      <patternFill patternType="solid">
        <fgColor theme="0"/>
        <bgColor rgb="FFDCDCDC"/>
      </patternFill>
    </fill>
    <fill>
      <patternFill patternType="solid">
        <fgColor theme="0" tint="-9.9978637043366805E-2"/>
        <bgColor theme="0"/>
      </patternFill>
    </fill>
    <fill>
      <patternFill patternType="solid">
        <fgColor theme="2" tint="-0.249977111117893"/>
        <bgColor indexed="64"/>
      </patternFill>
    </fill>
  </fills>
  <borders count="1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CECECE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8" fillId="0" borderId="0"/>
    <xf numFmtId="9" fontId="2" fillId="0" borderId="0"/>
    <xf numFmtId="0" fontId="2" fillId="0" borderId="0" applyNumberFormat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16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8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0" fillId="0" borderId="0" xfId="1" applyFont="1"/>
    <xf numFmtId="0" fontId="9" fillId="5" borderId="15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43" fontId="6" fillId="2" borderId="9" xfId="1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/>
    <xf numFmtId="0" fontId="9" fillId="5" borderId="16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43" fontId="6" fillId="2" borderId="10" xfId="1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0" fillId="2" borderId="17" xfId="0" applyFont="1" applyFill="1" applyBorder="1"/>
    <xf numFmtId="0" fontId="12" fillId="2" borderId="19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43" fontId="12" fillId="2" borderId="0" xfId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0" fillId="2" borderId="20" xfId="0" applyFont="1" applyFill="1" applyBorder="1"/>
    <xf numFmtId="0" fontId="14" fillId="2" borderId="20" xfId="0" applyFont="1" applyFill="1" applyBorder="1"/>
    <xf numFmtId="0" fontId="7" fillId="2" borderId="19" xfId="0" applyFont="1" applyFill="1" applyBorder="1"/>
    <xf numFmtId="0" fontId="5" fillId="6" borderId="15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 wrapText="1"/>
    </xf>
    <xf numFmtId="43" fontId="5" fillId="6" borderId="22" xfId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2" borderId="23" xfId="0" applyFont="1" applyFill="1" applyBorder="1" applyAlignment="1">
      <alignment vertical="center" wrapText="1"/>
    </xf>
    <xf numFmtId="43" fontId="7" fillId="2" borderId="4" xfId="1" applyFont="1" applyFill="1" applyBorder="1" applyAlignment="1">
      <alignment horizontal="center" vertical="center" wrapText="1"/>
    </xf>
    <xf numFmtId="43" fontId="7" fillId="2" borderId="24" xfId="1" applyFont="1" applyFill="1" applyBorder="1" applyAlignment="1">
      <alignment vertical="center" wrapText="1"/>
    </xf>
    <xf numFmtId="0" fontId="7" fillId="2" borderId="25" xfId="0" applyFont="1" applyFill="1" applyBorder="1" applyAlignment="1">
      <alignment vertical="center" wrapText="1"/>
    </xf>
    <xf numFmtId="43" fontId="7" fillId="2" borderId="5" xfId="1" applyFont="1" applyFill="1" applyBorder="1" applyAlignment="1">
      <alignment horizontal="center" vertical="center" wrapText="1"/>
    </xf>
    <xf numFmtId="43" fontId="7" fillId="2" borderId="13" xfId="1" applyFont="1" applyFill="1" applyBorder="1" applyAlignment="1">
      <alignment vertical="center" wrapText="1"/>
    </xf>
    <xf numFmtId="0" fontId="7" fillId="2" borderId="26" xfId="0" applyFont="1" applyFill="1" applyBorder="1" applyAlignment="1">
      <alignment vertical="center" wrapText="1"/>
    </xf>
    <xf numFmtId="43" fontId="7" fillId="2" borderId="27" xfId="1" applyFont="1" applyFill="1" applyBorder="1" applyAlignment="1">
      <alignment horizontal="center" vertical="center" wrapText="1"/>
    </xf>
    <xf numFmtId="43" fontId="7" fillId="2" borderId="14" xfId="1" applyFont="1" applyFill="1" applyBorder="1" applyAlignment="1">
      <alignment vertical="center" wrapText="1"/>
    </xf>
    <xf numFmtId="0" fontId="14" fillId="2" borderId="28" xfId="0" applyFont="1" applyFill="1" applyBorder="1"/>
    <xf numFmtId="0" fontId="14" fillId="2" borderId="29" xfId="0" applyFont="1" applyFill="1" applyBorder="1" applyAlignment="1">
      <alignment horizontal="center"/>
    </xf>
    <xf numFmtId="43" fontId="14" fillId="2" borderId="29" xfId="1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14" fillId="2" borderId="30" xfId="0" applyFont="1" applyFill="1" applyBorder="1"/>
    <xf numFmtId="0" fontId="10" fillId="0" borderId="0" xfId="0" applyFont="1"/>
    <xf numFmtId="0" fontId="10" fillId="0" borderId="0" xfId="0" applyFont="1" applyAlignment="1">
      <alignment horizontal="center"/>
    </xf>
    <xf numFmtId="43" fontId="10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43" fontId="16" fillId="0" borderId="0" xfId="1" applyFont="1" applyAlignment="1">
      <alignment vertical="center"/>
    </xf>
    <xf numFmtId="9" fontId="3" fillId="0" borderId="0" xfId="6" applyFont="1" applyAlignment="1">
      <alignment vertical="center"/>
    </xf>
    <xf numFmtId="0" fontId="17" fillId="0" borderId="0" xfId="0" applyFont="1" applyAlignment="1">
      <alignment vertical="center"/>
    </xf>
    <xf numFmtId="43" fontId="17" fillId="5" borderId="0" xfId="1" applyFont="1" applyFill="1" applyBorder="1" applyAlignment="1">
      <alignment vertical="center"/>
    </xf>
    <xf numFmtId="0" fontId="17" fillId="5" borderId="0" xfId="0" applyFont="1" applyFill="1" applyAlignment="1">
      <alignment vertical="center"/>
    </xf>
    <xf numFmtId="43" fontId="17" fillId="0" borderId="0" xfId="1" applyFont="1" applyAlignment="1">
      <alignment vertical="center"/>
    </xf>
    <xf numFmtId="0" fontId="18" fillId="0" borderId="33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43" fontId="10" fillId="0" borderId="33" xfId="1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3" fontId="18" fillId="0" borderId="0" xfId="1" applyFont="1" applyBorder="1" applyAlignment="1">
      <alignment vertical="center"/>
    </xf>
    <xf numFmtId="0" fontId="10" fillId="0" borderId="0" xfId="0" applyFont="1" applyAlignment="1">
      <alignment vertical="center"/>
    </xf>
    <xf numFmtId="43" fontId="10" fillId="0" borderId="0" xfId="1" applyFont="1" applyBorder="1" applyAlignment="1">
      <alignment horizontal="center" vertical="center" wrapText="1"/>
    </xf>
    <xf numFmtId="43" fontId="10" fillId="4" borderId="0" xfId="1" applyFont="1" applyFill="1" applyBorder="1" applyAlignment="1">
      <alignment vertical="center" wrapText="1"/>
    </xf>
    <xf numFmtId="43" fontId="10" fillId="4" borderId="10" xfId="1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 wrapText="1"/>
    </xf>
    <xf numFmtId="43" fontId="21" fillId="7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43" fontId="10" fillId="0" borderId="1" xfId="1" applyFont="1" applyBorder="1" applyAlignment="1">
      <alignment vertical="center" wrapText="1"/>
    </xf>
    <xf numFmtId="43" fontId="10" fillId="0" borderId="1" xfId="1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1" fillId="7" borderId="1" xfId="0" applyFont="1" applyFill="1" applyBorder="1" applyAlignment="1">
      <alignment horizontal="center" vertical="center"/>
    </xf>
    <xf numFmtId="43" fontId="10" fillId="0" borderId="10" xfId="1" applyFont="1" applyBorder="1" applyAlignment="1">
      <alignment horizontal="left" vertical="center" wrapText="1"/>
    </xf>
    <xf numFmtId="43" fontId="10" fillId="0" borderId="0" xfId="1" applyFont="1" applyBorder="1" applyAlignment="1">
      <alignment horizontal="left" vertical="center" wrapText="1"/>
    </xf>
    <xf numFmtId="43" fontId="10" fillId="4" borderId="1" xfId="1" applyFont="1" applyFill="1" applyBorder="1" applyAlignment="1">
      <alignment vertical="center" wrapText="1"/>
    </xf>
    <xf numFmtId="43" fontId="10" fillId="4" borderId="1" xfId="1" applyFont="1" applyFill="1" applyBorder="1" applyAlignment="1">
      <alignment horizontal="left" vertical="center" wrapText="1"/>
    </xf>
    <xf numFmtId="9" fontId="10" fillId="4" borderId="10" xfId="1" applyNumberFormat="1" applyFont="1" applyFill="1" applyBorder="1" applyAlignment="1">
      <alignment vertical="center" wrapText="1"/>
    </xf>
    <xf numFmtId="2" fontId="10" fillId="4" borderId="10" xfId="1" applyNumberFormat="1" applyFont="1" applyFill="1" applyBorder="1" applyAlignment="1">
      <alignment vertical="center" wrapText="1"/>
    </xf>
    <xf numFmtId="0" fontId="10" fillId="0" borderId="35" xfId="0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43" fontId="19" fillId="0" borderId="0" xfId="1" applyFont="1" applyAlignment="1">
      <alignment vertical="center"/>
    </xf>
    <xf numFmtId="43" fontId="19" fillId="0" borderId="0" xfId="1" applyFont="1" applyAlignment="1">
      <alignment horizontal="center" vertical="center"/>
    </xf>
    <xf numFmtId="0" fontId="26" fillId="5" borderId="0" xfId="0" applyFont="1" applyFill="1" applyAlignment="1">
      <alignment vertical="center"/>
    </xf>
    <xf numFmtId="43" fontId="26" fillId="5" borderId="0" xfId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43" fontId="19" fillId="0" borderId="0" xfId="1" applyFont="1" applyBorder="1" applyAlignment="1">
      <alignment vertical="center"/>
    </xf>
    <xf numFmtId="43" fontId="19" fillId="0" borderId="0" xfId="1" applyFont="1" applyBorder="1" applyAlignment="1">
      <alignment horizontal="center" vertical="center"/>
    </xf>
    <xf numFmtId="44" fontId="10" fillId="0" borderId="1" xfId="10" applyFont="1" applyBorder="1" applyAlignment="1">
      <alignment horizontal="left" vertical="center" wrapText="1"/>
    </xf>
    <xf numFmtId="44" fontId="10" fillId="0" borderId="1" xfId="10" applyFont="1" applyBorder="1" applyAlignment="1">
      <alignment horizontal="center" vertical="center"/>
    </xf>
    <xf numFmtId="44" fontId="21" fillId="7" borderId="1" xfId="10" applyFont="1" applyFill="1" applyBorder="1" applyAlignment="1">
      <alignment horizontal="center" vertical="center"/>
    </xf>
    <xf numFmtId="44" fontId="27" fillId="8" borderId="6" xfId="10" applyFont="1" applyFill="1" applyBorder="1" applyAlignment="1">
      <alignment horizontal="center" vertical="center"/>
    </xf>
    <xf numFmtId="44" fontId="10" fillId="8" borderId="1" xfId="10" applyFont="1" applyFill="1" applyBorder="1" applyAlignment="1">
      <alignment horizontal="left" vertical="center" wrapText="1"/>
    </xf>
    <xf numFmtId="44" fontId="10" fillId="8" borderId="1" xfId="10" applyFont="1" applyFill="1" applyBorder="1" applyAlignment="1">
      <alignment horizontal="center" vertical="center"/>
    </xf>
    <xf numFmtId="44" fontId="19" fillId="0" borderId="0" xfId="10" applyFont="1" applyAlignment="1">
      <alignment vertical="center"/>
    </xf>
    <xf numFmtId="44" fontId="25" fillId="0" borderId="0" xfId="10" applyFont="1" applyAlignment="1">
      <alignment vertical="center"/>
    </xf>
    <xf numFmtId="44" fontId="26" fillId="5" borderId="0" xfId="10" applyFont="1" applyFill="1" applyBorder="1" applyAlignment="1">
      <alignment vertical="center"/>
    </xf>
    <xf numFmtId="44" fontId="26" fillId="0" borderId="0" xfId="10" applyFont="1" applyAlignment="1">
      <alignment vertical="center"/>
    </xf>
    <xf numFmtId="44" fontId="10" fillId="0" borderId="33" xfId="10" applyFont="1" applyBorder="1" applyAlignment="1">
      <alignment vertical="center"/>
    </xf>
    <xf numFmtId="44" fontId="18" fillId="0" borderId="0" xfId="10" applyFont="1" applyBorder="1" applyAlignment="1">
      <alignment vertical="center"/>
    </xf>
    <xf numFmtId="44" fontId="10" fillId="0" borderId="0" xfId="10" applyFont="1" applyAlignment="1">
      <alignment vertical="center"/>
    </xf>
    <xf numFmtId="44" fontId="21" fillId="7" borderId="1" xfId="10" applyFont="1" applyFill="1" applyBorder="1" applyAlignment="1">
      <alignment horizontal="center" vertical="center" wrapText="1"/>
    </xf>
    <xf numFmtId="44" fontId="18" fillId="0" borderId="0" xfId="10" applyFont="1" applyAlignment="1">
      <alignment vertical="center"/>
    </xf>
    <xf numFmtId="44" fontId="10" fillId="0" borderId="0" xfId="10" applyFont="1" applyBorder="1" applyAlignment="1">
      <alignment horizontal="center" vertical="center" wrapText="1"/>
    </xf>
    <xf numFmtId="44" fontId="17" fillId="0" borderId="0" xfId="10" applyFont="1" applyAlignment="1">
      <alignment vertical="center"/>
    </xf>
    <xf numFmtId="44" fontId="17" fillId="5" borderId="0" xfId="10" applyFont="1" applyFill="1" applyBorder="1" applyAlignment="1">
      <alignment vertical="center"/>
    </xf>
    <xf numFmtId="44" fontId="10" fillId="0" borderId="34" xfId="10" applyFont="1" applyBorder="1" applyAlignment="1">
      <alignment horizontal="center" vertical="center"/>
    </xf>
    <xf numFmtId="44" fontId="16" fillId="0" borderId="0" xfId="10" applyFont="1" applyAlignment="1">
      <alignment vertical="center"/>
    </xf>
    <xf numFmtId="44" fontId="23" fillId="8" borderId="6" xfId="1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28" fillId="9" borderId="6" xfId="1" applyFont="1" applyFill="1" applyBorder="1" applyAlignment="1">
      <alignment horizontal="center" vertical="center"/>
    </xf>
    <xf numFmtId="43" fontId="28" fillId="10" borderId="6" xfId="1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43" fontId="3" fillId="0" borderId="39" xfId="1" applyFont="1" applyBorder="1" applyAlignment="1">
      <alignment horizontal="center" vertical="center" wrapText="1"/>
    </xf>
    <xf numFmtId="43" fontId="28" fillId="10" borderId="40" xfId="1" applyFont="1" applyFill="1" applyBorder="1" applyAlignment="1">
      <alignment horizontal="center" vertical="center"/>
    </xf>
    <xf numFmtId="0" fontId="28" fillId="0" borderId="39" xfId="0" applyFont="1" applyBorder="1" applyAlignment="1">
      <alignment vertical="center"/>
    </xf>
    <xf numFmtId="43" fontId="3" fillId="0" borderId="43" xfId="1" applyFont="1" applyBorder="1" applyAlignment="1">
      <alignment horizontal="center" vertical="center" wrapText="1"/>
    </xf>
    <xf numFmtId="43" fontId="3" fillId="0" borderId="44" xfId="1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166" fontId="3" fillId="0" borderId="47" xfId="1" applyNumberFormat="1" applyFont="1" applyBorder="1" applyAlignment="1">
      <alignment horizontal="center" vertical="center"/>
    </xf>
    <xf numFmtId="43" fontId="3" fillId="0" borderId="47" xfId="1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28" fillId="9" borderId="50" xfId="0" applyFont="1" applyFill="1" applyBorder="1" applyAlignment="1">
      <alignment horizontal="center" vertical="center"/>
    </xf>
    <xf numFmtId="0" fontId="28" fillId="9" borderId="51" xfId="0" applyFont="1" applyFill="1" applyBorder="1" applyAlignment="1">
      <alignment horizontal="center" vertical="center"/>
    </xf>
    <xf numFmtId="0" fontId="28" fillId="9" borderId="54" xfId="0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43" fontId="28" fillId="0" borderId="0" xfId="1" applyFont="1" applyBorder="1" applyAlignment="1">
      <alignment horizontal="center" vertical="center"/>
    </xf>
    <xf numFmtId="43" fontId="28" fillId="0" borderId="0" xfId="1" applyFont="1" applyBorder="1" applyAlignment="1">
      <alignment vertical="center"/>
    </xf>
    <xf numFmtId="0" fontId="30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57" xfId="0" applyFont="1" applyBorder="1" applyAlignment="1">
      <alignment horizontal="center" vertical="center"/>
    </xf>
    <xf numFmtId="43" fontId="3" fillId="0" borderId="57" xfId="1" applyFont="1" applyBorder="1" applyAlignment="1">
      <alignment horizontal="center" vertical="center"/>
    </xf>
    <xf numFmtId="43" fontId="3" fillId="0" borderId="57" xfId="1" applyFont="1" applyBorder="1" applyAlignment="1">
      <alignment vertical="center"/>
    </xf>
    <xf numFmtId="0" fontId="30" fillId="0" borderId="58" xfId="0" applyFont="1" applyBorder="1" applyAlignment="1">
      <alignment vertical="center"/>
    </xf>
    <xf numFmtId="14" fontId="3" fillId="11" borderId="59" xfId="0" applyNumberFormat="1" applyFont="1" applyFill="1" applyBorder="1" applyAlignment="1">
      <alignment vertical="center"/>
    </xf>
    <xf numFmtId="14" fontId="3" fillId="11" borderId="60" xfId="0" applyNumberFormat="1" applyFont="1" applyFill="1" applyBorder="1" applyAlignment="1">
      <alignment vertical="center"/>
    </xf>
    <xf numFmtId="14" fontId="3" fillId="11" borderId="61" xfId="0" applyNumberFormat="1" applyFont="1" applyFill="1" applyBorder="1" applyAlignment="1">
      <alignment vertical="center"/>
    </xf>
    <xf numFmtId="0" fontId="3" fillId="12" borderId="62" xfId="0" applyFont="1" applyFill="1" applyBorder="1" applyAlignment="1">
      <alignment horizontal="left" vertical="center"/>
    </xf>
    <xf numFmtId="14" fontId="3" fillId="11" borderId="63" xfId="0" applyNumberFormat="1" applyFont="1" applyFill="1" applyBorder="1" applyAlignment="1">
      <alignment horizontal="left" vertical="center"/>
    </xf>
    <xf numFmtId="14" fontId="3" fillId="11" borderId="64" xfId="0" applyNumberFormat="1" applyFont="1" applyFill="1" applyBorder="1" applyAlignment="1">
      <alignment horizontal="left" vertical="center"/>
    </xf>
    <xf numFmtId="14" fontId="3" fillId="11" borderId="61" xfId="0" applyNumberFormat="1" applyFont="1" applyFill="1" applyBorder="1" applyAlignment="1">
      <alignment horizontal="left" vertical="center"/>
    </xf>
    <xf numFmtId="0" fontId="3" fillId="12" borderId="65" xfId="0" applyFont="1" applyFill="1" applyBorder="1" applyAlignment="1">
      <alignment vertical="center"/>
    </xf>
    <xf numFmtId="14" fontId="3" fillId="11" borderId="63" xfId="0" applyNumberFormat="1" applyFont="1" applyFill="1" applyBorder="1" applyAlignment="1">
      <alignment vertical="center"/>
    </xf>
    <xf numFmtId="14" fontId="3" fillId="11" borderId="64" xfId="0" applyNumberFormat="1" applyFont="1" applyFill="1" applyBorder="1" applyAlignment="1">
      <alignment vertical="center"/>
    </xf>
    <xf numFmtId="49" fontId="3" fillId="11" borderId="61" xfId="0" applyNumberFormat="1" applyFont="1" applyFill="1" applyBorder="1" applyAlignment="1">
      <alignment vertical="center"/>
    </xf>
    <xf numFmtId="0" fontId="31" fillId="12" borderId="65" xfId="0" applyFont="1" applyFill="1" applyBorder="1" applyAlignment="1">
      <alignment vertical="center"/>
    </xf>
    <xf numFmtId="0" fontId="3" fillId="11" borderId="66" xfId="0" applyFont="1" applyFill="1" applyBorder="1" applyAlignment="1">
      <alignment vertical="center"/>
    </xf>
    <xf numFmtId="0" fontId="3" fillId="11" borderId="67" xfId="0" applyFont="1" applyFill="1" applyBorder="1" applyAlignment="1">
      <alignment vertical="center"/>
    </xf>
    <xf numFmtId="0" fontId="3" fillId="11" borderId="61" xfId="0" applyFont="1" applyFill="1" applyBorder="1" applyAlignment="1">
      <alignment vertical="center"/>
    </xf>
    <xf numFmtId="0" fontId="31" fillId="12" borderId="68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3" fillId="12" borderId="0" xfId="0" applyFont="1" applyFill="1" applyAlignment="1">
      <alignment vertical="center"/>
    </xf>
    <xf numFmtId="0" fontId="29" fillId="0" borderId="69" xfId="0" applyFont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3" fillId="12" borderId="69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43" fontId="3" fillId="0" borderId="37" xfId="0" applyNumberFormat="1" applyFont="1" applyBorder="1" applyAlignment="1">
      <alignment vertical="center"/>
    </xf>
    <xf numFmtId="0" fontId="3" fillId="0" borderId="70" xfId="0" applyFont="1" applyBorder="1" applyAlignment="1">
      <alignment horizontal="center" vertical="center" wrapText="1"/>
    </xf>
    <xf numFmtId="43" fontId="3" fillId="0" borderId="71" xfId="1" applyFont="1" applyBorder="1" applyAlignment="1">
      <alignment horizontal="center" vertical="center" wrapText="1"/>
    </xf>
    <xf numFmtId="0" fontId="3" fillId="0" borderId="73" xfId="0" applyFont="1" applyBorder="1" applyAlignment="1">
      <alignment horizontal="left" vertical="center" wrapText="1"/>
    </xf>
    <xf numFmtId="0" fontId="3" fillId="0" borderId="74" xfId="0" applyFont="1" applyBorder="1" applyAlignment="1">
      <alignment horizontal="left" vertical="center" wrapText="1"/>
    </xf>
    <xf numFmtId="0" fontId="3" fillId="0" borderId="73" xfId="0" applyFont="1" applyBorder="1" applyAlignment="1">
      <alignment vertical="center" wrapText="1"/>
    </xf>
    <xf numFmtId="2" fontId="3" fillId="0" borderId="43" xfId="1" applyNumberFormat="1" applyFont="1" applyBorder="1" applyAlignment="1">
      <alignment horizontal="center" vertical="center" wrapText="1"/>
    </xf>
    <xf numFmtId="43" fontId="28" fillId="10" borderId="77" xfId="1" applyFont="1" applyFill="1" applyBorder="1" applyAlignment="1">
      <alignment horizontal="center" vertical="center"/>
    </xf>
    <xf numFmtId="166" fontId="29" fillId="0" borderId="71" xfId="1" applyNumberFormat="1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 wrapText="1"/>
    </xf>
    <xf numFmtId="43" fontId="29" fillId="0" borderId="72" xfId="1" applyFont="1" applyBorder="1" applyAlignment="1">
      <alignment horizontal="center" vertical="center" wrapText="1"/>
    </xf>
    <xf numFmtId="0" fontId="29" fillId="0" borderId="73" xfId="0" applyFont="1" applyBorder="1" applyAlignment="1">
      <alignment vertical="center" wrapText="1"/>
    </xf>
    <xf numFmtId="0" fontId="29" fillId="0" borderId="73" xfId="0" applyFont="1" applyBorder="1" applyAlignment="1">
      <alignment horizontal="left" vertical="center" wrapText="1"/>
    </xf>
    <xf numFmtId="43" fontId="35" fillId="0" borderId="0" xfId="1" applyFont="1" applyBorder="1" applyAlignment="1">
      <alignment vertical="center"/>
    </xf>
    <xf numFmtId="43" fontId="29" fillId="0" borderId="0" xfId="1" applyFont="1" applyFill="1" applyBorder="1" applyAlignment="1">
      <alignment horizontal="center" vertical="center" wrapText="1"/>
    </xf>
    <xf numFmtId="43" fontId="29" fillId="0" borderId="49" xfId="1" applyFont="1" applyFill="1" applyBorder="1" applyAlignment="1">
      <alignment horizontal="center" vertical="center" wrapText="1"/>
    </xf>
    <xf numFmtId="44" fontId="10" fillId="0" borderId="1" xfId="10" applyFont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6" fillId="2" borderId="79" xfId="0" applyFont="1" applyFill="1" applyBorder="1" applyAlignment="1">
      <alignment vertical="center" wrapText="1"/>
    </xf>
    <xf numFmtId="0" fontId="6" fillId="2" borderId="33" xfId="0" applyFont="1" applyFill="1" applyBorder="1" applyAlignment="1">
      <alignment vertical="center" wrapText="1"/>
    </xf>
    <xf numFmtId="0" fontId="6" fillId="2" borderId="80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14" fontId="6" fillId="2" borderId="2" xfId="0" applyNumberFormat="1" applyFont="1" applyFill="1" applyBorder="1" applyAlignment="1">
      <alignment vertical="center" wrapText="1"/>
    </xf>
    <xf numFmtId="0" fontId="6" fillId="2" borderId="79" xfId="0" applyFont="1" applyFill="1" applyBorder="1" applyAlignment="1">
      <alignment horizontal="center" vertical="center" wrapText="1"/>
    </xf>
    <xf numFmtId="43" fontId="37" fillId="4" borderId="10" xfId="1" applyFont="1" applyFill="1" applyBorder="1" applyAlignment="1">
      <alignment vertical="center" wrapText="1"/>
    </xf>
    <xf numFmtId="44" fontId="19" fillId="0" borderId="0" xfId="0" applyNumberFormat="1" applyFont="1" applyAlignment="1">
      <alignment vertical="center"/>
    </xf>
    <xf numFmtId="44" fontId="16" fillId="0" borderId="0" xfId="0" applyNumberFormat="1" applyFont="1" applyAlignment="1">
      <alignment vertical="center"/>
    </xf>
    <xf numFmtId="43" fontId="26" fillId="0" borderId="1" xfId="1" applyFont="1" applyBorder="1" applyAlignment="1">
      <alignment vertical="center" wrapText="1"/>
    </xf>
    <xf numFmtId="0" fontId="10" fillId="0" borderId="35" xfId="0" applyFont="1" applyBorder="1" applyAlignment="1">
      <alignment vertical="center" wrapText="1"/>
    </xf>
    <xf numFmtId="43" fontId="7" fillId="2" borderId="0" xfId="0" applyNumberFormat="1" applyFont="1" applyFill="1" applyAlignment="1">
      <alignment horizontal="center"/>
    </xf>
    <xf numFmtId="43" fontId="26" fillId="4" borderId="10" xfId="1" applyFont="1" applyFill="1" applyBorder="1" applyAlignment="1">
      <alignment vertical="center" wrapText="1"/>
    </xf>
    <xf numFmtId="0" fontId="18" fillId="13" borderId="33" xfId="0" applyFont="1" applyFill="1" applyBorder="1" applyAlignment="1">
      <alignment vertical="center"/>
    </xf>
    <xf numFmtId="43" fontId="26" fillId="0" borderId="1" xfId="1" applyFont="1" applyFill="1" applyBorder="1" applyAlignment="1">
      <alignment vertical="center" wrapText="1"/>
    </xf>
    <xf numFmtId="44" fontId="10" fillId="0" borderId="1" xfId="10" applyFont="1" applyFill="1" applyBorder="1" applyAlignment="1">
      <alignment horizontal="left" vertical="center" wrapText="1"/>
    </xf>
    <xf numFmtId="0" fontId="3" fillId="0" borderId="81" xfId="0" applyFont="1" applyBorder="1" applyAlignment="1">
      <alignment horizontal="left" vertical="center" wrapText="1"/>
    </xf>
    <xf numFmtId="2" fontId="3" fillId="0" borderId="82" xfId="1" applyNumberFormat="1" applyFont="1" applyBorder="1" applyAlignment="1">
      <alignment horizontal="center" vertical="center" wrapText="1"/>
    </xf>
    <xf numFmtId="43" fontId="3" fillId="0" borderId="39" xfId="0" applyNumberFormat="1" applyFont="1" applyBorder="1" applyAlignment="1">
      <alignment vertical="center"/>
    </xf>
    <xf numFmtId="0" fontId="38" fillId="0" borderId="0" xfId="11"/>
    <xf numFmtId="0" fontId="39" fillId="14" borderId="0" xfId="11" applyFont="1" applyFill="1"/>
    <xf numFmtId="0" fontId="39" fillId="14" borderId="83" xfId="11" applyFont="1" applyFill="1" applyBorder="1"/>
    <xf numFmtId="0" fontId="39" fillId="0" borderId="84" xfId="11" applyFont="1" applyBorder="1"/>
    <xf numFmtId="0" fontId="39" fillId="0" borderId="85" xfId="11" applyFont="1" applyBorder="1"/>
    <xf numFmtId="0" fontId="39" fillId="0" borderId="86" xfId="11" applyFont="1" applyBorder="1"/>
    <xf numFmtId="0" fontId="39" fillId="12" borderId="86" xfId="11" applyFont="1" applyFill="1" applyBorder="1"/>
    <xf numFmtId="0" fontId="39" fillId="12" borderId="85" xfId="11" applyFont="1" applyFill="1" applyBorder="1"/>
    <xf numFmtId="0" fontId="39" fillId="14" borderId="87" xfId="11" applyFont="1" applyFill="1" applyBorder="1"/>
    <xf numFmtId="2" fontId="39" fillId="0" borderId="84" xfId="11" applyNumberFormat="1" applyFont="1" applyBorder="1"/>
    <xf numFmtId="0" fontId="39" fillId="0" borderId="88" xfId="11" applyFont="1" applyBorder="1"/>
    <xf numFmtId="0" fontId="39" fillId="0" borderId="89" xfId="11" applyFont="1" applyBorder="1"/>
    <xf numFmtId="0" fontId="5" fillId="15" borderId="90" xfId="11" applyFont="1" applyFill="1" applyBorder="1" applyAlignment="1">
      <alignment horizontal="center" vertical="center"/>
    </xf>
    <xf numFmtId="0" fontId="5" fillId="15" borderId="91" xfId="11" applyFont="1" applyFill="1" applyBorder="1" applyAlignment="1">
      <alignment horizontal="center" vertical="center"/>
    </xf>
    <xf numFmtId="2" fontId="39" fillId="0" borderId="94" xfId="11" applyNumberFormat="1" applyFont="1" applyBorder="1"/>
    <xf numFmtId="0" fontId="39" fillId="0" borderId="95" xfId="11" applyFont="1" applyBorder="1"/>
    <xf numFmtId="0" fontId="39" fillId="12" borderId="95" xfId="11" applyFont="1" applyFill="1" applyBorder="1"/>
    <xf numFmtId="0" fontId="39" fillId="12" borderId="96" xfId="11" applyFont="1" applyFill="1" applyBorder="1"/>
    <xf numFmtId="0" fontId="5" fillId="15" borderId="97" xfId="11" applyFont="1" applyFill="1" applyBorder="1" applyAlignment="1">
      <alignment horizontal="center" vertical="center"/>
    </xf>
    <xf numFmtId="0" fontId="5" fillId="15" borderId="98" xfId="11" applyFont="1" applyFill="1" applyBorder="1" applyAlignment="1">
      <alignment horizontal="center"/>
    </xf>
    <xf numFmtId="0" fontId="39" fillId="14" borderId="100" xfId="11" applyFont="1" applyFill="1" applyBorder="1"/>
    <xf numFmtId="0" fontId="16" fillId="14" borderId="64" xfId="11" applyFont="1" applyFill="1" applyBorder="1" applyAlignment="1">
      <alignment horizontal="left" vertical="center" wrapText="1"/>
    </xf>
    <xf numFmtId="0" fontId="9" fillId="12" borderId="102" xfId="11" applyFont="1" applyFill="1" applyBorder="1" applyAlignment="1">
      <alignment vertical="center" wrapText="1"/>
    </xf>
    <xf numFmtId="0" fontId="39" fillId="14" borderId="64" xfId="11" applyFont="1" applyFill="1" applyBorder="1"/>
    <xf numFmtId="0" fontId="40" fillId="0" borderId="61" xfId="11" applyFont="1" applyBorder="1"/>
    <xf numFmtId="0" fontId="9" fillId="12" borderId="103" xfId="11" applyFont="1" applyFill="1" applyBorder="1" applyAlignment="1">
      <alignment vertical="center" wrapText="1"/>
    </xf>
    <xf numFmtId="0" fontId="39" fillId="14" borderId="104" xfId="11" applyFont="1" applyFill="1" applyBorder="1"/>
    <xf numFmtId="0" fontId="39" fillId="14" borderId="105" xfId="11" applyFont="1" applyFill="1" applyBorder="1"/>
    <xf numFmtId="0" fontId="16" fillId="14" borderId="105" xfId="11" applyFont="1" applyFill="1" applyBorder="1" applyAlignment="1">
      <alignment horizontal="left" vertical="center" wrapText="1"/>
    </xf>
    <xf numFmtId="0" fontId="40" fillId="0" borderId="106" xfId="11" applyFont="1" applyBorder="1"/>
    <xf numFmtId="0" fontId="9" fillId="12" borderId="91" xfId="11" applyFont="1" applyFill="1" applyBorder="1" applyAlignment="1">
      <alignment vertical="center" wrapText="1"/>
    </xf>
    <xf numFmtId="43" fontId="10" fillId="0" borderId="1" xfId="1" applyFont="1" applyFill="1" applyBorder="1" applyAlignment="1">
      <alignment vertical="center" wrapText="1"/>
    </xf>
    <xf numFmtId="44" fontId="26" fillId="0" borderId="1" xfId="10" applyFont="1" applyBorder="1" applyAlignment="1">
      <alignment horizontal="center" vertical="center" wrapText="1"/>
    </xf>
    <xf numFmtId="44" fontId="26" fillId="0" borderId="1" xfId="10" applyFont="1" applyBorder="1" applyAlignment="1">
      <alignment vertical="center" wrapText="1"/>
    </xf>
    <xf numFmtId="44" fontId="10" fillId="0" borderId="1" xfId="10" applyFont="1" applyFill="1" applyBorder="1" applyAlignment="1">
      <alignment vertical="center" wrapText="1"/>
    </xf>
    <xf numFmtId="2" fontId="39" fillId="0" borderId="88" xfId="11" applyNumberFormat="1" applyFont="1" applyBorder="1"/>
    <xf numFmtId="166" fontId="4" fillId="0" borderId="71" xfId="1" applyNumberFormat="1" applyFont="1" applyBorder="1" applyAlignment="1">
      <alignment horizontal="center" vertical="center"/>
    </xf>
    <xf numFmtId="43" fontId="3" fillId="0" borderId="72" xfId="1" applyFont="1" applyFill="1" applyBorder="1" applyAlignment="1">
      <alignment horizontal="center" vertical="center" wrapText="1"/>
    </xf>
    <xf numFmtId="43" fontId="29" fillId="0" borderId="72" xfId="1" applyFont="1" applyFill="1" applyBorder="1" applyAlignment="1">
      <alignment horizontal="center" vertical="center" wrapText="1"/>
    </xf>
    <xf numFmtId="44" fontId="26" fillId="0" borderId="1" xfId="10" applyFont="1" applyFill="1" applyBorder="1" applyAlignment="1">
      <alignment horizontal="center" vertical="center" wrapText="1"/>
    </xf>
    <xf numFmtId="0" fontId="39" fillId="0" borderId="87" xfId="11" applyFont="1" applyBorder="1"/>
    <xf numFmtId="0" fontId="39" fillId="0" borderId="83" xfId="11" applyFont="1" applyBorder="1"/>
    <xf numFmtId="2" fontId="19" fillId="0" borderId="0" xfId="0" applyNumberFormat="1" applyFont="1" applyAlignment="1">
      <alignment vertical="center"/>
    </xf>
    <xf numFmtId="43" fontId="3" fillId="0" borderId="82" xfId="1" applyFont="1" applyBorder="1" applyAlignment="1">
      <alignment horizontal="center" vertical="center" wrapText="1"/>
    </xf>
    <xf numFmtId="43" fontId="19" fillId="0" borderId="0" xfId="0" applyNumberFormat="1" applyFont="1" applyAlignment="1">
      <alignment vertical="center"/>
    </xf>
    <xf numFmtId="43" fontId="45" fillId="0" borderId="0" xfId="1" applyFont="1" applyAlignment="1">
      <alignment vertical="center"/>
    </xf>
    <xf numFmtId="43" fontId="45" fillId="0" borderId="0" xfId="1" applyFont="1" applyAlignment="1">
      <alignment horizontal="right" vertical="center"/>
    </xf>
    <xf numFmtId="14" fontId="39" fillId="0" borderId="101" xfId="11" applyNumberFormat="1" applyFont="1" applyBorder="1" applyAlignment="1">
      <alignment horizontal="left"/>
    </xf>
    <xf numFmtId="2" fontId="39" fillId="12" borderId="86" xfId="11" applyNumberFormat="1" applyFont="1" applyFill="1" applyBorder="1"/>
    <xf numFmtId="0" fontId="46" fillId="15" borderId="15" xfId="13" applyFont="1" applyFill="1" applyBorder="1" applyAlignment="1">
      <alignment horizontal="center" vertical="center"/>
    </xf>
    <xf numFmtId="0" fontId="46" fillId="15" borderId="21" xfId="13" applyFont="1" applyFill="1" applyBorder="1" applyAlignment="1">
      <alignment horizontal="center" vertical="center"/>
    </xf>
    <xf numFmtId="0" fontId="46" fillId="15" borderId="22" xfId="13" applyFont="1" applyFill="1" applyBorder="1" applyAlignment="1">
      <alignment horizontal="center" vertical="center"/>
    </xf>
    <xf numFmtId="0" fontId="47" fillId="19" borderId="107" xfId="13" applyFont="1" applyFill="1" applyBorder="1" applyAlignment="1">
      <alignment horizontal="left" vertical="center"/>
    </xf>
    <xf numFmtId="0" fontId="47" fillId="20" borderId="107" xfId="13" applyFont="1" applyFill="1" applyBorder="1" applyAlignment="1">
      <alignment horizontal="left" vertical="center"/>
    </xf>
    <xf numFmtId="0" fontId="46" fillId="15" borderId="16" xfId="13" applyFont="1" applyFill="1" applyBorder="1" applyAlignment="1">
      <alignment horizontal="left" vertical="center"/>
    </xf>
    <xf numFmtId="9" fontId="46" fillId="15" borderId="1" xfId="13" applyNumberFormat="1" applyFont="1" applyFill="1" applyBorder="1" applyAlignment="1">
      <alignment horizontal="center" vertical="center"/>
    </xf>
    <xf numFmtId="0" fontId="46" fillId="15" borderId="110" xfId="13" applyFont="1" applyFill="1" applyBorder="1" applyAlignment="1">
      <alignment horizontal="left" vertical="center"/>
    </xf>
    <xf numFmtId="167" fontId="46" fillId="15" borderId="111" xfId="14" applyFont="1" applyFill="1" applyBorder="1" applyAlignment="1">
      <alignment horizontal="left" vertical="center"/>
    </xf>
    <xf numFmtId="168" fontId="46" fillId="15" borderId="111" xfId="13" applyNumberFormat="1" applyFont="1" applyFill="1" applyBorder="1" applyAlignment="1">
      <alignment horizontal="center" vertical="center"/>
    </xf>
    <xf numFmtId="167" fontId="46" fillId="15" borderId="112" xfId="14" applyFont="1" applyFill="1" applyBorder="1" applyAlignment="1">
      <alignment horizontal="center" vertical="center"/>
    </xf>
    <xf numFmtId="0" fontId="2" fillId="0" borderId="0" xfId="15"/>
    <xf numFmtId="169" fontId="0" fillId="0" borderId="0" xfId="16" applyFont="1"/>
    <xf numFmtId="169" fontId="0" fillId="0" borderId="0" xfId="16" applyFont="1" applyAlignment="1">
      <alignment horizontal="left"/>
    </xf>
    <xf numFmtId="0" fontId="2" fillId="0" borderId="0" xfId="15" applyAlignment="1">
      <alignment horizontal="center" vertical="center"/>
    </xf>
    <xf numFmtId="169" fontId="48" fillId="0" borderId="0" xfId="16" applyFont="1" applyAlignment="1">
      <alignment horizontal="center" vertical="center"/>
    </xf>
    <xf numFmtId="169" fontId="48" fillId="0" borderId="0" xfId="16" applyFont="1" applyAlignment="1">
      <alignment horizontal="left" vertical="center"/>
    </xf>
    <xf numFmtId="169" fontId="0" fillId="0" borderId="0" xfId="16" applyFont="1" applyAlignment="1">
      <alignment horizontal="center" vertical="center"/>
    </xf>
    <xf numFmtId="0" fontId="2" fillId="4" borderId="1" xfId="15" applyFill="1" applyBorder="1"/>
    <xf numFmtId="10" fontId="0" fillId="4" borderId="1" xfId="17" applyNumberFormat="1" applyFont="1" applyFill="1" applyBorder="1"/>
    <xf numFmtId="10" fontId="2" fillId="4" borderId="1" xfId="15" applyNumberFormat="1" applyFill="1" applyBorder="1"/>
    <xf numFmtId="169" fontId="2" fillId="4" borderId="1" xfId="15" applyNumberFormat="1" applyFill="1" applyBorder="1"/>
    <xf numFmtId="169" fontId="48" fillId="0" borderId="0" xfId="16" applyFont="1" applyAlignment="1">
      <alignment vertical="center"/>
    </xf>
    <xf numFmtId="0" fontId="49" fillId="0" borderId="113" xfId="15" applyFont="1" applyBorder="1" applyAlignment="1">
      <alignment horizontal="left" indent="2"/>
    </xf>
    <xf numFmtId="169" fontId="49" fillId="0" borderId="114" xfId="16" applyFont="1" applyBorder="1"/>
    <xf numFmtId="10" fontId="49" fillId="0" borderId="114" xfId="15" applyNumberFormat="1" applyFont="1" applyBorder="1"/>
    <xf numFmtId="169" fontId="49" fillId="0" borderId="114" xfId="15" applyNumberFormat="1" applyFont="1" applyBorder="1"/>
    <xf numFmtId="169" fontId="2" fillId="0" borderId="115" xfId="15" applyNumberFormat="1" applyBorder="1"/>
    <xf numFmtId="10" fontId="0" fillId="0" borderId="0" xfId="6" applyNumberFormat="1" applyFont="1" applyBorder="1"/>
    <xf numFmtId="4" fontId="2" fillId="0" borderId="0" xfId="15" applyNumberFormat="1"/>
    <xf numFmtId="10" fontId="2" fillId="0" borderId="0" xfId="6" applyNumberFormat="1" applyFont="1" applyBorder="1"/>
    <xf numFmtId="10" fontId="2" fillId="0" borderId="0" xfId="15" applyNumberFormat="1"/>
    <xf numFmtId="43" fontId="2" fillId="0" borderId="0" xfId="15" applyNumberFormat="1"/>
    <xf numFmtId="0" fontId="49" fillId="0" borderId="116" xfId="15" applyFont="1" applyBorder="1" applyAlignment="1">
      <alignment horizontal="left" indent="2"/>
    </xf>
    <xf numFmtId="169" fontId="49" fillId="0" borderId="117" xfId="16" applyFont="1" applyBorder="1"/>
    <xf numFmtId="10" fontId="49" fillId="0" borderId="117" xfId="15" applyNumberFormat="1" applyFont="1" applyBorder="1"/>
    <xf numFmtId="169" fontId="49" fillId="0" borderId="117" xfId="15" applyNumberFormat="1" applyFont="1" applyBorder="1"/>
    <xf numFmtId="169" fontId="2" fillId="0" borderId="118" xfId="15" applyNumberFormat="1" applyBorder="1"/>
    <xf numFmtId="0" fontId="49" fillId="0" borderId="119" xfId="15" applyFont="1" applyBorder="1" applyAlignment="1">
      <alignment horizontal="left" indent="2"/>
    </xf>
    <xf numFmtId="170" fontId="49" fillId="0" borderId="120" xfId="16" applyNumberFormat="1" applyFont="1" applyBorder="1"/>
    <xf numFmtId="10" fontId="49" fillId="0" borderId="120" xfId="15" applyNumberFormat="1" applyFont="1" applyBorder="1"/>
    <xf numFmtId="169" fontId="49" fillId="0" borderId="120" xfId="15" applyNumberFormat="1" applyFont="1" applyBorder="1"/>
    <xf numFmtId="169" fontId="2" fillId="0" borderId="121" xfId="15" applyNumberFormat="1" applyBorder="1"/>
    <xf numFmtId="0" fontId="49" fillId="0" borderId="122" xfId="15" applyFont="1" applyBorder="1" applyAlignment="1">
      <alignment horizontal="left" indent="2"/>
    </xf>
    <xf numFmtId="169" fontId="49" fillId="0" borderId="123" xfId="16" applyFont="1" applyBorder="1"/>
    <xf numFmtId="10" fontId="49" fillId="0" borderId="123" xfId="15" applyNumberFormat="1" applyFont="1" applyBorder="1"/>
    <xf numFmtId="169" fontId="49" fillId="0" borderId="123" xfId="15" applyNumberFormat="1" applyFont="1" applyBorder="1"/>
    <xf numFmtId="169" fontId="2" fillId="0" borderId="124" xfId="15" applyNumberFormat="1" applyBorder="1"/>
    <xf numFmtId="0" fontId="49" fillId="0" borderId="125" xfId="15" applyFont="1" applyBorder="1" applyAlignment="1">
      <alignment horizontal="left" indent="2"/>
    </xf>
    <xf numFmtId="170" fontId="49" fillId="0" borderId="126" xfId="16" applyNumberFormat="1" applyFont="1" applyBorder="1"/>
    <xf numFmtId="10" fontId="49" fillId="0" borderId="126" xfId="15" applyNumberFormat="1" applyFont="1" applyBorder="1"/>
    <xf numFmtId="169" fontId="49" fillId="0" borderId="126" xfId="15" applyNumberFormat="1" applyFont="1" applyBorder="1"/>
    <xf numFmtId="169" fontId="2" fillId="0" borderId="127" xfId="15" applyNumberFormat="1" applyBorder="1"/>
    <xf numFmtId="10" fontId="49" fillId="0" borderId="128" xfId="15" applyNumberFormat="1" applyFont="1" applyBorder="1"/>
    <xf numFmtId="169" fontId="49" fillId="0" borderId="128" xfId="15" applyNumberFormat="1" applyFont="1" applyBorder="1"/>
    <xf numFmtId="169" fontId="2" fillId="0" borderId="129" xfId="15" applyNumberFormat="1" applyBorder="1"/>
    <xf numFmtId="10" fontId="49" fillId="0" borderId="120" xfId="17" applyNumberFormat="1" applyFont="1" applyBorder="1"/>
    <xf numFmtId="171" fontId="49" fillId="0" borderId="117" xfId="15" applyNumberFormat="1" applyFont="1" applyBorder="1"/>
    <xf numFmtId="171" fontId="49" fillId="0" borderId="114" xfId="15" applyNumberFormat="1" applyFont="1" applyBorder="1"/>
    <xf numFmtId="171" fontId="49" fillId="0" borderId="123" xfId="15" applyNumberFormat="1" applyFont="1" applyBorder="1"/>
    <xf numFmtId="10" fontId="49" fillId="0" borderId="126" xfId="17" applyNumberFormat="1" applyFont="1" applyBorder="1"/>
    <xf numFmtId="169" fontId="49" fillId="0" borderId="128" xfId="16" applyFont="1" applyBorder="1"/>
    <xf numFmtId="172" fontId="49" fillId="0" borderId="117" xfId="15" applyNumberFormat="1" applyFont="1" applyBorder="1"/>
    <xf numFmtId="0" fontId="2" fillId="0" borderId="1" xfId="15" applyBorder="1"/>
    <xf numFmtId="169" fontId="0" fillId="0" borderId="1" xfId="16" applyFont="1" applyBorder="1"/>
    <xf numFmtId="10" fontId="0" fillId="0" borderId="0" xfId="17" applyNumberFormat="1" applyFont="1"/>
    <xf numFmtId="10" fontId="47" fillId="14" borderId="108" xfId="6" applyNumberFormat="1" applyFont="1" applyFill="1" applyBorder="1" applyAlignment="1">
      <alignment horizontal="center" vertical="center"/>
    </xf>
    <xf numFmtId="10" fontId="47" fillId="20" borderId="108" xfId="6" applyNumberFormat="1" applyFont="1" applyFill="1" applyBorder="1" applyAlignment="1">
      <alignment horizontal="center" vertical="center"/>
    </xf>
    <xf numFmtId="44" fontId="43" fillId="14" borderId="108" xfId="10" applyFont="1" applyFill="1" applyBorder="1" applyAlignment="1">
      <alignment horizontal="center" vertical="center"/>
    </xf>
    <xf numFmtId="44" fontId="43" fillId="20" borderId="108" xfId="10" applyFont="1" applyFill="1" applyBorder="1" applyAlignment="1">
      <alignment horizontal="center" vertical="center"/>
    </xf>
    <xf numFmtId="44" fontId="47" fillId="14" borderId="109" xfId="10" applyFont="1" applyFill="1" applyBorder="1" applyAlignment="1">
      <alignment horizontal="center" vertical="center"/>
    </xf>
    <xf numFmtId="44" fontId="47" fillId="20" borderId="109" xfId="10" applyFont="1" applyFill="1" applyBorder="1" applyAlignment="1">
      <alignment horizontal="center" vertical="center"/>
    </xf>
    <xf numFmtId="44" fontId="46" fillId="15" borderId="1" xfId="10" applyFont="1" applyFill="1" applyBorder="1" applyAlignment="1">
      <alignment horizontal="center" vertical="center"/>
    </xf>
    <xf numFmtId="44" fontId="46" fillId="15" borderId="18" xfId="10" applyFont="1" applyFill="1" applyBorder="1" applyAlignment="1">
      <alignment horizontal="center" vertical="center"/>
    </xf>
    <xf numFmtId="0" fontId="15" fillId="0" borderId="0" xfId="0" applyFont="1" applyAlignment="1">
      <alignment horizontal="left" vertical="top"/>
    </xf>
    <xf numFmtId="14" fontId="19" fillId="0" borderId="0" xfId="0" applyNumberFormat="1" applyFont="1" applyAlignment="1">
      <alignment vertical="center"/>
    </xf>
    <xf numFmtId="43" fontId="50" fillId="2" borderId="13" xfId="1" applyFont="1" applyFill="1" applyBorder="1" applyAlignment="1">
      <alignment vertical="center" wrapText="1"/>
    </xf>
    <xf numFmtId="169" fontId="51" fillId="4" borderId="1" xfId="15" applyNumberFormat="1" applyFont="1" applyFill="1" applyBorder="1"/>
    <xf numFmtId="169" fontId="52" fillId="0" borderId="120" xfId="15" applyNumberFormat="1" applyFont="1" applyBorder="1"/>
    <xf numFmtId="169" fontId="52" fillId="0" borderId="126" xfId="15" applyNumberFormat="1" applyFont="1" applyBorder="1"/>
    <xf numFmtId="20" fontId="10" fillId="0" borderId="0" xfId="0" applyNumberFormat="1" applyFont="1"/>
    <xf numFmtId="2" fontId="53" fillId="0" borderId="88" xfId="11" applyNumberFormat="1" applyFont="1" applyBorder="1"/>
    <xf numFmtId="0" fontId="53" fillId="0" borderId="85" xfId="11" applyFont="1" applyBorder="1"/>
    <xf numFmtId="44" fontId="10" fillId="0" borderId="0" xfId="0" applyNumberFormat="1" applyFont="1" applyAlignment="1">
      <alignment horizontal="center"/>
    </xf>
    <xf numFmtId="43" fontId="0" fillId="0" borderId="0" xfId="0" applyNumberFormat="1"/>
    <xf numFmtId="0" fontId="11" fillId="3" borderId="16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44" fillId="21" borderId="0" xfId="15" applyFont="1" applyFill="1" applyAlignment="1">
      <alignment horizontal="center"/>
    </xf>
    <xf numFmtId="0" fontId="8" fillId="8" borderId="7" xfId="0" applyFont="1" applyFill="1" applyBorder="1" applyAlignment="1">
      <alignment horizontal="center" vertical="center" wrapText="1"/>
    </xf>
    <xf numFmtId="0" fontId="8" fillId="8" borderId="32" xfId="0" applyFont="1" applyFill="1" applyBorder="1" applyAlignment="1">
      <alignment horizontal="center"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1" fillId="8" borderId="31" xfId="0" applyFont="1" applyFill="1" applyBorder="1" applyAlignment="1">
      <alignment horizontal="center" vertical="center" wrapText="1"/>
    </xf>
    <xf numFmtId="0" fontId="11" fillId="18" borderId="87" xfId="11" applyFont="1" applyFill="1" applyBorder="1" applyAlignment="1">
      <alignment horizontal="center" vertical="center" wrapText="1"/>
    </xf>
    <xf numFmtId="0" fontId="41" fillId="0" borderId="0" xfId="11" applyFont="1"/>
    <xf numFmtId="0" fontId="41" fillId="0" borderId="83" xfId="11" applyFont="1" applyBorder="1"/>
    <xf numFmtId="0" fontId="11" fillId="17" borderId="87" xfId="11" applyFont="1" applyFill="1" applyBorder="1" applyAlignment="1">
      <alignment horizontal="center" vertical="center" wrapText="1"/>
    </xf>
    <xf numFmtId="0" fontId="42" fillId="16" borderId="93" xfId="11" applyFont="1" applyFill="1" applyBorder="1" applyAlignment="1">
      <alignment horizontal="center"/>
    </xf>
    <xf numFmtId="0" fontId="41" fillId="0" borderId="99" xfId="11" applyFont="1" applyBorder="1"/>
    <xf numFmtId="0" fontId="41" fillId="0" borderId="92" xfId="11" applyFont="1" applyBorder="1"/>
    <xf numFmtId="0" fontId="32" fillId="0" borderId="0" xfId="0" applyFont="1" applyAlignment="1">
      <alignment horizontal="left" vertical="center" wrapText="1"/>
    </xf>
    <xf numFmtId="0" fontId="0" fillId="0" borderId="0" xfId="0"/>
    <xf numFmtId="0" fontId="28" fillId="10" borderId="6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28" fillId="10" borderId="42" xfId="0" applyFont="1" applyFill="1" applyBorder="1" applyAlignment="1">
      <alignment horizontal="center" vertical="center" wrapText="1"/>
    </xf>
    <xf numFmtId="0" fontId="28" fillId="10" borderId="41" xfId="0" applyFont="1" applyFill="1" applyBorder="1" applyAlignment="1">
      <alignment horizontal="center" vertical="center" wrapText="1"/>
    </xf>
    <xf numFmtId="43" fontId="28" fillId="9" borderId="53" xfId="1" applyFont="1" applyFill="1" applyBorder="1" applyAlignment="1">
      <alignment horizontal="center" vertical="center"/>
    </xf>
    <xf numFmtId="43" fontId="28" fillId="9" borderId="52" xfId="1" applyFont="1" applyFill="1" applyBorder="1" applyAlignment="1">
      <alignment horizontal="center" vertical="center"/>
    </xf>
    <xf numFmtId="0" fontId="28" fillId="9" borderId="53" xfId="0" applyFont="1" applyFill="1" applyBorder="1" applyAlignment="1">
      <alignment horizontal="center" vertical="center"/>
    </xf>
    <xf numFmtId="0" fontId="28" fillId="9" borderId="52" xfId="0" applyFont="1" applyFill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28" fillId="10" borderId="78" xfId="0" applyFont="1" applyFill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</cellXfs>
  <cellStyles count="18">
    <cellStyle name="Moeda" xfId="10" builtinId="4"/>
    <cellStyle name="Moeda 9" xfId="14" xr:uid="{2AD985BD-B04C-4CB2-BFF3-654D5952E1E2}"/>
    <cellStyle name="Normal" xfId="0" builtinId="0"/>
    <cellStyle name="Normal 11 2" xfId="15" xr:uid="{38DEC01A-8BC8-4183-826E-935D9B248245}"/>
    <cellStyle name="Normal 2" xfId="2" xr:uid="{00000000-0005-0000-0000-000001000000}"/>
    <cellStyle name="Normal 2 4" xfId="13" xr:uid="{FA727E6A-21BC-42F9-8BB7-3C4EE35D460D}"/>
    <cellStyle name="Normal 3" xfId="7" xr:uid="{E04F1BAC-8E74-4A37-9445-C7335308FD48}"/>
    <cellStyle name="Normal 4" xfId="11" xr:uid="{D74BDD3A-FAE7-462F-A1F7-AD8D3775B668}"/>
    <cellStyle name="Normal 7" xfId="5" xr:uid="{B5D56057-44D1-4A2B-9814-263CBEA5E92D}"/>
    <cellStyle name="Porcentagem" xfId="6" builtinId="5"/>
    <cellStyle name="Porcentagem 2" xfId="12" xr:uid="{0CF89817-ACA2-4BC3-B654-13E67BD33FF2}"/>
    <cellStyle name="Porcentagem 2 2" xfId="17" xr:uid="{52B0BBFB-D4E4-423F-9186-0FDF51B12B86}"/>
    <cellStyle name="Vírgula" xfId="1" builtinId="3"/>
    <cellStyle name="Vírgula 2" xfId="3" xr:uid="{00000000-0005-0000-0000-000003000000}"/>
    <cellStyle name="Vírgula 3" xfId="4" xr:uid="{CB7286E0-BC89-40FF-A0E8-A589AC34F77F}"/>
    <cellStyle name="Vírgula 3 2" xfId="8" xr:uid="{D82165B7-4EED-487C-97CF-88B56AB4ACE7}"/>
    <cellStyle name="Vírgula 3 2 2" xfId="16" xr:uid="{62669938-003A-455D-8929-B170F66E76B6}"/>
    <cellStyle name="Vírgula 4" xfId="9" xr:uid="{36500701-2F34-46A0-BEC0-E5982B15FF0A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6"/>
          <bgColor theme="6"/>
        </patternFill>
      </fill>
    </dxf>
  </dxfs>
  <tableStyles count="1" defaultTableStyle="TableStyleMedium2" defaultPivotStyle="PivotStyleLight16">
    <tableStyle name="PISO-style" pivot="0" count="3" xr9:uid="{5931D982-F9E3-4AFC-89BB-E173BD6A8484}">
      <tableStyleElement type="headerRow" dxfId="3"/>
      <tableStyleElement type="firstRowStripe" dxfId="2"/>
      <tableStyleElement type="secondRowStripe" dxfId="1"/>
    </tableStyle>
  </tableStyles>
  <colors>
    <mruColors>
      <color rgb="FF003C66"/>
      <color rgb="FF001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97595</xdr:colOff>
      <xdr:row>0</xdr:row>
      <xdr:rowOff>225491</xdr:rowOff>
    </xdr:from>
    <xdr:to>
      <xdr:col>6</xdr:col>
      <xdr:colOff>1521657</xdr:colOff>
      <xdr:row>2</xdr:row>
      <xdr:rowOff>4341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0A8EF1-5172-424E-904A-801C19BD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045" y="225491"/>
          <a:ext cx="1424062" cy="239860"/>
        </a:xfrm>
        <a:prstGeom prst="rect">
          <a:avLst/>
        </a:prstGeom>
      </xdr:spPr>
    </xdr:pic>
    <xdr:clientData/>
  </xdr:twoCellAnchor>
  <xdr:twoCellAnchor editAs="oneCell">
    <xdr:from>
      <xdr:col>5</xdr:col>
      <xdr:colOff>587773</xdr:colOff>
      <xdr:row>6</xdr:row>
      <xdr:rowOff>106822</xdr:rowOff>
    </xdr:from>
    <xdr:to>
      <xdr:col>18</xdr:col>
      <xdr:colOff>269729</xdr:colOff>
      <xdr:row>13</xdr:row>
      <xdr:rowOff>147939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A63BAA2-02D4-B71A-59AC-43A0B1BE6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7530" y="1516878"/>
          <a:ext cx="9339612" cy="1977665"/>
        </a:xfrm>
        <a:prstGeom prst="rect">
          <a:avLst/>
        </a:prstGeom>
      </xdr:spPr>
    </xdr:pic>
    <xdr:clientData/>
  </xdr:twoCellAnchor>
  <xdr:twoCellAnchor editAs="oneCell">
    <xdr:from>
      <xdr:col>7</xdr:col>
      <xdr:colOff>142927</xdr:colOff>
      <xdr:row>13</xdr:row>
      <xdr:rowOff>181847</xdr:rowOff>
    </xdr:from>
    <xdr:to>
      <xdr:col>19</xdr:col>
      <xdr:colOff>385121</xdr:colOff>
      <xdr:row>39</xdr:row>
      <xdr:rowOff>79906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74DAB17-D88A-B852-6D19-370CCEFC5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36478" y="3536071"/>
          <a:ext cx="7615346" cy="60187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410472</xdr:colOff>
      <xdr:row>4</xdr:row>
      <xdr:rowOff>123736</xdr:rowOff>
    </xdr:from>
    <xdr:to>
      <xdr:col>11</xdr:col>
      <xdr:colOff>224050</xdr:colOff>
      <xdr:row>10</xdr:row>
      <xdr:rowOff>263214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CEF880F-0F01-4FD7-8E00-2609B538C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68166" y="1477407"/>
          <a:ext cx="2236738" cy="2032375"/>
        </a:xfrm>
        <a:prstGeom prst="rect">
          <a:avLst/>
        </a:prstGeom>
      </xdr:spPr>
    </xdr:pic>
    <xdr:clientData/>
  </xdr:twoCellAnchor>
  <xdr:twoCellAnchor editAs="oneCell">
    <xdr:from>
      <xdr:col>7</xdr:col>
      <xdr:colOff>571836</xdr:colOff>
      <xdr:row>12</xdr:row>
      <xdr:rowOff>129316</xdr:rowOff>
    </xdr:from>
    <xdr:to>
      <xdr:col>16</xdr:col>
      <xdr:colOff>568578</xdr:colOff>
      <xdr:row>21</xdr:row>
      <xdr:rowOff>339461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0F2648A-D425-4A94-B0D6-E53F4C056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29530" y="3661410"/>
          <a:ext cx="5483142" cy="32141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209550</xdr:colOff>
      <xdr:row>0</xdr:row>
      <xdr:rowOff>180975</xdr:rowOff>
    </xdr:from>
    <xdr:ext cx="1381125" cy="228600"/>
    <xdr:pic>
      <xdr:nvPicPr>
        <xdr:cNvPr id="2" name="image1.png">
          <a:extLst>
            <a:ext uri="{FF2B5EF4-FFF2-40B4-BE49-F238E27FC236}">
              <a16:creationId xmlns:a16="http://schemas.microsoft.com/office/drawing/2014/main" id="{645001A5-0D05-4276-BB8D-67EDE72372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734800" y="182880"/>
          <a:ext cx="1381125" cy="2286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15</xdr:col>
      <xdr:colOff>428791</xdr:colOff>
      <xdr:row>52</xdr:row>
      <xdr:rowOff>108138</xdr:rowOff>
    </xdr:from>
    <xdr:to>
      <xdr:col>25</xdr:col>
      <xdr:colOff>796876</xdr:colOff>
      <xdr:row>74</xdr:row>
      <xdr:rowOff>33904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6699AB8-3C38-4131-B44F-C97232EAA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62791" y="9969964"/>
          <a:ext cx="6099264" cy="4048408"/>
        </a:xfrm>
        <a:prstGeom prst="rect">
          <a:avLst/>
        </a:prstGeom>
      </xdr:spPr>
    </xdr:pic>
    <xdr:clientData/>
  </xdr:twoCellAnchor>
  <xdr:twoCellAnchor editAs="oneCell">
    <xdr:from>
      <xdr:col>15</xdr:col>
      <xdr:colOff>496394</xdr:colOff>
      <xdr:row>132</xdr:row>
      <xdr:rowOff>146309</xdr:rowOff>
    </xdr:from>
    <xdr:to>
      <xdr:col>26</xdr:col>
      <xdr:colOff>834988</xdr:colOff>
      <xdr:row>151</xdr:row>
      <xdr:rowOff>148038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FE8E11F-5D44-406A-8C4C-8DC65AE14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24990" y="33098756"/>
          <a:ext cx="7050679" cy="35270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8887FC87-A112-41C2-8D6C-E71A2E39EE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0CD5673A-8A7E-4D4B-95CE-ED066E2308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11B8AAF6-A5B4-4006-9C3C-189C0CC6AA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H%20Living/2cinco4%20Edition/04.%20Custo/03.0%20Custo%20-%20Or&#231;amento%20Param&#233;trico/2.%20Indiretos/CTN-H-254-Custos_Indiretos_R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H%20Living/Atlantia/04.%20Custo/03.5%20Custo%20-%20Determina&#231;&#227;o%20do%20or&#231;amento/R03/CTN-H-ATL%20-%20Or&#231;amento_R0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TN-H-254%20-%20AN&#193;LISE%20STEEL%20FRAME%20-%20R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TN-H-254-Gerenciamento%20Executi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DADOS"/>
      <sheetName val="Composição00"/>
      <sheetName val="Composição"/>
      <sheetName val="insumo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"/>
      <sheetName val="CANTEIRO"/>
      <sheetName val="BASES"/>
      <sheetName val="EPCs"/>
      <sheetName val="CUSTOS_INDIRETOS"/>
    </sheetNames>
    <sheetDataSet>
      <sheetData sheetId="0"/>
      <sheetData sheetId="1"/>
      <sheetData sheetId="2"/>
      <sheetData sheetId="3"/>
      <sheetData sheetId="4">
        <row r="71">
          <cell r="F71">
            <v>3445019.2077693986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U"/>
      <sheetName val="BASES"/>
      <sheetName val="Obra"/>
      <sheetName val="Ger_Administrativo"/>
      <sheetName val="Ger_Executivo"/>
      <sheetName val="Custos Serviços"/>
      <sheetName val="EPCs"/>
      <sheetName val="CANTEIRO"/>
      <sheetName val="ARQ. RES"/>
      <sheetName val="ARQ. PAV"/>
      <sheetName val="ESQUADRIAS"/>
      <sheetName val="LOUÇAS E METAIS"/>
      <sheetName val="Fundação Profunda"/>
      <sheetName val="Fundação Rasa"/>
      <sheetName val="SUPRAESTRUTURA"/>
      <sheetName val="MOBILIÁRIO"/>
      <sheetName val="INST. ELETRICA"/>
      <sheetName val="INST. HIDROSSANITARIO"/>
    </sheetNames>
    <sheetDataSet>
      <sheetData sheetId="0"/>
      <sheetData sheetId="1"/>
      <sheetData sheetId="2">
        <row r="15">
          <cell r="E15">
            <v>918.44</v>
          </cell>
        </row>
        <row r="16">
          <cell r="E16">
            <v>1045.47</v>
          </cell>
        </row>
        <row r="17">
          <cell r="E17">
            <v>1045.47</v>
          </cell>
        </row>
        <row r="18">
          <cell r="E18">
            <v>1045.47</v>
          </cell>
        </row>
        <row r="19">
          <cell r="E19">
            <v>1051.4100000000001</v>
          </cell>
        </row>
        <row r="20">
          <cell r="E20">
            <v>545.33000000000004</v>
          </cell>
        </row>
        <row r="21">
          <cell r="E21">
            <v>5998.63</v>
          </cell>
        </row>
        <row r="22">
          <cell r="E22">
            <v>557.79</v>
          </cell>
        </row>
        <row r="23">
          <cell r="E23">
            <v>546.39</v>
          </cell>
        </row>
        <row r="24">
          <cell r="E24">
            <v>33.61</v>
          </cell>
        </row>
        <row r="25">
          <cell r="E25">
            <v>40.32</v>
          </cell>
        </row>
        <row r="33">
          <cell r="F33">
            <v>238.55899133313008</v>
          </cell>
        </row>
        <row r="34">
          <cell r="F34">
            <v>2088.1928596315493</v>
          </cell>
        </row>
        <row r="54">
          <cell r="C54">
            <v>2863.73</v>
          </cell>
        </row>
      </sheetData>
      <sheetData sheetId="3">
        <row r="100">
          <cell r="N100">
            <v>162860.80000000002</v>
          </cell>
        </row>
        <row r="104">
          <cell r="N104">
            <v>36000</v>
          </cell>
        </row>
        <row r="115">
          <cell r="N115">
            <v>153000</v>
          </cell>
        </row>
        <row r="116">
          <cell r="N116">
            <v>22400</v>
          </cell>
        </row>
      </sheetData>
      <sheetData sheetId="4">
        <row r="19">
          <cell r="L19">
            <v>1410.3</v>
          </cell>
          <cell r="N19">
            <v>499620.00000000006</v>
          </cell>
        </row>
        <row r="47">
          <cell r="N47">
            <v>2964109.1999999997</v>
          </cell>
        </row>
        <row r="48">
          <cell r="L48">
            <v>1390.37</v>
          </cell>
          <cell r="N48">
            <v>33610.800000000003</v>
          </cell>
        </row>
        <row r="63">
          <cell r="N63">
            <v>720815.54852215853</v>
          </cell>
        </row>
        <row r="64">
          <cell r="N64">
            <v>19998.184505561163</v>
          </cell>
        </row>
        <row r="65">
          <cell r="N65">
            <v>76746.266972280544</v>
          </cell>
        </row>
        <row r="90">
          <cell r="N90">
            <v>163512.75815887746</v>
          </cell>
        </row>
        <row r="91">
          <cell r="N91">
            <v>18168</v>
          </cell>
        </row>
        <row r="197">
          <cell r="N197">
            <v>1209839.4590400001</v>
          </cell>
        </row>
        <row r="198">
          <cell r="N198">
            <v>58633.586399999993</v>
          </cell>
        </row>
        <row r="199">
          <cell r="N199">
            <v>280113.57190902595</v>
          </cell>
        </row>
        <row r="200">
          <cell r="N200">
            <v>4383.8671857922936</v>
          </cell>
        </row>
        <row r="201">
          <cell r="N201">
            <v>12513.024905181795</v>
          </cell>
        </row>
        <row r="202">
          <cell r="J202" t="str">
            <v>Mão de obra para colocação de peitoril e pingadeira</v>
          </cell>
          <cell r="N202">
            <v>7203.2983494579157</v>
          </cell>
        </row>
        <row r="212">
          <cell r="N212">
            <v>122832.39455999994</v>
          </cell>
        </row>
        <row r="244">
          <cell r="N244">
            <v>477155.53842459491</v>
          </cell>
        </row>
        <row r="245">
          <cell r="N245">
            <v>117354.41772333231</v>
          </cell>
        </row>
        <row r="246">
          <cell r="N246">
            <v>1082.8669354379394</v>
          </cell>
        </row>
        <row r="247">
          <cell r="N247">
            <v>661.49791145812878</v>
          </cell>
        </row>
        <row r="248">
          <cell r="N248">
            <v>785851.51458926883</v>
          </cell>
        </row>
        <row r="249">
          <cell r="N249">
            <v>4768.4064761579793</v>
          </cell>
        </row>
        <row r="250">
          <cell r="N250">
            <v>1777.3989345730613</v>
          </cell>
        </row>
        <row r="252">
          <cell r="N252">
            <v>684.73851108201961</v>
          </cell>
        </row>
        <row r="254">
          <cell r="N254">
            <v>10430.988928917959</v>
          </cell>
        </row>
        <row r="255">
          <cell r="N255">
            <v>520.87655999999981</v>
          </cell>
        </row>
        <row r="336">
          <cell r="N336">
            <v>81756</v>
          </cell>
        </row>
        <row r="359">
          <cell r="L359">
            <v>8753.81</v>
          </cell>
          <cell r="N359">
            <v>681300</v>
          </cell>
        </row>
        <row r="362">
          <cell r="N362">
            <v>2824.8359595803172</v>
          </cell>
        </row>
        <row r="363">
          <cell r="N363">
            <v>133245.5989778931</v>
          </cell>
        </row>
        <row r="364">
          <cell r="N364">
            <v>9273.5650625266171</v>
          </cell>
        </row>
        <row r="388">
          <cell r="N388">
            <v>72672</v>
          </cell>
        </row>
        <row r="389">
          <cell r="N389">
            <v>136260</v>
          </cell>
        </row>
      </sheetData>
      <sheetData sheetId="5"/>
      <sheetData sheetId="6"/>
      <sheetData sheetId="7"/>
      <sheetData sheetId="8"/>
      <sheetData sheetId="9">
        <row r="2">
          <cell r="I2">
            <v>1126.8899999999999</v>
          </cell>
          <cell r="J2"/>
          <cell r="K2"/>
          <cell r="L2">
            <v>25.01</v>
          </cell>
          <cell r="M2">
            <v>2219.7800000000002</v>
          </cell>
          <cell r="N2">
            <v>23.69</v>
          </cell>
          <cell r="O2">
            <v>29.47</v>
          </cell>
          <cell r="P2">
            <v>79.820000000000007</v>
          </cell>
          <cell r="Q2">
            <v>67.19</v>
          </cell>
          <cell r="R2"/>
          <cell r="S2">
            <v>23.52</v>
          </cell>
          <cell r="T2">
            <v>0.75</v>
          </cell>
          <cell r="U2">
            <v>966.49</v>
          </cell>
          <cell r="V2"/>
          <cell r="W2">
            <v>696.56999999999994</v>
          </cell>
          <cell r="X2">
            <v>280.92</v>
          </cell>
        </row>
        <row r="3">
          <cell r="I3">
            <v>279.97000000000003</v>
          </cell>
          <cell r="J3"/>
          <cell r="K3"/>
          <cell r="L3">
            <v>978.39</v>
          </cell>
          <cell r="M3">
            <v>628.82000000000005</v>
          </cell>
          <cell r="N3">
            <v>9.94</v>
          </cell>
          <cell r="O3">
            <v>310.42</v>
          </cell>
          <cell r="P3"/>
          <cell r="Q3"/>
          <cell r="R3"/>
          <cell r="S3">
            <v>14.25</v>
          </cell>
          <cell r="T3">
            <v>0.74</v>
          </cell>
          <cell r="U3">
            <v>32.340000000000003</v>
          </cell>
          <cell r="V3"/>
          <cell r="W3">
            <v>8.49</v>
          </cell>
          <cell r="X3"/>
        </row>
        <row r="4">
          <cell r="I4">
            <v>242.28000000000003</v>
          </cell>
          <cell r="J4"/>
          <cell r="K4"/>
          <cell r="L4">
            <v>980.76</v>
          </cell>
          <cell r="M4">
            <v>564.62</v>
          </cell>
          <cell r="N4">
            <v>9.94</v>
          </cell>
          <cell r="O4">
            <v>308.47000000000003</v>
          </cell>
          <cell r="P4"/>
          <cell r="Q4"/>
          <cell r="R4"/>
          <cell r="S4">
            <v>14.38</v>
          </cell>
          <cell r="T4">
            <v>0.74</v>
          </cell>
          <cell r="U4">
            <v>21.36</v>
          </cell>
          <cell r="V4"/>
          <cell r="W4"/>
          <cell r="X4"/>
        </row>
        <row r="5">
          <cell r="I5">
            <v>241.76</v>
          </cell>
          <cell r="J5"/>
          <cell r="K5"/>
          <cell r="L5">
            <v>1035.21</v>
          </cell>
          <cell r="M5">
            <v>543.51</v>
          </cell>
          <cell r="N5">
            <v>9.94</v>
          </cell>
          <cell r="O5">
            <v>308.47000000000003</v>
          </cell>
          <cell r="P5"/>
          <cell r="Q5"/>
          <cell r="R5"/>
          <cell r="S5">
            <v>14.38</v>
          </cell>
          <cell r="T5">
            <v>0.72</v>
          </cell>
          <cell r="U5">
            <v>21.36</v>
          </cell>
          <cell r="V5"/>
          <cell r="W5"/>
          <cell r="X5"/>
        </row>
        <row r="6">
          <cell r="I6">
            <v>436.34999999999997</v>
          </cell>
          <cell r="J6"/>
          <cell r="K6"/>
          <cell r="L6">
            <v>980.81</v>
          </cell>
          <cell r="M6">
            <v>684.01</v>
          </cell>
          <cell r="N6">
            <v>16.12</v>
          </cell>
          <cell r="O6">
            <v>671.39</v>
          </cell>
          <cell r="P6"/>
          <cell r="Q6"/>
          <cell r="R6"/>
          <cell r="S6">
            <v>14.29</v>
          </cell>
          <cell r="T6">
            <v>0.74</v>
          </cell>
          <cell r="U6">
            <v>10.51</v>
          </cell>
          <cell r="V6"/>
          <cell r="W6"/>
          <cell r="X6"/>
        </row>
        <row r="7">
          <cell r="I7">
            <v>760.17000000000007</v>
          </cell>
          <cell r="J7">
            <v>24.57161</v>
          </cell>
          <cell r="K7"/>
          <cell r="L7">
            <v>13.07</v>
          </cell>
          <cell r="M7">
            <v>1488.22</v>
          </cell>
          <cell r="N7">
            <v>10.82</v>
          </cell>
          <cell r="O7">
            <v>14.89</v>
          </cell>
          <cell r="P7">
            <v>119.22</v>
          </cell>
          <cell r="Q7"/>
          <cell r="R7"/>
          <cell r="S7">
            <v>11.15</v>
          </cell>
          <cell r="T7">
            <v>0.72</v>
          </cell>
          <cell r="U7">
            <v>503.69</v>
          </cell>
          <cell r="V7">
            <v>157.72</v>
          </cell>
          <cell r="W7">
            <v>309.11</v>
          </cell>
          <cell r="X7"/>
        </row>
        <row r="8">
          <cell r="I8">
            <v>8350.369999999999</v>
          </cell>
          <cell r="J8">
            <v>270.28771</v>
          </cell>
          <cell r="K8"/>
          <cell r="L8">
            <v>143.61999999999998</v>
          </cell>
          <cell r="M8">
            <v>16308.130000000001</v>
          </cell>
          <cell r="N8">
            <v>142.35000000000002</v>
          </cell>
          <cell r="O8">
            <v>188.10000000000002</v>
          </cell>
          <cell r="P8">
            <v>1309.4399999999998</v>
          </cell>
          <cell r="Q8"/>
          <cell r="R8"/>
          <cell r="S8">
            <v>122.7</v>
          </cell>
          <cell r="T8">
            <v>8.14</v>
          </cell>
          <cell r="U8">
            <v>5450.2699999999986</v>
          </cell>
          <cell r="V8">
            <v>1579.0000000000002</v>
          </cell>
          <cell r="W8">
            <v>3402.5999999999985</v>
          </cell>
          <cell r="X8"/>
        </row>
        <row r="9">
          <cell r="I9">
            <v>758.25</v>
          </cell>
          <cell r="J9">
            <v>24.57161</v>
          </cell>
          <cell r="K9"/>
          <cell r="L9">
            <v>13.07</v>
          </cell>
          <cell r="M9">
            <v>1487.47</v>
          </cell>
          <cell r="N9">
            <v>12.9</v>
          </cell>
          <cell r="O9">
            <v>17.02</v>
          </cell>
          <cell r="P9">
            <v>119.24</v>
          </cell>
          <cell r="Q9"/>
          <cell r="R9"/>
          <cell r="S9">
            <v>11.15</v>
          </cell>
          <cell r="T9">
            <v>0.74</v>
          </cell>
          <cell r="U9">
            <v>490.93999999999994</v>
          </cell>
          <cell r="V9">
            <v>158.16999999999999</v>
          </cell>
          <cell r="W9">
            <v>297.39</v>
          </cell>
          <cell r="X9"/>
        </row>
        <row r="10">
          <cell r="I10">
            <v>483.2</v>
          </cell>
          <cell r="J10">
            <v>7.0204599999999999</v>
          </cell>
          <cell r="K10"/>
          <cell r="L10">
            <v>10.59</v>
          </cell>
          <cell r="M10">
            <v>920.79</v>
          </cell>
          <cell r="N10">
            <v>15.52</v>
          </cell>
          <cell r="O10">
            <v>23.69</v>
          </cell>
          <cell r="P10">
            <v>125.5</v>
          </cell>
          <cell r="Q10">
            <v>28.49</v>
          </cell>
          <cell r="R10">
            <v>81.319999999999993</v>
          </cell>
          <cell r="S10">
            <v>3.85</v>
          </cell>
          <cell r="T10">
            <v>3.59</v>
          </cell>
          <cell r="U10">
            <v>496.07000000000005</v>
          </cell>
          <cell r="V10">
            <v>157.72</v>
          </cell>
          <cell r="W10">
            <v>443.96</v>
          </cell>
          <cell r="X10">
            <v>12.42</v>
          </cell>
        </row>
        <row r="11">
          <cell r="I11">
            <v>340.21000000000004</v>
          </cell>
          <cell r="J11"/>
          <cell r="K11">
            <v>33.71</v>
          </cell>
          <cell r="L11">
            <v>46.64</v>
          </cell>
          <cell r="M11">
            <v>362.23</v>
          </cell>
          <cell r="N11">
            <v>21.04</v>
          </cell>
          <cell r="O11">
            <v>25.19</v>
          </cell>
          <cell r="P11"/>
          <cell r="Q11"/>
          <cell r="R11"/>
          <cell r="S11"/>
          <cell r="T11"/>
          <cell r="U11">
            <v>383.55000000000007</v>
          </cell>
          <cell r="V11"/>
          <cell r="W11"/>
          <cell r="X11"/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ÁLISE"/>
      <sheetName val="SUPR ALVENARIA"/>
      <sheetName val="SUPRAESTRUTURA ALV-DRY"/>
      <sheetName val="SUPRAESTRUTURA DRY "/>
      <sheetName val="ALVENARIA"/>
      <sheetName val="ALVENARIA-DRYWALL"/>
      <sheetName val="STEEL FRAME-DRYWALL"/>
      <sheetName val="CÁLCUL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6">
          <cell r="C16">
            <v>11442.555036222224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_INICIAIS"/>
      <sheetName val="Custos Serviços"/>
      <sheetName val="MOVIMENTAÇÃO_DE_TERRA"/>
      <sheetName val="CONTENÇÕES"/>
      <sheetName val="INFRAESTRUTURA"/>
      <sheetName val="CONTENÇÃO"/>
      <sheetName val="SUPRAESTRUTURA"/>
      <sheetName val="ALVENARIA"/>
      <sheetName val="INSTALAÇÕES"/>
      <sheetName val="SISTEMAS ESPECIAIS"/>
      <sheetName val="IMPERMEABILIZAÇÃO"/>
      <sheetName val="PISO E TETO"/>
      <sheetName val="Rev. Internos Piso e Parede"/>
      <sheetName val="TETO"/>
      <sheetName val="Acabamentos de Piso e Parede"/>
      <sheetName val="PINTURA INTERNA"/>
      <sheetName val="COBERTURA"/>
      <sheetName val="ESQUADRIAS"/>
      <sheetName val="Rev. Fachada"/>
      <sheetName val="COMPLEMENTARES"/>
      <sheetName val="Auxili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0">
          <cell r="G10">
            <v>2468001.8000000007</v>
          </cell>
        </row>
      </sheetData>
      <sheetData sheetId="18"/>
      <sheetData sheetId="19"/>
      <sheetData sheetId="2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277342-A2B4-482C-B18B-06EF374B6F61}" name="Table_2" displayName="Table_2" ref="B10:G207">
  <tableColumns count="6">
    <tableColumn id="1" xr3:uid="{00000000-0010-0000-0100-000001000000}" name="Pavimento"/>
    <tableColumn id="2" xr3:uid="{00000000-0010-0000-0100-000002000000}" name="Ambiente"/>
    <tableColumn id="3" xr3:uid="{00000000-0010-0000-0100-000003000000}" name="Área (m²)"/>
    <tableColumn id="4" xr3:uid="{00000000-0010-0000-0100-000004000000}" name="Material"/>
    <tableColumn id="5" xr3:uid="{00000000-0010-0000-0100-000005000000}" name="Contrapiso (Sim/Não)"/>
    <tableColumn id="6" xr3:uid="{6621DE4B-8AA6-4A57-B06E-C3FE3C157665}" name="Forro" dataDxfId="0" dataCellStyle="Normal 4"/>
  </tableColumns>
  <tableStyleInfo name="PISO-style" showFirstColumn="1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1AAD-C2EE-4E14-BE9E-4A287CFE07C4}">
  <sheetPr>
    <tabColor rgb="FF003C66"/>
    <pageSetUpPr fitToPage="1"/>
  </sheetPr>
  <dimension ref="A1:G49"/>
  <sheetViews>
    <sheetView view="pageBreakPreview" topLeftCell="A3" zoomScale="107" zoomScaleNormal="115" zoomScaleSheetLayoutView="107" workbookViewId="0">
      <selection activeCell="B20" sqref="B20:D20"/>
    </sheetView>
  </sheetViews>
  <sheetFormatPr defaultRowHeight="21.75" x14ac:dyDescent="0.6"/>
  <cols>
    <col min="1" max="1" width="19.140625" style="41" customWidth="1"/>
    <col min="2" max="2" width="40" style="42" bestFit="1" customWidth="1"/>
    <col min="3" max="3" width="13.7109375" style="42" customWidth="1"/>
    <col min="4" max="4" width="11.28515625" style="42" customWidth="1"/>
    <col min="5" max="5" width="11.28515625" style="43" customWidth="1"/>
    <col min="6" max="6" width="19.7109375" style="44" customWidth="1"/>
    <col min="7" max="7" width="24" style="41" customWidth="1"/>
    <col min="8" max="9" width="9.28515625" bestFit="1" customWidth="1"/>
  </cols>
  <sheetData>
    <row r="1" spans="1:7" ht="18" customHeight="1" x14ac:dyDescent="0.6">
      <c r="A1" s="4" t="s">
        <v>0</v>
      </c>
      <c r="B1" s="5" t="s">
        <v>417</v>
      </c>
      <c r="C1" s="6"/>
      <c r="D1" s="6"/>
      <c r="E1" s="7"/>
      <c r="F1" s="8"/>
      <c r="G1" s="9"/>
    </row>
    <row r="2" spans="1:7" ht="18" customHeight="1" x14ac:dyDescent="0.6">
      <c r="A2" s="10" t="s">
        <v>117</v>
      </c>
      <c r="B2" s="11" t="s">
        <v>418</v>
      </c>
      <c r="C2" s="12"/>
      <c r="D2" s="12"/>
      <c r="E2" s="13"/>
      <c r="F2" s="14"/>
      <c r="G2" s="15"/>
    </row>
    <row r="3" spans="1:7" ht="18" customHeight="1" x14ac:dyDescent="0.6">
      <c r="A3" s="10" t="s">
        <v>1</v>
      </c>
      <c r="B3" s="11" t="s">
        <v>184</v>
      </c>
      <c r="C3" s="12"/>
      <c r="D3" s="12"/>
      <c r="E3" s="13"/>
      <c r="F3" s="14"/>
      <c r="G3" s="15"/>
    </row>
    <row r="4" spans="1:7" ht="18" customHeight="1" x14ac:dyDescent="0.6">
      <c r="A4" s="10" t="s">
        <v>284</v>
      </c>
      <c r="B4" s="11" t="s">
        <v>419</v>
      </c>
      <c r="C4" s="12"/>
      <c r="D4" s="12"/>
      <c r="E4" s="13"/>
      <c r="F4" s="14"/>
      <c r="G4" s="20"/>
    </row>
    <row r="5" spans="1:7" ht="25.15" customHeight="1" x14ac:dyDescent="0.25">
      <c r="A5" s="337" t="s">
        <v>126</v>
      </c>
      <c r="B5" s="338"/>
      <c r="C5" s="338"/>
      <c r="D5" s="338"/>
      <c r="E5" s="338"/>
      <c r="F5" s="338"/>
      <c r="G5" s="339"/>
    </row>
    <row r="6" spans="1:7" ht="14.45" customHeight="1" thickBot="1" x14ac:dyDescent="0.65">
      <c r="A6" s="16"/>
      <c r="B6" s="17"/>
      <c r="C6" s="17"/>
      <c r="D6" s="17"/>
      <c r="E6" s="18"/>
      <c r="F6" s="19"/>
      <c r="G6" s="20"/>
    </row>
    <row r="7" spans="1:7" x14ac:dyDescent="0.6">
      <c r="A7" s="22"/>
      <c r="B7" s="23" t="s">
        <v>14</v>
      </c>
      <c r="C7" s="24" t="s">
        <v>15</v>
      </c>
      <c r="D7" s="24" t="s">
        <v>127</v>
      </c>
      <c r="E7" s="25" t="s">
        <v>18</v>
      </c>
      <c r="F7" s="26"/>
      <c r="G7" s="21"/>
    </row>
    <row r="8" spans="1:7" x14ac:dyDescent="0.6">
      <c r="A8" s="22"/>
      <c r="B8" s="27" t="s">
        <v>128</v>
      </c>
      <c r="C8" s="28" t="s">
        <v>7</v>
      </c>
      <c r="D8" s="28" t="s">
        <v>120</v>
      </c>
      <c r="E8" s="29">
        <v>1127.0999999999999</v>
      </c>
      <c r="F8" s="26"/>
      <c r="G8" s="21"/>
    </row>
    <row r="9" spans="1:7" x14ac:dyDescent="0.6">
      <c r="A9" s="22"/>
      <c r="B9" s="30" t="s">
        <v>129</v>
      </c>
      <c r="C9" s="31" t="s">
        <v>8</v>
      </c>
      <c r="D9" s="31" t="s">
        <v>120</v>
      </c>
      <c r="E9" s="32">
        <v>11218.19</v>
      </c>
      <c r="F9" s="26"/>
      <c r="G9" s="21"/>
    </row>
    <row r="10" spans="1:7" x14ac:dyDescent="0.6">
      <c r="A10" s="22"/>
      <c r="B10" s="30" t="s">
        <v>285</v>
      </c>
      <c r="C10" s="31" t="s">
        <v>286</v>
      </c>
      <c r="D10" s="31" t="s">
        <v>123</v>
      </c>
      <c r="E10" s="32">
        <f>1+1+21+21</f>
        <v>44</v>
      </c>
      <c r="F10" s="195"/>
      <c r="G10" s="21"/>
    </row>
    <row r="11" spans="1:7" x14ac:dyDescent="0.6">
      <c r="A11" s="22"/>
      <c r="B11" s="30" t="s">
        <v>287</v>
      </c>
      <c r="C11" s="31" t="s">
        <v>291</v>
      </c>
      <c r="D11" s="31" t="s">
        <v>123</v>
      </c>
      <c r="E11" s="32"/>
      <c r="F11" s="26"/>
      <c r="G11" s="21"/>
    </row>
    <row r="12" spans="1:7" x14ac:dyDescent="0.6">
      <c r="A12" s="22"/>
      <c r="B12" s="30" t="s">
        <v>288</v>
      </c>
      <c r="C12" s="31" t="s">
        <v>292</v>
      </c>
      <c r="D12" s="31" t="s">
        <v>123</v>
      </c>
      <c r="E12" s="32"/>
      <c r="F12" s="26"/>
      <c r="G12" s="21"/>
    </row>
    <row r="13" spans="1:7" x14ac:dyDescent="0.6">
      <c r="A13" s="22"/>
      <c r="B13" s="30" t="s">
        <v>289</v>
      </c>
      <c r="C13" s="31" t="s">
        <v>290</v>
      </c>
      <c r="D13" s="31" t="s">
        <v>123</v>
      </c>
      <c r="E13" s="32">
        <v>9</v>
      </c>
      <c r="F13" s="26"/>
      <c r="G13" s="21"/>
    </row>
    <row r="14" spans="1:7" x14ac:dyDescent="0.6">
      <c r="A14" s="22"/>
      <c r="B14" s="30" t="s">
        <v>268</v>
      </c>
      <c r="C14" s="31" t="s">
        <v>308</v>
      </c>
      <c r="D14" s="31" t="s">
        <v>123</v>
      </c>
      <c r="E14" s="328">
        <f>'SISTEMAS ESPECIAIS'!B10</f>
        <v>46</v>
      </c>
      <c r="F14" s="26"/>
      <c r="G14" s="21"/>
    </row>
    <row r="15" spans="1:7" x14ac:dyDescent="0.6">
      <c r="A15" s="22"/>
      <c r="B15" s="30" t="s">
        <v>130</v>
      </c>
      <c r="C15" s="31" t="s">
        <v>9</v>
      </c>
      <c r="D15" s="31" t="s">
        <v>123</v>
      </c>
      <c r="E15" s="32">
        <v>27</v>
      </c>
      <c r="F15" s="26"/>
      <c r="G15" s="21"/>
    </row>
    <row r="16" spans="1:7" x14ac:dyDescent="0.6">
      <c r="A16" s="22"/>
      <c r="B16" s="30" t="s">
        <v>131</v>
      </c>
      <c r="C16" s="31" t="s">
        <v>10</v>
      </c>
      <c r="D16" s="31" t="s">
        <v>123</v>
      </c>
      <c r="E16" s="32">
        <v>21</v>
      </c>
      <c r="F16" s="26"/>
      <c r="G16" s="21"/>
    </row>
    <row r="17" spans="1:7" x14ac:dyDescent="0.6">
      <c r="A17" s="22"/>
      <c r="B17" s="30" t="s">
        <v>132</v>
      </c>
      <c r="C17" s="31" t="s">
        <v>40</v>
      </c>
      <c r="D17" s="31" t="s">
        <v>123</v>
      </c>
      <c r="E17" s="32">
        <v>1</v>
      </c>
      <c r="F17" s="26"/>
      <c r="G17" s="21"/>
    </row>
    <row r="18" spans="1:7" x14ac:dyDescent="0.6">
      <c r="A18" s="22"/>
      <c r="B18" s="30" t="s">
        <v>133</v>
      </c>
      <c r="C18" s="31" t="s">
        <v>41</v>
      </c>
      <c r="D18" s="31" t="s">
        <v>123</v>
      </c>
      <c r="E18" s="32">
        <v>0</v>
      </c>
      <c r="F18" s="26"/>
      <c r="G18" s="21"/>
    </row>
    <row r="19" spans="1:7" x14ac:dyDescent="0.6">
      <c r="A19" s="22"/>
      <c r="B19" s="30" t="s">
        <v>134</v>
      </c>
      <c r="C19" s="31" t="s">
        <v>11</v>
      </c>
      <c r="D19" s="31" t="s">
        <v>120</v>
      </c>
      <c r="E19" s="32">
        <v>309.43</v>
      </c>
      <c r="F19" s="26"/>
      <c r="G19" s="21"/>
    </row>
    <row r="20" spans="1:7" x14ac:dyDescent="0.6">
      <c r="A20" s="22"/>
      <c r="B20" s="30" t="s">
        <v>135</v>
      </c>
      <c r="C20" s="31" t="s">
        <v>12</v>
      </c>
      <c r="D20" s="31" t="s">
        <v>119</v>
      </c>
      <c r="E20" s="32">
        <v>76.88</v>
      </c>
      <c r="F20" s="26"/>
      <c r="G20" s="21"/>
    </row>
    <row r="21" spans="1:7" x14ac:dyDescent="0.6">
      <c r="A21" s="22"/>
      <c r="B21" s="30" t="s">
        <v>136</v>
      </c>
      <c r="C21" s="31" t="s">
        <v>36</v>
      </c>
      <c r="D21" s="31" t="s">
        <v>120</v>
      </c>
      <c r="E21" s="32">
        <f>'PISO E TETO'!K44</f>
        <v>730.76470000000029</v>
      </c>
      <c r="F21" s="26"/>
      <c r="G21" s="21"/>
    </row>
    <row r="22" spans="1:7" x14ac:dyDescent="0.6">
      <c r="A22" s="22"/>
      <c r="B22" s="30" t="s">
        <v>137</v>
      </c>
      <c r="C22" s="31" t="s">
        <v>35</v>
      </c>
      <c r="D22" s="31" t="s">
        <v>120</v>
      </c>
      <c r="E22" s="32">
        <f>981.89+1032.93+1000.62+891.77</f>
        <v>3907.21</v>
      </c>
      <c r="F22" s="26"/>
      <c r="G22" s="21"/>
    </row>
    <row r="23" spans="1:7" x14ac:dyDescent="0.6">
      <c r="A23" s="22"/>
      <c r="B23" s="30" t="s">
        <v>138</v>
      </c>
      <c r="C23" s="31" t="s">
        <v>139</v>
      </c>
      <c r="D23" s="31" t="s">
        <v>120</v>
      </c>
      <c r="E23" s="32"/>
      <c r="F23" s="26"/>
      <c r="G23" s="21"/>
    </row>
    <row r="24" spans="1:7" x14ac:dyDescent="0.6">
      <c r="A24" s="22"/>
      <c r="B24" s="30" t="s">
        <v>140</v>
      </c>
      <c r="C24" s="31" t="s">
        <v>13</v>
      </c>
      <c r="D24" s="31" t="s">
        <v>123</v>
      </c>
      <c r="E24" s="32"/>
      <c r="F24" s="26"/>
      <c r="G24" s="21"/>
    </row>
    <row r="25" spans="1:7" x14ac:dyDescent="0.6">
      <c r="A25" s="22"/>
      <c r="B25" s="30" t="s">
        <v>141</v>
      </c>
      <c r="C25" s="31" t="s">
        <v>39</v>
      </c>
      <c r="D25" s="31" t="s">
        <v>120</v>
      </c>
      <c r="E25" s="32">
        <v>981.89</v>
      </c>
      <c r="F25" s="26"/>
      <c r="G25" s="21"/>
    </row>
    <row r="26" spans="1:7" x14ac:dyDescent="0.6">
      <c r="A26" s="22"/>
      <c r="B26" s="30" t="s">
        <v>142</v>
      </c>
      <c r="C26" s="31" t="s">
        <v>153</v>
      </c>
      <c r="D26" s="31" t="s">
        <v>119</v>
      </c>
      <c r="E26" s="32">
        <v>161.88</v>
      </c>
      <c r="F26" s="26"/>
      <c r="G26" s="21"/>
    </row>
    <row r="27" spans="1:7" ht="22.5" thickBot="1" x14ac:dyDescent="0.65">
      <c r="A27" s="22"/>
      <c r="B27" s="33" t="s">
        <v>143</v>
      </c>
      <c r="C27" s="34" t="s">
        <v>154</v>
      </c>
      <c r="D27" s="34" t="s">
        <v>123</v>
      </c>
      <c r="E27" s="35">
        <v>4</v>
      </c>
      <c r="F27" s="26"/>
      <c r="G27" s="21"/>
    </row>
    <row r="28" spans="1:7" ht="22.5" thickBot="1" x14ac:dyDescent="0.65">
      <c r="A28" s="36"/>
      <c r="B28" s="37"/>
      <c r="C28" s="37"/>
      <c r="D28" s="37"/>
      <c r="E28" s="38"/>
      <c r="F28" s="39"/>
      <c r="G28" s="40"/>
    </row>
    <row r="29" spans="1:7" ht="10.5" customHeight="1" x14ac:dyDescent="0.6">
      <c r="B29" s="252" t="s">
        <v>495</v>
      </c>
      <c r="C29" s="253" t="s">
        <v>496</v>
      </c>
      <c r="D29" s="253" t="s">
        <v>497</v>
      </c>
      <c r="E29" s="254" t="s">
        <v>498</v>
      </c>
    </row>
    <row r="30" spans="1:7" ht="10.5" customHeight="1" x14ac:dyDescent="0.6">
      <c r="B30" s="255" t="s">
        <v>499</v>
      </c>
      <c r="C30" s="320">
        <f>[4]CUSTOS_INDIRETOS!$F$71</f>
        <v>3445019.2077693986</v>
      </c>
      <c r="D30" s="318">
        <f t="shared" ref="D30:D46" si="0">C30/C$47</f>
        <v>8.8825879755928136E-2</v>
      </c>
      <c r="E30" s="322">
        <f t="shared" ref="E30:E45" si="1">C30/$E$9</f>
        <v>307.0922499769926</v>
      </c>
    </row>
    <row r="31" spans="1:7" ht="10.5" customHeight="1" x14ac:dyDescent="0.6">
      <c r="B31" s="256" t="s">
        <v>121</v>
      </c>
      <c r="C31" s="321">
        <f>[5]Obra!$F$33*E25</f>
        <v>234238.6880000871</v>
      </c>
      <c r="D31" s="319">
        <f t="shared" si="0"/>
        <v>6.0395766408379448E-3</v>
      </c>
      <c r="E31" s="323">
        <f t="shared" si="1"/>
        <v>20.880256797227279</v>
      </c>
      <c r="F31" s="326" t="s">
        <v>506</v>
      </c>
    </row>
    <row r="32" spans="1:7" ht="10.5" customHeight="1" x14ac:dyDescent="0.6">
      <c r="B32" s="255" t="s">
        <v>122</v>
      </c>
      <c r="C32" s="320">
        <f>[5]Obra!$F$34*E25</f>
        <v>2050375.6869436218</v>
      </c>
      <c r="D32" s="318">
        <f t="shared" si="0"/>
        <v>5.2866591806568469E-2</v>
      </c>
      <c r="E32" s="322">
        <f t="shared" si="1"/>
        <v>182.77241577684293</v>
      </c>
      <c r="F32" s="326" t="s">
        <v>506</v>
      </c>
    </row>
    <row r="33" spans="2:7" ht="10.5" customHeight="1" x14ac:dyDescent="0.6">
      <c r="B33" s="256" t="s">
        <v>28</v>
      </c>
      <c r="C33" s="321">
        <f>SUPRAESTRUTURA!G62</f>
        <v>7413979.3146342598</v>
      </c>
      <c r="D33" s="319">
        <f t="shared" si="0"/>
        <v>0.19116097629570117</v>
      </c>
      <c r="E33" s="323">
        <f t="shared" si="1"/>
        <v>660.88908412446744</v>
      </c>
    </row>
    <row r="34" spans="2:7" ht="10.5" customHeight="1" x14ac:dyDescent="0.6">
      <c r="B34" s="255" t="s">
        <v>183</v>
      </c>
      <c r="C34" s="320">
        <f>ALVENARIA!G32</f>
        <v>1725490.4943699001</v>
      </c>
      <c r="D34" s="318">
        <f t="shared" si="0"/>
        <v>4.4489798729492928E-2</v>
      </c>
      <c r="E34" s="322">
        <f t="shared" si="1"/>
        <v>153.81184436793279</v>
      </c>
    </row>
    <row r="35" spans="2:7" ht="10.5" customHeight="1" x14ac:dyDescent="0.6">
      <c r="B35" s="256" t="s">
        <v>500</v>
      </c>
      <c r="C35" s="321">
        <f>INSTALAÇÕES!D35</f>
        <v>3668348.1300000004</v>
      </c>
      <c r="D35" s="319">
        <f t="shared" si="0"/>
        <v>9.4584160565317543E-2</v>
      </c>
      <c r="E35" s="323">
        <f t="shared" si="1"/>
        <v>327</v>
      </c>
    </row>
    <row r="36" spans="2:7" ht="18" customHeight="1" x14ac:dyDescent="0.6">
      <c r="B36" s="255" t="s">
        <v>504</v>
      </c>
      <c r="C36" s="320">
        <f>'SISTEMAS ESPECIAIS'!D44</f>
        <v>2414994.6905</v>
      </c>
      <c r="D36" s="318">
        <f t="shared" si="0"/>
        <v>6.226787575110581E-2</v>
      </c>
      <c r="E36" s="322">
        <f t="shared" si="1"/>
        <v>215.27489644051312</v>
      </c>
      <c r="G36" s="332">
        <v>0.78055555555555556</v>
      </c>
    </row>
    <row r="37" spans="2:7" ht="24.75" customHeight="1" x14ac:dyDescent="0.6">
      <c r="B37" s="256" t="s">
        <v>501</v>
      </c>
      <c r="C37" s="321">
        <f>'Rev. Internos Piso e Parede'!G25</f>
        <v>2253068.9237864311</v>
      </c>
      <c r="D37" s="319">
        <f t="shared" si="0"/>
        <v>5.8092805071950186E-2</v>
      </c>
      <c r="E37" s="323">
        <f t="shared" si="1"/>
        <v>200.84068140996283</v>
      </c>
      <c r="G37" s="332">
        <v>0.83472222222222225</v>
      </c>
    </row>
    <row r="38" spans="2:7" ht="24" customHeight="1" x14ac:dyDescent="0.6">
      <c r="B38" s="255" t="s">
        <v>593</v>
      </c>
      <c r="C38" s="320">
        <f>TETO!G16</f>
        <v>826117.53546193114</v>
      </c>
      <c r="D38" s="318">
        <f t="shared" si="0"/>
        <v>2.130049571384483E-2</v>
      </c>
      <c r="E38" s="322">
        <f>C38/$E$9</f>
        <v>73.640893536473456</v>
      </c>
      <c r="G38" s="332">
        <f>G37-G36</f>
        <v>5.4166666666666696E-2</v>
      </c>
    </row>
    <row r="39" spans="2:7" ht="10.5" customHeight="1" x14ac:dyDescent="0.6">
      <c r="B39" s="256" t="s">
        <v>225</v>
      </c>
      <c r="C39" s="321">
        <f>IMPERMEABILIZAÇÃO!G22</f>
        <v>823317.78694720019</v>
      </c>
      <c r="D39" s="319">
        <f t="shared" si="0"/>
        <v>2.1228307400828907E-2</v>
      </c>
      <c r="E39" s="323">
        <f>C39/$E$9</f>
        <v>73.391321322530658</v>
      </c>
    </row>
    <row r="40" spans="2:7" ht="10.5" customHeight="1" x14ac:dyDescent="0.6">
      <c r="B40" s="255" t="s">
        <v>592</v>
      </c>
      <c r="C40" s="320">
        <f>'Acabamentos de Piso e Parede'!G30</f>
        <v>2239442.9270839198</v>
      </c>
      <c r="D40" s="318">
        <f t="shared" si="0"/>
        <v>5.7741474332800073E-2</v>
      </c>
      <c r="E40" s="322">
        <f t="shared" si="1"/>
        <v>199.62604725752726</v>
      </c>
    </row>
    <row r="41" spans="2:7" ht="10.5" customHeight="1" x14ac:dyDescent="0.6">
      <c r="B41" s="256" t="s">
        <v>315</v>
      </c>
      <c r="C41" s="321">
        <f>'PINTURA INTERNA'!G20</f>
        <v>1922071.7695861002</v>
      </c>
      <c r="D41" s="319">
        <f t="shared" si="0"/>
        <v>4.9558422055377749E-2</v>
      </c>
      <c r="E41" s="323">
        <f t="shared" si="1"/>
        <v>171.33528399733825</v>
      </c>
    </row>
    <row r="42" spans="2:7" ht="10.5" customHeight="1" x14ac:dyDescent="0.6">
      <c r="B42" s="255" t="s">
        <v>502</v>
      </c>
      <c r="C42" s="320">
        <f>'Rev. Fachada'!G35</f>
        <v>1723630.31484825</v>
      </c>
      <c r="D42" s="318">
        <f t="shared" si="0"/>
        <v>4.4441836128256369E-2</v>
      </c>
      <c r="E42" s="322">
        <f t="shared" si="1"/>
        <v>153.64602621708582</v>
      </c>
    </row>
    <row r="43" spans="2:7" ht="10.5" customHeight="1" x14ac:dyDescent="0.6">
      <c r="B43" s="256" t="s">
        <v>503</v>
      </c>
      <c r="C43" s="321">
        <f>ESQUADRIAS!G24</f>
        <v>4674215.7660000008</v>
      </c>
      <c r="D43" s="319">
        <f t="shared" si="0"/>
        <v>0.12051930701797454</v>
      </c>
      <c r="E43" s="323">
        <f>C43/$E$9</f>
        <v>416.66398643631464</v>
      </c>
    </row>
    <row r="44" spans="2:7" ht="10.5" customHeight="1" x14ac:dyDescent="0.6">
      <c r="B44" s="255" t="s">
        <v>198</v>
      </c>
      <c r="C44" s="320">
        <f>COBERTURA!G16</f>
        <v>278817.81577698997</v>
      </c>
      <c r="D44" s="318">
        <f t="shared" si="0"/>
        <v>7.1889984596205554E-3</v>
      </c>
      <c r="E44" s="322">
        <f t="shared" si="1"/>
        <v>24.854082144890572</v>
      </c>
    </row>
    <row r="45" spans="2:7" ht="10.5" customHeight="1" x14ac:dyDescent="0.6">
      <c r="B45" s="256" t="s">
        <v>282</v>
      </c>
      <c r="C45" s="321">
        <f>COMPLEMENTARES!F18</f>
        <v>2061539.6656745309</v>
      </c>
      <c r="D45" s="319">
        <f t="shared" si="0"/>
        <v>5.3154442228450893E-2</v>
      </c>
      <c r="E45" s="323">
        <f t="shared" si="1"/>
        <v>183.76758333336579</v>
      </c>
    </row>
    <row r="46" spans="2:7" ht="10.5" customHeight="1" x14ac:dyDescent="0.6">
      <c r="B46" s="255" t="s">
        <v>618</v>
      </c>
      <c r="C46" s="320">
        <f>SUM(C31:C45)*0.03</f>
        <v>1029289.4852883969</v>
      </c>
      <c r="D46" s="318">
        <f t="shared" si="0"/>
        <v>2.6539052045943846E-2</v>
      </c>
      <c r="E46" s="322">
        <f>C46/$E$9</f>
        <v>91.751832094874203</v>
      </c>
    </row>
    <row r="47" spans="2:7" ht="10.5" customHeight="1" x14ac:dyDescent="0.6">
      <c r="B47" s="257" t="s">
        <v>17</v>
      </c>
      <c r="C47" s="324">
        <f>SUM(C30:C46)</f>
        <v>38783958.202671021</v>
      </c>
      <c r="D47" s="258">
        <f>SUM(D30:D46)</f>
        <v>0.99999999999999989</v>
      </c>
      <c r="E47" s="325">
        <f>SUM(E30:E46)</f>
        <v>3457.2384852343389</v>
      </c>
    </row>
    <row r="48" spans="2:7" ht="10.5" customHeight="1" thickBot="1" x14ac:dyDescent="0.65">
      <c r="B48" s="259" t="s">
        <v>505</v>
      </c>
      <c r="C48" s="260">
        <v>2934.53</v>
      </c>
      <c r="D48" s="261">
        <v>45809</v>
      </c>
      <c r="E48" s="262" t="str">
        <f>ROUNDUP(+E47/C48,2)&amp;" CUB"</f>
        <v>1,18 CUB</v>
      </c>
    </row>
    <row r="49" spans="3:3" x14ac:dyDescent="0.6">
      <c r="C49" s="335">
        <f>C48/[5]Obra!$C$54</f>
        <v>1.0247230011209159</v>
      </c>
    </row>
  </sheetData>
  <mergeCells count="1">
    <mergeCell ref="A5:G5"/>
  </mergeCells>
  <pageMargins left="0.51181102362204722" right="0.51181102362204722" top="0.78740157480314965" bottom="0.78740157480314965" header="0.31496062992125984" footer="0.31496062992125984"/>
  <pageSetup paperSize="9" scale="6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4077A-7DAB-4A85-99DC-B17DF111E9F0}">
  <sheetPr>
    <tabColor rgb="FF0000FF"/>
  </sheetPr>
  <dimension ref="A1:M150"/>
  <sheetViews>
    <sheetView zoomScale="85" zoomScaleNormal="85" workbookViewId="0">
      <selection activeCell="H12" sqref="H12"/>
    </sheetView>
  </sheetViews>
  <sheetFormatPr defaultRowHeight="15" x14ac:dyDescent="0.25"/>
  <cols>
    <col min="1" max="1" width="48.140625" style="263" bestFit="1" customWidth="1"/>
    <col min="2" max="2" width="11.28515625" style="263" bestFit="1" customWidth="1"/>
    <col min="3" max="3" width="12.5703125" style="263" bestFit="1" customWidth="1"/>
    <col min="4" max="4" width="14.28515625" style="263" bestFit="1" customWidth="1"/>
    <col min="5" max="5" width="18.42578125" style="263" bestFit="1" customWidth="1"/>
    <col min="6" max="6" width="1.28515625" style="263" customWidth="1"/>
    <col min="7" max="7" width="14.7109375" style="264" bestFit="1" customWidth="1"/>
    <col min="8" max="8" width="60.7109375" style="265" bestFit="1" customWidth="1"/>
    <col min="9" max="9" width="16.5703125" style="264" bestFit="1" customWidth="1"/>
    <col min="10" max="10" width="17.7109375" style="264" bestFit="1" customWidth="1"/>
    <col min="11" max="11" width="12.85546875" style="263" bestFit="1" customWidth="1"/>
    <col min="12" max="12" width="9.140625" style="263"/>
    <col min="13" max="13" width="9.42578125" style="263" customWidth="1"/>
    <col min="14" max="16384" width="9.140625" style="263"/>
  </cols>
  <sheetData>
    <row r="1" spans="1:13" x14ac:dyDescent="0.25">
      <c r="A1" s="340" t="s">
        <v>507</v>
      </c>
      <c r="B1" s="340"/>
      <c r="C1" s="340"/>
      <c r="D1" s="340"/>
      <c r="E1" s="340"/>
      <c r="H1" s="265" t="s">
        <v>508</v>
      </c>
    </row>
    <row r="2" spans="1:13" s="266" customFormat="1" ht="15.75" x14ac:dyDescent="0.25">
      <c r="A2" s="266" t="s">
        <v>14</v>
      </c>
      <c r="B2" s="266" t="s">
        <v>509</v>
      </c>
      <c r="C2" s="266" t="s">
        <v>510</v>
      </c>
      <c r="D2" s="266" t="s">
        <v>511</v>
      </c>
      <c r="E2" s="266" t="s">
        <v>512</v>
      </c>
      <c r="G2" s="267" t="s">
        <v>513</v>
      </c>
      <c r="H2" s="268"/>
      <c r="I2" s="269"/>
      <c r="J2" s="269"/>
    </row>
    <row r="3" spans="1:13" ht="15.75" customHeight="1" x14ac:dyDescent="0.25">
      <c r="A3" s="270" t="s">
        <v>514</v>
      </c>
      <c r="B3" s="271">
        <v>4.1200000000000001E-2</v>
      </c>
      <c r="C3" s="272">
        <f>B3</f>
        <v>4.1200000000000001E-2</v>
      </c>
      <c r="D3" s="329">
        <f>B3*$D$146</f>
        <v>383513.67992133199</v>
      </c>
      <c r="E3" s="273">
        <f>C3*$E$146</f>
        <v>383513.67992133199</v>
      </c>
      <c r="G3" s="274">
        <f>D3</f>
        <v>383513.67992133199</v>
      </c>
      <c r="H3" s="263"/>
      <c r="I3" s="263"/>
      <c r="J3" s="264">
        <f>SUM(I4:I7)-D3</f>
        <v>-9252.8799213319435</v>
      </c>
    </row>
    <row r="4" spans="1:13" ht="15.75" customHeight="1" x14ac:dyDescent="0.25">
      <c r="A4" s="275" t="s">
        <v>515</v>
      </c>
      <c r="B4" s="276">
        <v>1</v>
      </c>
      <c r="C4" s="277">
        <f>B3-SUM(C5:C7)</f>
        <v>1.792831351827389E-2</v>
      </c>
      <c r="D4" s="278">
        <f>C4*$D$146</f>
        <v>166887.22068389764</v>
      </c>
      <c r="E4" s="279"/>
      <c r="G4" s="274"/>
      <c r="H4" s="268" t="s">
        <v>515</v>
      </c>
      <c r="I4" s="264">
        <f>[5]Ger_Administrativo!$N$100</f>
        <v>162860.80000000002</v>
      </c>
      <c r="J4" s="280">
        <f>I4/$E$146</f>
        <v>1.7495764326780617E-2</v>
      </c>
    </row>
    <row r="5" spans="1:13" ht="15.75" customHeight="1" x14ac:dyDescent="0.25">
      <c r="A5" s="275" t="s">
        <v>516</v>
      </c>
      <c r="B5" s="276">
        <v>1</v>
      </c>
      <c r="C5" s="277">
        <v>3.9630118890356669E-3</v>
      </c>
      <c r="D5" s="278">
        <f>C5*$D$146</f>
        <v>36890.030901360631</v>
      </c>
      <c r="E5" s="279"/>
      <c r="G5" s="274"/>
      <c r="H5" s="268" t="s">
        <v>516</v>
      </c>
      <c r="I5" s="264">
        <f>[5]Ger_Administrativo!$N$104</f>
        <v>36000</v>
      </c>
      <c r="J5" s="280">
        <f>I5/$E$146</f>
        <v>3.8673978990899109E-3</v>
      </c>
    </row>
    <row r="6" spans="1:13" ht="15.75" customHeight="1" x14ac:dyDescent="0.25">
      <c r="A6" s="275" t="s">
        <v>517</v>
      </c>
      <c r="B6" s="276">
        <v>1</v>
      </c>
      <c r="C6" s="277">
        <v>1.6842800528401584E-2</v>
      </c>
      <c r="D6" s="278">
        <f>C6*$D$146</f>
        <v>156782.63133078269</v>
      </c>
      <c r="E6" s="279"/>
      <c r="G6" s="274"/>
      <c r="H6" s="268" t="s">
        <v>517</v>
      </c>
      <c r="I6" s="264">
        <f>[5]Ger_Administrativo!N115</f>
        <v>153000</v>
      </c>
      <c r="J6" s="280">
        <f>I6/$E$146</f>
        <v>1.6436441071132121E-2</v>
      </c>
    </row>
    <row r="7" spans="1:13" ht="15.75" customHeight="1" x14ac:dyDescent="0.25">
      <c r="A7" s="275" t="s">
        <v>518</v>
      </c>
      <c r="B7" s="276">
        <v>1</v>
      </c>
      <c r="C7" s="277">
        <v>2.4658740642888597E-3</v>
      </c>
      <c r="D7" s="278">
        <f>C7*$D$146</f>
        <v>22953.797005291064</v>
      </c>
      <c r="E7" s="279"/>
      <c r="G7" s="274"/>
      <c r="H7" s="268" t="s">
        <v>518</v>
      </c>
      <c r="I7" s="264">
        <f>[5]Ger_Administrativo!N116</f>
        <v>22400</v>
      </c>
      <c r="J7" s="280">
        <f>I7/$E$146</f>
        <v>2.406380914989278E-3</v>
      </c>
    </row>
    <row r="8" spans="1:13" ht="15.75" customHeight="1" x14ac:dyDescent="0.25">
      <c r="A8" s="270" t="s">
        <v>519</v>
      </c>
      <c r="B8" s="271">
        <v>5.5E-2</v>
      </c>
      <c r="C8" s="272">
        <f>B8+C3</f>
        <v>9.6200000000000008E-2</v>
      </c>
      <c r="D8" s="273">
        <f>B8*$D$146</f>
        <v>511972.14552605001</v>
      </c>
      <c r="E8" s="273">
        <f>C8*$E$146</f>
        <v>895485.82544738206</v>
      </c>
      <c r="G8" s="274">
        <f>D8/[5]Ger_Executivo!L19</f>
        <v>363.02357337165853</v>
      </c>
      <c r="H8" s="268" t="s">
        <v>520</v>
      </c>
      <c r="I8" s="264">
        <f>[5]Ger_Executivo!N19</f>
        <v>499620.00000000006</v>
      </c>
      <c r="J8" s="264">
        <f>I8-D8</f>
        <v>-12352.14552604995</v>
      </c>
      <c r="K8" s="281"/>
      <c r="L8" s="282"/>
      <c r="M8" s="283"/>
    </row>
    <row r="9" spans="1:13" ht="15.75" x14ac:dyDescent="0.25">
      <c r="A9" s="270" t="s">
        <v>521</v>
      </c>
      <c r="B9" s="271">
        <v>0.33</v>
      </c>
      <c r="C9" s="272">
        <f>B9+C8</f>
        <v>0.42620000000000002</v>
      </c>
      <c r="D9" s="329">
        <f>B9*$D$146</f>
        <v>3071832.8731563003</v>
      </c>
      <c r="E9" s="273">
        <f>C9*$E$146</f>
        <v>3967318.6986036822</v>
      </c>
      <c r="G9" s="274">
        <f>SUM($D$11:$D$20)/SUM(B11:B20)</f>
        <v>236.77213718692087</v>
      </c>
      <c r="H9" s="268" t="s">
        <v>522</v>
      </c>
      <c r="I9" s="264">
        <f>[5]Ger_Executivo!N47</f>
        <v>2964109.1999999997</v>
      </c>
      <c r="J9" s="264">
        <f>(I9+I10)-D9</f>
        <v>-74112.873156300746</v>
      </c>
      <c r="K9" s="284"/>
      <c r="M9" s="283"/>
    </row>
    <row r="10" spans="1:13" ht="15.75" x14ac:dyDescent="0.25">
      <c r="A10" s="285" t="s">
        <v>523</v>
      </c>
      <c r="B10" s="286">
        <f>[5]Ger_Executivo!L48</f>
        <v>1390.37</v>
      </c>
      <c r="C10" s="287">
        <v>3.7000000000000002E-3</v>
      </c>
      <c r="D10" s="288">
        <f t="shared" ref="D10:D20" si="0">C10*$D$146</f>
        <v>34441.762517207004</v>
      </c>
      <c r="E10" s="289"/>
      <c r="G10" s="268">
        <f>D10/B10</f>
        <v>24.771652522139433</v>
      </c>
      <c r="H10" s="268" t="s">
        <v>524</v>
      </c>
      <c r="I10" s="264">
        <f>[5]Ger_Executivo!N48</f>
        <v>33610.800000000003</v>
      </c>
    </row>
    <row r="11" spans="1:13" x14ac:dyDescent="0.25">
      <c r="A11" s="285" t="s">
        <v>525</v>
      </c>
      <c r="B11" s="286">
        <f>[5]Obra!$E$15</f>
        <v>918.44</v>
      </c>
      <c r="C11" s="287">
        <f t="shared" ref="C11:C20" si="1">B11/SUM($B$11:$B$20)*($B$9-$C$10)</f>
        <v>2.3361339472869815E-2</v>
      </c>
      <c r="D11" s="288">
        <f t="shared" si="0"/>
        <v>217461.00167795565</v>
      </c>
      <c r="E11" s="289"/>
    </row>
    <row r="12" spans="1:13" ht="15.75" x14ac:dyDescent="0.25">
      <c r="A12" s="275" t="s">
        <v>526</v>
      </c>
      <c r="B12" s="276">
        <f>[5]Obra!$E$16</f>
        <v>1045.47</v>
      </c>
      <c r="C12" s="277">
        <f t="shared" si="1"/>
        <v>2.6592460671030445E-2</v>
      </c>
      <c r="D12" s="278">
        <f t="shared" si="0"/>
        <v>247538.16626481019</v>
      </c>
      <c r="E12" s="279"/>
      <c r="G12" s="268"/>
      <c r="H12" s="268"/>
      <c r="L12" s="281"/>
    </row>
    <row r="13" spans="1:13" ht="15.75" x14ac:dyDescent="0.25">
      <c r="A13" s="275" t="s">
        <v>527</v>
      </c>
      <c r="B13" s="276">
        <f>[5]Obra!$E$17</f>
        <v>1045.47</v>
      </c>
      <c r="C13" s="277">
        <f t="shared" si="1"/>
        <v>2.6592460671030445E-2</v>
      </c>
      <c r="D13" s="278">
        <f t="shared" si="0"/>
        <v>247538.16626481019</v>
      </c>
      <c r="E13" s="279"/>
      <c r="G13" s="268"/>
      <c r="H13" s="268"/>
      <c r="L13" s="281"/>
    </row>
    <row r="14" spans="1:13" ht="15.75" x14ac:dyDescent="0.25">
      <c r="A14" s="275" t="s">
        <v>528</v>
      </c>
      <c r="B14" s="276">
        <f>[5]Obra!$E$18</f>
        <v>1045.47</v>
      </c>
      <c r="C14" s="277">
        <f t="shared" si="1"/>
        <v>2.6592460671030445E-2</v>
      </c>
      <c r="D14" s="278">
        <f t="shared" si="0"/>
        <v>247538.16626481019</v>
      </c>
      <c r="E14" s="279"/>
      <c r="G14" s="268"/>
      <c r="H14" s="268"/>
      <c r="L14" s="281"/>
    </row>
    <row r="15" spans="1:13" ht="15.75" x14ac:dyDescent="0.25">
      <c r="A15" s="275" t="s">
        <v>529</v>
      </c>
      <c r="B15" s="276">
        <f>[5]Obra!$E$19</f>
        <v>1051.4100000000001</v>
      </c>
      <c r="C15" s="277">
        <f t="shared" si="1"/>
        <v>2.6743549861907204E-2</v>
      </c>
      <c r="D15" s="278">
        <f t="shared" si="0"/>
        <v>248944.59275970052</v>
      </c>
      <c r="E15" s="279"/>
      <c r="G15" s="268"/>
      <c r="H15" s="268"/>
      <c r="L15" s="281"/>
    </row>
    <row r="16" spans="1:13" ht="15.75" x14ac:dyDescent="0.25">
      <c r="A16" s="275" t="s">
        <v>530</v>
      </c>
      <c r="B16" s="276">
        <f>[5]Obra!$E$20</f>
        <v>545.33000000000004</v>
      </c>
      <c r="C16" s="277">
        <f t="shared" si="1"/>
        <v>1.3870954286333451E-2</v>
      </c>
      <c r="D16" s="278">
        <f t="shared" si="0"/>
        <v>129118.94957214358</v>
      </c>
      <c r="E16" s="279"/>
      <c r="G16" s="268"/>
      <c r="H16" s="268"/>
      <c r="L16" s="281"/>
    </row>
    <row r="17" spans="1:12" ht="15.75" x14ac:dyDescent="0.25">
      <c r="A17" s="275" t="s">
        <v>531</v>
      </c>
      <c r="B17" s="276">
        <f>[5]Obra!$E$21</f>
        <v>5998.63</v>
      </c>
      <c r="C17" s="277">
        <f t="shared" si="1"/>
        <v>0.15258049714966795</v>
      </c>
      <c r="D17" s="278">
        <f t="shared" si="0"/>
        <v>1420308.4452935793</v>
      </c>
      <c r="E17" s="279"/>
      <c r="G17" s="268"/>
      <c r="H17" s="268"/>
      <c r="L17" s="281"/>
    </row>
    <row r="18" spans="1:12" ht="15.75" x14ac:dyDescent="0.25">
      <c r="A18" s="275" t="s">
        <v>532</v>
      </c>
      <c r="B18" s="276">
        <f>[5]Obra!$E$22</f>
        <v>557.79</v>
      </c>
      <c r="C18" s="277">
        <f t="shared" si="1"/>
        <v>1.4187885484704555E-2</v>
      </c>
      <c r="D18" s="278">
        <f t="shared" si="0"/>
        <v>132069.13040149258</v>
      </c>
      <c r="E18" s="279"/>
      <c r="G18" s="268"/>
      <c r="H18" s="268"/>
      <c r="L18" s="281"/>
    </row>
    <row r="19" spans="1:12" ht="15.75" x14ac:dyDescent="0.25">
      <c r="A19" s="275" t="s">
        <v>533</v>
      </c>
      <c r="B19" s="276">
        <f>[5]Obra!$E$23</f>
        <v>546.39</v>
      </c>
      <c r="C19" s="277">
        <f t="shared" si="1"/>
        <v>1.3897916330496642E-2</v>
      </c>
      <c r="D19" s="278">
        <f t="shared" si="0"/>
        <v>129369.92803756171</v>
      </c>
      <c r="E19" s="279"/>
      <c r="G19" s="268"/>
      <c r="H19" s="268"/>
      <c r="L19" s="281"/>
    </row>
    <row r="20" spans="1:12" ht="15.75" x14ac:dyDescent="0.25">
      <c r="A20" s="275" t="s">
        <v>534</v>
      </c>
      <c r="B20" s="276">
        <f>[5]Obra!$E$24+[5]Obra!$E$25</f>
        <v>73.930000000000007</v>
      </c>
      <c r="C20" s="277">
        <f t="shared" si="1"/>
        <v>1.8804754009290377E-3</v>
      </c>
      <c r="D20" s="278">
        <f t="shared" si="0"/>
        <v>17504.564102229066</v>
      </c>
      <c r="E20" s="279"/>
      <c r="G20" s="268"/>
      <c r="H20" s="268"/>
      <c r="L20" s="281"/>
    </row>
    <row r="21" spans="1:12" ht="15.75" x14ac:dyDescent="0.25">
      <c r="A21" s="270" t="s">
        <v>535</v>
      </c>
      <c r="B21" s="271">
        <v>0.09</v>
      </c>
      <c r="C21" s="272">
        <f>B21+C9</f>
        <v>0.51619999999999999</v>
      </c>
      <c r="D21" s="329">
        <f>B21*$D$146</f>
        <v>837772.60176989995</v>
      </c>
      <c r="E21" s="273">
        <f>C21*$E$146</f>
        <v>4805091.3003735822</v>
      </c>
      <c r="G21" s="274">
        <f>D21/SUM(B22:B31)</f>
        <v>62.773821342322506</v>
      </c>
      <c r="H21" s="268" t="s">
        <v>536</v>
      </c>
      <c r="I21" s="264">
        <f>[5]Ger_Executivo!$N$63</f>
        <v>720815.54852215853</v>
      </c>
      <c r="J21" s="264">
        <f>SUM(I21:I23)-D21</f>
        <v>-20212.601769899717</v>
      </c>
      <c r="L21" s="281"/>
    </row>
    <row r="22" spans="1:12" ht="15.75" x14ac:dyDescent="0.25">
      <c r="A22" s="285" t="s">
        <v>525</v>
      </c>
      <c r="B22" s="286">
        <f>SUM('[5]ARQ. PAV'!I2:J2)-0.01</f>
        <v>1126.8799999999999</v>
      </c>
      <c r="C22" s="277">
        <f t="shared" ref="C22" si="2">B22/SUM($B$22:$B$31)*$B$21</f>
        <v>7.5992825834018726E-3</v>
      </c>
      <c r="D22" s="288">
        <f t="shared" ref="D22:D31" si="3">C22*$D$146</f>
        <v>70738.563794236383</v>
      </c>
      <c r="E22" s="289"/>
      <c r="G22" s="268"/>
      <c r="H22" s="268" t="s">
        <v>537</v>
      </c>
      <c r="I22" s="264">
        <f>[5]Ger_Executivo!$N$64</f>
        <v>19998.184505561163</v>
      </c>
      <c r="L22" s="281"/>
    </row>
    <row r="23" spans="1:12" ht="15.75" x14ac:dyDescent="0.25">
      <c r="A23" s="275" t="s">
        <v>526</v>
      </c>
      <c r="B23" s="276">
        <f>SUM('[5]ARQ. PAV'!I3:J3)</f>
        <v>279.97000000000003</v>
      </c>
      <c r="C23" s="277">
        <f t="shared" ref="C23:C31" si="4">B23/SUM($B$22:$B$31)*$B$21</f>
        <v>1.888019261034913E-3</v>
      </c>
      <c r="D23" s="278">
        <f t="shared" si="3"/>
        <v>17574.786761210034</v>
      </c>
      <c r="E23" s="279"/>
      <c r="G23" s="268"/>
      <c r="H23" s="268" t="s">
        <v>538</v>
      </c>
      <c r="I23" s="264">
        <f>[5]Ger_Executivo!$N$65</f>
        <v>76746.266972280544</v>
      </c>
      <c r="L23" s="281"/>
    </row>
    <row r="24" spans="1:12" ht="15.75" x14ac:dyDescent="0.25">
      <c r="A24" s="275" t="s">
        <v>527</v>
      </c>
      <c r="B24" s="276">
        <f>SUM('[5]ARQ. PAV'!I4:J4)</f>
        <v>242.28000000000003</v>
      </c>
      <c r="C24" s="277">
        <f t="shared" si="4"/>
        <v>1.6338511503501756E-3</v>
      </c>
      <c r="D24" s="278">
        <f t="shared" si="3"/>
        <v>15208.841434817898</v>
      </c>
      <c r="E24" s="279"/>
      <c r="G24" s="268"/>
      <c r="H24" s="268"/>
      <c r="L24" s="281"/>
    </row>
    <row r="25" spans="1:12" ht="15.75" x14ac:dyDescent="0.25">
      <c r="A25" s="275" t="s">
        <v>528</v>
      </c>
      <c r="B25" s="276">
        <f>SUM('[5]ARQ. PAV'!I5:J5)</f>
        <v>241.76</v>
      </c>
      <c r="C25" s="277">
        <f t="shared" si="4"/>
        <v>1.6303444531478391E-3</v>
      </c>
      <c r="D25" s="278">
        <f t="shared" si="3"/>
        <v>15176.199047719889</v>
      </c>
      <c r="E25" s="279"/>
      <c r="G25" s="268"/>
      <c r="H25" s="268"/>
    </row>
    <row r="26" spans="1:12" ht="15.75" x14ac:dyDescent="0.25">
      <c r="A26" s="275" t="s">
        <v>529</v>
      </c>
      <c r="B26" s="276">
        <f>SUM('[5]ARQ. PAV'!I6:J6)</f>
        <v>436.34999999999997</v>
      </c>
      <c r="C26" s="277">
        <f t="shared" si="4"/>
        <v>2.9425910081529597E-3</v>
      </c>
      <c r="D26" s="278">
        <f t="shared" si="3"/>
        <v>27391.356942722425</v>
      </c>
      <c r="E26" s="279"/>
      <c r="G26" s="268"/>
      <c r="H26" s="268"/>
    </row>
    <row r="27" spans="1:12" ht="15.75" x14ac:dyDescent="0.25">
      <c r="A27" s="275" t="s">
        <v>530</v>
      </c>
      <c r="B27" s="276">
        <f>SUM('[5]ARQ. PAV'!I7:J7)</f>
        <v>784.74161000000004</v>
      </c>
      <c r="C27" s="277">
        <f t="shared" si="4"/>
        <v>5.2920215545077965E-3</v>
      </c>
      <c r="D27" s="278">
        <f t="shared" si="3"/>
        <v>49261.229626026528</v>
      </c>
      <c r="E27" s="279"/>
      <c r="G27" s="268"/>
      <c r="H27" s="268"/>
    </row>
    <row r="28" spans="1:12" ht="15.75" x14ac:dyDescent="0.25">
      <c r="A28" s="275" t="s">
        <v>531</v>
      </c>
      <c r="B28" s="276">
        <f>SUM('[5]ARQ. PAV'!I8:J8)</f>
        <v>8620.6577099999995</v>
      </c>
      <c r="C28" s="277">
        <f t="shared" si="4"/>
        <v>5.8134685142226396E-2</v>
      </c>
      <c r="D28" s="278">
        <f t="shared" si="3"/>
        <v>541151.62694085506</v>
      </c>
      <c r="E28" s="279"/>
      <c r="G28" s="268"/>
      <c r="H28" s="268"/>
    </row>
    <row r="29" spans="1:12" ht="15.75" x14ac:dyDescent="0.25">
      <c r="A29" s="275" t="s">
        <v>532</v>
      </c>
      <c r="B29" s="276">
        <f>SUM('[5]ARQ. PAV'!I9:J9)</f>
        <v>782.82160999999996</v>
      </c>
      <c r="C29" s="277">
        <f t="shared" si="4"/>
        <v>5.2790737494530149E-3</v>
      </c>
      <c r="D29" s="278">
        <f t="shared" si="3"/>
        <v>49140.703889049262</v>
      </c>
      <c r="E29" s="279"/>
      <c r="G29" s="268"/>
      <c r="H29" s="268"/>
    </row>
    <row r="30" spans="1:12" ht="15.75" x14ac:dyDescent="0.25">
      <c r="A30" s="275" t="s">
        <v>533</v>
      </c>
      <c r="B30" s="276">
        <f>SUM('[5]ARQ. PAV'!I10:J10)</f>
        <v>490.22046</v>
      </c>
      <c r="C30" s="277">
        <f t="shared" si="4"/>
        <v>3.3058744530963854E-3</v>
      </c>
      <c r="D30" s="278">
        <f t="shared" si="3"/>
        <v>30773.011574391156</v>
      </c>
      <c r="E30" s="279"/>
      <c r="G30" s="268"/>
      <c r="H30" s="268"/>
    </row>
    <row r="31" spans="1:12" ht="15.75" x14ac:dyDescent="0.25">
      <c r="A31" s="275" t="s">
        <v>534</v>
      </c>
      <c r="B31" s="276">
        <f>SUM('[5]ARQ. PAV'!I11:J11)</f>
        <v>340.21000000000004</v>
      </c>
      <c r="C31" s="277">
        <f t="shared" si="4"/>
        <v>2.2942566446286666E-3</v>
      </c>
      <c r="D31" s="278">
        <f t="shared" si="3"/>
        <v>21356.281758871544</v>
      </c>
      <c r="E31" s="279"/>
      <c r="G31" s="268"/>
      <c r="H31" s="268"/>
    </row>
    <row r="32" spans="1:12" ht="15.75" x14ac:dyDescent="0.25">
      <c r="A32" s="270" t="str">
        <f>LOWER("IMPERMEABILIZAÇÃO E TRATAMENTOS")</f>
        <v>impermeabilização e tratamentos</v>
      </c>
      <c r="B32" s="271">
        <v>0.02</v>
      </c>
      <c r="C32" s="272">
        <f>B32+C21</f>
        <v>0.53620000000000001</v>
      </c>
      <c r="D32" s="329">
        <f>B32*$D$146</f>
        <v>186171.68928220001</v>
      </c>
      <c r="E32" s="273">
        <f>C32*$E$146</f>
        <v>4991262.9896557825</v>
      </c>
      <c r="G32" s="274"/>
      <c r="H32" s="268"/>
      <c r="I32" s="263"/>
      <c r="J32" s="263"/>
    </row>
    <row r="33" spans="1:10" ht="15.75" x14ac:dyDescent="0.25">
      <c r="A33" s="285" t="s">
        <v>539</v>
      </c>
      <c r="B33" s="276">
        <v>4313.3967000000011</v>
      </c>
      <c r="C33" s="277">
        <f>B32*0.9</f>
        <v>1.8000000000000002E-2</v>
      </c>
      <c r="D33" s="288">
        <f>C33*$D$146</f>
        <v>167554.52035398001</v>
      </c>
      <c r="E33" s="289"/>
      <c r="G33" s="274">
        <f>D33/B33</f>
        <v>38.845145023173956</v>
      </c>
      <c r="H33" s="268" t="s">
        <v>539</v>
      </c>
      <c r="I33" s="264">
        <f>SUM([5]Ger_Executivo!N90:N91)</f>
        <v>181680.75815887746</v>
      </c>
      <c r="J33" s="264">
        <f>SUM(I33:I34)-D32</f>
        <v>-4490.9311233225453</v>
      </c>
    </row>
    <row r="34" spans="1:10" ht="15.75" x14ac:dyDescent="0.25">
      <c r="A34" s="275" t="s">
        <v>540</v>
      </c>
      <c r="B34" s="276">
        <v>376.90999999999997</v>
      </c>
      <c r="C34" s="277">
        <f>B32*0.1</f>
        <v>2E-3</v>
      </c>
      <c r="D34" s="278">
        <f>C34*$D$146</f>
        <v>18617.168928220002</v>
      </c>
      <c r="E34" s="279"/>
      <c r="G34" s="268">
        <f>D34/B34</f>
        <v>49.394202669655897</v>
      </c>
      <c r="H34" s="268" t="s">
        <v>540</v>
      </c>
    </row>
    <row r="35" spans="1:10" ht="15.75" x14ac:dyDescent="0.25">
      <c r="A35" s="270" t="s">
        <v>541</v>
      </c>
      <c r="B35" s="271">
        <v>0.21879999999999999</v>
      </c>
      <c r="C35" s="272">
        <f>B35+C32</f>
        <v>0.755</v>
      </c>
      <c r="D35" s="329">
        <f>B35*$D$146</f>
        <v>2036718.2807472679</v>
      </c>
      <c r="E35" s="273">
        <f>C35*$E$146</f>
        <v>7027981.2704030499</v>
      </c>
      <c r="G35" s="274"/>
      <c r="H35" s="268"/>
    </row>
    <row r="36" spans="1:10" ht="15.75" x14ac:dyDescent="0.25">
      <c r="A36" s="290" t="s">
        <v>542</v>
      </c>
      <c r="B36" s="291">
        <f>$B$35*$G$38</f>
        <v>0.13318356000000001</v>
      </c>
      <c r="C36" s="292"/>
      <c r="D36" s="330">
        <f>SUM(D37:D46)</f>
        <v>1239750.4174908621</v>
      </c>
      <c r="E36" s="294"/>
      <c r="G36" s="274">
        <f>D36/SUM(B37:B46)</f>
        <v>48.656130395279646</v>
      </c>
      <c r="H36" s="268" t="s">
        <v>543</v>
      </c>
      <c r="I36" s="264">
        <f>[5]Ger_Executivo!N197</f>
        <v>1209839.4590400001</v>
      </c>
      <c r="J36" s="264">
        <f>I36-D36</f>
        <v>-29910.958450861974</v>
      </c>
    </row>
    <row r="37" spans="1:10" ht="15.75" x14ac:dyDescent="0.25">
      <c r="A37" s="285" t="s">
        <v>525</v>
      </c>
      <c r="B37" s="286">
        <f>SUM('[5]ARQ. PAV'!M2:N2)</f>
        <v>2243.4700000000003</v>
      </c>
      <c r="C37" s="287">
        <f>B37/SUM($B$37:$B$46)*$B$36</f>
        <v>1.1726656107463785E-2</v>
      </c>
      <c r="D37" s="288">
        <f t="shared" ref="D37:D46" si="5">C37*$D$146</f>
        <v>109158.56885789803</v>
      </c>
      <c r="E37" s="289"/>
      <c r="G37" s="274"/>
      <c r="H37" s="268"/>
    </row>
    <row r="38" spans="1:10" ht="15.75" x14ac:dyDescent="0.25">
      <c r="A38" s="275" t="s">
        <v>526</v>
      </c>
      <c r="B38" s="276">
        <f>SUM('[5]ARQ. PAV'!M3:N3)</f>
        <v>638.7600000000001</v>
      </c>
      <c r="C38" s="277">
        <f>B38/SUM($B$37:$B$46)*$B$36</f>
        <v>3.3388094582069597E-3</v>
      </c>
      <c r="D38" s="278">
        <f t="shared" si="5"/>
        <v>31079.589851288831</v>
      </c>
      <c r="E38" s="279"/>
      <c r="G38" s="268">
        <f>1-SUM(G39:G41)</f>
        <v>0.60870000000000002</v>
      </c>
      <c r="H38" s="268"/>
    </row>
    <row r="39" spans="1:10" ht="15.75" x14ac:dyDescent="0.25">
      <c r="A39" s="275" t="s">
        <v>527</v>
      </c>
      <c r="B39" s="276">
        <f>SUM('[5]ARQ. PAV'!M4:N4)</f>
        <v>574.56000000000006</v>
      </c>
      <c r="C39" s="277">
        <f>B39/SUM($B$37:$B$46)*$B$36</f>
        <v>3.0032349588380467E-3</v>
      </c>
      <c r="D39" s="278">
        <f t="shared" si="5"/>
        <v>27955.866279911879</v>
      </c>
      <c r="E39" s="279"/>
      <c r="G39" s="268">
        <f>0.03-0.0005</f>
        <v>2.9499999999999998E-2</v>
      </c>
      <c r="H39" s="268"/>
    </row>
    <row r="40" spans="1:10" ht="15.75" x14ac:dyDescent="0.25">
      <c r="A40" s="275" t="s">
        <v>528</v>
      </c>
      <c r="B40" s="276">
        <f>SUM('[5]ARQ. PAV'!M5:N5)</f>
        <v>553.45000000000005</v>
      </c>
      <c r="C40" s="277">
        <f>B40/SUM($B$37:$B$46)*$B$36</f>
        <v>2.8928926273477386E-3</v>
      </c>
      <c r="D40" s="278">
        <f t="shared" si="5"/>
        <v>26928.73536726752</v>
      </c>
      <c r="E40" s="279"/>
      <c r="G40" s="268">
        <v>6.1800000000000001E-2</v>
      </c>
      <c r="H40" s="268"/>
    </row>
    <row r="41" spans="1:10" ht="15.75" x14ac:dyDescent="0.25">
      <c r="A41" s="275" t="s">
        <v>529</v>
      </c>
      <c r="B41" s="276">
        <f>SUM('[5]ARQ. PAV'!M6:N6)</f>
        <v>700.13</v>
      </c>
      <c r="C41" s="277">
        <f>B41/SUM($B$37:$B$46)*$B$36</f>
        <v>3.6595914991145945E-3</v>
      </c>
      <c r="D41" s="278">
        <f t="shared" si="5"/>
        <v>34065.616573647138</v>
      </c>
      <c r="E41" s="279"/>
      <c r="G41" s="268">
        <v>0.3</v>
      </c>
      <c r="H41" s="268"/>
    </row>
    <row r="42" spans="1:10" ht="15.75" x14ac:dyDescent="0.25">
      <c r="A42" s="275" t="s">
        <v>530</v>
      </c>
      <c r="B42" s="276">
        <f>SUM('[5]ARQ. PAV'!M7:N7)</f>
        <v>1499.04</v>
      </c>
      <c r="C42" s="277">
        <f t="shared" ref="C42:C45" si="6">B42/SUM($B$37:$B$46)*$B$36</f>
        <v>7.8355077497503905E-3</v>
      </c>
      <c r="D42" s="278">
        <f t="shared" si="5"/>
        <v>72937.485707739994</v>
      </c>
      <c r="E42" s="279"/>
      <c r="H42" s="268"/>
    </row>
    <row r="43" spans="1:10" ht="15.75" x14ac:dyDescent="0.25">
      <c r="A43" s="275" t="s">
        <v>531</v>
      </c>
      <c r="B43" s="276">
        <f>SUM('[5]ARQ. PAV'!M8:N8)</f>
        <v>16450.48</v>
      </c>
      <c r="C43" s="277">
        <f t="shared" si="6"/>
        <v>8.5986940660098335E-2</v>
      </c>
      <c r="D43" s="278">
        <f t="shared" si="5"/>
        <v>800416.69994493981</v>
      </c>
      <c r="E43" s="279"/>
      <c r="H43" s="268"/>
    </row>
    <row r="44" spans="1:10" ht="15.75" x14ac:dyDescent="0.25">
      <c r="A44" s="275" t="s">
        <v>532</v>
      </c>
      <c r="B44" s="276">
        <f>SUM('[5]ARQ. PAV'!M9:N9)</f>
        <v>1500.3700000000001</v>
      </c>
      <c r="C44" s="277">
        <f t="shared" si="6"/>
        <v>7.8424596825254801E-3</v>
      </c>
      <c r="D44" s="278">
        <f t="shared" si="5"/>
        <v>73002.198361165734</v>
      </c>
      <c r="E44" s="279"/>
      <c r="H44" s="268"/>
    </row>
    <row r="45" spans="1:10" ht="15.75" x14ac:dyDescent="0.25">
      <c r="A45" s="275" t="s">
        <v>533</v>
      </c>
      <c r="B45" s="276">
        <f>SUM('[5]ARQ. PAV'!M10:N10)</f>
        <v>936.31</v>
      </c>
      <c r="C45" s="277">
        <f t="shared" si="6"/>
        <v>4.8941084034907593E-3</v>
      </c>
      <c r="D45" s="278">
        <f t="shared" si="5"/>
        <v>45557.221450404279</v>
      </c>
      <c r="E45" s="279"/>
      <c r="H45" s="268"/>
    </row>
    <row r="46" spans="1:10" ht="15.75" x14ac:dyDescent="0.25">
      <c r="A46" s="295" t="s">
        <v>534</v>
      </c>
      <c r="B46" s="296">
        <f>SUM('[5]ARQ. PAV'!M11:N11)</f>
        <v>383.27000000000004</v>
      </c>
      <c r="C46" s="297">
        <f>B46/SUM($B$37:$B$46)*$B$36</f>
        <v>2.0033588531639134E-3</v>
      </c>
      <c r="D46" s="298">
        <f t="shared" si="5"/>
        <v>18648.435096598831</v>
      </c>
      <c r="E46" s="299"/>
      <c r="H46" s="268"/>
    </row>
    <row r="47" spans="1:10" ht="15.75" x14ac:dyDescent="0.25">
      <c r="A47" s="300" t="s">
        <v>544</v>
      </c>
      <c r="B47" s="301">
        <f>$B$35*$G$39</f>
        <v>6.4545999999999996E-3</v>
      </c>
      <c r="C47" s="302"/>
      <c r="D47" s="331">
        <f>SUM(D48:D57)</f>
        <v>60083.189282044397</v>
      </c>
      <c r="E47" s="304"/>
      <c r="G47" s="274">
        <f>D47/SUM(B48:B57)</f>
        <v>31.670904313426419</v>
      </c>
      <c r="H47" s="268" t="s">
        <v>545</v>
      </c>
      <c r="I47" s="264">
        <f>[5]Ger_Executivo!$N$198</f>
        <v>58633.586399999993</v>
      </c>
      <c r="J47" s="264">
        <f>I47-D47</f>
        <v>-1449.6028820444044</v>
      </c>
    </row>
    <row r="48" spans="1:10" ht="15.75" x14ac:dyDescent="0.25">
      <c r="A48" s="285" t="s">
        <v>525</v>
      </c>
      <c r="B48" s="286">
        <f>'[5]ARQ. PAV'!O2</f>
        <v>29.47</v>
      </c>
      <c r="C48" s="287">
        <f>B48/SUM($B$48:$B$57)*$B$47</f>
        <v>1.0026675416818212E-4</v>
      </c>
      <c r="D48" s="288">
        <f t="shared" ref="D48:D57" si="7">C48*$D$146</f>
        <v>933.34155011667667</v>
      </c>
      <c r="E48" s="289"/>
      <c r="G48" s="274"/>
    </row>
    <row r="49" spans="1:10" ht="15.75" x14ac:dyDescent="0.25">
      <c r="A49" s="275" t="s">
        <v>526</v>
      </c>
      <c r="B49" s="276">
        <f>'[5]ARQ. PAV'!O3</f>
        <v>310.42</v>
      </c>
      <c r="C49" s="277">
        <f>B49/SUM($B$48:$B$57)*$B$47</f>
        <v>1.0561522167929112E-3</v>
      </c>
      <c r="D49" s="278">
        <f t="shared" si="7"/>
        <v>9831.282116973829</v>
      </c>
      <c r="E49" s="279"/>
      <c r="G49" s="268"/>
      <c r="H49" s="268"/>
    </row>
    <row r="50" spans="1:10" ht="15.75" x14ac:dyDescent="0.25">
      <c r="A50" s="275" t="s">
        <v>527</v>
      </c>
      <c r="B50" s="276">
        <f>'[5]ARQ. PAV'!O4</f>
        <v>308.47000000000003</v>
      </c>
      <c r="C50" s="277">
        <f>B50/SUM($B$48:$B$57)*$B$47</f>
        <v>1.0495176673993602E-3</v>
      </c>
      <c r="D50" s="278">
        <f t="shared" si="7"/>
        <v>9769.5238535626504</v>
      </c>
      <c r="E50" s="279"/>
      <c r="G50" s="268"/>
      <c r="H50" s="268"/>
    </row>
    <row r="51" spans="1:10" ht="15.75" x14ac:dyDescent="0.25">
      <c r="A51" s="275" t="s">
        <v>528</v>
      </c>
      <c r="B51" s="276">
        <f>'[5]ARQ. PAV'!O5</f>
        <v>308.47000000000003</v>
      </c>
      <c r="C51" s="277">
        <f>B51/SUM($B$48:$B$57)*$B$47</f>
        <v>1.0495176673993602E-3</v>
      </c>
      <c r="D51" s="278">
        <f t="shared" si="7"/>
        <v>9769.5238535626504</v>
      </c>
      <c r="E51" s="279"/>
      <c r="G51" s="268"/>
      <c r="H51" s="268"/>
    </row>
    <row r="52" spans="1:10" ht="15.75" x14ac:dyDescent="0.25">
      <c r="A52" s="275" t="s">
        <v>529</v>
      </c>
      <c r="B52" s="276">
        <f>'[5]ARQ. PAV'!O6</f>
        <v>671.39</v>
      </c>
      <c r="C52" s="277">
        <f>B52/SUM($B$48:$B$57)*$B$47</f>
        <v>2.2842923678648044E-3</v>
      </c>
      <c r="D52" s="278">
        <f t="shared" si="7"/>
        <v>21263.528446991364</v>
      </c>
      <c r="E52" s="279"/>
      <c r="G52" s="268"/>
      <c r="H52" s="268"/>
    </row>
    <row r="53" spans="1:10" ht="15.75" x14ac:dyDescent="0.25">
      <c r="A53" s="275" t="s">
        <v>530</v>
      </c>
      <c r="B53" s="276">
        <f>'[5]ARQ. PAV'!O7</f>
        <v>14.89</v>
      </c>
      <c r="C53" s="277">
        <f t="shared" ref="C53:C56" si="8">B53/SUM($B$48:$B$57)*$B$47</f>
        <v>5.0660738702552821E-5</v>
      </c>
      <c r="D53" s="278">
        <f t="shared" si="7"/>
        <v>471.57976522691939</v>
      </c>
      <c r="E53" s="279"/>
      <c r="H53" s="268"/>
    </row>
    <row r="54" spans="1:10" ht="15.75" x14ac:dyDescent="0.25">
      <c r="A54" s="275" t="s">
        <v>531</v>
      </c>
      <c r="B54" s="276">
        <f>'[5]ARQ. PAV'!O8</f>
        <v>188.10000000000002</v>
      </c>
      <c r="C54" s="277">
        <f t="shared" si="8"/>
        <v>6.3997884150101994E-4</v>
      </c>
      <c r="D54" s="278">
        <f t="shared" si="7"/>
        <v>5957.2971013555107</v>
      </c>
      <c r="E54" s="279"/>
      <c r="H54" s="268"/>
    </row>
    <row r="55" spans="1:10" ht="15.75" x14ac:dyDescent="0.25">
      <c r="A55" s="275" t="s">
        <v>532</v>
      </c>
      <c r="B55" s="276">
        <f>'[5]ARQ. PAV'!O9</f>
        <v>17.02</v>
      </c>
      <c r="C55" s="277">
        <f t="shared" si="8"/>
        <v>5.7907708040124177E-5</v>
      </c>
      <c r="D55" s="278">
        <f t="shared" si="7"/>
        <v>539.03879141451762</v>
      </c>
      <c r="E55" s="279"/>
      <c r="H55" s="268"/>
    </row>
    <row r="56" spans="1:10" ht="15.75" x14ac:dyDescent="0.25">
      <c r="A56" s="275" t="s">
        <v>533</v>
      </c>
      <c r="B56" s="276">
        <f>'[5]ARQ. PAV'!O10</f>
        <v>23.69</v>
      </c>
      <c r="C56" s="277">
        <f t="shared" si="8"/>
        <v>8.0601269299091771E-5</v>
      </c>
      <c r="D56" s="278">
        <f t="shared" si="7"/>
        <v>750.28372318507195</v>
      </c>
      <c r="E56" s="279"/>
      <c r="H56" s="268"/>
    </row>
    <row r="57" spans="1:10" ht="15.75" x14ac:dyDescent="0.25">
      <c r="A57" s="295" t="s">
        <v>534</v>
      </c>
      <c r="B57" s="296">
        <f>'[5]ARQ. PAV'!O11</f>
        <v>25.19</v>
      </c>
      <c r="C57" s="297">
        <f>B57/SUM($B$48:$B$57)*$B$47</f>
        <v>8.5704768832592728E-5</v>
      </c>
      <c r="D57" s="298">
        <f t="shared" si="7"/>
        <v>797.79007965521157</v>
      </c>
      <c r="E57" s="299"/>
      <c r="H57" s="268"/>
    </row>
    <row r="58" spans="1:10" ht="15.75" x14ac:dyDescent="0.25">
      <c r="A58" s="300" t="s">
        <v>546</v>
      </c>
      <c r="B58" s="301">
        <f>$B$35*$G$40</f>
        <v>1.352184E-2</v>
      </c>
      <c r="C58" s="302"/>
      <c r="D58" s="331">
        <f>SUM(D59:D68)</f>
        <v>125869.18975018115</v>
      </c>
      <c r="E58" s="304"/>
      <c r="G58" s="274">
        <f>IFERROR(D58/SUM(B59:B68),)</f>
        <v>29.540447873853502</v>
      </c>
      <c r="H58" s="268" t="s">
        <v>547</v>
      </c>
      <c r="I58" s="264">
        <f>[5]Ger_Executivo!$N$212</f>
        <v>122832.39455999994</v>
      </c>
      <c r="J58" s="264">
        <f>I58-D58</f>
        <v>-3036.7951901812048</v>
      </c>
    </row>
    <row r="59" spans="1:10" ht="15.75" x14ac:dyDescent="0.25">
      <c r="A59" s="285" t="s">
        <v>525</v>
      </c>
      <c r="B59" s="286">
        <f>SUM('[5]ARQ. PAV'!K2:L2)+0.03</f>
        <v>25.040000000000003</v>
      </c>
      <c r="C59" s="287">
        <f t="shared" ref="C59:C68" si="9">B59/SUM($B$59:$B$68)*$B$58</f>
        <v>7.9463512160547853E-5</v>
      </c>
      <c r="D59" s="288">
        <f t="shared" ref="D59:D68" si="10">C59*$D$146</f>
        <v>739.69281476129186</v>
      </c>
      <c r="E59" s="289"/>
      <c r="G59" s="274"/>
    </row>
    <row r="60" spans="1:10" ht="15.75" x14ac:dyDescent="0.25">
      <c r="A60" s="275" t="s">
        <v>526</v>
      </c>
      <c r="B60" s="276">
        <f>SUM('[5]ARQ. PAV'!K3:L3)</f>
        <v>978.39</v>
      </c>
      <c r="C60" s="277">
        <f t="shared" si="9"/>
        <v>3.1048844114520131E-3</v>
      </c>
      <c r="D60" s="278">
        <f t="shared" si="10"/>
        <v>28902.078795299531</v>
      </c>
      <c r="E60" s="279"/>
      <c r="G60" s="268"/>
      <c r="H60" s="268"/>
    </row>
    <row r="61" spans="1:10" ht="15.75" x14ac:dyDescent="0.25">
      <c r="A61" s="275" t="s">
        <v>527</v>
      </c>
      <c r="B61" s="276">
        <f>SUM('[5]ARQ. PAV'!K4:L4)</f>
        <v>980.76</v>
      </c>
      <c r="C61" s="277">
        <f t="shared" si="9"/>
        <v>3.1124055186333432E-3</v>
      </c>
      <c r="D61" s="278">
        <f t="shared" si="10"/>
        <v>28972.089656760567</v>
      </c>
      <c r="E61" s="279"/>
      <c r="G61" s="268"/>
      <c r="H61" s="268"/>
    </row>
    <row r="62" spans="1:10" ht="15.75" x14ac:dyDescent="0.25">
      <c r="A62" s="275" t="s">
        <v>528</v>
      </c>
      <c r="B62" s="276">
        <f>SUM('[5]ARQ. PAV'!K5:L5)</f>
        <v>1035.21</v>
      </c>
      <c r="C62" s="277">
        <f t="shared" si="9"/>
        <v>3.2852005760271863E-3</v>
      </c>
      <c r="D62" s="278">
        <f t="shared" si="10"/>
        <v>30580.56704349189</v>
      </c>
      <c r="E62" s="279"/>
      <c r="G62" s="268"/>
      <c r="H62" s="268"/>
    </row>
    <row r="63" spans="1:10" ht="15.75" x14ac:dyDescent="0.25">
      <c r="A63" s="275" t="s">
        <v>529</v>
      </c>
      <c r="B63" s="276">
        <f>SUM('[5]ARQ. PAV'!K6:L6)</f>
        <v>980.81</v>
      </c>
      <c r="C63" s="277">
        <f t="shared" si="9"/>
        <v>3.1125641917806282E-3</v>
      </c>
      <c r="D63" s="278">
        <f t="shared" si="10"/>
        <v>28973.566679154254</v>
      </c>
      <c r="E63" s="279"/>
      <c r="G63" s="268"/>
      <c r="H63" s="268"/>
    </row>
    <row r="64" spans="1:10" ht="15.75" x14ac:dyDescent="0.25">
      <c r="A64" s="275" t="s">
        <v>530</v>
      </c>
      <c r="B64" s="276">
        <f>SUM('[5]ARQ. PAV'!K7:L7)</f>
        <v>13.07</v>
      </c>
      <c r="C64" s="277">
        <f t="shared" si="9"/>
        <v>4.147716070041376E-5</v>
      </c>
      <c r="D64" s="278">
        <f t="shared" si="10"/>
        <v>386.0936537112654</v>
      </c>
      <c r="E64" s="279"/>
      <c r="H64" s="268"/>
    </row>
    <row r="65" spans="1:10" ht="15.75" x14ac:dyDescent="0.25">
      <c r="A65" s="275" t="s">
        <v>531</v>
      </c>
      <c r="B65" s="276">
        <f>SUM('[5]ARQ. PAV'!K8:L8)</f>
        <v>143.61999999999998</v>
      </c>
      <c r="C65" s="277">
        <f t="shared" si="9"/>
        <v>4.5577274826269493E-4</v>
      </c>
      <c r="D65" s="278">
        <f t="shared" si="10"/>
        <v>4242.5991236428399</v>
      </c>
      <c r="E65" s="279"/>
      <c r="H65" s="268"/>
    </row>
    <row r="66" spans="1:10" ht="15.75" x14ac:dyDescent="0.25">
      <c r="A66" s="275" t="s">
        <v>532</v>
      </c>
      <c r="B66" s="276">
        <f>SUM('[5]ARQ. PAV'!K9:L9)</f>
        <v>13.07</v>
      </c>
      <c r="C66" s="277">
        <f t="shared" si="9"/>
        <v>4.147716070041376E-5</v>
      </c>
      <c r="D66" s="278">
        <f t="shared" si="10"/>
        <v>386.0936537112654</v>
      </c>
      <c r="E66" s="279"/>
      <c r="H66" s="268"/>
    </row>
    <row r="67" spans="1:10" ht="15.75" x14ac:dyDescent="0.25">
      <c r="A67" s="275" t="s">
        <v>533</v>
      </c>
      <c r="B67" s="276">
        <f>SUM('[5]ARQ. PAV'!K10:L10)</f>
        <v>10.59</v>
      </c>
      <c r="C67" s="277">
        <f t="shared" si="9"/>
        <v>3.3606972595055975E-5</v>
      </c>
      <c r="D67" s="278">
        <f t="shared" si="10"/>
        <v>312.83334298410858</v>
      </c>
      <c r="E67" s="279"/>
      <c r="H67" s="268"/>
    </row>
    <row r="68" spans="1:10" ht="15.75" x14ac:dyDescent="0.25">
      <c r="A68" s="295" t="s">
        <v>534</v>
      </c>
      <c r="B68" s="296">
        <f>SUM('[5]ARQ. PAV'!K11:L11)</f>
        <v>80.349999999999994</v>
      </c>
      <c r="C68" s="297">
        <f t="shared" si="9"/>
        <v>2.5498774768770047E-4</v>
      </c>
      <c r="D68" s="298">
        <f t="shared" si="10"/>
        <v>2373.574986664129</v>
      </c>
      <c r="E68" s="299"/>
      <c r="H68" s="268"/>
    </row>
    <row r="69" spans="1:10" ht="15.75" x14ac:dyDescent="0.25">
      <c r="A69" s="300" t="s">
        <v>548</v>
      </c>
      <c r="B69" s="301">
        <f>$B$35*$G$41</f>
        <v>6.563999999999999E-2</v>
      </c>
      <c r="C69" s="302"/>
      <c r="D69" s="331">
        <f>SUM(D70:D79)</f>
        <v>611015.48422418034</v>
      </c>
      <c r="E69" s="304"/>
      <c r="G69" s="274">
        <f>D69/SUM(B70:B79)</f>
        <v>58.587050789580054</v>
      </c>
      <c r="H69" s="268" t="s">
        <v>549</v>
      </c>
      <c r="I69" s="264">
        <f>[5]Ger_Executivo!N244</f>
        <v>477155.53842459491</v>
      </c>
      <c r="J69" s="264">
        <f>SUM(I69:I72)-D69</f>
        <v>-14761.163229357102</v>
      </c>
    </row>
    <row r="70" spans="1:10" ht="15.75" x14ac:dyDescent="0.25">
      <c r="A70" s="285" t="s">
        <v>525</v>
      </c>
      <c r="B70" s="286">
        <f>SUM('[5]ARQ. PAV'!U2:V2)</f>
        <v>966.49</v>
      </c>
      <c r="C70" s="287">
        <f t="shared" ref="C70:C79" si="11">B70/SUM($B$70:$B$79)*$B$69</f>
        <v>6.0829655610838427E-3</v>
      </c>
      <c r="D70" s="288">
        <f t="shared" ref="D70:D79" si="12">C70*$D$146</f>
        <v>56623.798717621226</v>
      </c>
      <c r="E70" s="289"/>
      <c r="G70" s="274">
        <f>G69</f>
        <v>58.587050789580054</v>
      </c>
      <c r="H70" s="268" t="s">
        <v>550</v>
      </c>
      <c r="I70" s="264">
        <f>[5]Ger_Executivo!N245</f>
        <v>117354.41772333231</v>
      </c>
    </row>
    <row r="71" spans="1:10" ht="15.75" x14ac:dyDescent="0.25">
      <c r="A71" s="275" t="s">
        <v>526</v>
      </c>
      <c r="B71" s="276">
        <f>SUM('[5]ARQ. PAV'!U3:V3)</f>
        <v>32.340000000000003</v>
      </c>
      <c r="C71" s="277">
        <f t="shared" si="11"/>
        <v>2.0354386102851711E-4</v>
      </c>
      <c r="D71" s="278">
        <f t="shared" si="12"/>
        <v>1894.7052225350192</v>
      </c>
      <c r="E71" s="279"/>
      <c r="G71" s="268">
        <f>G70</f>
        <v>58.587050789580054</v>
      </c>
      <c r="H71" s="268" t="s">
        <v>551</v>
      </c>
      <c r="I71" s="264">
        <f>[5]Ger_Executivo!N246</f>
        <v>1082.8669354379394</v>
      </c>
    </row>
    <row r="72" spans="1:10" ht="15.75" x14ac:dyDescent="0.25">
      <c r="A72" s="275" t="s">
        <v>527</v>
      </c>
      <c r="B72" s="276">
        <f>SUM('[5]ARQ. PAV'!U4:V4)</f>
        <v>21.36</v>
      </c>
      <c r="C72" s="277">
        <f t="shared" si="11"/>
        <v>1.3443713270158084E-4</v>
      </c>
      <c r="D72" s="278">
        <f t="shared" si="12"/>
        <v>1251.4194048654299</v>
      </c>
      <c r="E72" s="279"/>
      <c r="G72" s="268">
        <f>G71</f>
        <v>58.587050789580054</v>
      </c>
      <c r="H72" s="268" t="s">
        <v>552</v>
      </c>
      <c r="I72" s="264">
        <f>[5]Ger_Executivo!N247</f>
        <v>661.49791145812878</v>
      </c>
    </row>
    <row r="73" spans="1:10" ht="15.75" x14ac:dyDescent="0.25">
      <c r="A73" s="275" t="s">
        <v>528</v>
      </c>
      <c r="B73" s="276">
        <f>SUM('[5]ARQ. PAV'!U5:V5)</f>
        <v>21.36</v>
      </c>
      <c r="C73" s="277">
        <f t="shared" si="11"/>
        <v>1.3443713270158084E-4</v>
      </c>
      <c r="D73" s="278">
        <f t="shared" si="12"/>
        <v>1251.4194048654299</v>
      </c>
      <c r="E73" s="279"/>
      <c r="G73" s="268"/>
      <c r="H73" s="268"/>
    </row>
    <row r="74" spans="1:10" ht="15.75" x14ac:dyDescent="0.25">
      <c r="A74" s="275" t="s">
        <v>529</v>
      </c>
      <c r="B74" s="276">
        <f>SUM('[5]ARQ. PAV'!U6:V6)</f>
        <v>10.51</v>
      </c>
      <c r="C74" s="277">
        <f t="shared" si="11"/>
        <v>6.6148607897641138E-5</v>
      </c>
      <c r="D74" s="278">
        <f t="shared" si="12"/>
        <v>615.74990379848634</v>
      </c>
      <c r="E74" s="279"/>
      <c r="G74" s="268"/>
      <c r="H74" s="268"/>
    </row>
    <row r="75" spans="1:10" ht="15.75" x14ac:dyDescent="0.25">
      <c r="A75" s="275" t="s">
        <v>530</v>
      </c>
      <c r="B75" s="276">
        <f>SUM('[5]ARQ. PAV'!U7:V7)</f>
        <v>661.41</v>
      </c>
      <c r="C75" s="277">
        <f t="shared" si="11"/>
        <v>4.1628307088086413E-3</v>
      </c>
      <c r="D75" s="278">
        <f t="shared" si="12"/>
        <v>38750.061262736141</v>
      </c>
      <c r="E75" s="279"/>
      <c r="H75" s="268"/>
    </row>
    <row r="76" spans="1:10" ht="15.75" x14ac:dyDescent="0.25">
      <c r="A76" s="275" t="s">
        <v>531</v>
      </c>
      <c r="B76" s="276">
        <f>SUM('[5]ARQ. PAV'!U8:V8)</f>
        <v>7029.2699999999986</v>
      </c>
      <c r="C76" s="277">
        <f t="shared" si="11"/>
        <v>4.4241334446874586E-2</v>
      </c>
      <c r="D76" s="278">
        <f t="shared" si="12"/>
        <v>411824.19850367133</v>
      </c>
      <c r="E76" s="279"/>
      <c r="H76" s="268"/>
    </row>
    <row r="77" spans="1:10" ht="15.75" x14ac:dyDescent="0.25">
      <c r="A77" s="275" t="s">
        <v>532</v>
      </c>
      <c r="B77" s="276">
        <f>SUM('[5]ARQ. PAV'!U9:V9)</f>
        <v>649.1099999999999</v>
      </c>
      <c r="C77" s="277">
        <f t="shared" si="11"/>
        <v>4.0854160677866631E-3</v>
      </c>
      <c r="D77" s="278">
        <f t="shared" si="12"/>
        <v>38029.440538024297</v>
      </c>
      <c r="E77" s="279"/>
      <c r="H77" s="268"/>
    </row>
    <row r="78" spans="1:10" ht="15.75" x14ac:dyDescent="0.25">
      <c r="A78" s="275" t="s">
        <v>533</v>
      </c>
      <c r="B78" s="276">
        <f>SUM('[5]ARQ. PAV'!U10:V10)</f>
        <v>653.79000000000008</v>
      </c>
      <c r="C78" s="277">
        <f t="shared" si="11"/>
        <v>4.1148713946145389E-3</v>
      </c>
      <c r="D78" s="278">
        <f t="shared" si="12"/>
        <v>38303.627935719545</v>
      </c>
      <c r="E78" s="279"/>
      <c r="H78" s="268"/>
    </row>
    <row r="79" spans="1:10" ht="15.75" x14ac:dyDescent="0.25">
      <c r="A79" s="275" t="s">
        <v>534</v>
      </c>
      <c r="B79" s="276">
        <f>SUM('[5]ARQ. PAV'!U11:V11)</f>
        <v>383.55000000000007</v>
      </c>
      <c r="C79" s="305">
        <f t="shared" si="11"/>
        <v>2.4140150865024036E-3</v>
      </c>
      <c r="D79" s="306">
        <f t="shared" si="12"/>
        <v>22471.063330343433</v>
      </c>
      <c r="E79" s="307"/>
      <c r="H79" s="268"/>
    </row>
    <row r="80" spans="1:10" ht="15.75" x14ac:dyDescent="0.25">
      <c r="A80" s="270" t="s">
        <v>553</v>
      </c>
      <c r="B80" s="271">
        <v>7.4999999999999997E-2</v>
      </c>
      <c r="C80" s="272">
        <f>B80+C35</f>
        <v>0.83</v>
      </c>
      <c r="D80" s="329">
        <f>B80*$D$146</f>
        <v>698143.83480824996</v>
      </c>
      <c r="E80" s="273">
        <f>C80*$E$146</f>
        <v>7726125.1052112998</v>
      </c>
      <c r="G80" s="274"/>
      <c r="H80" s="268"/>
    </row>
    <row r="81" spans="1:10" ht="15.75" x14ac:dyDescent="0.25">
      <c r="A81" s="285" t="s">
        <v>554</v>
      </c>
      <c r="B81" s="286">
        <f>[5]Ger_Executivo!$L$359</f>
        <v>8753.81</v>
      </c>
      <c r="C81" s="288">
        <f>B80</f>
        <v>7.4999999999999997E-2</v>
      </c>
      <c r="D81" s="288">
        <f>C81*$D$146</f>
        <v>698143.83480824996</v>
      </c>
      <c r="E81" s="289"/>
      <c r="G81" s="268">
        <f>D81/B81</f>
        <v>79.753140039394282</v>
      </c>
      <c r="H81" s="268" t="s">
        <v>555</v>
      </c>
      <c r="I81" s="264">
        <f>[5]Ger_Executivo!$N$359</f>
        <v>681300</v>
      </c>
      <c r="J81" s="264">
        <f>SUM(I81)-D81</f>
        <v>-16843.834808249958</v>
      </c>
    </row>
    <row r="82" spans="1:10" ht="15.75" x14ac:dyDescent="0.25">
      <c r="A82" s="270" t="s">
        <v>556</v>
      </c>
      <c r="B82" s="271">
        <v>8.9999999999999993E-3</v>
      </c>
      <c r="C82" s="272">
        <f>B82+C80</f>
        <v>0.83899999999999997</v>
      </c>
      <c r="D82" s="329">
        <f>B82*$D$146</f>
        <v>83777.260176989992</v>
      </c>
      <c r="E82" s="273">
        <f>C82*$E$146</f>
        <v>7809902.36538829</v>
      </c>
      <c r="G82" s="274"/>
    </row>
    <row r="83" spans="1:10" ht="15.75" x14ac:dyDescent="0.25">
      <c r="A83" s="285" t="s">
        <v>556</v>
      </c>
      <c r="B83" s="286">
        <v>212.52</v>
      </c>
      <c r="C83" s="288">
        <f>B82</f>
        <v>8.9999999999999993E-3</v>
      </c>
      <c r="D83" s="288">
        <f>C83*$D$146</f>
        <v>83777.260176989992</v>
      </c>
      <c r="E83" s="289"/>
      <c r="G83" s="268">
        <f>D83/B83</f>
        <v>394.20882823729528</v>
      </c>
      <c r="H83" s="268" t="s">
        <v>557</v>
      </c>
      <c r="I83" s="264">
        <f>[5]Ger_Executivo!$N$336</f>
        <v>81756</v>
      </c>
      <c r="J83" s="264">
        <f>SUM(I83)-D83</f>
        <v>-2021.260176989992</v>
      </c>
    </row>
    <row r="84" spans="1:10" ht="15.75" x14ac:dyDescent="0.25">
      <c r="A84" s="270" t="s">
        <v>558</v>
      </c>
      <c r="B84" s="271">
        <v>0.122</v>
      </c>
      <c r="C84" s="272">
        <f>B84+C82</f>
        <v>0.96099999999999997</v>
      </c>
      <c r="D84" s="329">
        <f>B84*$D$146</f>
        <v>1135647.3046214199</v>
      </c>
      <c r="E84" s="273">
        <f>C84*$E$146</f>
        <v>8945549.6700097099</v>
      </c>
      <c r="G84" s="268"/>
      <c r="H84" s="268"/>
      <c r="J84" s="264">
        <f>D84-SUM(I85:I139)</f>
        <v>27399.618271961808</v>
      </c>
    </row>
    <row r="85" spans="1:10" ht="15.75" x14ac:dyDescent="0.25">
      <c r="A85" s="290" t="s">
        <v>559</v>
      </c>
      <c r="B85" s="308">
        <f>B84*G88</f>
        <v>7.9299999999999998E-4</v>
      </c>
      <c r="C85" s="292"/>
      <c r="D85" s="293">
        <f>SUM(D86:D95)</f>
        <v>7381.7074800392293</v>
      </c>
      <c r="E85" s="294"/>
      <c r="G85" s="274">
        <f>D85/SUM(B86:B95)</f>
        <v>32.140494971216221</v>
      </c>
      <c r="H85" s="268" t="str">
        <f>[5]Ger_Executivo!$J$202</f>
        <v>Mão de obra para colocação de peitoril e pingadeira</v>
      </c>
      <c r="I85" s="264">
        <f>[5]Ger_Executivo!$N$202</f>
        <v>7203.2983494579157</v>
      </c>
      <c r="J85" s="264">
        <f>I85-D85</f>
        <v>-178.40913058131355</v>
      </c>
    </row>
    <row r="86" spans="1:10" ht="15.75" x14ac:dyDescent="0.25">
      <c r="A86" s="285" t="s">
        <v>525</v>
      </c>
      <c r="B86" s="286">
        <f>'[5]ARQ. PAV'!S2</f>
        <v>23.52</v>
      </c>
      <c r="C86" s="309">
        <f t="shared" ref="C86:C95" si="13">B86/SUM($B$86:$B$95)*$B$85</f>
        <v>8.1209387381895755E-5</v>
      </c>
      <c r="D86" s="288">
        <f t="shared" ref="D86:D95" si="14">C86*$D$146</f>
        <v>755.94444172300553</v>
      </c>
      <c r="E86" s="289"/>
      <c r="G86" s="268"/>
      <c r="H86" s="268"/>
    </row>
    <row r="87" spans="1:10" ht="15.75" x14ac:dyDescent="0.25">
      <c r="A87" s="275" t="s">
        <v>526</v>
      </c>
      <c r="B87" s="276">
        <f>'[5]ARQ. PAV'!S3</f>
        <v>14.25</v>
      </c>
      <c r="C87" s="310">
        <f t="shared" si="13"/>
        <v>4.9202116079592452E-5</v>
      </c>
      <c r="D87" s="278">
        <f t="shared" si="14"/>
        <v>458.00205333983109</v>
      </c>
      <c r="E87" s="279"/>
      <c r="G87" s="268"/>
    </row>
    <row r="88" spans="1:10" ht="15.75" x14ac:dyDescent="0.25">
      <c r="A88" s="275" t="s">
        <v>527</v>
      </c>
      <c r="B88" s="276">
        <f>'[5]ARQ. PAV'!S4</f>
        <v>14.38</v>
      </c>
      <c r="C88" s="310">
        <f t="shared" si="13"/>
        <v>4.9650977489441373E-5</v>
      </c>
      <c r="D88" s="278">
        <f t="shared" si="14"/>
        <v>462.18031768608932</v>
      </c>
      <c r="E88" s="279"/>
      <c r="G88" s="268">
        <v>6.4999999999999997E-3</v>
      </c>
      <c r="H88" s="268"/>
    </row>
    <row r="89" spans="1:10" ht="15.75" x14ac:dyDescent="0.25">
      <c r="A89" s="275" t="s">
        <v>528</v>
      </c>
      <c r="B89" s="276">
        <f>'[5]ARQ. PAV'!S5</f>
        <v>14.38</v>
      </c>
      <c r="C89" s="310">
        <f t="shared" si="13"/>
        <v>4.9650977489441373E-5</v>
      </c>
      <c r="D89" s="278">
        <f t="shared" si="14"/>
        <v>462.18031768608932</v>
      </c>
      <c r="E89" s="279"/>
      <c r="G89" s="268">
        <f>0.268</f>
        <v>0.26800000000000002</v>
      </c>
      <c r="H89" s="268"/>
    </row>
    <row r="90" spans="1:10" ht="15.75" x14ac:dyDescent="0.25">
      <c r="A90" s="275" t="s">
        <v>529</v>
      </c>
      <c r="B90" s="276">
        <f>'[5]ARQ. PAV'!S6</f>
        <v>14.29</v>
      </c>
      <c r="C90" s="311">
        <f t="shared" si="13"/>
        <v>4.9340227282622883E-5</v>
      </c>
      <c r="D90" s="298">
        <f t="shared" si="14"/>
        <v>459.28767313867974</v>
      </c>
      <c r="E90" s="299"/>
      <c r="G90" s="268">
        <v>4.6999999999999999E-4</v>
      </c>
      <c r="H90" s="268"/>
    </row>
    <row r="91" spans="1:10" ht="15.75" x14ac:dyDescent="0.25">
      <c r="A91" s="275" t="s">
        <v>530</v>
      </c>
      <c r="B91" s="276">
        <f>'[5]ARQ. PAV'!S7</f>
        <v>11.15</v>
      </c>
      <c r="C91" s="311">
        <f t="shared" si="13"/>
        <v>3.8498497844733743E-5</v>
      </c>
      <c r="D91" s="298">
        <f t="shared" si="14"/>
        <v>358.36651892906082</v>
      </c>
      <c r="E91" s="299"/>
      <c r="G91" s="268">
        <v>0.71499999999999997</v>
      </c>
      <c r="H91" s="268"/>
    </row>
    <row r="92" spans="1:10" ht="15.75" x14ac:dyDescent="0.25">
      <c r="A92" s="275" t="s">
        <v>531</v>
      </c>
      <c r="B92" s="276">
        <f>'[5]ARQ. PAV'!S8</f>
        <v>122.7</v>
      </c>
      <c r="C92" s="311">
        <f t="shared" si="13"/>
        <v>4.2365611529585919E-4</v>
      </c>
      <c r="D92" s="298">
        <f t="shared" si="14"/>
        <v>3943.6387329682298</v>
      </c>
      <c r="E92" s="299"/>
      <c r="G92" s="268">
        <f>1-SUM(G88:G91)</f>
        <v>1.0029999999999983E-2</v>
      </c>
      <c r="H92" s="268"/>
    </row>
    <row r="93" spans="1:10" ht="15.75" x14ac:dyDescent="0.25">
      <c r="A93" s="275" t="s">
        <v>532</v>
      </c>
      <c r="B93" s="276">
        <f>'[5]ARQ. PAV'!S9</f>
        <v>11.15</v>
      </c>
      <c r="C93" s="311">
        <f t="shared" si="13"/>
        <v>3.8498497844733743E-5</v>
      </c>
      <c r="D93" s="298">
        <f t="shared" si="14"/>
        <v>358.36651892906082</v>
      </c>
      <c r="E93" s="299"/>
      <c r="G93" s="268"/>
      <c r="H93" s="268"/>
    </row>
    <row r="94" spans="1:10" ht="15.75" x14ac:dyDescent="0.25">
      <c r="A94" s="275" t="s">
        <v>533</v>
      </c>
      <c r="B94" s="276">
        <f>'[5]ARQ. PAV'!S10</f>
        <v>3.85</v>
      </c>
      <c r="C94" s="311">
        <f t="shared" si="13"/>
        <v>1.3293203291679365E-5</v>
      </c>
      <c r="D94" s="298">
        <f t="shared" si="14"/>
        <v>123.74090563918244</v>
      </c>
      <c r="E94" s="299"/>
      <c r="G94" s="268"/>
      <c r="H94" s="268"/>
    </row>
    <row r="95" spans="1:10" ht="15.75" x14ac:dyDescent="0.25">
      <c r="A95" s="295" t="s">
        <v>534</v>
      </c>
      <c r="B95" s="296">
        <f>'[5]ARQ. PAV'!S11</f>
        <v>0</v>
      </c>
      <c r="C95" s="311">
        <f t="shared" si="13"/>
        <v>0</v>
      </c>
      <c r="D95" s="298">
        <f t="shared" si="14"/>
        <v>0</v>
      </c>
      <c r="E95" s="299"/>
      <c r="G95" s="268"/>
      <c r="H95" s="268"/>
    </row>
    <row r="96" spans="1:10" ht="15.75" x14ac:dyDescent="0.25">
      <c r="A96" s="300" t="s">
        <v>560</v>
      </c>
      <c r="B96" s="312">
        <f>B84*G89</f>
        <v>3.2696000000000003E-2</v>
      </c>
      <c r="C96" s="302"/>
      <c r="D96" s="303">
        <f>SUM(D97:D106)</f>
        <v>304353.47763854056</v>
      </c>
      <c r="E96" s="304"/>
      <c r="G96" s="274">
        <f>D96/SUM(B97:B106)</f>
        <v>157.67812873068385</v>
      </c>
      <c r="H96" s="268" t="s">
        <v>561</v>
      </c>
      <c r="I96" s="264">
        <f>[5]Ger_Executivo!N199</f>
        <v>280113.57190902595</v>
      </c>
      <c r="J96" s="264">
        <f>SUM(I96:I98)-D96</f>
        <v>-7343.0136385405203</v>
      </c>
    </row>
    <row r="97" spans="1:11" ht="15.75" x14ac:dyDescent="0.25">
      <c r="A97" s="285" t="s">
        <v>525</v>
      </c>
      <c r="B97" s="286">
        <f>SUM('[5]ARQ. PAV'!P2:R2)</f>
        <v>147.01</v>
      </c>
      <c r="C97" s="309">
        <f>B97/SUM($B$97:$B$106)*$B$96</f>
        <v>2.4902026504750757E-3</v>
      </c>
      <c r="D97" s="288">
        <f t="shared" ref="D97:D106" si="15">C97*$D$146</f>
        <v>23180.261704697834</v>
      </c>
      <c r="E97" s="289"/>
      <c r="G97" s="268">
        <f>G96</f>
        <v>157.67812873068385</v>
      </c>
      <c r="H97" s="268" t="s">
        <v>562</v>
      </c>
      <c r="I97" s="264">
        <f>[5]Ger_Executivo!N200</f>
        <v>4383.8671857922936</v>
      </c>
    </row>
    <row r="98" spans="1:11" ht="15.75" x14ac:dyDescent="0.25">
      <c r="A98" s="275" t="s">
        <v>526</v>
      </c>
      <c r="B98" s="276">
        <f>SUM('[5]ARQ. PAV'!P3:R3)</f>
        <v>0</v>
      </c>
      <c r="C98" s="310">
        <f>B98/SUM($B$97:$B$106)*$B$96</f>
        <v>0</v>
      </c>
      <c r="D98" s="278">
        <f t="shared" si="15"/>
        <v>0</v>
      </c>
      <c r="E98" s="279"/>
      <c r="G98" s="268"/>
      <c r="H98" s="268" t="s">
        <v>563</v>
      </c>
      <c r="I98" s="264">
        <f>[5]Ger_Executivo!N201</f>
        <v>12513.024905181795</v>
      </c>
    </row>
    <row r="99" spans="1:11" ht="15.75" x14ac:dyDescent="0.25">
      <c r="A99" s="275" t="s">
        <v>527</v>
      </c>
      <c r="B99" s="276">
        <f>SUM('[5]ARQ. PAV'!P4:R4)</f>
        <v>0</v>
      </c>
      <c r="C99" s="310">
        <f t="shared" ref="C99:C106" si="16">B99/SUM($B$97:$B$106)*$B$96</f>
        <v>0</v>
      </c>
      <c r="D99" s="278">
        <f t="shared" si="15"/>
        <v>0</v>
      </c>
      <c r="E99" s="279"/>
      <c r="G99" s="268"/>
      <c r="H99" s="268"/>
    </row>
    <row r="100" spans="1:11" ht="15.75" x14ac:dyDescent="0.25">
      <c r="A100" s="275" t="s">
        <v>528</v>
      </c>
      <c r="B100" s="276">
        <f>SUM('[5]ARQ. PAV'!P5:R5)</f>
        <v>0</v>
      </c>
      <c r="C100" s="310">
        <f>B100/SUM($B$97:$B$106)*$B$96</f>
        <v>0</v>
      </c>
      <c r="D100" s="278">
        <f t="shared" si="15"/>
        <v>0</v>
      </c>
      <c r="E100" s="279"/>
      <c r="G100" s="268"/>
      <c r="H100" s="268"/>
    </row>
    <row r="101" spans="1:11" ht="15.75" x14ac:dyDescent="0.25">
      <c r="A101" s="275" t="s">
        <v>529</v>
      </c>
      <c r="B101" s="276">
        <f>SUM('[5]ARQ. PAV'!P6:R6)</f>
        <v>0</v>
      </c>
      <c r="C101" s="311">
        <f t="shared" si="16"/>
        <v>0</v>
      </c>
      <c r="D101" s="298">
        <f t="shared" si="15"/>
        <v>0</v>
      </c>
      <c r="E101" s="299"/>
      <c r="G101" s="268"/>
      <c r="H101" s="268"/>
    </row>
    <row r="102" spans="1:11" ht="15.75" x14ac:dyDescent="0.25">
      <c r="A102" s="275" t="s">
        <v>530</v>
      </c>
      <c r="B102" s="276">
        <f>SUM('[5]ARQ. PAV'!P7:R7)</f>
        <v>119.22</v>
      </c>
      <c r="C102" s="311">
        <f>B102/SUM($B$97:$B$106)*$B$96</f>
        <v>2.0194677912362324E-3</v>
      </c>
      <c r="D102" s="298">
        <f t="shared" si="15"/>
        <v>18798.386507272131</v>
      </c>
      <c r="E102" s="299"/>
      <c r="G102" s="268"/>
      <c r="H102" s="268"/>
    </row>
    <row r="103" spans="1:11" ht="15.75" x14ac:dyDescent="0.25">
      <c r="A103" s="275" t="s">
        <v>531</v>
      </c>
      <c r="B103" s="276">
        <f>SUM('[5]ARQ. PAV'!P8:R8)</f>
        <v>1309.4399999999998</v>
      </c>
      <c r="C103" s="311">
        <f t="shared" ref="C103:C104" si="17">B103/SUM($B$97:$B$106)*$B$96</f>
        <v>2.2180606480090355E-2</v>
      </c>
      <c r="D103" s="298">
        <f t="shared" si="15"/>
        <v>206470.04888510666</v>
      </c>
      <c r="E103" s="299"/>
      <c r="G103" s="268"/>
      <c r="H103" s="268"/>
    </row>
    <row r="104" spans="1:11" ht="15.75" x14ac:dyDescent="0.25">
      <c r="A104" s="275" t="s">
        <v>532</v>
      </c>
      <c r="B104" s="276">
        <f>SUM('[5]ARQ. PAV'!P9:R9)</f>
        <v>119.24</v>
      </c>
      <c r="C104" s="311">
        <f t="shared" si="17"/>
        <v>2.0198065712716687E-3</v>
      </c>
      <c r="D104" s="298">
        <f t="shared" si="15"/>
        <v>18801.540069846742</v>
      </c>
      <c r="E104" s="299"/>
      <c r="G104" s="268"/>
      <c r="H104" s="268"/>
    </row>
    <row r="105" spans="1:11" ht="15.75" x14ac:dyDescent="0.25">
      <c r="A105" s="275" t="s">
        <v>533</v>
      </c>
      <c r="B105" s="276">
        <f>SUM('[5]ARQ. PAV'!P10:R10)</f>
        <v>235.31</v>
      </c>
      <c r="C105" s="311">
        <f t="shared" si="16"/>
        <v>3.9859165069266725E-3</v>
      </c>
      <c r="D105" s="298">
        <f t="shared" si="15"/>
        <v>37103.240471617224</v>
      </c>
      <c r="E105" s="299"/>
      <c r="G105" s="268"/>
      <c r="H105" s="268"/>
    </row>
    <row r="106" spans="1:11" ht="15.75" x14ac:dyDescent="0.25">
      <c r="A106" s="295" t="s">
        <v>534</v>
      </c>
      <c r="B106" s="296">
        <f>SUM('[5]ARQ. PAV'!P11:R11)</f>
        <v>0</v>
      </c>
      <c r="C106" s="311">
        <f t="shared" si="16"/>
        <v>0</v>
      </c>
      <c r="D106" s="298">
        <f t="shared" si="15"/>
        <v>0</v>
      </c>
      <c r="E106" s="299"/>
      <c r="G106" s="268"/>
      <c r="H106" s="268"/>
    </row>
    <row r="107" spans="1:11" ht="15.75" x14ac:dyDescent="0.25">
      <c r="A107" s="300" t="s">
        <v>564</v>
      </c>
      <c r="B107" s="312">
        <f>B84*G90</f>
        <v>5.7339999999999996E-5</v>
      </c>
      <c r="C107" s="302"/>
      <c r="D107" s="303">
        <f>SUM(D108:D117)</f>
        <v>533.75423317206742</v>
      </c>
      <c r="E107" s="304"/>
      <c r="G107" s="274">
        <f>D107/SUM(B108:B117)</f>
        <v>31.620511443842851</v>
      </c>
      <c r="H107" s="268" t="s">
        <v>565</v>
      </c>
      <c r="I107" s="264">
        <f>[5]Ger_Executivo!$N$255</f>
        <v>520.87655999999981</v>
      </c>
      <c r="J107" s="264">
        <f>SUM(I107:I108)-D107</f>
        <v>-12.877673172067603</v>
      </c>
    </row>
    <row r="108" spans="1:11" ht="15.75" x14ac:dyDescent="0.25">
      <c r="A108" s="285" t="s">
        <v>525</v>
      </c>
      <c r="B108" s="286">
        <f>'[5]ARQ. PAV'!T2</f>
        <v>0.75</v>
      </c>
      <c r="C108" s="287">
        <f t="shared" ref="C108:C117" si="18">B108/SUM($B$108:$B$117)*$B$107</f>
        <v>2.5476895734597152E-6</v>
      </c>
      <c r="D108" s="288">
        <f t="shared" ref="D108:D117" si="19">C108*$D$146</f>
        <v>23.715383582882136</v>
      </c>
      <c r="E108" s="289"/>
      <c r="G108" s="268"/>
      <c r="H108" s="268"/>
      <c r="K108" s="281"/>
    </row>
    <row r="109" spans="1:11" ht="15.75" x14ac:dyDescent="0.25">
      <c r="A109" s="275" t="s">
        <v>526</v>
      </c>
      <c r="B109" s="276">
        <f>'[5]ARQ. PAV'!T3</f>
        <v>0.74</v>
      </c>
      <c r="C109" s="277">
        <f t="shared" si="18"/>
        <v>2.5137203791469188E-6</v>
      </c>
      <c r="D109" s="278">
        <f t="shared" si="19"/>
        <v>23.399178468443708</v>
      </c>
      <c r="E109" s="279"/>
      <c r="G109" s="268"/>
      <c r="K109" s="281"/>
    </row>
    <row r="110" spans="1:11" ht="15.75" x14ac:dyDescent="0.25">
      <c r="A110" s="275" t="s">
        <v>527</v>
      </c>
      <c r="B110" s="276">
        <f>'[5]ARQ. PAV'!T4</f>
        <v>0.74</v>
      </c>
      <c r="C110" s="277">
        <f t="shared" si="18"/>
        <v>2.5137203791469188E-6</v>
      </c>
      <c r="D110" s="278">
        <f t="shared" si="19"/>
        <v>23.399178468443708</v>
      </c>
      <c r="E110" s="279"/>
      <c r="G110" s="268"/>
      <c r="H110" s="268"/>
      <c r="K110" s="281"/>
    </row>
    <row r="111" spans="1:11" ht="15.75" x14ac:dyDescent="0.25">
      <c r="A111" s="275" t="s">
        <v>528</v>
      </c>
      <c r="B111" s="276">
        <f>'[5]ARQ. PAV'!T5</f>
        <v>0.72</v>
      </c>
      <c r="C111" s="277">
        <f t="shared" si="18"/>
        <v>2.4457819905213264E-6</v>
      </c>
      <c r="D111" s="278">
        <f t="shared" si="19"/>
        <v>22.766768239566851</v>
      </c>
      <c r="E111" s="279"/>
      <c r="G111" s="268"/>
      <c r="H111" s="268"/>
      <c r="K111" s="281"/>
    </row>
    <row r="112" spans="1:11" ht="15.75" x14ac:dyDescent="0.25">
      <c r="A112" s="275" t="s">
        <v>529</v>
      </c>
      <c r="B112" s="296">
        <f>'[5]ARQ. PAV'!T6</f>
        <v>0.74</v>
      </c>
      <c r="C112" s="277">
        <f t="shared" si="18"/>
        <v>2.5137203791469188E-6</v>
      </c>
      <c r="D112" s="278">
        <f t="shared" si="19"/>
        <v>23.399178468443708</v>
      </c>
      <c r="E112" s="299"/>
      <c r="G112" s="268"/>
      <c r="H112" s="268"/>
      <c r="K112" s="281"/>
    </row>
    <row r="113" spans="1:11" ht="15.75" x14ac:dyDescent="0.25">
      <c r="A113" s="275" t="s">
        <v>530</v>
      </c>
      <c r="B113" s="296">
        <f>'[5]ARQ. PAV'!T7</f>
        <v>0.72</v>
      </c>
      <c r="C113" s="277">
        <f t="shared" si="18"/>
        <v>2.4457819905213264E-6</v>
      </c>
      <c r="D113" s="278">
        <f t="shared" si="19"/>
        <v>22.766768239566851</v>
      </c>
      <c r="E113" s="299"/>
      <c r="G113" s="268"/>
      <c r="H113" s="268"/>
      <c r="K113" s="281"/>
    </row>
    <row r="114" spans="1:11" ht="15.75" x14ac:dyDescent="0.25">
      <c r="A114" s="275" t="s">
        <v>531</v>
      </c>
      <c r="B114" s="296">
        <f>'[5]ARQ. PAV'!T8</f>
        <v>8.14</v>
      </c>
      <c r="C114" s="277">
        <f t="shared" si="18"/>
        <v>2.7650924170616111E-5</v>
      </c>
      <c r="D114" s="278">
        <f t="shared" si="19"/>
        <v>257.39096315288083</v>
      </c>
      <c r="E114" s="299"/>
      <c r="G114" s="268"/>
      <c r="H114" s="268"/>
      <c r="K114" s="281"/>
    </row>
    <row r="115" spans="1:11" ht="15.75" x14ac:dyDescent="0.25">
      <c r="A115" s="275" t="s">
        <v>532</v>
      </c>
      <c r="B115" s="296">
        <f>'[5]ARQ. PAV'!T9</f>
        <v>0.74</v>
      </c>
      <c r="C115" s="277">
        <f t="shared" si="18"/>
        <v>2.5137203791469188E-6</v>
      </c>
      <c r="D115" s="278">
        <f t="shared" si="19"/>
        <v>23.399178468443708</v>
      </c>
      <c r="E115" s="299"/>
      <c r="G115" s="268"/>
      <c r="H115" s="268"/>
      <c r="K115" s="281"/>
    </row>
    <row r="116" spans="1:11" ht="15.75" x14ac:dyDescent="0.25">
      <c r="A116" s="275" t="s">
        <v>533</v>
      </c>
      <c r="B116" s="296">
        <f>'[5]ARQ. PAV'!T10</f>
        <v>3.59</v>
      </c>
      <c r="C116" s="277">
        <f t="shared" si="18"/>
        <v>1.2194940758293835E-5</v>
      </c>
      <c r="D116" s="278">
        <f t="shared" si="19"/>
        <v>113.51763608339581</v>
      </c>
      <c r="E116" s="299"/>
      <c r="G116" s="268"/>
      <c r="H116" s="268"/>
      <c r="K116" s="281"/>
    </row>
    <row r="117" spans="1:11" ht="15.75" x14ac:dyDescent="0.25">
      <c r="A117" s="275" t="s">
        <v>534</v>
      </c>
      <c r="B117" s="313">
        <f>'[5]ARQ. PAV'!T11</f>
        <v>0</v>
      </c>
      <c r="C117" s="305">
        <f t="shared" si="18"/>
        <v>0</v>
      </c>
      <c r="D117" s="306">
        <f t="shared" si="19"/>
        <v>0</v>
      </c>
      <c r="E117" s="307"/>
      <c r="G117" s="268"/>
      <c r="H117" s="268"/>
      <c r="K117" s="281"/>
    </row>
    <row r="118" spans="1:11" ht="15.75" x14ac:dyDescent="0.25">
      <c r="A118" s="300" t="s">
        <v>566</v>
      </c>
      <c r="B118" s="312">
        <f>B84*G91</f>
        <v>8.7229999999999988E-2</v>
      </c>
      <c r="C118" s="302"/>
      <c r="D118" s="303">
        <f>SUM(D119:D128)</f>
        <v>811987.82280431513</v>
      </c>
      <c r="E118" s="304"/>
      <c r="G118" s="274">
        <f>D118/SUM(B119:B128)</f>
        <v>157.41933549516401</v>
      </c>
      <c r="H118" s="268" t="s">
        <v>567</v>
      </c>
      <c r="I118" s="264">
        <f>[5]Ger_Executivo!N248</f>
        <v>785851.51458926883</v>
      </c>
      <c r="J118" s="264">
        <f>SUM(I118:I120)-D118</f>
        <v>-19590.5028043153</v>
      </c>
    </row>
    <row r="119" spans="1:11" ht="15.75" x14ac:dyDescent="0.25">
      <c r="A119" s="285" t="s">
        <v>525</v>
      </c>
      <c r="B119" s="286">
        <f>'[5]ARQ. PAV'!W2</f>
        <v>696.56999999999994</v>
      </c>
      <c r="C119" s="287">
        <f>B119/SUM($B$119:$B$128)*$B$118</f>
        <v>1.1779834726605818E-2</v>
      </c>
      <c r="D119" s="288">
        <f t="shared" ref="D119:D128" si="20">C119*$D$146</f>
        <v>109653.5865258664</v>
      </c>
      <c r="E119" s="289"/>
      <c r="G119" s="268">
        <f>G118</f>
        <v>157.41933549516401</v>
      </c>
      <c r="H119" s="268" t="s">
        <v>562</v>
      </c>
      <c r="I119" s="264">
        <f>[5]Ger_Executivo!N249</f>
        <v>4768.4064761579793</v>
      </c>
      <c r="K119" s="281"/>
    </row>
    <row r="120" spans="1:11" ht="15.75" x14ac:dyDescent="0.25">
      <c r="A120" s="275" t="s">
        <v>526</v>
      </c>
      <c r="B120" s="276">
        <f>'[5]ARQ. PAV'!W3</f>
        <v>8.49</v>
      </c>
      <c r="C120" s="277">
        <f t="shared" ref="C120:C128" si="21">B120/SUM($B$119:$B$128)*$B$118</f>
        <v>1.4357608973812166E-4</v>
      </c>
      <c r="D120" s="278">
        <f t="shared" si="20"/>
        <v>1336.4901583539424</v>
      </c>
      <c r="E120" s="279"/>
      <c r="G120" s="268">
        <f>G119</f>
        <v>157.41933549516401</v>
      </c>
      <c r="H120" s="268" t="s">
        <v>568</v>
      </c>
      <c r="I120" s="264">
        <f>[5]Ger_Executivo!$N$250</f>
        <v>1777.3989345730613</v>
      </c>
      <c r="K120" s="281"/>
    </row>
    <row r="121" spans="1:11" ht="15.75" x14ac:dyDescent="0.25">
      <c r="A121" s="275" t="s">
        <v>527</v>
      </c>
      <c r="B121" s="276">
        <f>'[5]ARQ. PAV'!W4</f>
        <v>0</v>
      </c>
      <c r="C121" s="277">
        <f t="shared" si="21"/>
        <v>0</v>
      </c>
      <c r="D121" s="278">
        <f t="shared" si="20"/>
        <v>0</v>
      </c>
      <c r="E121" s="279"/>
      <c r="G121" s="268"/>
      <c r="H121" s="268"/>
      <c r="K121" s="281"/>
    </row>
    <row r="122" spans="1:11" ht="15.75" x14ac:dyDescent="0.25">
      <c r="A122" s="275" t="s">
        <v>528</v>
      </c>
      <c r="B122" s="276">
        <f>'[5]ARQ. PAV'!W5</f>
        <v>0</v>
      </c>
      <c r="C122" s="277">
        <f t="shared" ref="C122:C126" si="22">B122/SUM($B$119:$B$128)*$B$118</f>
        <v>0</v>
      </c>
      <c r="D122" s="278">
        <f t="shared" si="20"/>
        <v>0</v>
      </c>
      <c r="E122" s="279"/>
      <c r="G122" s="268"/>
      <c r="H122" s="268"/>
      <c r="K122" s="281"/>
    </row>
    <row r="123" spans="1:11" ht="15.75" x14ac:dyDescent="0.25">
      <c r="A123" s="275" t="s">
        <v>529</v>
      </c>
      <c r="B123" s="296">
        <f>'[5]ARQ. PAV'!W6</f>
        <v>0</v>
      </c>
      <c r="C123" s="277">
        <f t="shared" si="22"/>
        <v>0</v>
      </c>
      <c r="D123" s="278">
        <f t="shared" si="20"/>
        <v>0</v>
      </c>
      <c r="E123" s="299"/>
      <c r="G123" s="268"/>
      <c r="H123" s="268"/>
      <c r="K123" s="281"/>
    </row>
    <row r="124" spans="1:11" ht="15.75" x14ac:dyDescent="0.25">
      <c r="A124" s="275" t="s">
        <v>530</v>
      </c>
      <c r="B124" s="296">
        <f>'[5]ARQ. PAV'!W7</f>
        <v>309.11</v>
      </c>
      <c r="C124" s="277">
        <f t="shared" si="22"/>
        <v>5.2274210952827777E-3</v>
      </c>
      <c r="D124" s="278">
        <f t="shared" si="20"/>
        <v>48659.890794910141</v>
      </c>
      <c r="E124" s="299"/>
      <c r="G124" s="268"/>
      <c r="H124" s="268"/>
      <c r="K124" s="281"/>
    </row>
    <row r="125" spans="1:11" ht="15.75" x14ac:dyDescent="0.25">
      <c r="A125" s="275" t="s">
        <v>531</v>
      </c>
      <c r="B125" s="296">
        <f>'[5]ARQ. PAV'!W8</f>
        <v>3402.5999999999985</v>
      </c>
      <c r="C125" s="277">
        <f>B125/SUM($B$119:$B$128)*$B$118</f>
        <v>5.754204981659982E-2</v>
      </c>
      <c r="D125" s="278">
        <f t="shared" si="20"/>
        <v>535635.03095584479</v>
      </c>
      <c r="E125" s="299"/>
      <c r="G125" s="268"/>
      <c r="H125" s="268"/>
      <c r="K125" s="281"/>
    </row>
    <row r="126" spans="1:11" ht="15.75" x14ac:dyDescent="0.25">
      <c r="A126" s="275" t="s">
        <v>532</v>
      </c>
      <c r="B126" s="296">
        <f>'[5]ARQ. PAV'!W9</f>
        <v>297.39</v>
      </c>
      <c r="C126" s="277">
        <f t="shared" si="22"/>
        <v>5.029221828883392E-3</v>
      </c>
      <c r="D126" s="278">
        <f t="shared" si="20"/>
        <v>46814.936182906822</v>
      </c>
      <c r="E126" s="299"/>
      <c r="G126" s="268"/>
      <c r="H126" s="268"/>
      <c r="K126" s="281"/>
    </row>
    <row r="127" spans="1:11" ht="15.75" x14ac:dyDescent="0.25">
      <c r="A127" s="275" t="s">
        <v>533</v>
      </c>
      <c r="B127" s="296">
        <f>'[5]ARQ. PAV'!W10</f>
        <v>443.96</v>
      </c>
      <c r="C127" s="277">
        <f>B127/SUM($B$119:$B$128)*$B$118</f>
        <v>7.507896442890045E-3</v>
      </c>
      <c r="D127" s="278">
        <f t="shared" si="20"/>
        <v>69887.888186433003</v>
      </c>
      <c r="E127" s="299"/>
      <c r="G127" s="268"/>
      <c r="H127" s="268"/>
      <c r="K127" s="281"/>
    </row>
    <row r="128" spans="1:11" ht="15.75" x14ac:dyDescent="0.25">
      <c r="A128" s="275" t="s">
        <v>534</v>
      </c>
      <c r="B128" s="313">
        <f>'[5]ARQ. PAV'!W11</f>
        <v>0</v>
      </c>
      <c r="C128" s="305">
        <f t="shared" si="21"/>
        <v>0</v>
      </c>
      <c r="D128" s="306">
        <f t="shared" si="20"/>
        <v>0</v>
      </c>
      <c r="E128" s="307"/>
      <c r="G128" s="268"/>
      <c r="H128" s="268"/>
      <c r="K128" s="281"/>
    </row>
    <row r="129" spans="1:10" ht="15.75" x14ac:dyDescent="0.25">
      <c r="A129" s="300" t="s">
        <v>569</v>
      </c>
      <c r="B129" s="312">
        <f>B84*G92</f>
        <v>1.2236599999999979E-3</v>
      </c>
      <c r="C129" s="302"/>
      <c r="D129" s="303">
        <f>SUM(D130:D139)</f>
        <v>11390.542465352823</v>
      </c>
      <c r="E129" s="304"/>
      <c r="G129" s="274"/>
      <c r="H129" s="268"/>
      <c r="J129" s="264">
        <f>SUM(I129:I133)-D129</f>
        <v>-274.8150253528438</v>
      </c>
    </row>
    <row r="130" spans="1:10" ht="15.75" x14ac:dyDescent="0.25">
      <c r="A130" s="285" t="s">
        <v>525</v>
      </c>
      <c r="B130" s="286">
        <f>'[5]ARQ. PAV'!X2</f>
        <v>280.92</v>
      </c>
      <c r="C130" s="287">
        <f>B130/SUM($B$130:$B$139)*$B$129</f>
        <v>1.1718503006749826E-3</v>
      </c>
      <c r="D130" s="288">
        <f t="shared" ref="D130:D139" si="23">C130*$D$146</f>
        <v>10908.267503125775</v>
      </c>
      <c r="E130" s="289"/>
      <c r="G130" s="268">
        <f>D129/SUM(B130:B139)</f>
        <v>38.830512256606056</v>
      </c>
      <c r="H130" s="268" t="s">
        <v>570</v>
      </c>
      <c r="I130" s="264">
        <f>[5]Ger_Executivo!N252</f>
        <v>684.73851108201961</v>
      </c>
    </row>
    <row r="131" spans="1:10" ht="15.75" x14ac:dyDescent="0.25">
      <c r="A131" s="275" t="s">
        <v>526</v>
      </c>
      <c r="B131" s="276">
        <f>'[5]ARQ. PAV'!X3</f>
        <v>0</v>
      </c>
      <c r="C131" s="277">
        <f t="shared" ref="C131:C139" si="24">B131/SUM($B$130:$B$139)*$B$129</f>
        <v>0</v>
      </c>
      <c r="D131" s="278">
        <f t="shared" si="23"/>
        <v>0</v>
      </c>
      <c r="E131" s="279"/>
      <c r="G131" s="268"/>
      <c r="H131" s="268"/>
    </row>
    <row r="132" spans="1:10" ht="15.75" x14ac:dyDescent="0.25">
      <c r="A132" s="275" t="s">
        <v>527</v>
      </c>
      <c r="B132" s="276">
        <f>'[5]ARQ. PAV'!X4</f>
        <v>0</v>
      </c>
      <c r="C132" s="277">
        <f t="shared" si="24"/>
        <v>0</v>
      </c>
      <c r="D132" s="278">
        <f t="shared" si="23"/>
        <v>0</v>
      </c>
      <c r="E132" s="279"/>
      <c r="G132" s="268">
        <f>D129/SUM(B130:B139)</f>
        <v>38.830512256606056</v>
      </c>
      <c r="H132" s="268" t="s">
        <v>571</v>
      </c>
      <c r="I132" s="264">
        <f>[5]Ger_Executivo!N254</f>
        <v>10430.988928917959</v>
      </c>
    </row>
    <row r="133" spans="1:10" ht="15.75" x14ac:dyDescent="0.25">
      <c r="A133" s="275" t="s">
        <v>528</v>
      </c>
      <c r="B133" s="276">
        <f>'[5]ARQ. PAV'!X5</f>
        <v>0</v>
      </c>
      <c r="C133" s="277">
        <f t="shared" si="24"/>
        <v>0</v>
      </c>
      <c r="D133" s="278">
        <f t="shared" si="23"/>
        <v>0</v>
      </c>
      <c r="E133" s="279"/>
      <c r="G133" s="268"/>
      <c r="H133" s="268"/>
    </row>
    <row r="134" spans="1:10" ht="15.75" x14ac:dyDescent="0.25">
      <c r="A134" s="275" t="s">
        <v>529</v>
      </c>
      <c r="B134" s="276">
        <f>'[5]ARQ. PAV'!X6</f>
        <v>0</v>
      </c>
      <c r="C134" s="277">
        <f t="shared" si="24"/>
        <v>0</v>
      </c>
      <c r="D134" s="278">
        <f t="shared" si="23"/>
        <v>0</v>
      </c>
      <c r="E134" s="279"/>
      <c r="G134" s="268"/>
      <c r="H134" s="268"/>
    </row>
    <row r="135" spans="1:10" ht="15.75" x14ac:dyDescent="0.25">
      <c r="A135" s="275" t="s">
        <v>530</v>
      </c>
      <c r="B135" s="276">
        <f>'[5]ARQ. PAV'!X7</f>
        <v>0</v>
      </c>
      <c r="C135" s="277">
        <f t="shared" si="24"/>
        <v>0</v>
      </c>
      <c r="D135" s="278">
        <f t="shared" si="23"/>
        <v>0</v>
      </c>
      <c r="E135" s="279"/>
      <c r="G135" s="268"/>
      <c r="H135" s="268"/>
    </row>
    <row r="136" spans="1:10" ht="15.75" x14ac:dyDescent="0.25">
      <c r="A136" s="275" t="s">
        <v>531</v>
      </c>
      <c r="B136" s="276">
        <f>'[5]ARQ. PAV'!X8</f>
        <v>0</v>
      </c>
      <c r="C136" s="277">
        <f t="shared" si="24"/>
        <v>0</v>
      </c>
      <c r="D136" s="278">
        <f t="shared" si="23"/>
        <v>0</v>
      </c>
      <c r="E136" s="279"/>
      <c r="G136" s="268"/>
      <c r="H136" s="268"/>
    </row>
    <row r="137" spans="1:10" ht="15.75" x14ac:dyDescent="0.25">
      <c r="A137" s="275" t="s">
        <v>532</v>
      </c>
      <c r="B137" s="276">
        <f>'[5]ARQ. PAV'!X9</f>
        <v>0</v>
      </c>
      <c r="C137" s="277">
        <f t="shared" si="24"/>
        <v>0</v>
      </c>
      <c r="D137" s="278">
        <f t="shared" si="23"/>
        <v>0</v>
      </c>
      <c r="E137" s="279"/>
      <c r="G137" s="268"/>
      <c r="H137" s="268"/>
    </row>
    <row r="138" spans="1:10" ht="15.75" x14ac:dyDescent="0.25">
      <c r="A138" s="275" t="s">
        <v>533</v>
      </c>
      <c r="B138" s="276">
        <f>'[5]ARQ. PAV'!X10</f>
        <v>12.42</v>
      </c>
      <c r="C138" s="277">
        <f t="shared" si="24"/>
        <v>5.1809699325015246E-5</v>
      </c>
      <c r="D138" s="278">
        <f t="shared" si="23"/>
        <v>482.2749622270473</v>
      </c>
      <c r="E138" s="279"/>
      <c r="G138" s="268">
        <f>B141/SUM($B$141:$B$143)</f>
        <v>1.9435518215958809E-2</v>
      </c>
      <c r="H138" s="268"/>
    </row>
    <row r="139" spans="1:10" ht="15.75" x14ac:dyDescent="0.25">
      <c r="A139" s="275" t="s">
        <v>534</v>
      </c>
      <c r="B139" s="313">
        <f>'[5]ARQ. PAV'!X11</f>
        <v>0</v>
      </c>
      <c r="C139" s="305">
        <f t="shared" si="24"/>
        <v>0</v>
      </c>
      <c r="D139" s="306">
        <f t="shared" si="23"/>
        <v>0</v>
      </c>
      <c r="E139" s="307"/>
      <c r="G139" s="268">
        <f>B142/SUM($B$141:$B$143)</f>
        <v>0.91676023074838375</v>
      </c>
      <c r="H139" s="268"/>
    </row>
    <row r="140" spans="1:10" ht="15.75" x14ac:dyDescent="0.25">
      <c r="A140" s="270" t="s">
        <v>572</v>
      </c>
      <c r="B140" s="271">
        <v>1.6E-2</v>
      </c>
      <c r="C140" s="272">
        <f>B140+C84</f>
        <v>0.97699999999999998</v>
      </c>
      <c r="D140" s="329">
        <f>B140*$D$146</f>
        <v>148937.35142576002</v>
      </c>
      <c r="E140" s="273">
        <f>C140*$E$146</f>
        <v>9094487.0214354694</v>
      </c>
      <c r="G140" s="268">
        <f>B143/SUM($B$141:$B$143)</f>
        <v>6.3804251035657594E-2</v>
      </c>
    </row>
    <row r="141" spans="1:10" ht="15.75" x14ac:dyDescent="0.25">
      <c r="A141" s="285" t="s">
        <v>573</v>
      </c>
      <c r="B141" s="286">
        <v>15.06</v>
      </c>
      <c r="C141" s="314">
        <f>$B$140*G138</f>
        <v>3.1096829145534094E-4</v>
      </c>
      <c r="D141" s="288">
        <f>C141*$D$146</f>
        <v>2894.674606672017</v>
      </c>
      <c r="E141" s="289"/>
      <c r="G141" s="268">
        <f>D141/B141</f>
        <v>192.20946923452968</v>
      </c>
      <c r="H141" s="268" t="s">
        <v>574</v>
      </c>
      <c r="I141" s="264">
        <f>[5]Ger_Executivo!N362</f>
        <v>2824.8359595803172</v>
      </c>
      <c r="J141" s="264">
        <f>SUM(I141:I143)-D140</f>
        <v>-3593.3514257599891</v>
      </c>
    </row>
    <row r="142" spans="1:10" ht="15.75" x14ac:dyDescent="0.25">
      <c r="A142" s="285" t="s">
        <v>575</v>
      </c>
      <c r="B142" s="286">
        <v>710.37</v>
      </c>
      <c r="C142" s="314">
        <f t="shared" ref="C142:C143" si="25">$B$140*G139</f>
        <v>1.4668163691974141E-2</v>
      </c>
      <c r="D142" s="288">
        <f>C142*$D$146</f>
        <v>136539.84066013288</v>
      </c>
      <c r="E142" s="289"/>
      <c r="G142" s="268">
        <f>D142/B142</f>
        <v>192.20946923452971</v>
      </c>
      <c r="H142" s="268" t="s">
        <v>576</v>
      </c>
      <c r="I142" s="264">
        <f>[5]Ger_Executivo!N363</f>
        <v>133245.5989778931</v>
      </c>
    </row>
    <row r="143" spans="1:10" ht="15.75" x14ac:dyDescent="0.25">
      <c r="A143" s="285" t="s">
        <v>577</v>
      </c>
      <c r="B143" s="286">
        <v>49.44</v>
      </c>
      <c r="C143" s="314">
        <f t="shared" si="25"/>
        <v>1.0208680165705215E-3</v>
      </c>
      <c r="D143" s="288">
        <f>C143*$D$146</f>
        <v>9502.8361589551459</v>
      </c>
      <c r="E143" s="289"/>
      <c r="G143" s="268">
        <f>D143/B143</f>
        <v>192.20946923452965</v>
      </c>
      <c r="H143" s="268" t="s">
        <v>578</v>
      </c>
      <c r="I143" s="264">
        <f>[5]Ger_Executivo!N364</f>
        <v>9273.5650625266171</v>
      </c>
    </row>
    <row r="144" spans="1:10" ht="15.75" x14ac:dyDescent="0.25">
      <c r="A144" s="270" t="s">
        <v>276</v>
      </c>
      <c r="B144" s="271">
        <v>8.0000000000000002E-3</v>
      </c>
      <c r="C144" s="272">
        <f>B144+C139</f>
        <v>8.0000000000000002E-3</v>
      </c>
      <c r="D144" s="329">
        <f>B144*$D$146</f>
        <v>74468.675712880009</v>
      </c>
      <c r="E144" s="273">
        <f>C144*$E$146</f>
        <v>74468.675712880009</v>
      </c>
      <c r="G144" s="268">
        <f>D144</f>
        <v>74468.675712880009</v>
      </c>
      <c r="H144" s="268" t="s">
        <v>276</v>
      </c>
      <c r="I144" s="264">
        <f>[5]Ger_Executivo!$N$388</f>
        <v>72672</v>
      </c>
      <c r="J144" s="264">
        <f>SUM(I144)-D144</f>
        <v>-1796.6757128800091</v>
      </c>
    </row>
    <row r="145" spans="1:10" ht="15.75" x14ac:dyDescent="0.25">
      <c r="A145" s="270" t="s">
        <v>579</v>
      </c>
      <c r="B145" s="271">
        <v>1.4999999999999999E-2</v>
      </c>
      <c r="C145" s="272">
        <f>B145+C140</f>
        <v>0.99199999999999999</v>
      </c>
      <c r="D145" s="329">
        <f>B145*$D$146</f>
        <v>139628.76696164999</v>
      </c>
      <c r="E145" s="273">
        <f>C145*$E$146</f>
        <v>9234115.7883971203</v>
      </c>
      <c r="G145" s="268">
        <f>D145</f>
        <v>139628.76696164999</v>
      </c>
      <c r="H145" s="268" t="s">
        <v>580</v>
      </c>
      <c r="I145" s="264">
        <f>[5]Ger_Executivo!$N$389</f>
        <v>136260</v>
      </c>
      <c r="J145" s="264">
        <f>SUM(I145)-D145</f>
        <v>-3368.7669616499916</v>
      </c>
    </row>
    <row r="146" spans="1:10" ht="15.75" x14ac:dyDescent="0.25">
      <c r="A146" s="315"/>
      <c r="B146" s="315"/>
      <c r="C146" s="315"/>
      <c r="D146" s="316">
        <f>3172.087*DADOS_INICIAIS!C48</f>
        <v>9308584.4641100001</v>
      </c>
      <c r="E146" s="316">
        <f>D146</f>
        <v>9308584.4641100001</v>
      </c>
      <c r="G146" s="274"/>
      <c r="H146" s="268"/>
    </row>
    <row r="147" spans="1:10" ht="15.75" x14ac:dyDescent="0.25">
      <c r="G147" s="268"/>
      <c r="H147" s="268">
        <f>SUM(I2:I146)</f>
        <v>9083981.005503159</v>
      </c>
    </row>
    <row r="148" spans="1:10" ht="15.75" x14ac:dyDescent="0.25">
      <c r="B148" s="317">
        <v>1</v>
      </c>
      <c r="C148" s="317">
        <f>B148-C145</f>
        <v>8.0000000000000071E-3</v>
      </c>
      <c r="G148" s="274"/>
      <c r="H148" s="268">
        <f>E146-H147</f>
        <v>224603.45860684104</v>
      </c>
    </row>
    <row r="149" spans="1:10" ht="15.75" x14ac:dyDescent="0.25">
      <c r="G149" s="268"/>
      <c r="H149" s="268"/>
    </row>
    <row r="150" spans="1:10" ht="15.75" x14ac:dyDescent="0.25">
      <c r="G150" s="274"/>
      <c r="H150" s="268"/>
    </row>
  </sheetData>
  <autoFilter ref="A2:E146" xr:uid="{00000000-0009-0000-0000-000004000000}"/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B7BB-C74E-481B-9724-B93989582F70}">
  <dimension ref="A1:K35"/>
  <sheetViews>
    <sheetView showGridLines="0" topLeftCell="A20" zoomScale="85" zoomScaleNormal="85" zoomScaleSheetLayoutView="95" workbookViewId="0">
      <selection activeCell="A36" sqref="A36:F36"/>
    </sheetView>
  </sheetViews>
  <sheetFormatPr defaultColWidth="9.140625" defaultRowHeight="19.5" x14ac:dyDescent="0.25"/>
  <cols>
    <col min="1" max="1" width="53" style="45" bestFit="1" customWidth="1"/>
    <col min="2" max="3" width="27" style="45" customWidth="1"/>
    <col min="4" max="4" width="27" style="46" customWidth="1"/>
    <col min="5" max="6" width="27" style="107" customWidth="1"/>
    <col min="7" max="7" width="79.7109375" style="107" customWidth="1"/>
    <col min="8" max="16384" width="9.140625" style="1"/>
  </cols>
  <sheetData>
    <row r="1" spans="1:9" x14ac:dyDescent="0.25">
      <c r="A1" s="48"/>
      <c r="B1" s="48"/>
      <c r="C1" s="48"/>
      <c r="D1" s="51"/>
      <c r="E1" s="104"/>
      <c r="F1" s="104"/>
      <c r="G1" s="104"/>
      <c r="I1" s="2"/>
    </row>
    <row r="2" spans="1:9" ht="28.5" x14ac:dyDescent="0.25">
      <c r="A2" s="345" t="s">
        <v>121</v>
      </c>
      <c r="B2" s="346"/>
      <c r="C2" s="346"/>
      <c r="D2" s="346"/>
      <c r="E2" s="346"/>
      <c r="F2" s="346"/>
      <c r="G2" s="347"/>
      <c r="I2" s="2"/>
    </row>
    <row r="3" spans="1:9" ht="28.5" customHeight="1" x14ac:dyDescent="0.25">
      <c r="A3" s="182" t="s">
        <v>185</v>
      </c>
      <c r="B3" s="188">
        <v>45727</v>
      </c>
      <c r="C3" s="186"/>
      <c r="D3" s="186"/>
      <c r="E3" s="186"/>
      <c r="F3" s="186"/>
      <c r="G3" s="187"/>
      <c r="I3" s="2"/>
    </row>
    <row r="4" spans="1:9" ht="28.5" customHeight="1" x14ac:dyDescent="0.25">
      <c r="A4" s="182" t="s">
        <v>293</v>
      </c>
      <c r="B4" s="189" t="s">
        <v>210</v>
      </c>
      <c r="C4" s="184"/>
      <c r="D4" s="184"/>
      <c r="E4" s="184"/>
      <c r="F4" s="184"/>
      <c r="G4" s="185"/>
      <c r="I4" s="2"/>
    </row>
    <row r="5" spans="1:9" x14ac:dyDescent="0.25">
      <c r="A5" s="50"/>
      <c r="B5" s="50"/>
      <c r="C5" s="50"/>
      <c r="D5" s="49"/>
      <c r="E5" s="105"/>
      <c r="F5" s="104"/>
      <c r="G5" s="104"/>
      <c r="I5" s="2"/>
    </row>
    <row r="6" spans="1:9" s="55" customFormat="1" ht="21.75" x14ac:dyDescent="0.25">
      <c r="A6" s="52" t="s">
        <v>149</v>
      </c>
      <c r="B6" s="53"/>
      <c r="C6" s="53"/>
      <c r="D6" s="54"/>
      <c r="E6" s="98"/>
      <c r="F6" s="98"/>
      <c r="G6" s="98"/>
    </row>
    <row r="7" spans="1:9" s="55" customFormat="1" ht="21.75" x14ac:dyDescent="0.25">
      <c r="A7" s="56"/>
      <c r="B7" s="57"/>
      <c r="C7" s="57"/>
      <c r="D7" s="58"/>
      <c r="E7" s="99"/>
      <c r="F7" s="100"/>
      <c r="G7" s="100"/>
    </row>
    <row r="8" spans="1:9" s="55" customFormat="1" ht="42" customHeight="1" x14ac:dyDescent="0.25">
      <c r="A8" s="63" t="s">
        <v>14</v>
      </c>
      <c r="B8" s="64" t="s">
        <v>395</v>
      </c>
      <c r="C8" s="64" t="s">
        <v>148</v>
      </c>
      <c r="D8" s="65" t="s">
        <v>147</v>
      </c>
      <c r="E8" s="101" t="s">
        <v>146</v>
      </c>
      <c r="F8" s="90" t="s">
        <v>16</v>
      </c>
      <c r="G8" s="90" t="s">
        <v>295</v>
      </c>
    </row>
    <row r="9" spans="1:9" s="55" customFormat="1" ht="21.75" x14ac:dyDescent="0.25">
      <c r="A9" s="66" t="s">
        <v>145</v>
      </c>
      <c r="B9" s="67">
        <v>0</v>
      </c>
      <c r="C9" s="67">
        <v>6</v>
      </c>
      <c r="D9" s="68">
        <f>(C9*B9)</f>
        <v>0</v>
      </c>
      <c r="E9" s="88">
        <v>2.66</v>
      </c>
      <c r="F9" s="89">
        <f>E9*D9*1.1</f>
        <v>0</v>
      </c>
      <c r="G9" s="67"/>
    </row>
    <row r="10" spans="1:9" s="55" customFormat="1" ht="21.75" x14ac:dyDescent="0.25">
      <c r="A10" s="70" t="s">
        <v>155</v>
      </c>
      <c r="B10" s="67"/>
      <c r="C10" s="67"/>
      <c r="D10" s="68">
        <f>D9*1.3</f>
        <v>0</v>
      </c>
      <c r="E10" s="88">
        <v>45.45</v>
      </c>
      <c r="F10" s="89">
        <f>E10*D10*1.1</f>
        <v>0</v>
      </c>
      <c r="G10" s="67" t="s">
        <v>396</v>
      </c>
    </row>
    <row r="11" spans="1:9" s="55" customFormat="1" ht="21.75" x14ac:dyDescent="0.25">
      <c r="A11" s="344" t="s">
        <v>17</v>
      </c>
      <c r="B11" s="344"/>
      <c r="C11" s="344"/>
      <c r="D11" s="344"/>
      <c r="E11" s="344"/>
      <c r="F11" s="90">
        <f>SUM(F9:F10)</f>
        <v>0</v>
      </c>
      <c r="G11" s="90"/>
    </row>
    <row r="12" spans="1:9" s="55" customFormat="1" ht="21.75" x14ac:dyDescent="0.25">
      <c r="A12" s="348"/>
      <c r="B12" s="348"/>
      <c r="C12" s="348"/>
      <c r="D12" s="348"/>
      <c r="E12" s="348"/>
      <c r="F12" s="100"/>
      <c r="G12" s="100"/>
    </row>
    <row r="13" spans="1:9" s="55" customFormat="1" ht="21.75" x14ac:dyDescent="0.25">
      <c r="A13" s="52" t="s">
        <v>152</v>
      </c>
      <c r="B13" s="53"/>
      <c r="C13" s="53"/>
      <c r="D13" s="54"/>
      <c r="E13" s="98"/>
      <c r="F13" s="98"/>
      <c r="G13" s="98"/>
    </row>
    <row r="14" spans="1:9" s="55" customFormat="1" ht="21.75" x14ac:dyDescent="0.25">
      <c r="A14" s="56"/>
      <c r="B14" s="57"/>
      <c r="C14" s="57"/>
      <c r="D14" s="58"/>
      <c r="E14" s="99"/>
      <c r="F14" s="100"/>
      <c r="G14" s="100"/>
    </row>
    <row r="15" spans="1:9" s="55" customFormat="1" ht="42" customHeight="1" x14ac:dyDescent="0.25">
      <c r="A15" s="63" t="s">
        <v>14</v>
      </c>
      <c r="B15" s="64" t="s">
        <v>151</v>
      </c>
      <c r="C15" s="64"/>
      <c r="D15" s="65"/>
      <c r="E15" s="101" t="s">
        <v>150</v>
      </c>
      <c r="F15" s="90" t="s">
        <v>16</v>
      </c>
      <c r="G15" s="90" t="s">
        <v>295</v>
      </c>
    </row>
    <row r="16" spans="1:9" s="55" customFormat="1" ht="21.75" x14ac:dyDescent="0.25">
      <c r="A16" s="66" t="s">
        <v>124</v>
      </c>
      <c r="B16" s="67">
        <v>0</v>
      </c>
      <c r="C16" s="74"/>
      <c r="D16" s="75"/>
      <c r="E16" s="88">
        <v>200</v>
      </c>
      <c r="F16" s="89">
        <f>B16*E16*1.1</f>
        <v>0</v>
      </c>
      <c r="G16" s="67" t="s">
        <v>366</v>
      </c>
    </row>
    <row r="17" spans="1:11" s="55" customFormat="1" ht="21.75" x14ac:dyDescent="0.25">
      <c r="A17" s="344" t="s">
        <v>17</v>
      </c>
      <c r="B17" s="344"/>
      <c r="C17" s="344"/>
      <c r="D17" s="344"/>
      <c r="E17" s="344"/>
      <c r="F17" s="90">
        <f>SUM(F16:F16)</f>
        <v>0</v>
      </c>
      <c r="G17" s="90"/>
    </row>
    <row r="18" spans="1:11" s="55" customFormat="1" ht="21.75" x14ac:dyDescent="0.25">
      <c r="A18" s="348"/>
      <c r="B18" s="348"/>
      <c r="C18" s="348"/>
      <c r="D18" s="348"/>
      <c r="E18" s="348"/>
      <c r="F18" s="100"/>
      <c r="G18" s="100"/>
    </row>
    <row r="19" spans="1:11" s="55" customFormat="1" ht="21.75" x14ac:dyDescent="0.25">
      <c r="A19" s="52" t="s">
        <v>19</v>
      </c>
      <c r="B19" s="53"/>
      <c r="C19" s="53"/>
      <c r="D19" s="54"/>
      <c r="E19" s="98"/>
      <c r="F19" s="98"/>
      <c r="G19" s="98"/>
    </row>
    <row r="20" spans="1:11" s="55" customFormat="1" ht="21.75" x14ac:dyDescent="0.25">
      <c r="A20" s="56"/>
      <c r="B20" s="57"/>
      <c r="C20" s="57"/>
      <c r="D20" s="58"/>
      <c r="E20" s="99"/>
      <c r="F20" s="100"/>
      <c r="G20" s="100"/>
    </row>
    <row r="21" spans="1:11" s="55" customFormat="1" ht="42" customHeight="1" x14ac:dyDescent="0.25">
      <c r="A21" s="63" t="s">
        <v>14</v>
      </c>
      <c r="B21" s="349" t="s">
        <v>5</v>
      </c>
      <c r="C21" s="350"/>
      <c r="D21" s="65" t="s">
        <v>147</v>
      </c>
      <c r="E21" s="101" t="s">
        <v>159</v>
      </c>
      <c r="F21" s="90" t="s">
        <v>16</v>
      </c>
      <c r="G21" s="90" t="s">
        <v>295</v>
      </c>
    </row>
    <row r="22" spans="1:11" s="55" customFormat="1" ht="43.5" x14ac:dyDescent="0.25">
      <c r="A22" s="70" t="s">
        <v>20</v>
      </c>
      <c r="B22" s="62">
        <v>1.3</v>
      </c>
      <c r="C22" s="62" t="s">
        <v>311</v>
      </c>
      <c r="D22" s="72">
        <f>B22*INFRAESTRUTURA!D29</f>
        <v>293.58510999999999</v>
      </c>
      <c r="E22" s="88">
        <v>36.36</v>
      </c>
      <c r="F22" s="106">
        <f>E22*D22*1.1</f>
        <v>11742.230059559999</v>
      </c>
      <c r="G22" s="67"/>
    </row>
    <row r="23" spans="1:11" s="55" customFormat="1" ht="26.25" customHeight="1" x14ac:dyDescent="0.25">
      <c r="A23" s="70" t="s">
        <v>21</v>
      </c>
      <c r="B23" s="62">
        <v>0.6</v>
      </c>
      <c r="C23" s="62" t="s">
        <v>156</v>
      </c>
      <c r="D23" s="72">
        <f>D22-INFRAESTRUTURA!D29</f>
        <v>67.750409999999988</v>
      </c>
      <c r="E23" s="88">
        <v>14.55</v>
      </c>
      <c r="F23" s="106">
        <f>E23*D23*1.1</f>
        <v>1084.3453120499998</v>
      </c>
      <c r="G23" s="67"/>
    </row>
    <row r="24" spans="1:11" s="55" customFormat="1" ht="21.75" x14ac:dyDescent="0.25">
      <c r="A24" s="70" t="s">
        <v>155</v>
      </c>
      <c r="B24" s="62">
        <v>1.3</v>
      </c>
      <c r="C24" s="62"/>
      <c r="D24" s="72">
        <f>(D22-D23)*B24</f>
        <v>293.58510999999999</v>
      </c>
      <c r="E24" s="88">
        <v>45.45</v>
      </c>
      <c r="F24" s="106">
        <f>E24*D24*1.1</f>
        <v>14677.787574450002</v>
      </c>
      <c r="G24" s="67"/>
    </row>
    <row r="25" spans="1:11" s="55" customFormat="1" ht="21.75" x14ac:dyDescent="0.25">
      <c r="A25" s="69" t="s">
        <v>144</v>
      </c>
      <c r="B25" s="61">
        <v>1</v>
      </c>
      <c r="C25" s="61" t="s">
        <v>22</v>
      </c>
      <c r="D25" s="73">
        <f>INFRAESTRUTURA!D19</f>
        <v>964.31186501938703</v>
      </c>
      <c r="E25" s="88">
        <v>68.180000000000007</v>
      </c>
      <c r="F25" s="106">
        <f>E25*D25*1.1</f>
        <v>72321.46125272401</v>
      </c>
      <c r="G25" s="67"/>
    </row>
    <row r="26" spans="1:11" s="55" customFormat="1" ht="21.75" x14ac:dyDescent="0.25">
      <c r="A26" s="344" t="s">
        <v>17</v>
      </c>
      <c r="B26" s="344"/>
      <c r="C26" s="344"/>
      <c r="D26" s="344"/>
      <c r="E26" s="344"/>
      <c r="F26" s="90">
        <f>SUM(F22:F25)</f>
        <v>99825.824198784016</v>
      </c>
      <c r="G26" s="90"/>
    </row>
    <row r="27" spans="1:11" x14ac:dyDescent="0.25">
      <c r="K27" s="47"/>
    </row>
    <row r="28" spans="1:11" ht="21.75" x14ac:dyDescent="0.25">
      <c r="A28" s="52" t="s">
        <v>100</v>
      </c>
      <c r="B28" s="53"/>
      <c r="C28" s="53"/>
      <c r="D28" s="54"/>
      <c r="E28" s="98"/>
      <c r="F28" s="98"/>
      <c r="G28" s="98"/>
    </row>
    <row r="29" spans="1:11" ht="21.75" x14ac:dyDescent="0.25">
      <c r="A29" s="56"/>
      <c r="B29" s="57"/>
      <c r="C29" s="57"/>
      <c r="D29" s="58"/>
      <c r="E29" s="99"/>
      <c r="F29" s="100"/>
      <c r="G29" s="100"/>
    </row>
    <row r="30" spans="1:11" ht="43.5" x14ac:dyDescent="0.25">
      <c r="A30" s="63" t="s">
        <v>14</v>
      </c>
      <c r="B30" s="349" t="s">
        <v>5</v>
      </c>
      <c r="C30" s="350"/>
      <c r="D30" s="65" t="s">
        <v>157</v>
      </c>
      <c r="E30" s="101" t="s">
        <v>158</v>
      </c>
      <c r="F30" s="90" t="s">
        <v>16</v>
      </c>
      <c r="G30" s="90" t="s">
        <v>295</v>
      </c>
    </row>
    <row r="31" spans="1:11" ht="21.75" x14ac:dyDescent="0.25">
      <c r="A31" s="70" t="s">
        <v>397</v>
      </c>
      <c r="B31" s="62">
        <v>0.8</v>
      </c>
      <c r="C31" s="62" t="s">
        <v>113</v>
      </c>
      <c r="D31" s="72">
        <f>B31*DADOS_INICIAIS!E25</f>
        <v>785.51200000000006</v>
      </c>
      <c r="E31" s="88">
        <f>370*0.1</f>
        <v>37</v>
      </c>
      <c r="F31" s="106">
        <f>E31*D31*1.1</f>
        <v>31970.338400000008</v>
      </c>
      <c r="G31" s="67"/>
      <c r="H31" s="1">
        <f>F31/DADOS_INICIAIS!E25</f>
        <v>32.560000000000009</v>
      </c>
      <c r="I31" s="100"/>
    </row>
    <row r="32" spans="1:11" ht="21.75" x14ac:dyDescent="0.25">
      <c r="A32" s="344" t="s">
        <v>17</v>
      </c>
      <c r="B32" s="344"/>
      <c r="C32" s="344"/>
      <c r="D32" s="344"/>
      <c r="E32" s="344"/>
      <c r="F32" s="90">
        <f>SUM(F31:F31)</f>
        <v>31970.338400000008</v>
      </c>
      <c r="G32" s="90"/>
    </row>
    <row r="34" spans="1:7" ht="23.25" customHeight="1" x14ac:dyDescent="0.25">
      <c r="A34" s="341" t="s">
        <v>103</v>
      </c>
      <c r="B34" s="342"/>
      <c r="C34" s="342"/>
      <c r="D34" s="342"/>
      <c r="E34" s="343"/>
      <c r="F34" s="108">
        <f>F11+F17+F26+F32</f>
        <v>131796.16259878402</v>
      </c>
      <c r="G34" s="108">
        <f>F34/DADOS_INICIAIS!E9</f>
        <v>11.74843380249256</v>
      </c>
    </row>
    <row r="35" spans="1:7" x14ac:dyDescent="0.25">
      <c r="F35" s="107">
        <f>F34/DADOS_INICIAIS!E25</f>
        <v>134.22701381904696</v>
      </c>
    </row>
  </sheetData>
  <mergeCells count="10">
    <mergeCell ref="A34:E34"/>
    <mergeCell ref="A26:E26"/>
    <mergeCell ref="A2:G2"/>
    <mergeCell ref="A11:E11"/>
    <mergeCell ref="A12:E12"/>
    <mergeCell ref="B21:C21"/>
    <mergeCell ref="B30:C30"/>
    <mergeCell ref="A32:E32"/>
    <mergeCell ref="A17:E17"/>
    <mergeCell ref="A18:E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9B24-4A14-470C-9528-250F4A4412CB}">
  <sheetPr>
    <tabColor rgb="FFFF0000"/>
  </sheetPr>
  <dimension ref="A1:J46"/>
  <sheetViews>
    <sheetView showGridLines="0" zoomScale="80" zoomScaleNormal="80" zoomScaleSheetLayoutView="95" workbookViewId="0">
      <selection activeCell="I11" sqref="I11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15.1406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345" t="s">
        <v>165</v>
      </c>
      <c r="B3" s="353"/>
      <c r="C3" s="353"/>
      <c r="D3" s="346"/>
      <c r="E3" s="346"/>
      <c r="F3" s="346"/>
      <c r="G3" s="346"/>
      <c r="H3" s="347"/>
      <c r="J3" s="79"/>
    </row>
    <row r="4" spans="1:10" ht="19.5" x14ac:dyDescent="0.25">
      <c r="A4" s="182" t="s">
        <v>185</v>
      </c>
      <c r="B4" s="188"/>
      <c r="C4" s="186"/>
      <c r="D4" s="186"/>
      <c r="E4" s="186"/>
      <c r="F4" s="186"/>
      <c r="G4" s="186"/>
      <c r="H4" s="187"/>
      <c r="J4" s="79"/>
    </row>
    <row r="5" spans="1:10" ht="19.5" x14ac:dyDescent="0.25">
      <c r="A5" s="182" t="s">
        <v>293</v>
      </c>
      <c r="B5" s="183"/>
      <c r="C5" s="184"/>
      <c r="D5" s="184"/>
      <c r="E5" s="184"/>
      <c r="F5" s="184"/>
      <c r="G5" s="184"/>
      <c r="H5" s="185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166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42" customHeight="1" x14ac:dyDescent="0.25">
      <c r="A9" s="63" t="s">
        <v>14</v>
      </c>
      <c r="B9" s="349" t="s">
        <v>5</v>
      </c>
      <c r="C9" s="350"/>
      <c r="D9" s="349" t="s">
        <v>18</v>
      </c>
      <c r="E9" s="350"/>
      <c r="F9" s="101" t="s">
        <v>118</v>
      </c>
      <c r="G9" s="90" t="s">
        <v>16</v>
      </c>
      <c r="H9" s="100"/>
    </row>
    <row r="10" spans="1:10" ht="21.75" x14ac:dyDescent="0.25">
      <c r="A10" s="66" t="s">
        <v>107</v>
      </c>
      <c r="B10" s="62">
        <v>0.15</v>
      </c>
      <c r="C10" s="62" t="s">
        <v>108</v>
      </c>
      <c r="D10" s="67">
        <f>B10*DADOS_INICIAIS!E25</f>
        <v>147.2835</v>
      </c>
      <c r="E10" s="67" t="s">
        <v>3</v>
      </c>
      <c r="F10" s="92"/>
      <c r="G10" s="93"/>
      <c r="H10" s="102"/>
    </row>
    <row r="11" spans="1:10" ht="21.75" x14ac:dyDescent="0.25">
      <c r="A11" s="351" t="s">
        <v>161</v>
      </c>
      <c r="B11" s="76">
        <v>0.1</v>
      </c>
      <c r="C11" s="62"/>
      <c r="D11" s="67">
        <f>B11*$D$10</f>
        <v>14.728350000000001</v>
      </c>
      <c r="E11" s="67" t="s">
        <v>3</v>
      </c>
      <c r="F11" s="92"/>
      <c r="G11" s="93"/>
      <c r="H11" s="102"/>
    </row>
    <row r="12" spans="1:10" ht="21.75" x14ac:dyDescent="0.25">
      <c r="A12" s="352"/>
      <c r="B12" s="77">
        <v>20</v>
      </c>
      <c r="C12" s="62" t="s">
        <v>162</v>
      </c>
      <c r="D12" s="67">
        <f>B12*D11</f>
        <v>294.56700000000001</v>
      </c>
      <c r="E12" s="67" t="s">
        <v>4</v>
      </c>
      <c r="F12" s="88"/>
      <c r="G12" s="89">
        <f>F12*D12</f>
        <v>0</v>
      </c>
      <c r="H12" s="102"/>
    </row>
    <row r="13" spans="1:10" ht="21.75" x14ac:dyDescent="0.25">
      <c r="A13" s="351" t="s">
        <v>160</v>
      </c>
      <c r="B13" s="76">
        <v>0.5</v>
      </c>
      <c r="C13" s="62"/>
      <c r="D13" s="67">
        <f>B13*$D$10</f>
        <v>73.641750000000002</v>
      </c>
      <c r="E13" s="67" t="s">
        <v>3</v>
      </c>
      <c r="F13" s="92"/>
      <c r="G13" s="93"/>
      <c r="H13" s="102"/>
    </row>
    <row r="14" spans="1:10" ht="21.75" x14ac:dyDescent="0.25">
      <c r="A14" s="352"/>
      <c r="B14" s="77">
        <v>20</v>
      </c>
      <c r="C14" s="62" t="s">
        <v>162</v>
      </c>
      <c r="D14" s="67">
        <f>B14*D13</f>
        <v>1472.835</v>
      </c>
      <c r="E14" s="67" t="s">
        <v>4</v>
      </c>
      <c r="F14" s="88"/>
      <c r="G14" s="89">
        <f>F14*D14</f>
        <v>0</v>
      </c>
      <c r="H14" s="102"/>
    </row>
    <row r="15" spans="1:10" ht="21.75" x14ac:dyDescent="0.25">
      <c r="A15" s="351" t="s">
        <v>114</v>
      </c>
      <c r="B15" s="76">
        <v>0.4</v>
      </c>
      <c r="C15" s="62" t="s">
        <v>108</v>
      </c>
      <c r="D15" s="67">
        <f>B15*$D$10</f>
        <v>58.913400000000003</v>
      </c>
      <c r="E15" s="67" t="s">
        <v>3</v>
      </c>
      <c r="F15" s="92"/>
      <c r="G15" s="93"/>
      <c r="H15" s="102"/>
    </row>
    <row r="16" spans="1:10" ht="21.75" x14ac:dyDescent="0.25">
      <c r="A16" s="352"/>
      <c r="B16" s="77">
        <v>20</v>
      </c>
      <c r="C16" s="62" t="s">
        <v>162</v>
      </c>
      <c r="D16" s="67">
        <f>B16*D15</f>
        <v>1178.268</v>
      </c>
      <c r="E16" s="67" t="s">
        <v>4</v>
      </c>
      <c r="F16" s="88"/>
      <c r="G16" s="89">
        <f>F16*D16</f>
        <v>0</v>
      </c>
      <c r="H16" s="102"/>
    </row>
    <row r="17" spans="1:8" ht="21.75" x14ac:dyDescent="0.25">
      <c r="A17" s="66" t="s">
        <v>24</v>
      </c>
      <c r="B17" s="62">
        <f>(PI()*0.4^2)/4*D14+(PI()*0.5^2)/4*D16+(PI()*0.6^2)/4*D12</f>
        <v>499.72114252259166</v>
      </c>
      <c r="C17" s="62" t="s">
        <v>108</v>
      </c>
      <c r="D17" s="67">
        <f>(PI()*0.4^2)/4*D14+(PI()*0.5^2)/4*D16+(PI()*0.6^2)/4*D12</f>
        <v>499.72114252259166</v>
      </c>
      <c r="E17" s="67" t="s">
        <v>22</v>
      </c>
      <c r="F17" s="88"/>
      <c r="G17" s="89">
        <f>F17*D17</f>
        <v>0</v>
      </c>
      <c r="H17" s="102"/>
    </row>
    <row r="18" spans="1:8" ht="21.75" x14ac:dyDescent="0.25">
      <c r="A18" s="66" t="s">
        <v>115</v>
      </c>
      <c r="B18" s="62">
        <v>1.6575131198547477</v>
      </c>
      <c r="C18" s="62" t="s">
        <v>34</v>
      </c>
      <c r="D18" s="67">
        <f>B18*D17</f>
        <v>828.29434999999989</v>
      </c>
      <c r="E18" s="67" t="s">
        <v>26</v>
      </c>
      <c r="F18" s="88"/>
      <c r="G18" s="89">
        <f>F18*D18</f>
        <v>0</v>
      </c>
      <c r="H18" s="102"/>
    </row>
    <row r="19" spans="1:8" ht="21.75" x14ac:dyDescent="0.25">
      <c r="A19" s="66" t="s">
        <v>125</v>
      </c>
      <c r="B19" s="62">
        <v>10.178337551067401</v>
      </c>
      <c r="C19" s="62" t="s">
        <v>34</v>
      </c>
      <c r="D19" s="67">
        <f>B19*D17</f>
        <v>5086.330469999999</v>
      </c>
      <c r="E19" s="67" t="s">
        <v>26</v>
      </c>
      <c r="F19" s="88"/>
      <c r="G19" s="89">
        <f>F19*D19</f>
        <v>0</v>
      </c>
      <c r="H19" s="102"/>
    </row>
    <row r="20" spans="1:8" ht="21.75" x14ac:dyDescent="0.25">
      <c r="A20" s="66" t="s">
        <v>109</v>
      </c>
      <c r="B20" s="62">
        <v>1</v>
      </c>
      <c r="C20" s="62" t="s">
        <v>27</v>
      </c>
      <c r="D20" s="67">
        <v>1</v>
      </c>
      <c r="E20" s="67" t="s">
        <v>27</v>
      </c>
      <c r="F20" s="88"/>
      <c r="G20" s="89">
        <f>F20*D20</f>
        <v>0</v>
      </c>
      <c r="H20" s="102"/>
    </row>
    <row r="21" spans="1:8" ht="21.75" x14ac:dyDescent="0.25">
      <c r="A21" s="344" t="s">
        <v>17</v>
      </c>
      <c r="B21" s="344"/>
      <c r="C21" s="344"/>
      <c r="D21" s="344"/>
      <c r="E21" s="344"/>
      <c r="F21" s="344"/>
      <c r="G21" s="90">
        <f>SUM(G10:G20)</f>
        <v>0</v>
      </c>
      <c r="H21" s="103"/>
    </row>
    <row r="23" spans="1:8" ht="21.75" x14ac:dyDescent="0.25">
      <c r="A23" s="52" t="s">
        <v>294</v>
      </c>
      <c r="B23" s="52"/>
      <c r="C23" s="52"/>
      <c r="D23" s="53"/>
      <c r="E23" s="53"/>
      <c r="F23" s="98"/>
      <c r="G23" s="98"/>
      <c r="H23" s="98"/>
    </row>
    <row r="24" spans="1:8" ht="21.75" x14ac:dyDescent="0.25">
      <c r="A24" s="56"/>
      <c r="B24" s="56"/>
      <c r="C24" s="56"/>
      <c r="D24" s="57"/>
      <c r="E24" s="57"/>
      <c r="F24" s="99"/>
      <c r="G24" s="100"/>
      <c r="H24" s="100"/>
    </row>
    <row r="25" spans="1:8" ht="21.75" x14ac:dyDescent="0.25">
      <c r="A25" s="63" t="s">
        <v>14</v>
      </c>
      <c r="B25" s="349" t="s">
        <v>5</v>
      </c>
      <c r="C25" s="350"/>
      <c r="D25" s="349" t="s">
        <v>18</v>
      </c>
      <c r="E25" s="350"/>
      <c r="F25" s="101" t="s">
        <v>118</v>
      </c>
      <c r="G25" s="90" t="s">
        <v>16</v>
      </c>
      <c r="H25" s="100"/>
    </row>
    <row r="26" spans="1:8" ht="43.5" x14ac:dyDescent="0.25">
      <c r="A26" s="66" t="s">
        <v>111</v>
      </c>
      <c r="B26" s="62">
        <v>2.1</v>
      </c>
      <c r="C26" s="62" t="s">
        <v>113</v>
      </c>
      <c r="D26" s="67">
        <f>B26*DADOS_INICIAIS!E25</f>
        <v>2061.9690000000001</v>
      </c>
      <c r="E26" s="67" t="s">
        <v>2</v>
      </c>
      <c r="F26" s="88"/>
      <c r="G26" s="89">
        <f>F26*D26</f>
        <v>0</v>
      </c>
      <c r="H26" s="102"/>
    </row>
    <row r="27" spans="1:8" ht="21.75" x14ac:dyDescent="0.25">
      <c r="A27" s="66" t="s">
        <v>24</v>
      </c>
      <c r="B27" s="62">
        <v>0.65</v>
      </c>
      <c r="C27" s="62" t="s">
        <v>112</v>
      </c>
      <c r="D27" s="67">
        <f>B27*DADOS_INICIAIS!E25</f>
        <v>638.22850000000005</v>
      </c>
      <c r="E27" s="67" t="s">
        <v>22</v>
      </c>
      <c r="F27" s="88"/>
      <c r="G27" s="89">
        <f>F27*D27</f>
        <v>0</v>
      </c>
      <c r="H27" s="102"/>
    </row>
    <row r="28" spans="1:8" ht="21.75" x14ac:dyDescent="0.25">
      <c r="A28" s="66" t="s">
        <v>23</v>
      </c>
      <c r="B28" s="62">
        <v>110</v>
      </c>
      <c r="C28" s="62" t="s">
        <v>34</v>
      </c>
      <c r="D28" s="67">
        <f>B28*D27</f>
        <v>70205.135000000009</v>
      </c>
      <c r="E28" s="67" t="s">
        <v>26</v>
      </c>
      <c r="F28" s="88"/>
      <c r="G28" s="89">
        <f>F28*D28</f>
        <v>0</v>
      </c>
      <c r="H28" s="102"/>
    </row>
    <row r="29" spans="1:8" ht="21.75" x14ac:dyDescent="0.25">
      <c r="A29" s="66" t="s">
        <v>25</v>
      </c>
      <c r="B29" s="62">
        <f>SUPRAESTRUTURA!B15*1.5</f>
        <v>360</v>
      </c>
      <c r="C29" s="62" t="s">
        <v>102</v>
      </c>
      <c r="D29" s="67">
        <f>DADOS_INICIAIS!E25</f>
        <v>981.89</v>
      </c>
      <c r="E29" s="67" t="s">
        <v>2</v>
      </c>
      <c r="F29" s="88">
        <f>B29</f>
        <v>360</v>
      </c>
      <c r="G29" s="89">
        <f>F29*D29</f>
        <v>353480.4</v>
      </c>
      <c r="H29" s="102"/>
    </row>
    <row r="30" spans="1:8" ht="21.75" x14ac:dyDescent="0.25">
      <c r="A30" s="344" t="s">
        <v>17</v>
      </c>
      <c r="B30" s="344"/>
      <c r="C30" s="344"/>
      <c r="D30" s="344"/>
      <c r="E30" s="344"/>
      <c r="F30" s="344"/>
      <c r="G30" s="90">
        <f>SUM(G26:G29)</f>
        <v>353480.4</v>
      </c>
      <c r="H30" s="103"/>
    </row>
    <row r="33" spans="1:8" ht="21.75" x14ac:dyDescent="0.25">
      <c r="A33" s="52" t="s">
        <v>167</v>
      </c>
      <c r="B33" s="52"/>
      <c r="C33" s="52"/>
      <c r="D33" s="53"/>
      <c r="E33" s="53"/>
      <c r="F33" s="98"/>
      <c r="G33" s="98"/>
      <c r="H33" s="98"/>
    </row>
    <row r="34" spans="1:8" ht="21.75" x14ac:dyDescent="0.25">
      <c r="A34" s="56"/>
      <c r="B34" s="56"/>
      <c r="C34" s="56"/>
      <c r="D34" s="57"/>
      <c r="E34" s="57"/>
      <c r="F34" s="99"/>
      <c r="G34" s="100"/>
      <c r="H34" s="100"/>
    </row>
    <row r="35" spans="1:8" ht="21.75" x14ac:dyDescent="0.25">
      <c r="A35" s="63" t="s">
        <v>14</v>
      </c>
      <c r="B35" s="349" t="s">
        <v>5</v>
      </c>
      <c r="C35" s="350"/>
      <c r="D35" s="349" t="s">
        <v>18</v>
      </c>
      <c r="E35" s="350"/>
      <c r="F35" s="101" t="s">
        <v>118</v>
      </c>
      <c r="G35" s="90" t="s">
        <v>16</v>
      </c>
      <c r="H35" s="100"/>
    </row>
    <row r="36" spans="1:8" ht="43.5" x14ac:dyDescent="0.25">
      <c r="A36" s="66" t="s">
        <v>111</v>
      </c>
      <c r="B36" s="62">
        <v>2.1</v>
      </c>
      <c r="C36" s="62" t="s">
        <v>113</v>
      </c>
      <c r="D36" s="67">
        <f>B36*DADOS_INICIAIS!E35</f>
        <v>686.7</v>
      </c>
      <c r="E36" s="67" t="s">
        <v>2</v>
      </c>
      <c r="F36" s="88"/>
      <c r="G36" s="89">
        <f>F36*D36</f>
        <v>0</v>
      </c>
      <c r="H36" s="102"/>
    </row>
    <row r="37" spans="1:8" ht="21.75" x14ac:dyDescent="0.25">
      <c r="A37" s="66" t="s">
        <v>24</v>
      </c>
      <c r="B37" s="62">
        <v>0.65</v>
      </c>
      <c r="C37" s="62" t="s">
        <v>112</v>
      </c>
      <c r="D37" s="67">
        <f>B37*DADOS_INICIAIS!E35</f>
        <v>212.55</v>
      </c>
      <c r="E37" s="67" t="s">
        <v>22</v>
      </c>
      <c r="F37" s="88"/>
      <c r="G37" s="89">
        <f>F37*D37</f>
        <v>0</v>
      </c>
      <c r="H37" s="102"/>
    </row>
    <row r="38" spans="1:8" ht="21.75" x14ac:dyDescent="0.25">
      <c r="A38" s="66" t="s">
        <v>23</v>
      </c>
      <c r="B38" s="62">
        <v>110</v>
      </c>
      <c r="C38" s="62" t="s">
        <v>34</v>
      </c>
      <c r="D38" s="67">
        <f>B38*D37</f>
        <v>23380.5</v>
      </c>
      <c r="E38" s="67" t="s">
        <v>26</v>
      </c>
      <c r="F38" s="88"/>
      <c r="G38" s="89">
        <f>F38*D38</f>
        <v>0</v>
      </c>
      <c r="H38" s="102"/>
    </row>
    <row r="39" spans="1:8" ht="21.75" x14ac:dyDescent="0.25">
      <c r="A39" s="66" t="s">
        <v>25</v>
      </c>
      <c r="B39" s="62">
        <f>SUPRAESTRUTURA!B69*1.5</f>
        <v>0</v>
      </c>
      <c r="C39" s="62" t="s">
        <v>102</v>
      </c>
      <c r="D39" s="67">
        <f>DADOS_INICIAIS!E35</f>
        <v>327</v>
      </c>
      <c r="E39" s="67" t="s">
        <v>2</v>
      </c>
      <c r="F39" s="88">
        <f>B39</f>
        <v>0</v>
      </c>
      <c r="G39" s="89">
        <f>F39*D39</f>
        <v>0</v>
      </c>
      <c r="H39" s="102"/>
    </row>
    <row r="40" spans="1:8" ht="21.75" x14ac:dyDescent="0.25">
      <c r="A40" s="344" t="s">
        <v>17</v>
      </c>
      <c r="B40" s="344"/>
      <c r="C40" s="344"/>
      <c r="D40" s="344"/>
      <c r="E40" s="344"/>
      <c r="F40" s="344"/>
      <c r="G40" s="90">
        <f>SUM(G36:G39)</f>
        <v>0</v>
      </c>
      <c r="H40" s="103"/>
    </row>
    <row r="45" spans="1:8" x14ac:dyDescent="0.25">
      <c r="D45" s="86"/>
      <c r="E45" s="87"/>
    </row>
    <row r="46" spans="1:8" ht="21.75" x14ac:dyDescent="0.25">
      <c r="A46" s="354" t="s">
        <v>104</v>
      </c>
      <c r="B46" s="355"/>
      <c r="C46" s="355"/>
      <c r="D46" s="355"/>
      <c r="E46" s="355"/>
      <c r="F46" s="356"/>
      <c r="G46" s="91">
        <f>G21+G30</f>
        <v>353480.4</v>
      </c>
      <c r="H46" s="91">
        <f>G46/DADOS_INICIAIS!E9</f>
        <v>31.509575074053835</v>
      </c>
    </row>
  </sheetData>
  <mergeCells count="14">
    <mergeCell ref="A21:F21"/>
    <mergeCell ref="B25:C25"/>
    <mergeCell ref="D25:E25"/>
    <mergeCell ref="A30:F30"/>
    <mergeCell ref="A46:F46"/>
    <mergeCell ref="B35:C35"/>
    <mergeCell ref="D35:E35"/>
    <mergeCell ref="A40:F40"/>
    <mergeCell ref="A15:A16"/>
    <mergeCell ref="A3:H3"/>
    <mergeCell ref="B9:C9"/>
    <mergeCell ref="D9:E9"/>
    <mergeCell ref="A11:A12"/>
    <mergeCell ref="A13:A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1"/>
  <sheetViews>
    <sheetView showGridLines="0" topLeftCell="A15" zoomScale="80" zoomScaleNormal="80" zoomScaleSheetLayoutView="95" workbookViewId="0">
      <selection activeCell="G28" sqref="A28:G30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69.425781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345" t="s">
        <v>122</v>
      </c>
      <c r="B3" s="353"/>
      <c r="C3" s="353"/>
      <c r="D3" s="346"/>
      <c r="E3" s="346"/>
      <c r="F3" s="346"/>
      <c r="G3" s="346"/>
      <c r="H3" s="347"/>
      <c r="J3" s="79"/>
    </row>
    <row r="4" spans="1:10" ht="19.5" x14ac:dyDescent="0.25">
      <c r="A4" s="182" t="s">
        <v>185</v>
      </c>
      <c r="B4" s="188">
        <v>45727</v>
      </c>
      <c r="C4" s="186"/>
      <c r="D4" s="186"/>
      <c r="E4" s="186"/>
      <c r="F4" s="186"/>
      <c r="G4" s="186"/>
      <c r="H4" s="187"/>
      <c r="J4" s="79"/>
    </row>
    <row r="5" spans="1:10" ht="19.5" x14ac:dyDescent="0.25">
      <c r="A5" s="182" t="s">
        <v>293</v>
      </c>
      <c r="B5" s="189" t="s">
        <v>210</v>
      </c>
      <c r="C5" s="184"/>
      <c r="D5" s="184"/>
      <c r="E5" s="184"/>
      <c r="F5" s="184"/>
      <c r="G5" s="184"/>
      <c r="H5" s="185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106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21.75" x14ac:dyDescent="0.25">
      <c r="A9" s="63" t="s">
        <v>14</v>
      </c>
      <c r="B9" s="349" t="s">
        <v>5</v>
      </c>
      <c r="C9" s="350"/>
      <c r="D9" s="349" t="s">
        <v>18</v>
      </c>
      <c r="E9" s="350"/>
      <c r="F9" s="101" t="s">
        <v>118</v>
      </c>
      <c r="G9" s="90" t="s">
        <v>16</v>
      </c>
      <c r="H9" s="90" t="s">
        <v>295</v>
      </c>
    </row>
    <row r="10" spans="1:10" ht="21.75" x14ac:dyDescent="0.25">
      <c r="A10" s="66" t="s">
        <v>107</v>
      </c>
      <c r="B10" s="62">
        <v>0.15</v>
      </c>
      <c r="C10" s="62" t="s">
        <v>108</v>
      </c>
      <c r="D10" s="67">
        <f>ROUNDUP(B10*DADOS_INICIAIS!$E$25,0)</f>
        <v>148</v>
      </c>
      <c r="E10" s="67" t="s">
        <v>3</v>
      </c>
      <c r="F10" s="92"/>
      <c r="G10" s="93"/>
      <c r="H10" s="67"/>
    </row>
    <row r="11" spans="1:10" ht="21.75" x14ac:dyDescent="0.25">
      <c r="A11" s="351" t="s">
        <v>161</v>
      </c>
      <c r="B11" s="76">
        <v>0</v>
      </c>
      <c r="C11" s="62"/>
      <c r="D11" s="67">
        <f>ROUNDUP(B11*$D$10,0)</f>
        <v>0</v>
      </c>
      <c r="E11" s="67" t="s">
        <v>3</v>
      </c>
      <c r="F11" s="92"/>
      <c r="G11" s="93"/>
      <c r="H11" s="67"/>
    </row>
    <row r="12" spans="1:10" ht="21.75" x14ac:dyDescent="0.25">
      <c r="A12" s="352"/>
      <c r="B12" s="77">
        <v>28</v>
      </c>
      <c r="C12" s="62" t="s">
        <v>162</v>
      </c>
      <c r="D12" s="67">
        <f>B12*D11</f>
        <v>0</v>
      </c>
      <c r="E12" s="67" t="s">
        <v>4</v>
      </c>
      <c r="F12" s="88">
        <v>70</v>
      </c>
      <c r="G12" s="89">
        <f>F12*D12*1.1</f>
        <v>0</v>
      </c>
      <c r="H12" s="67" t="s">
        <v>390</v>
      </c>
    </row>
    <row r="13" spans="1:10" ht="21.75" x14ac:dyDescent="0.25">
      <c r="A13" s="351" t="s">
        <v>160</v>
      </c>
      <c r="B13" s="76">
        <v>0.6</v>
      </c>
      <c r="C13" s="62"/>
      <c r="D13" s="67">
        <f>ROUNDUP(B13*D10,0)</f>
        <v>89</v>
      </c>
      <c r="E13" s="67" t="s">
        <v>3</v>
      </c>
      <c r="F13" s="92"/>
      <c r="G13" s="93"/>
      <c r="H13" s="67"/>
    </row>
    <row r="14" spans="1:10" ht="21.75" x14ac:dyDescent="0.25">
      <c r="A14" s="352"/>
      <c r="B14" s="77">
        <v>28</v>
      </c>
      <c r="C14" s="62" t="s">
        <v>162</v>
      </c>
      <c r="D14" s="67">
        <f>B14*D13</f>
        <v>2492</v>
      </c>
      <c r="E14" s="67" t="s">
        <v>4</v>
      </c>
      <c r="F14" s="88">
        <v>90</v>
      </c>
      <c r="G14" s="89">
        <f>F14*D14*1.1</f>
        <v>246708.00000000003</v>
      </c>
      <c r="H14" s="67" t="s">
        <v>390</v>
      </c>
    </row>
    <row r="15" spans="1:10" ht="21.75" x14ac:dyDescent="0.25">
      <c r="A15" s="351" t="s">
        <v>114</v>
      </c>
      <c r="B15" s="76">
        <v>0.4</v>
      </c>
      <c r="C15" s="62" t="s">
        <v>108</v>
      </c>
      <c r="D15" s="67">
        <f>ROUNDUP(B15*$D$10,0)</f>
        <v>60</v>
      </c>
      <c r="E15" s="67" t="s">
        <v>3</v>
      </c>
      <c r="F15" s="92"/>
      <c r="G15" s="93"/>
      <c r="H15" s="67"/>
    </row>
    <row r="16" spans="1:10" ht="21.75" x14ac:dyDescent="0.25">
      <c r="A16" s="352"/>
      <c r="B16" s="77">
        <v>28</v>
      </c>
      <c r="C16" s="62" t="s">
        <v>162</v>
      </c>
      <c r="D16" s="67">
        <f>B16*D15</f>
        <v>1680</v>
      </c>
      <c r="E16" s="67" t="s">
        <v>4</v>
      </c>
      <c r="F16" s="88">
        <v>105</v>
      </c>
      <c r="G16" s="89">
        <f>F16*D16*1.1</f>
        <v>194040.00000000003</v>
      </c>
      <c r="H16" s="67" t="s">
        <v>390</v>
      </c>
    </row>
    <row r="17" spans="1:8" ht="21.75" x14ac:dyDescent="0.25">
      <c r="A17" s="351" t="s">
        <v>327</v>
      </c>
      <c r="B17" s="76">
        <v>0</v>
      </c>
      <c r="C17" s="62" t="s">
        <v>108</v>
      </c>
      <c r="D17" s="67">
        <f>ROUNDUP(B17*$D$10,0)</f>
        <v>0</v>
      </c>
      <c r="E17" s="67" t="s">
        <v>3</v>
      </c>
      <c r="F17" s="92"/>
      <c r="G17" s="93"/>
      <c r="H17" s="67"/>
    </row>
    <row r="18" spans="1:8" ht="21.75" x14ac:dyDescent="0.25">
      <c r="A18" s="352"/>
      <c r="B18" s="77">
        <v>30</v>
      </c>
      <c r="C18" s="62" t="s">
        <v>162</v>
      </c>
      <c r="D18" s="67">
        <f>B18*D17</f>
        <v>0</v>
      </c>
      <c r="E18" s="67" t="s">
        <v>4</v>
      </c>
      <c r="F18" s="88">
        <v>120</v>
      </c>
      <c r="G18" s="89">
        <f>F18*D18*1.1</f>
        <v>0</v>
      </c>
      <c r="H18" s="67"/>
    </row>
    <row r="19" spans="1:8" ht="21.75" x14ac:dyDescent="0.25">
      <c r="A19" s="66" t="s">
        <v>296</v>
      </c>
      <c r="B19" s="62">
        <v>1.3</v>
      </c>
      <c r="C19" s="62" t="s">
        <v>310</v>
      </c>
      <c r="D19" s="67">
        <f>(PI()*((0.4^2)/4)*D12+PI()*((0.5^2)/4)*D14+PI()*((0.6^2)/4)*D16)</f>
        <v>964.31186501938703</v>
      </c>
      <c r="E19" s="67" t="s">
        <v>22</v>
      </c>
      <c r="F19" s="88">
        <f>(535+45+(1.67*0.6))*B19</f>
        <v>755.30259999999998</v>
      </c>
      <c r="G19" s="89">
        <f>F19*D19*1.1</f>
        <v>801181.9847459913</v>
      </c>
      <c r="H19" s="67"/>
    </row>
    <row r="20" spans="1:8" ht="21.75" x14ac:dyDescent="0.25">
      <c r="A20" s="66" t="s">
        <v>328</v>
      </c>
      <c r="B20" s="62">
        <v>12</v>
      </c>
      <c r="C20" s="62" t="s">
        <v>34</v>
      </c>
      <c r="D20" s="67">
        <f>B20*D19</f>
        <v>11571.742380232645</v>
      </c>
      <c r="E20" s="67" t="s">
        <v>26</v>
      </c>
      <c r="F20" s="88">
        <v>7.62</v>
      </c>
      <c r="G20" s="89">
        <f>F20*D20*1.1</f>
        <v>96994.344631110042</v>
      </c>
      <c r="H20" s="67"/>
    </row>
    <row r="21" spans="1:8" ht="21.75" x14ac:dyDescent="0.25">
      <c r="A21" s="66" t="s">
        <v>109</v>
      </c>
      <c r="B21" s="62">
        <v>1</v>
      </c>
      <c r="C21" s="62" t="s">
        <v>27</v>
      </c>
      <c r="D21" s="67">
        <v>1</v>
      </c>
      <c r="E21" s="67" t="s">
        <v>27</v>
      </c>
      <c r="F21" s="88">
        <v>12500</v>
      </c>
      <c r="G21" s="89">
        <f>F21*D21*1.1</f>
        <v>13750.000000000002</v>
      </c>
      <c r="H21" s="67"/>
    </row>
    <row r="22" spans="1:8" ht="21.75" x14ac:dyDescent="0.25">
      <c r="A22" s="66" t="s">
        <v>297</v>
      </c>
      <c r="B22" s="62"/>
      <c r="C22" s="62"/>
      <c r="D22" s="67">
        <f>D10</f>
        <v>148</v>
      </c>
      <c r="E22" s="67" t="s">
        <v>3</v>
      </c>
      <c r="F22" s="88">
        <v>300</v>
      </c>
      <c r="G22" s="89">
        <f>F22*D22*1</f>
        <v>44400</v>
      </c>
      <c r="H22" s="67"/>
    </row>
    <row r="23" spans="1:8" ht="21.75" x14ac:dyDescent="0.25">
      <c r="A23" s="344" t="s">
        <v>17</v>
      </c>
      <c r="B23" s="344"/>
      <c r="C23" s="344"/>
      <c r="D23" s="344"/>
      <c r="E23" s="344"/>
      <c r="F23" s="344"/>
      <c r="G23" s="90">
        <f>SUM(G10:G22)</f>
        <v>1397074.3293771015</v>
      </c>
      <c r="H23" s="90"/>
    </row>
    <row r="24" spans="1:8" x14ac:dyDescent="0.25">
      <c r="G24" s="94">
        <f>G23/981.89</f>
        <v>1422.8419979601599</v>
      </c>
    </row>
    <row r="25" spans="1:8" ht="21.75" x14ac:dyDescent="0.25">
      <c r="A25" s="52" t="s">
        <v>110</v>
      </c>
      <c r="B25" s="52"/>
      <c r="C25" s="52"/>
      <c r="D25" s="53"/>
      <c r="E25" s="53"/>
      <c r="F25" s="98"/>
      <c r="G25" s="98"/>
      <c r="H25" s="98"/>
    </row>
    <row r="26" spans="1:8" ht="21.75" x14ac:dyDescent="0.25">
      <c r="A26" s="56"/>
      <c r="B26" s="56"/>
      <c r="C26" s="56"/>
      <c r="D26" s="57"/>
      <c r="E26" s="57"/>
      <c r="F26" s="99"/>
      <c r="G26" s="100"/>
      <c r="H26" s="100"/>
    </row>
    <row r="27" spans="1:8" ht="21.75" x14ac:dyDescent="0.25">
      <c r="A27" s="63" t="s">
        <v>14</v>
      </c>
      <c r="B27" s="349" t="s">
        <v>5</v>
      </c>
      <c r="C27" s="350"/>
      <c r="D27" s="349" t="s">
        <v>18</v>
      </c>
      <c r="E27" s="350"/>
      <c r="F27" s="101" t="s">
        <v>118</v>
      </c>
      <c r="G27" s="90" t="s">
        <v>16</v>
      </c>
      <c r="H27" s="90" t="s">
        <v>295</v>
      </c>
    </row>
    <row r="28" spans="1:8" ht="43.5" x14ac:dyDescent="0.25">
      <c r="A28" s="66" t="s">
        <v>111</v>
      </c>
      <c r="B28" s="62">
        <v>0.76</v>
      </c>
      <c r="C28" s="62" t="s">
        <v>113</v>
      </c>
      <c r="D28" s="67">
        <f>B28*DADOS_INICIAIS!E25</f>
        <v>746.2364</v>
      </c>
      <c r="E28" s="67" t="s">
        <v>2</v>
      </c>
      <c r="F28" s="88">
        <v>68</v>
      </c>
      <c r="G28" s="89">
        <f>F28*D28*1.1</f>
        <v>55818.482720000007</v>
      </c>
      <c r="H28" s="67"/>
    </row>
    <row r="29" spans="1:8" ht="21.75" x14ac:dyDescent="0.25">
      <c r="A29" s="66" t="s">
        <v>296</v>
      </c>
      <c r="B29" s="62">
        <v>0.23</v>
      </c>
      <c r="C29" s="62" t="s">
        <v>112</v>
      </c>
      <c r="D29" s="67">
        <f>B29*DADOS_INICIAIS!E25</f>
        <v>225.8347</v>
      </c>
      <c r="E29" s="67" t="s">
        <v>22</v>
      </c>
      <c r="F29" s="88">
        <f>(535+45+(1.67*0.6))*1.05</f>
        <v>610.0521</v>
      </c>
      <c r="G29" s="89">
        <f>F29*D29*1.1</f>
        <v>151548.02628665703</v>
      </c>
      <c r="H29" s="67"/>
    </row>
    <row r="30" spans="1:8" ht="21.75" x14ac:dyDescent="0.25">
      <c r="A30" s="66" t="s">
        <v>23</v>
      </c>
      <c r="B30" s="62">
        <v>90</v>
      </c>
      <c r="C30" s="62" t="s">
        <v>34</v>
      </c>
      <c r="D30" s="67">
        <f>B30*D29</f>
        <v>20325.123</v>
      </c>
      <c r="E30" s="67" t="s">
        <v>26</v>
      </c>
      <c r="F30" s="88">
        <v>7.62</v>
      </c>
      <c r="G30" s="89">
        <f>F30*D30*1.1</f>
        <v>170365.18098600002</v>
      </c>
      <c r="H30" s="67"/>
    </row>
    <row r="31" spans="1:8" ht="21.75" x14ac:dyDescent="0.25">
      <c r="A31" s="66" t="s">
        <v>391</v>
      </c>
      <c r="B31" s="62">
        <v>1</v>
      </c>
      <c r="C31" s="62" t="s">
        <v>113</v>
      </c>
      <c r="D31" s="67">
        <f>B31*DADOS_INICIAIS!E25</f>
        <v>981.89</v>
      </c>
      <c r="E31" s="67" t="s">
        <v>2</v>
      </c>
      <c r="F31" s="199">
        <f>D39+D40+D41</f>
        <v>172.44521</v>
      </c>
      <c r="G31" s="89">
        <f>F31*D31*1.1</f>
        <v>186254.44997159002</v>
      </c>
      <c r="H31" s="67"/>
    </row>
    <row r="32" spans="1:8" ht="21.75" x14ac:dyDescent="0.25">
      <c r="A32" s="66" t="s">
        <v>25</v>
      </c>
      <c r="B32" s="62">
        <f>SUPRAESTRUTURA!B15*1.5</f>
        <v>360</v>
      </c>
      <c r="C32" s="62" t="s">
        <v>102</v>
      </c>
      <c r="D32" s="67">
        <f>DADOS_INICIAIS!E25</f>
        <v>981.89</v>
      </c>
      <c r="E32" s="67" t="s">
        <v>2</v>
      </c>
      <c r="F32" s="88">
        <f>B32</f>
        <v>360</v>
      </c>
      <c r="G32" s="89">
        <f>F32*D32*1.1</f>
        <v>388828.44000000006</v>
      </c>
      <c r="H32" s="67"/>
    </row>
    <row r="33" spans="1:8" ht="21.75" x14ac:dyDescent="0.25">
      <c r="A33" s="344" t="s">
        <v>17</v>
      </c>
      <c r="B33" s="344"/>
      <c r="C33" s="344"/>
      <c r="D33" s="344"/>
      <c r="E33" s="344"/>
      <c r="F33" s="344"/>
      <c r="G33" s="90">
        <f>SUM(G28:G32)</f>
        <v>952814.57996424718</v>
      </c>
      <c r="H33" s="90"/>
    </row>
    <row r="35" spans="1:8" x14ac:dyDescent="0.25">
      <c r="D35" s="86"/>
      <c r="E35" s="87"/>
    </row>
    <row r="36" spans="1:8" ht="21.75" x14ac:dyDescent="0.25">
      <c r="A36" s="354" t="s">
        <v>104</v>
      </c>
      <c r="B36" s="355"/>
      <c r="C36" s="355"/>
      <c r="D36" s="355"/>
      <c r="E36" s="355"/>
      <c r="F36" s="356"/>
      <c r="G36" s="91">
        <f>G23+G33</f>
        <v>2349888.9093413488</v>
      </c>
      <c r="H36" s="91">
        <f>G36/DADOS_INICIAIS!E9</f>
        <v>209.47130591845465</v>
      </c>
    </row>
    <row r="38" spans="1:8" x14ac:dyDescent="0.25">
      <c r="H38" s="94">
        <f>H36/1.1</f>
        <v>190.42845992586786</v>
      </c>
    </row>
    <row r="39" spans="1:8" x14ac:dyDescent="0.25">
      <c r="B39" s="55" t="s">
        <v>392</v>
      </c>
      <c r="C39" s="245">
        <f>0.1</f>
        <v>0.1</v>
      </c>
      <c r="D39" s="81">
        <f>C39*F29</f>
        <v>61.005210000000005</v>
      </c>
    </row>
    <row r="40" spans="1:8" x14ac:dyDescent="0.25">
      <c r="B40" s="55" t="s">
        <v>393</v>
      </c>
      <c r="C40" s="55">
        <f>C39*120</f>
        <v>12</v>
      </c>
      <c r="D40" s="81">
        <f>C40*F30</f>
        <v>91.44</v>
      </c>
    </row>
    <row r="41" spans="1:8" x14ac:dyDescent="0.25">
      <c r="B41" s="55" t="s">
        <v>394</v>
      </c>
      <c r="C41" s="245">
        <v>1</v>
      </c>
      <c r="D41" s="81">
        <f>C41*20</f>
        <v>20</v>
      </c>
    </row>
  </sheetData>
  <mergeCells count="12">
    <mergeCell ref="A33:F33"/>
    <mergeCell ref="A36:F36"/>
    <mergeCell ref="A3:H3"/>
    <mergeCell ref="A23:F23"/>
    <mergeCell ref="D9:E9"/>
    <mergeCell ref="B9:C9"/>
    <mergeCell ref="A11:A12"/>
    <mergeCell ref="A13:A14"/>
    <mergeCell ref="A15:A16"/>
    <mergeCell ref="B27:C27"/>
    <mergeCell ref="D27:E27"/>
    <mergeCell ref="A17:A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705D2-31BC-475C-B9D7-6D3BFDD48640}">
  <dimension ref="A1:J41"/>
  <sheetViews>
    <sheetView showGridLines="0" topLeftCell="A16" zoomScale="80" zoomScaleNormal="80" zoomScaleSheetLayoutView="95" workbookViewId="0">
      <selection activeCell="F31" sqref="F31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3.140625" style="94" bestFit="1" customWidth="1"/>
    <col min="8" max="8" width="69.425781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345" t="s">
        <v>122</v>
      </c>
      <c r="B3" s="353"/>
      <c r="C3" s="353"/>
      <c r="D3" s="346"/>
      <c r="E3" s="346"/>
      <c r="F3" s="346"/>
      <c r="G3" s="346"/>
      <c r="H3" s="347"/>
      <c r="J3" s="79"/>
    </row>
    <row r="4" spans="1:10" ht="19.5" x14ac:dyDescent="0.25">
      <c r="A4" s="182" t="s">
        <v>185</v>
      </c>
      <c r="B4" s="188">
        <v>45719</v>
      </c>
      <c r="C4" s="186"/>
      <c r="D4" s="186"/>
      <c r="E4" s="186"/>
      <c r="F4" s="186"/>
      <c r="G4" s="186"/>
      <c r="H4" s="187"/>
      <c r="J4" s="79"/>
    </row>
    <row r="5" spans="1:10" ht="19.5" x14ac:dyDescent="0.25">
      <c r="A5" s="182" t="s">
        <v>293</v>
      </c>
      <c r="B5" s="189" t="s">
        <v>210</v>
      </c>
      <c r="C5" s="184"/>
      <c r="D5" s="184"/>
      <c r="E5" s="184"/>
      <c r="F5" s="184"/>
      <c r="G5" s="184"/>
      <c r="H5" s="185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166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21.75" x14ac:dyDescent="0.25">
      <c r="A9" s="63" t="s">
        <v>14</v>
      </c>
      <c r="B9" s="349" t="s">
        <v>5</v>
      </c>
      <c r="C9" s="350"/>
      <c r="D9" s="349" t="s">
        <v>18</v>
      </c>
      <c r="E9" s="350"/>
      <c r="F9" s="101" t="s">
        <v>118</v>
      </c>
      <c r="G9" s="90" t="s">
        <v>16</v>
      </c>
      <c r="H9" s="90" t="s">
        <v>295</v>
      </c>
    </row>
    <row r="10" spans="1:10" ht="21.75" x14ac:dyDescent="0.25">
      <c r="A10" s="66" t="s">
        <v>107</v>
      </c>
      <c r="B10" s="62"/>
      <c r="C10" s="62"/>
      <c r="D10" s="67"/>
      <c r="E10" s="67" t="s">
        <v>3</v>
      </c>
      <c r="F10" s="92"/>
      <c r="G10" s="93"/>
      <c r="H10" s="67" t="s">
        <v>337</v>
      </c>
    </row>
    <row r="11" spans="1:10" ht="21.75" x14ac:dyDescent="0.25">
      <c r="A11" s="351" t="s">
        <v>161</v>
      </c>
      <c r="B11" s="76"/>
      <c r="C11" s="62"/>
      <c r="D11" s="67"/>
      <c r="E11" s="67" t="s">
        <v>3</v>
      </c>
      <c r="F11" s="92"/>
      <c r="G11" s="93"/>
      <c r="H11" s="67"/>
    </row>
    <row r="12" spans="1:10" ht="21.75" x14ac:dyDescent="0.25">
      <c r="A12" s="352"/>
      <c r="B12" s="77"/>
      <c r="C12" s="62"/>
      <c r="D12" s="67"/>
      <c r="E12" s="67" t="s">
        <v>4</v>
      </c>
      <c r="F12" s="88">
        <v>70</v>
      </c>
      <c r="G12" s="89">
        <f>F12*D12*1.1</f>
        <v>0</v>
      </c>
      <c r="H12" s="67"/>
    </row>
    <row r="13" spans="1:10" ht="21.75" x14ac:dyDescent="0.25">
      <c r="A13" s="351" t="s">
        <v>160</v>
      </c>
      <c r="B13" s="76"/>
      <c r="C13" s="62"/>
      <c r="D13" s="67"/>
      <c r="E13" s="67" t="s">
        <v>3</v>
      </c>
      <c r="F13" s="92"/>
      <c r="G13" s="93"/>
      <c r="H13" s="67"/>
    </row>
    <row r="14" spans="1:10" ht="21.75" x14ac:dyDescent="0.25">
      <c r="A14" s="352"/>
      <c r="B14" s="77"/>
      <c r="C14" s="62"/>
      <c r="D14" s="67"/>
      <c r="E14" s="67" t="s">
        <v>4</v>
      </c>
      <c r="F14" s="88">
        <v>90</v>
      </c>
      <c r="G14" s="89">
        <f>F14*D14*1.1</f>
        <v>0</v>
      </c>
      <c r="H14" s="67"/>
    </row>
    <row r="15" spans="1:10" ht="21.75" x14ac:dyDescent="0.25">
      <c r="A15" s="351" t="s">
        <v>114</v>
      </c>
      <c r="B15" s="76"/>
      <c r="C15" s="62"/>
      <c r="D15" s="67"/>
      <c r="E15" s="67" t="s">
        <v>3</v>
      </c>
      <c r="F15" s="92"/>
      <c r="G15" s="93"/>
      <c r="H15" s="67"/>
    </row>
    <row r="16" spans="1:10" ht="21.75" x14ac:dyDescent="0.25">
      <c r="A16" s="352"/>
      <c r="B16" s="77"/>
      <c r="C16" s="62"/>
      <c r="D16" s="67"/>
      <c r="E16" s="67" t="s">
        <v>4</v>
      </c>
      <c r="F16" s="88">
        <v>105</v>
      </c>
      <c r="G16" s="89">
        <f>F16*D16*1.1</f>
        <v>0</v>
      </c>
      <c r="H16" s="67"/>
    </row>
    <row r="17" spans="1:8" ht="21.75" x14ac:dyDescent="0.25">
      <c r="A17" s="351" t="s">
        <v>327</v>
      </c>
      <c r="B17" s="76"/>
      <c r="C17" s="62"/>
      <c r="D17" s="67"/>
      <c r="E17" s="67" t="s">
        <v>3</v>
      </c>
      <c r="F17" s="92"/>
      <c r="G17" s="93"/>
      <c r="H17" s="67"/>
    </row>
    <row r="18" spans="1:8" ht="21.75" x14ac:dyDescent="0.25">
      <c r="A18" s="352"/>
      <c r="B18" s="77"/>
      <c r="C18" s="62"/>
      <c r="D18" s="67"/>
      <c r="E18" s="67" t="s">
        <v>4</v>
      </c>
      <c r="F18" s="88">
        <v>120</v>
      </c>
      <c r="G18" s="89">
        <f>F18*D18*1.1</f>
        <v>0</v>
      </c>
      <c r="H18" s="67"/>
    </row>
    <row r="19" spans="1:8" ht="21.75" x14ac:dyDescent="0.25">
      <c r="A19" s="66" t="s">
        <v>296</v>
      </c>
      <c r="B19" s="62"/>
      <c r="C19" s="62"/>
      <c r="D19" s="67"/>
      <c r="E19" s="67" t="s">
        <v>22</v>
      </c>
      <c r="F19" s="88">
        <f>535+45</f>
        <v>580</v>
      </c>
      <c r="G19" s="89">
        <f>F19*D19*B19*1.1</f>
        <v>0</v>
      </c>
      <c r="H19" s="67"/>
    </row>
    <row r="20" spans="1:8" ht="21.75" x14ac:dyDescent="0.25">
      <c r="A20" s="66" t="s">
        <v>328</v>
      </c>
      <c r="B20" s="62"/>
      <c r="C20" s="62"/>
      <c r="D20" s="67"/>
      <c r="E20" s="67" t="s">
        <v>26</v>
      </c>
      <c r="F20" s="88">
        <v>7.62</v>
      </c>
      <c r="G20" s="89">
        <f>F20*D20*1.1</f>
        <v>0</v>
      </c>
      <c r="H20" s="67"/>
    </row>
    <row r="21" spans="1:8" ht="21.75" x14ac:dyDescent="0.25">
      <c r="A21" s="66" t="s">
        <v>109</v>
      </c>
      <c r="B21" s="62"/>
      <c r="C21" s="62"/>
      <c r="D21" s="67"/>
      <c r="E21" s="67" t="s">
        <v>27</v>
      </c>
      <c r="F21" s="88">
        <v>12500</v>
      </c>
      <c r="G21" s="89">
        <f>F21*D21*1.1</f>
        <v>0</v>
      </c>
      <c r="H21" s="67"/>
    </row>
    <row r="22" spans="1:8" ht="21.75" x14ac:dyDescent="0.25">
      <c r="A22" s="66" t="s">
        <v>297</v>
      </c>
      <c r="B22" s="62"/>
      <c r="C22" s="62"/>
      <c r="D22" s="67"/>
      <c r="E22" s="67" t="s">
        <v>3</v>
      </c>
      <c r="F22" s="88">
        <v>300</v>
      </c>
      <c r="G22" s="89">
        <f>F22*D22*1</f>
        <v>0</v>
      </c>
      <c r="H22" s="67"/>
    </row>
    <row r="23" spans="1:8" ht="21.75" x14ac:dyDescent="0.25">
      <c r="A23" s="344" t="s">
        <v>17</v>
      </c>
      <c r="B23" s="344"/>
      <c r="C23" s="344"/>
      <c r="D23" s="344"/>
      <c r="E23" s="344"/>
      <c r="F23" s="344"/>
      <c r="G23" s="90">
        <f>SUM(G10:G22)</f>
        <v>0</v>
      </c>
      <c r="H23" s="90"/>
    </row>
    <row r="25" spans="1:8" ht="21.75" x14ac:dyDescent="0.25">
      <c r="A25" s="52" t="s">
        <v>294</v>
      </c>
      <c r="B25" s="52"/>
      <c r="C25" s="52"/>
      <c r="D25" s="53"/>
      <c r="E25" s="53"/>
      <c r="F25" s="98"/>
      <c r="G25" s="98"/>
      <c r="H25" s="98"/>
    </row>
    <row r="26" spans="1:8" ht="21.75" x14ac:dyDescent="0.25">
      <c r="A26" s="56"/>
      <c r="B26" s="56"/>
      <c r="C26" s="56"/>
      <c r="D26" s="57"/>
      <c r="E26" s="57"/>
      <c r="F26" s="99"/>
      <c r="G26" s="100"/>
      <c r="H26" s="100"/>
    </row>
    <row r="27" spans="1:8" ht="21.75" x14ac:dyDescent="0.25">
      <c r="A27" s="63" t="s">
        <v>14</v>
      </c>
      <c r="B27" s="349" t="s">
        <v>5</v>
      </c>
      <c r="C27" s="350"/>
      <c r="D27" s="349" t="s">
        <v>18</v>
      </c>
      <c r="E27" s="350"/>
      <c r="F27" s="101" t="s">
        <v>118</v>
      </c>
      <c r="G27" s="90" t="s">
        <v>16</v>
      </c>
      <c r="H27" s="90" t="s">
        <v>295</v>
      </c>
    </row>
    <row r="28" spans="1:8" ht="21.75" x14ac:dyDescent="0.25">
      <c r="A28" s="66" t="s">
        <v>367</v>
      </c>
      <c r="B28" s="62"/>
      <c r="C28" s="62"/>
      <c r="D28" s="67">
        <f>DADOS_INICIAIS!E26</f>
        <v>161.88</v>
      </c>
      <c r="E28" s="67" t="s">
        <v>4</v>
      </c>
      <c r="F28" s="92"/>
      <c r="G28" s="93"/>
      <c r="H28" s="67">
        <f>D28*D29</f>
        <v>1456.92</v>
      </c>
    </row>
    <row r="29" spans="1:8" ht="21.75" x14ac:dyDescent="0.25">
      <c r="A29" s="66" t="s">
        <v>368</v>
      </c>
      <c r="B29" s="62"/>
      <c r="C29" s="62"/>
      <c r="D29" s="67">
        <f>6+3</f>
        <v>9</v>
      </c>
      <c r="E29" s="67" t="s">
        <v>4</v>
      </c>
      <c r="F29" s="92"/>
      <c r="G29" s="93"/>
      <c r="H29" s="67"/>
    </row>
    <row r="30" spans="1:8" ht="21.75" x14ac:dyDescent="0.25">
      <c r="A30" s="66" t="s">
        <v>407</v>
      </c>
      <c r="B30" s="62"/>
      <c r="C30" s="62"/>
      <c r="D30" s="67">
        <f>D28</f>
        <v>161.88</v>
      </c>
      <c r="E30" s="67" t="s">
        <v>4</v>
      </c>
      <c r="F30" s="88">
        <v>710</v>
      </c>
      <c r="G30" s="89">
        <f>F30*D30*1.1</f>
        <v>126428.28000000001</v>
      </c>
      <c r="H30" s="67"/>
    </row>
    <row r="31" spans="1:8" ht="21.75" x14ac:dyDescent="0.25">
      <c r="A31" s="66" t="s">
        <v>408</v>
      </c>
      <c r="B31" s="62"/>
      <c r="C31" s="62"/>
      <c r="D31" s="67">
        <f>D28*D29</f>
        <v>1456.92</v>
      </c>
      <c r="E31" s="67" t="s">
        <v>2</v>
      </c>
      <c r="F31" s="88">
        <v>270</v>
      </c>
      <c r="G31" s="89">
        <f>F31*D31</f>
        <v>393368.4</v>
      </c>
      <c r="H31" s="67"/>
    </row>
    <row r="32" spans="1:8" ht="21.75" x14ac:dyDescent="0.25">
      <c r="A32" s="66" t="s">
        <v>409</v>
      </c>
      <c r="B32" s="62"/>
      <c r="C32" s="62"/>
      <c r="D32" s="67">
        <v>1</v>
      </c>
      <c r="E32" s="67" t="s">
        <v>27</v>
      </c>
      <c r="F32" s="88">
        <v>18000</v>
      </c>
      <c r="G32" s="89">
        <f>F32</f>
        <v>18000</v>
      </c>
      <c r="H32" s="67"/>
    </row>
    <row r="33" spans="1:8" ht="21.75" x14ac:dyDescent="0.25">
      <c r="A33" s="66" t="s">
        <v>328</v>
      </c>
      <c r="B33" s="62">
        <v>112</v>
      </c>
      <c r="C33" s="62" t="s">
        <v>34</v>
      </c>
      <c r="D33" s="67">
        <f>B33*D34</f>
        <v>48952.511999999995</v>
      </c>
      <c r="E33" s="67" t="s">
        <v>26</v>
      </c>
      <c r="F33" s="88">
        <v>7.62</v>
      </c>
      <c r="G33" s="89">
        <f>F33*D33</f>
        <v>373018.14143999998</v>
      </c>
      <c r="H33" s="67"/>
    </row>
    <row r="34" spans="1:8" ht="21.75" x14ac:dyDescent="0.25">
      <c r="A34" s="66" t="s">
        <v>410</v>
      </c>
      <c r="B34" s="62">
        <v>0.3</v>
      </c>
      <c r="C34" s="62" t="s">
        <v>412</v>
      </c>
      <c r="D34" s="67">
        <f>B34*D29*D28</f>
        <v>437.07599999999996</v>
      </c>
      <c r="E34" s="67" t="s">
        <v>22</v>
      </c>
      <c r="F34" s="88">
        <f>(535*1.22+45+(1.67*0.6))*1.05</f>
        <v>733.63709999999992</v>
      </c>
      <c r="G34" s="89">
        <f>F34*D34*1.05</f>
        <v>336687.9275755799</v>
      </c>
      <c r="H34" s="67"/>
    </row>
    <row r="35" spans="1:8" ht="43.5" x14ac:dyDescent="0.25">
      <c r="A35" s="66" t="s">
        <v>411</v>
      </c>
      <c r="B35" s="62"/>
      <c r="C35" s="62"/>
      <c r="D35" s="67">
        <f>ROUNDUP(D28/1.25,0)*6</f>
        <v>780</v>
      </c>
      <c r="E35" s="67" t="s">
        <v>4</v>
      </c>
      <c r="F35" s="88">
        <v>41.5</v>
      </c>
      <c r="G35" s="89">
        <f>F35*D35*1.1</f>
        <v>35607</v>
      </c>
      <c r="H35" s="67"/>
    </row>
    <row r="36" spans="1:8" ht="21.75" x14ac:dyDescent="0.25">
      <c r="A36" s="344" t="s">
        <v>17</v>
      </c>
      <c r="B36" s="344"/>
      <c r="C36" s="344"/>
      <c r="D36" s="344"/>
      <c r="E36" s="344"/>
      <c r="F36" s="344"/>
      <c r="G36" s="90">
        <f>SUM(G28:G35)</f>
        <v>1283109.7490155799</v>
      </c>
      <c r="H36" s="90"/>
    </row>
    <row r="38" spans="1:8" x14ac:dyDescent="0.25">
      <c r="D38" s="86"/>
      <c r="E38" s="87"/>
    </row>
    <row r="39" spans="1:8" ht="21.75" x14ac:dyDescent="0.25">
      <c r="A39" s="354" t="s">
        <v>369</v>
      </c>
      <c r="B39" s="355"/>
      <c r="C39" s="355"/>
      <c r="D39" s="355"/>
      <c r="E39" s="355"/>
      <c r="F39" s="356"/>
      <c r="G39" s="91">
        <f>G23+G36</f>
        <v>1283109.7490155799</v>
      </c>
      <c r="H39" s="91">
        <f>G39/DADOS_INICIAIS!E9</f>
        <v>114.37760895613106</v>
      </c>
    </row>
    <row r="41" spans="1:8" x14ac:dyDescent="0.25">
      <c r="H41" s="94">
        <f>H39/1.1</f>
        <v>103.97964450557367</v>
      </c>
    </row>
  </sheetData>
  <mergeCells count="12">
    <mergeCell ref="A39:F39"/>
    <mergeCell ref="A3:H3"/>
    <mergeCell ref="B9:C9"/>
    <mergeCell ref="D9:E9"/>
    <mergeCell ref="A11:A12"/>
    <mergeCell ref="A13:A14"/>
    <mergeCell ref="A15:A16"/>
    <mergeCell ref="A17:A18"/>
    <mergeCell ref="A23:F23"/>
    <mergeCell ref="B27:C27"/>
    <mergeCell ref="D27:E27"/>
    <mergeCell ref="A36:F3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6ECC-E58E-429D-83BE-C07977C5DA4B}">
  <sheetPr>
    <tabColor rgb="FF92D050"/>
  </sheetPr>
  <dimension ref="A1:L64"/>
  <sheetViews>
    <sheetView showGridLines="0" tabSelected="1" zoomScale="80" zoomScaleNormal="80" zoomScaleSheetLayoutView="95" workbookViewId="0">
      <selection activeCell="B23" sqref="B23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6.85546875" style="55" customWidth="1"/>
    <col min="8" max="8" width="58.28515625" style="55" customWidth="1"/>
    <col min="9" max="9" width="14.5703125" style="55" customWidth="1"/>
    <col min="10" max="10" width="13.7109375" style="55" bestFit="1" customWidth="1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345" t="s">
        <v>28</v>
      </c>
      <c r="B3" s="353"/>
      <c r="C3" s="353"/>
      <c r="D3" s="346"/>
      <c r="E3" s="346"/>
      <c r="F3" s="346"/>
      <c r="G3" s="346"/>
      <c r="H3" s="347"/>
      <c r="J3" s="79"/>
    </row>
    <row r="4" spans="1:10" ht="19.5" x14ac:dyDescent="0.25">
      <c r="A4" s="182" t="s">
        <v>185</v>
      </c>
      <c r="B4" s="188">
        <v>45472</v>
      </c>
      <c r="C4" s="186"/>
      <c r="D4" s="186"/>
      <c r="E4" s="186"/>
      <c r="F4" s="186"/>
      <c r="G4" s="186"/>
      <c r="H4" s="187"/>
      <c r="J4" s="79"/>
    </row>
    <row r="5" spans="1:10" ht="19.5" x14ac:dyDescent="0.25">
      <c r="A5" s="182" t="s">
        <v>293</v>
      </c>
      <c r="B5" s="189" t="s">
        <v>210</v>
      </c>
      <c r="C5" s="184"/>
      <c r="D5" s="184"/>
      <c r="E5" s="184"/>
      <c r="F5" s="184"/>
      <c r="G5" s="184"/>
      <c r="H5" s="185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hidden="1" x14ac:dyDescent="0.25">
      <c r="A7" s="52" t="s">
        <v>302</v>
      </c>
      <c r="B7" s="52"/>
      <c r="C7" s="52"/>
      <c r="D7" s="53"/>
      <c r="E7" s="53"/>
      <c r="F7" s="54"/>
      <c r="G7" s="53"/>
      <c r="H7" s="53"/>
    </row>
    <row r="8" spans="1:10" ht="21.75" hidden="1" x14ac:dyDescent="0.25">
      <c r="A8" s="56"/>
      <c r="B8" s="56"/>
      <c r="C8" s="56"/>
      <c r="D8" s="57"/>
      <c r="E8" s="57"/>
      <c r="F8" s="58"/>
      <c r="G8" s="59"/>
      <c r="H8" s="59"/>
    </row>
    <row r="9" spans="1:10" ht="42" hidden="1" customHeight="1" x14ac:dyDescent="0.25">
      <c r="A9" s="63" t="s">
        <v>14</v>
      </c>
      <c r="B9" s="349" t="s">
        <v>5</v>
      </c>
      <c r="C9" s="350"/>
      <c r="D9" s="349" t="s">
        <v>18</v>
      </c>
      <c r="E9" s="350"/>
      <c r="F9" s="65" t="s">
        <v>118</v>
      </c>
      <c r="G9" s="71" t="s">
        <v>16</v>
      </c>
      <c r="H9" s="90" t="s">
        <v>295</v>
      </c>
    </row>
    <row r="10" spans="1:10" ht="21.75" hidden="1" x14ac:dyDescent="0.25">
      <c r="A10" s="66" t="s">
        <v>29</v>
      </c>
      <c r="B10" s="62">
        <v>3</v>
      </c>
      <c r="C10" s="62" t="s">
        <v>301</v>
      </c>
      <c r="D10" s="67">
        <f>(D11/DADOS_INICIAIS!$E$15)*B10</f>
        <v>3116.1638888888892</v>
      </c>
      <c r="E10" s="67" t="s">
        <v>2</v>
      </c>
      <c r="F10" s="88">
        <v>110</v>
      </c>
      <c r="G10" s="89">
        <f>F10*D10*1.1</f>
        <v>377055.83055555564</v>
      </c>
      <c r="H10" s="67"/>
    </row>
    <row r="11" spans="1:10" ht="21.75" hidden="1" x14ac:dyDescent="0.25">
      <c r="A11" s="78" t="s">
        <v>30</v>
      </c>
      <c r="B11" s="62">
        <v>2.5</v>
      </c>
      <c r="C11" s="62" t="s">
        <v>37</v>
      </c>
      <c r="D11" s="67">
        <f>B11*DADOS_INICIAIS!$E$9</f>
        <v>28045.475000000002</v>
      </c>
      <c r="E11" s="67" t="s">
        <v>2</v>
      </c>
      <c r="F11" s="88">
        <v>2.5</v>
      </c>
      <c r="G11" s="89">
        <f>F11*D11*1.1</f>
        <v>77125.056250000009</v>
      </c>
      <c r="H11" s="67"/>
    </row>
    <row r="12" spans="1:10" ht="21.75" hidden="1" x14ac:dyDescent="0.25">
      <c r="A12" s="78" t="s">
        <v>312</v>
      </c>
      <c r="B12" s="62">
        <v>4</v>
      </c>
      <c r="C12" s="62" t="s">
        <v>164</v>
      </c>
      <c r="D12" s="67">
        <f>ROUNDUP(B12*DADOS_INICIAIS!$E$25*B10,0)</f>
        <v>11783</v>
      </c>
      <c r="E12" s="67" t="s">
        <v>3</v>
      </c>
      <c r="F12" s="88">
        <f>17</f>
        <v>17</v>
      </c>
      <c r="G12" s="89">
        <f>F12*D12*1.1</f>
        <v>220342.1</v>
      </c>
      <c r="H12" s="67"/>
      <c r="I12" s="191"/>
    </row>
    <row r="13" spans="1:10" ht="21.75" hidden="1" x14ac:dyDescent="0.25">
      <c r="A13" s="66" t="s">
        <v>99</v>
      </c>
      <c r="B13" s="62">
        <v>0.22</v>
      </c>
      <c r="C13" s="62" t="s">
        <v>38</v>
      </c>
      <c r="D13" s="67">
        <f>B13*DADOS_INICIAIS!$E$9</f>
        <v>2468.0018</v>
      </c>
      <c r="E13" s="67" t="s">
        <v>22</v>
      </c>
      <c r="F13" s="88">
        <f>(535+45+(1.67*0.6))*1.05</f>
        <v>610.0521</v>
      </c>
      <c r="G13" s="89">
        <f>F13*D13*1.05*1.1</f>
        <v>1738979.1814323161</v>
      </c>
      <c r="H13" s="67"/>
    </row>
    <row r="14" spans="1:10" ht="21.75" hidden="1" x14ac:dyDescent="0.25">
      <c r="A14" s="66" t="s">
        <v>31</v>
      </c>
      <c r="B14" s="62">
        <v>110</v>
      </c>
      <c r="C14" s="62" t="s">
        <v>34</v>
      </c>
      <c r="D14" s="67">
        <f>D13*B14</f>
        <v>271480.19799999997</v>
      </c>
      <c r="E14" s="67" t="s">
        <v>26</v>
      </c>
      <c r="F14" s="88">
        <v>7.62</v>
      </c>
      <c r="G14" s="89">
        <f>F14*D14*1.1</f>
        <v>2275547.019636</v>
      </c>
      <c r="H14" s="67"/>
    </row>
    <row r="15" spans="1:10" ht="43.5" hidden="1" x14ac:dyDescent="0.25">
      <c r="A15" s="66" t="s">
        <v>101</v>
      </c>
      <c r="B15" s="62">
        <v>240</v>
      </c>
      <c r="C15" s="62" t="s">
        <v>6</v>
      </c>
      <c r="D15" s="67">
        <f>DADOS_INICIAIS!$E$9</f>
        <v>11218.19</v>
      </c>
      <c r="E15" s="67" t="s">
        <v>2</v>
      </c>
      <c r="F15" s="88">
        <f>B15</f>
        <v>240</v>
      </c>
      <c r="G15" s="89">
        <f>F15*D15*1.1</f>
        <v>2961602.16</v>
      </c>
      <c r="H15" s="67"/>
    </row>
    <row r="16" spans="1:10" ht="43.5" hidden="1" x14ac:dyDescent="0.25">
      <c r="A16" s="66" t="s">
        <v>298</v>
      </c>
      <c r="B16" s="62">
        <v>5300</v>
      </c>
      <c r="C16" s="62" t="s">
        <v>299</v>
      </c>
      <c r="D16" s="67">
        <v>1</v>
      </c>
      <c r="E16" s="67" t="s">
        <v>27</v>
      </c>
      <c r="F16" s="88">
        <f>B16*DADOS_INICIAIS!$E$15</f>
        <v>143100</v>
      </c>
      <c r="G16" s="89">
        <f>F16*D16*1.1</f>
        <v>157410</v>
      </c>
      <c r="H16" s="67" t="s">
        <v>300</v>
      </c>
      <c r="I16" s="55" t="s">
        <v>305</v>
      </c>
    </row>
    <row r="17" spans="1:12" ht="21.75" hidden="1" x14ac:dyDescent="0.25">
      <c r="A17" s="344" t="s">
        <v>17</v>
      </c>
      <c r="B17" s="344"/>
      <c r="C17" s="344"/>
      <c r="D17" s="344"/>
      <c r="E17" s="344"/>
      <c r="F17" s="344"/>
      <c r="G17" s="90">
        <f>SUM(G10:G16)</f>
        <v>7808061.3478738721</v>
      </c>
      <c r="H17" s="90"/>
      <c r="K17" s="55">
        <f>4160+1440+1120+2880+4800+91680+4000</f>
        <v>110080</v>
      </c>
      <c r="L17" s="55">
        <f>K17/21</f>
        <v>5241.9047619047615</v>
      </c>
    </row>
    <row r="19" spans="1:12" ht="21.75" x14ac:dyDescent="0.25">
      <c r="A19" s="197" t="s">
        <v>303</v>
      </c>
      <c r="B19" s="52"/>
      <c r="C19" s="52"/>
      <c r="D19" s="53"/>
      <c r="E19" s="53"/>
      <c r="F19" s="54"/>
      <c r="G19" s="53"/>
      <c r="H19" s="53"/>
    </row>
    <row r="20" spans="1:12" ht="21.75" x14ac:dyDescent="0.25">
      <c r="A20" s="56"/>
      <c r="B20" s="56"/>
      <c r="C20" s="56"/>
      <c r="D20" s="57"/>
      <c r="E20" s="57"/>
      <c r="F20" s="58"/>
      <c r="G20" s="59"/>
      <c r="H20" s="59"/>
    </row>
    <row r="21" spans="1:12" ht="21.75" x14ac:dyDescent="0.25">
      <c r="A21" s="63" t="s">
        <v>14</v>
      </c>
      <c r="B21" s="349" t="s">
        <v>5</v>
      </c>
      <c r="C21" s="350"/>
      <c r="D21" s="349" t="s">
        <v>18</v>
      </c>
      <c r="E21" s="350"/>
      <c r="F21" s="65" t="s">
        <v>118</v>
      </c>
      <c r="G21" s="71" t="s">
        <v>16</v>
      </c>
      <c r="H21" s="90" t="s">
        <v>295</v>
      </c>
    </row>
    <row r="22" spans="1:12" ht="21.75" x14ac:dyDescent="0.25">
      <c r="A22" s="66" t="s">
        <v>29</v>
      </c>
      <c r="B22" s="62">
        <v>3</v>
      </c>
      <c r="C22" s="62" t="s">
        <v>301</v>
      </c>
      <c r="D22" s="67">
        <f>(D23/DADOS_INICIAIS!$E$15)*B22</f>
        <v>2617.5776666666666</v>
      </c>
      <c r="E22" s="67" t="s">
        <v>2</v>
      </c>
      <c r="F22" s="88">
        <v>110</v>
      </c>
      <c r="G22" s="89">
        <f t="shared" ref="G22:G29" si="0">F22*D22*1.1</f>
        <v>316726.89766666671</v>
      </c>
      <c r="H22" s="67"/>
    </row>
    <row r="23" spans="1:12" ht="21.75" x14ac:dyDescent="0.25">
      <c r="A23" s="78" t="s">
        <v>30</v>
      </c>
      <c r="B23" s="62">
        <v>2.1</v>
      </c>
      <c r="C23" s="62" t="s">
        <v>37</v>
      </c>
      <c r="D23" s="67">
        <f>B23*DADOS_INICIAIS!$E$9</f>
        <v>23558.199000000001</v>
      </c>
      <c r="E23" s="67" t="s">
        <v>2</v>
      </c>
      <c r="F23" s="88">
        <v>2.5</v>
      </c>
      <c r="G23" s="89">
        <f t="shared" si="0"/>
        <v>64785.047250000003</v>
      </c>
      <c r="H23" s="67"/>
      <c r="J23" s="55" t="s">
        <v>585</v>
      </c>
    </row>
    <row r="24" spans="1:12" ht="21.75" x14ac:dyDescent="0.25">
      <c r="A24" s="78" t="s">
        <v>312</v>
      </c>
      <c r="B24" s="62">
        <v>0.28000000000000003</v>
      </c>
      <c r="C24" s="62" t="s">
        <v>586</v>
      </c>
      <c r="D24" s="67">
        <f>4*DADOS_INICIAIS!E19*SUPRAESTRUTURA!B22</f>
        <v>3713.16</v>
      </c>
      <c r="E24" s="67" t="s">
        <v>3</v>
      </c>
      <c r="F24" s="88">
        <v>11.51</v>
      </c>
      <c r="G24" s="89">
        <f>F24*D24*1.1</f>
        <v>47012.318760000002</v>
      </c>
      <c r="H24" s="67"/>
      <c r="I24" s="191"/>
      <c r="J24" s="327">
        <v>45909</v>
      </c>
      <c r="K24" s="55" t="s">
        <v>583</v>
      </c>
    </row>
    <row r="25" spans="1:12" ht="21.75" x14ac:dyDescent="0.25">
      <c r="A25" s="66" t="s">
        <v>116</v>
      </c>
      <c r="B25" s="62"/>
      <c r="C25" s="62"/>
      <c r="D25" s="67">
        <v>10</v>
      </c>
      <c r="E25" s="67" t="s">
        <v>371</v>
      </c>
      <c r="F25" s="88">
        <f>H25*0.45*30</f>
        <v>12541.5</v>
      </c>
      <c r="G25" s="89">
        <f t="shared" si="0"/>
        <v>137956.5</v>
      </c>
      <c r="H25" s="67">
        <f>ROUNDUP(DADOS_INICIAIS!E19*B22,0)</f>
        <v>929</v>
      </c>
      <c r="J25" s="327">
        <v>45607</v>
      </c>
      <c r="K25" s="55" t="s">
        <v>584</v>
      </c>
    </row>
    <row r="26" spans="1:12" ht="21.75" x14ac:dyDescent="0.25">
      <c r="A26" s="66" t="s">
        <v>99</v>
      </c>
      <c r="B26" s="62">
        <v>0.28000000000000003</v>
      </c>
      <c r="C26" s="62" t="s">
        <v>38</v>
      </c>
      <c r="D26" s="67">
        <f>B26*DADOS_INICIAIS!$E$9</f>
        <v>3141.0932000000003</v>
      </c>
      <c r="E26" s="67" t="s">
        <v>22</v>
      </c>
      <c r="F26" s="88">
        <f>(535+45+(1.67*0.6))*1.05</f>
        <v>610.0521</v>
      </c>
      <c r="G26" s="89">
        <f t="shared" si="0"/>
        <v>2107853.5532512921</v>
      </c>
      <c r="H26" s="67" t="s">
        <v>581</v>
      </c>
      <c r="J26" s="55">
        <f>J24-J25</f>
        <v>302</v>
      </c>
    </row>
    <row r="27" spans="1:12" ht="21.75" x14ac:dyDescent="0.25">
      <c r="A27" s="66" t="s">
        <v>31</v>
      </c>
      <c r="B27" s="62">
        <v>75</v>
      </c>
      <c r="C27" s="62" t="s">
        <v>34</v>
      </c>
      <c r="D27" s="67">
        <f>D26*B27</f>
        <v>235581.99000000002</v>
      </c>
      <c r="E27" s="67" t="s">
        <v>26</v>
      </c>
      <c r="F27" s="88">
        <v>5.95</v>
      </c>
      <c r="G27" s="89">
        <f t="shared" si="0"/>
        <v>1541884.1245500003</v>
      </c>
      <c r="H27" s="67" t="s">
        <v>581</v>
      </c>
      <c r="J27" s="55">
        <f>J26/30</f>
        <v>10.066666666666666</v>
      </c>
    </row>
    <row r="28" spans="1:12" ht="43.5" x14ac:dyDescent="0.25">
      <c r="A28" s="66" t="s">
        <v>101</v>
      </c>
      <c r="B28" s="62">
        <v>240</v>
      </c>
      <c r="C28" s="62" t="s">
        <v>6</v>
      </c>
      <c r="D28" s="67">
        <f>DADOS_INICIAIS!$E$9</f>
        <v>11218.19</v>
      </c>
      <c r="E28" s="67" t="s">
        <v>2</v>
      </c>
      <c r="F28" s="88"/>
      <c r="G28" s="89">
        <f>'Custos Serviços'!D9</f>
        <v>3071832.8731563003</v>
      </c>
      <c r="H28" s="67" t="s">
        <v>582</v>
      </c>
    </row>
    <row r="29" spans="1:12" ht="43.5" x14ac:dyDescent="0.25">
      <c r="A29" s="66" t="s">
        <v>298</v>
      </c>
      <c r="B29" s="62">
        <f>5300*0.8</f>
        <v>4240</v>
      </c>
      <c r="C29" s="62" t="s">
        <v>299</v>
      </c>
      <c r="D29" s="67">
        <v>1</v>
      </c>
      <c r="E29" s="67" t="s">
        <v>27</v>
      </c>
      <c r="F29" s="88">
        <f>B29*DADOS_INICIAIS!$E$15</f>
        <v>114480</v>
      </c>
      <c r="G29" s="89">
        <f t="shared" si="0"/>
        <v>125928.00000000001</v>
      </c>
      <c r="H29" s="67" t="s">
        <v>300</v>
      </c>
    </row>
    <row r="30" spans="1:12" ht="21.75" x14ac:dyDescent="0.25">
      <c r="A30" s="344" t="s">
        <v>17</v>
      </c>
      <c r="B30" s="344"/>
      <c r="C30" s="344"/>
      <c r="D30" s="344"/>
      <c r="E30" s="344"/>
      <c r="F30" s="344"/>
      <c r="G30" s="90">
        <f>SUM(G22:G29)</f>
        <v>7413979.3146342598</v>
      </c>
      <c r="H30" s="90"/>
    </row>
    <row r="32" spans="1:12" ht="21.75" hidden="1" x14ac:dyDescent="0.25">
      <c r="A32" s="52" t="s">
        <v>304</v>
      </c>
      <c r="B32" s="52"/>
      <c r="C32" s="52"/>
      <c r="D32" s="53"/>
      <c r="E32" s="53"/>
      <c r="F32" s="54"/>
      <c r="G32" s="53"/>
      <c r="H32" s="53"/>
    </row>
    <row r="33" spans="1:8" ht="21.75" hidden="1" x14ac:dyDescent="0.25">
      <c r="A33" s="56"/>
      <c r="B33" s="56"/>
      <c r="C33" s="56"/>
      <c r="D33" s="57"/>
      <c r="E33" s="57"/>
      <c r="F33" s="58"/>
      <c r="G33" s="59"/>
      <c r="H33" s="59"/>
    </row>
    <row r="34" spans="1:8" ht="21.75" hidden="1" x14ac:dyDescent="0.25">
      <c r="A34" s="63" t="s">
        <v>14</v>
      </c>
      <c r="B34" s="349" t="s">
        <v>5</v>
      </c>
      <c r="C34" s="350"/>
      <c r="D34" s="349" t="s">
        <v>18</v>
      </c>
      <c r="E34" s="350"/>
      <c r="F34" s="65" t="s">
        <v>118</v>
      </c>
      <c r="G34" s="71" t="s">
        <v>16</v>
      </c>
      <c r="H34" s="90" t="s">
        <v>295</v>
      </c>
    </row>
    <row r="35" spans="1:8" ht="21.75" hidden="1" x14ac:dyDescent="0.25">
      <c r="A35" s="66" t="s">
        <v>29</v>
      </c>
      <c r="B35" s="190">
        <v>2</v>
      </c>
      <c r="C35" s="190" t="s">
        <v>301</v>
      </c>
      <c r="D35" s="67">
        <f>(D36/DADOS_INICIAIS!$E$15)*B35</f>
        <v>11.455250105673649</v>
      </c>
      <c r="E35" s="67" t="s">
        <v>2</v>
      </c>
      <c r="F35" s="88">
        <v>85</v>
      </c>
      <c r="G35" s="89">
        <f>F35*D35*1.1</f>
        <v>1071.0658848804862</v>
      </c>
      <c r="H35" s="67"/>
    </row>
    <row r="36" spans="1:8" ht="21.75" hidden="1" x14ac:dyDescent="0.25">
      <c r="A36" s="78" t="s">
        <v>30</v>
      </c>
      <c r="B36" s="190">
        <v>2.1</v>
      </c>
      <c r="C36" s="190" t="s">
        <v>37</v>
      </c>
      <c r="D36" s="67">
        <f>B36*DADOS_INICIAIS!E38</f>
        <v>154.64587642659427</v>
      </c>
      <c r="E36" s="67" t="s">
        <v>2</v>
      </c>
      <c r="F36" s="88">
        <v>1.5</v>
      </c>
      <c r="G36" s="89">
        <f>F36*D36*1.1</f>
        <v>255.16569610388058</v>
      </c>
      <c r="H36" s="67"/>
    </row>
    <row r="37" spans="1:8" ht="21.75" hidden="1" x14ac:dyDescent="0.25">
      <c r="A37" s="78" t="s">
        <v>32</v>
      </c>
      <c r="B37" s="190">
        <v>2</v>
      </c>
      <c r="C37" s="190" t="s">
        <v>163</v>
      </c>
      <c r="D37" s="67">
        <f>B37*DADOS_INICIAIS!E44*DADOS_INICIAIS!E42</f>
        <v>7637.4619136709225</v>
      </c>
      <c r="E37" s="67" t="s">
        <v>3</v>
      </c>
      <c r="F37" s="88">
        <v>17</v>
      </c>
      <c r="G37" s="89">
        <f>F37*D37*1.1</f>
        <v>142820.53778564627</v>
      </c>
      <c r="H37" s="67"/>
    </row>
    <row r="38" spans="1:8" ht="21.75" hidden="1" x14ac:dyDescent="0.25">
      <c r="A38" s="78" t="s">
        <v>33</v>
      </c>
      <c r="B38" s="190">
        <v>2</v>
      </c>
      <c r="C38" s="190" t="s">
        <v>164</v>
      </c>
      <c r="D38" s="67">
        <f>B38*DADOS_INICIAIS!E46</f>
        <v>183.50366418974841</v>
      </c>
      <c r="E38" s="67" t="s">
        <v>3</v>
      </c>
      <c r="F38" s="88">
        <v>17</v>
      </c>
      <c r="G38" s="89">
        <f>F38*D38*1.1</f>
        <v>3431.5185203482956</v>
      </c>
      <c r="H38" s="67"/>
    </row>
    <row r="39" spans="1:8" ht="21.75" hidden="1" x14ac:dyDescent="0.25">
      <c r="A39" s="66" t="s">
        <v>116</v>
      </c>
      <c r="B39" s="190">
        <v>25</v>
      </c>
      <c r="C39" s="190" t="s">
        <v>6</v>
      </c>
      <c r="D39" s="67">
        <f>B39*DADOS_INICIAIS!E38</f>
        <v>1841.0223384118365</v>
      </c>
      <c r="E39" s="67" t="s">
        <v>22</v>
      </c>
      <c r="F39" s="88">
        <f>B39</f>
        <v>25</v>
      </c>
      <c r="G39" s="89">
        <f>F39*D39*1.1</f>
        <v>50628.114306325508</v>
      </c>
      <c r="H39" s="67"/>
    </row>
    <row r="40" spans="1:8" ht="21.75" hidden="1" x14ac:dyDescent="0.25">
      <c r="A40" s="66" t="s">
        <v>99</v>
      </c>
      <c r="B40" s="190">
        <v>0.25</v>
      </c>
      <c r="C40" s="190" t="s">
        <v>38</v>
      </c>
      <c r="D40" s="67">
        <f>B40*DADOS_INICIAIS!E38</f>
        <v>18.410223384118364</v>
      </c>
      <c r="E40" s="67" t="s">
        <v>22</v>
      </c>
      <c r="F40" s="88">
        <f>575</f>
        <v>575</v>
      </c>
      <c r="G40" s="89">
        <f>F40*D40*1.05*1.1</f>
        <v>12226.68960497761</v>
      </c>
      <c r="H40" s="67"/>
    </row>
    <row r="41" spans="1:8" ht="21.75" hidden="1" x14ac:dyDescent="0.25">
      <c r="A41" s="66" t="s">
        <v>31</v>
      </c>
      <c r="B41" s="190">
        <v>110</v>
      </c>
      <c r="C41" s="190" t="s">
        <v>34</v>
      </c>
      <c r="D41" s="67">
        <f>D40*B41</f>
        <v>2025.12457225302</v>
      </c>
      <c r="E41" s="67" t="s">
        <v>26</v>
      </c>
      <c r="F41" s="88">
        <v>7.25</v>
      </c>
      <c r="G41" s="89">
        <f>F41*D41*1.1</f>
        <v>16150.368463717836</v>
      </c>
      <c r="H41" s="67"/>
    </row>
    <row r="42" spans="1:8" ht="43.5" hidden="1" x14ac:dyDescent="0.25">
      <c r="A42" s="66" t="s">
        <v>101</v>
      </c>
      <c r="B42" s="190">
        <v>240</v>
      </c>
      <c r="C42" s="190" t="s">
        <v>6</v>
      </c>
      <c r="D42" s="67">
        <f>DADOS_INICIAIS!E38</f>
        <v>73.640893536473456</v>
      </c>
      <c r="E42" s="67" t="s">
        <v>2</v>
      </c>
      <c r="F42" s="88">
        <f>B42</f>
        <v>240</v>
      </c>
      <c r="G42" s="89">
        <f>F42*D42*1.1</f>
        <v>19441.195893628996</v>
      </c>
      <c r="H42" s="67"/>
    </row>
    <row r="43" spans="1:8" ht="43.5" hidden="1" x14ac:dyDescent="0.25">
      <c r="A43" s="66" t="s">
        <v>298</v>
      </c>
      <c r="B43" s="190">
        <v>5300</v>
      </c>
      <c r="C43" s="190" t="s">
        <v>299</v>
      </c>
      <c r="D43" s="67">
        <v>1</v>
      </c>
      <c r="E43" s="67" t="s">
        <v>27</v>
      </c>
      <c r="F43" s="88">
        <f>B43*DADOS_INICIAIS!E41</f>
        <v>908077.00518589269</v>
      </c>
      <c r="G43" s="89">
        <f>F43*D43*1.1</f>
        <v>998884.70570448204</v>
      </c>
      <c r="H43" s="67" t="s">
        <v>300</v>
      </c>
    </row>
    <row r="44" spans="1:8" ht="21.75" hidden="1" x14ac:dyDescent="0.25">
      <c r="A44" s="344" t="s">
        <v>17</v>
      </c>
      <c r="B44" s="344"/>
      <c r="C44" s="344"/>
      <c r="D44" s="344"/>
      <c r="E44" s="344"/>
      <c r="F44" s="344"/>
      <c r="G44" s="90">
        <f>SUM(G35:G43)</f>
        <v>1244909.3618601109</v>
      </c>
      <c r="H44" s="90"/>
    </row>
    <row r="45" spans="1:8" hidden="1" x14ac:dyDescent="0.25"/>
    <row r="46" spans="1:8" ht="21.75" hidden="1" x14ac:dyDescent="0.25">
      <c r="A46" s="52" t="s">
        <v>329</v>
      </c>
      <c r="B46" s="52"/>
      <c r="C46" s="52"/>
      <c r="D46" s="53"/>
      <c r="E46" s="53"/>
      <c r="F46" s="54"/>
      <c r="G46" s="53"/>
      <c r="H46" s="53"/>
    </row>
    <row r="47" spans="1:8" ht="21.75" hidden="1" x14ac:dyDescent="0.25">
      <c r="A47" s="56"/>
      <c r="B47" s="56"/>
      <c r="C47" s="56"/>
      <c r="D47" s="57"/>
      <c r="E47" s="57"/>
      <c r="F47" s="58"/>
      <c r="G47" s="59"/>
      <c r="H47" s="59"/>
    </row>
    <row r="48" spans="1:8" ht="21.75" hidden="1" x14ac:dyDescent="0.25">
      <c r="A48" s="63" t="s">
        <v>14</v>
      </c>
      <c r="B48" s="349" t="s">
        <v>5</v>
      </c>
      <c r="C48" s="350"/>
      <c r="D48" s="349" t="s">
        <v>18</v>
      </c>
      <c r="E48" s="350"/>
      <c r="F48" s="65" t="s">
        <v>118</v>
      </c>
      <c r="G48" s="71" t="s">
        <v>16</v>
      </c>
      <c r="H48" s="90" t="s">
        <v>295</v>
      </c>
    </row>
    <row r="49" spans="1:8" ht="21.75" hidden="1" x14ac:dyDescent="0.25">
      <c r="A49" s="66" t="s">
        <v>29</v>
      </c>
      <c r="B49" s="62">
        <v>3</v>
      </c>
      <c r="C49" s="62" t="s">
        <v>301</v>
      </c>
      <c r="D49" s="67">
        <f>(D50/DADOS_INICIAIS!$E$15)*B49</f>
        <v>2617.5776666666666</v>
      </c>
      <c r="E49" s="67" t="s">
        <v>2</v>
      </c>
      <c r="F49" s="88">
        <v>110</v>
      </c>
      <c r="G49" s="89">
        <f t="shared" ref="G49:G54" si="1">F49*D49*1.1</f>
        <v>316726.89766666671</v>
      </c>
      <c r="H49" s="67"/>
    </row>
    <row r="50" spans="1:8" ht="21.75" hidden="1" x14ac:dyDescent="0.25">
      <c r="A50" s="78" t="s">
        <v>30</v>
      </c>
      <c r="B50" s="62">
        <v>2.1</v>
      </c>
      <c r="C50" s="62" t="s">
        <v>37</v>
      </c>
      <c r="D50" s="67">
        <f>B50*DADOS_INICIAIS!$E$9</f>
        <v>23558.199000000001</v>
      </c>
      <c r="E50" s="67" t="s">
        <v>2</v>
      </c>
      <c r="F50" s="88">
        <v>2.5</v>
      </c>
      <c r="G50" s="89">
        <f t="shared" si="1"/>
        <v>64785.047250000003</v>
      </c>
      <c r="H50" s="67"/>
    </row>
    <row r="51" spans="1:8" ht="21.75" hidden="1" x14ac:dyDescent="0.25">
      <c r="A51" s="78" t="s">
        <v>312</v>
      </c>
      <c r="B51" s="62">
        <v>3</v>
      </c>
      <c r="C51" s="62" t="s">
        <v>164</v>
      </c>
      <c r="D51" s="67">
        <f>ROUNDUP(B51*DADOS_INICIAIS!$E$25*B49,0)</f>
        <v>8838</v>
      </c>
      <c r="E51" s="67" t="s">
        <v>3</v>
      </c>
      <c r="F51" s="88">
        <v>17</v>
      </c>
      <c r="G51" s="89">
        <f t="shared" si="1"/>
        <v>165270.6</v>
      </c>
      <c r="H51" s="67"/>
    </row>
    <row r="52" spans="1:8" ht="21.75" hidden="1" x14ac:dyDescent="0.25">
      <c r="A52" s="78" t="s">
        <v>332</v>
      </c>
      <c r="B52" s="196">
        <v>12.3</v>
      </c>
      <c r="C52" s="196" t="s">
        <v>330</v>
      </c>
      <c r="D52" s="67">
        <f>(DADOS_INICIAIS!$E$16+DADOS_INICIAIS!$E$17)*DADOS_INICIAIS!$E$19+DADOS_INICIAIS!$E$22</f>
        <v>10714.67</v>
      </c>
      <c r="E52" s="67" t="s">
        <v>2</v>
      </c>
      <c r="F52" s="88">
        <f>B52</f>
        <v>12.3</v>
      </c>
      <c r="G52" s="89">
        <f t="shared" si="1"/>
        <v>144969.48510000005</v>
      </c>
      <c r="H52" s="67"/>
    </row>
    <row r="53" spans="1:8" ht="21.75" hidden="1" x14ac:dyDescent="0.25">
      <c r="A53" s="78" t="s">
        <v>333</v>
      </c>
      <c r="B53" s="196">
        <v>2.83</v>
      </c>
      <c r="C53" s="196" t="s">
        <v>331</v>
      </c>
      <c r="D53" s="67">
        <f>B53*D52</f>
        <v>30322.516100000001</v>
      </c>
      <c r="E53" s="67" t="s">
        <v>26</v>
      </c>
      <c r="F53" s="88">
        <v>12.3</v>
      </c>
      <c r="G53" s="89">
        <f t="shared" si="1"/>
        <v>410263.64283300005</v>
      </c>
      <c r="H53" s="67"/>
    </row>
    <row r="54" spans="1:8" ht="21.75" hidden="1" x14ac:dyDescent="0.25">
      <c r="A54" s="66" t="s">
        <v>334</v>
      </c>
      <c r="B54" s="196">
        <v>9000</v>
      </c>
      <c r="C54" s="196" t="s">
        <v>335</v>
      </c>
      <c r="D54" s="67">
        <f>DADOS_INICIAIS!E15</f>
        <v>27</v>
      </c>
      <c r="E54" s="67" t="s">
        <v>336</v>
      </c>
      <c r="F54" s="88">
        <f>B54</f>
        <v>9000</v>
      </c>
      <c r="G54" s="89">
        <f t="shared" si="1"/>
        <v>267300</v>
      </c>
      <c r="H54" s="67"/>
    </row>
    <row r="55" spans="1:8" ht="21.75" hidden="1" x14ac:dyDescent="0.25">
      <c r="A55" s="66" t="s">
        <v>99</v>
      </c>
      <c r="B55" s="196">
        <v>0.25</v>
      </c>
      <c r="C55" s="196" t="s">
        <v>38</v>
      </c>
      <c r="D55" s="67">
        <f>B55*DADOS_INICIAIS!$E$9</f>
        <v>2804.5475000000001</v>
      </c>
      <c r="E55" s="67" t="s">
        <v>22</v>
      </c>
      <c r="F55" s="88">
        <f>535+45</f>
        <v>580</v>
      </c>
      <c r="G55" s="89">
        <f>F55*D55*1.05*1.1</f>
        <v>1878766.3702500004</v>
      </c>
      <c r="H55" s="67"/>
    </row>
    <row r="56" spans="1:8" ht="21.75" hidden="1" x14ac:dyDescent="0.25">
      <c r="A56" s="66" t="s">
        <v>31</v>
      </c>
      <c r="B56" s="196">
        <v>90</v>
      </c>
      <c r="C56" s="196" t="s">
        <v>34</v>
      </c>
      <c r="D56" s="67">
        <f>D55*B56</f>
        <v>252409.27500000002</v>
      </c>
      <c r="E56" s="67" t="s">
        <v>26</v>
      </c>
      <c r="F56" s="88">
        <v>7.62</v>
      </c>
      <c r="G56" s="89">
        <f>F56*D56*1.1</f>
        <v>2115694.5430500004</v>
      </c>
      <c r="H56" s="67"/>
    </row>
    <row r="57" spans="1:8" ht="43.5" hidden="1" x14ac:dyDescent="0.25">
      <c r="A57" s="66" t="s">
        <v>101</v>
      </c>
      <c r="B57" s="62">
        <v>240</v>
      </c>
      <c r="C57" s="62" t="s">
        <v>6</v>
      </c>
      <c r="D57" s="67">
        <f>DADOS_INICIAIS!$E$9</f>
        <v>11218.19</v>
      </c>
      <c r="E57" s="67" t="s">
        <v>2</v>
      </c>
      <c r="F57" s="88">
        <f>B57</f>
        <v>240</v>
      </c>
      <c r="G57" s="89">
        <f>F57*D57*1.1</f>
        <v>2961602.16</v>
      </c>
      <c r="H57" s="67"/>
    </row>
    <row r="58" spans="1:8" ht="43.5" hidden="1" x14ac:dyDescent="0.25">
      <c r="A58" s="66" t="s">
        <v>298</v>
      </c>
      <c r="B58" s="62">
        <v>5300</v>
      </c>
      <c r="C58" s="62" t="s">
        <v>299</v>
      </c>
      <c r="D58" s="67">
        <v>1</v>
      </c>
      <c r="E58" s="67" t="s">
        <v>27</v>
      </c>
      <c r="F58" s="88">
        <f>B58*DADOS_INICIAIS!$E$15</f>
        <v>143100</v>
      </c>
      <c r="G58" s="89">
        <f>F58*D58*1.1</f>
        <v>157410</v>
      </c>
      <c r="H58" s="67" t="s">
        <v>300</v>
      </c>
    </row>
    <row r="59" spans="1:8" ht="21.75" hidden="1" x14ac:dyDescent="0.25">
      <c r="A59" s="344" t="s">
        <v>17</v>
      </c>
      <c r="B59" s="344"/>
      <c r="C59" s="344"/>
      <c r="D59" s="344"/>
      <c r="E59" s="344"/>
      <c r="F59" s="344"/>
      <c r="G59" s="90">
        <f>SUM(G49:G58)</f>
        <v>8482788.7461496666</v>
      </c>
      <c r="H59" s="90"/>
    </row>
    <row r="62" spans="1:8" ht="21.75" x14ac:dyDescent="0.25">
      <c r="A62" s="354" t="s">
        <v>105</v>
      </c>
      <c r="B62" s="355"/>
      <c r="C62" s="355"/>
      <c r="D62" s="355"/>
      <c r="E62" s="355"/>
      <c r="F62" s="356"/>
      <c r="G62" s="91">
        <f>G30</f>
        <v>7413979.3146342598</v>
      </c>
      <c r="H62" s="91">
        <f>G62/DADOS_INICIAIS!E9</f>
        <v>660.88908412446744</v>
      </c>
    </row>
    <row r="64" spans="1:8" x14ac:dyDescent="0.25">
      <c r="G64" s="191"/>
      <c r="H64" s="191">
        <f>H62/1.1</f>
        <v>600.8082582949703</v>
      </c>
    </row>
  </sheetData>
  <mergeCells count="14">
    <mergeCell ref="A17:F17"/>
    <mergeCell ref="A62:F62"/>
    <mergeCell ref="A3:H3"/>
    <mergeCell ref="B9:C9"/>
    <mergeCell ref="D9:E9"/>
    <mergeCell ref="B21:C21"/>
    <mergeCell ref="D21:E21"/>
    <mergeCell ref="A30:F30"/>
    <mergeCell ref="B34:C34"/>
    <mergeCell ref="D34:E34"/>
    <mergeCell ref="A44:F44"/>
    <mergeCell ref="B48:C48"/>
    <mergeCell ref="D48:E48"/>
    <mergeCell ref="A59:F5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B6A5-65C9-4D4C-AA84-F8C8A6AE044E}">
  <sheetPr>
    <tabColor rgb="FF92D050"/>
  </sheetPr>
  <dimension ref="A1:L36"/>
  <sheetViews>
    <sheetView showGridLines="0" topLeftCell="A7" zoomScale="80" zoomScaleNormal="80" zoomScaleSheetLayoutView="95" workbookViewId="0">
      <selection activeCell="H30" sqref="H30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345" t="s">
        <v>306</v>
      </c>
      <c r="B3" s="353"/>
      <c r="C3" s="353"/>
      <c r="D3" s="346"/>
      <c r="E3" s="346"/>
      <c r="F3" s="346"/>
      <c r="G3" s="346"/>
      <c r="H3" s="347"/>
      <c r="J3" s="79"/>
    </row>
    <row r="4" spans="1:12" ht="19.5" x14ac:dyDescent="0.25">
      <c r="A4" s="182" t="s">
        <v>185</v>
      </c>
      <c r="B4" s="188">
        <v>45469</v>
      </c>
      <c r="C4" s="186"/>
      <c r="D4" s="186"/>
      <c r="E4" s="186"/>
      <c r="F4" s="186"/>
      <c r="G4" s="186"/>
      <c r="H4" s="187"/>
      <c r="J4" s="79"/>
    </row>
    <row r="5" spans="1:12" ht="19.5" x14ac:dyDescent="0.25">
      <c r="A5" s="182" t="s">
        <v>293</v>
      </c>
      <c r="B5" s="189" t="s">
        <v>210</v>
      </c>
      <c r="C5" s="184"/>
      <c r="D5" s="184"/>
      <c r="E5" s="184"/>
      <c r="F5" s="184"/>
      <c r="G5" s="184"/>
      <c r="H5" s="185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183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349" t="s">
        <v>5</v>
      </c>
      <c r="C9" s="350"/>
      <c r="D9" s="349" t="s">
        <v>18</v>
      </c>
      <c r="E9" s="350"/>
      <c r="F9" s="65" t="s">
        <v>118</v>
      </c>
      <c r="G9" s="71" t="s">
        <v>16</v>
      </c>
      <c r="H9" s="90" t="s">
        <v>295</v>
      </c>
    </row>
    <row r="10" spans="1:12" ht="21.75" x14ac:dyDescent="0.25">
      <c r="A10" s="66" t="s">
        <v>619</v>
      </c>
      <c r="B10" s="62">
        <v>0.92</v>
      </c>
      <c r="C10" s="62" t="s">
        <v>37</v>
      </c>
      <c r="D10" s="67">
        <f>B10*DADOS_INICIAIS!$E$9</f>
        <v>10320.7348</v>
      </c>
      <c r="E10" s="67" t="s">
        <v>2</v>
      </c>
      <c r="F10" s="88">
        <v>45</v>
      </c>
      <c r="G10" s="89">
        <f>F10*D10*1.1</f>
        <v>510876.37260000006</v>
      </c>
      <c r="H10" s="67">
        <f>G10/D10</f>
        <v>49.500000000000007</v>
      </c>
      <c r="I10" s="247" t="e">
        <f>(D10+#REF!+#REF!+#REF!+#REF!)/DADOS_INICIAIS!E9</f>
        <v>#REF!</v>
      </c>
    </row>
    <row r="11" spans="1:12" ht="21.75" x14ac:dyDescent="0.25">
      <c r="A11" s="66" t="s">
        <v>594</v>
      </c>
      <c r="B11" s="62">
        <v>0.1</v>
      </c>
      <c r="C11" s="62" t="s">
        <v>37</v>
      </c>
      <c r="D11" s="67">
        <f>B11*DADOS_INICIAIS!$E$9</f>
        <v>1121.8190000000002</v>
      </c>
      <c r="E11" s="67" t="s">
        <v>2</v>
      </c>
      <c r="F11" s="88">
        <v>70</v>
      </c>
      <c r="G11" s="89">
        <f>F11*D11*1.1</f>
        <v>86380.063000000024</v>
      </c>
      <c r="H11" s="67"/>
      <c r="I11" s="247" t="e">
        <f>(D11+#REF!+#REF!+#REF!+#REF!)/DADOS_INICIAIS!E10</f>
        <v>#REF!</v>
      </c>
    </row>
    <row r="12" spans="1:12" ht="21.75" x14ac:dyDescent="0.25">
      <c r="A12" s="66" t="s">
        <v>172</v>
      </c>
      <c r="B12" s="62">
        <v>1.75</v>
      </c>
      <c r="C12" s="62" t="s">
        <v>309</v>
      </c>
      <c r="D12" s="67">
        <f>B12*DADOS_INICIAIS!$E$14</f>
        <v>80.5</v>
      </c>
      <c r="E12" s="67" t="s">
        <v>2</v>
      </c>
      <c r="F12" s="88">
        <v>75</v>
      </c>
      <c r="G12" s="89">
        <f>F12*D12*1.1</f>
        <v>6641.2500000000009</v>
      </c>
      <c r="H12" s="67" t="s">
        <v>595</v>
      </c>
    </row>
    <row r="13" spans="1:12" ht="21.75" x14ac:dyDescent="0.25">
      <c r="A13" s="66" t="s">
        <v>171</v>
      </c>
      <c r="B13" s="62">
        <v>12.5</v>
      </c>
      <c r="C13" s="62" t="s">
        <v>170</v>
      </c>
      <c r="D13" s="67">
        <f>D10</f>
        <v>10320.7348</v>
      </c>
      <c r="E13" s="67" t="s">
        <v>2</v>
      </c>
      <c r="F13" s="88">
        <v>25</v>
      </c>
      <c r="G13" s="89">
        <f>F13*D13*1.1</f>
        <v>283820.20699999999</v>
      </c>
      <c r="H13" s="67"/>
    </row>
    <row r="14" spans="1:12" ht="21.75" x14ac:dyDescent="0.25">
      <c r="A14" s="66" t="s">
        <v>25</v>
      </c>
      <c r="B14" s="62">
        <v>35</v>
      </c>
      <c r="C14" s="62" t="s">
        <v>170</v>
      </c>
      <c r="D14" s="67"/>
      <c r="E14" s="67" t="s">
        <v>2</v>
      </c>
      <c r="F14" s="88">
        <v>35</v>
      </c>
      <c r="G14" s="89">
        <f>'Custos Serviços'!D21</f>
        <v>837772.60176989995</v>
      </c>
      <c r="H14" s="67"/>
    </row>
    <row r="15" spans="1:12" ht="21.75" x14ac:dyDescent="0.25">
      <c r="A15" s="344" t="s">
        <v>17</v>
      </c>
      <c r="B15" s="344"/>
      <c r="C15" s="344"/>
      <c r="D15" s="344"/>
      <c r="E15" s="344"/>
      <c r="F15" s="344"/>
      <c r="G15" s="90">
        <f>SUM(G10:G14)</f>
        <v>1725490.4943699001</v>
      </c>
      <c r="H15" s="90"/>
      <c r="K15" s="55">
        <f>4160+1440+1120+2880+4800+91680+4000</f>
        <v>110080</v>
      </c>
      <c r="L15" s="55">
        <f>K15/21</f>
        <v>5241.9047619047615</v>
      </c>
    </row>
    <row r="17" spans="1:10" ht="21.75" hidden="1" x14ac:dyDescent="0.25">
      <c r="A17" s="52" t="s">
        <v>338</v>
      </c>
      <c r="B17" s="52"/>
      <c r="C17" s="52"/>
      <c r="D17" s="53"/>
      <c r="E17" s="53"/>
      <c r="F17" s="54"/>
      <c r="G17" s="53" t="e">
        <f>G14/D14</f>
        <v>#DIV/0!</v>
      </c>
      <c r="H17" s="53"/>
    </row>
    <row r="18" spans="1:10" ht="21.75" hidden="1" x14ac:dyDescent="0.25">
      <c r="A18" s="56"/>
      <c r="B18" s="56"/>
      <c r="C18" s="56"/>
      <c r="D18" s="57"/>
      <c r="E18" s="57"/>
      <c r="F18" s="58"/>
      <c r="G18" s="59"/>
      <c r="H18" s="59"/>
    </row>
    <row r="19" spans="1:10" ht="21.75" hidden="1" x14ac:dyDescent="0.25">
      <c r="A19" s="63" t="s">
        <v>14</v>
      </c>
      <c r="B19" s="349" t="s">
        <v>5</v>
      </c>
      <c r="C19" s="350"/>
      <c r="D19" s="349" t="s">
        <v>18</v>
      </c>
      <c r="E19" s="350"/>
      <c r="F19" s="65" t="s">
        <v>118</v>
      </c>
      <c r="G19" s="71" t="s">
        <v>16</v>
      </c>
      <c r="H19" s="90" t="s">
        <v>295</v>
      </c>
    </row>
    <row r="20" spans="1:10" ht="21.75" hidden="1" x14ac:dyDescent="0.25">
      <c r="A20" s="66" t="s">
        <v>181</v>
      </c>
      <c r="B20" s="62">
        <v>1</v>
      </c>
      <c r="C20" s="62" t="s">
        <v>180</v>
      </c>
      <c r="D20" s="67">
        <f>B20*DADOS_INICIAIS!$E$22</f>
        <v>3907.21</v>
      </c>
      <c r="E20" s="67" t="s">
        <v>2</v>
      </c>
      <c r="F20" s="88">
        <v>45</v>
      </c>
      <c r="G20" s="89">
        <f>F20*D20*1.1</f>
        <v>193406.89500000002</v>
      </c>
      <c r="H20" s="67"/>
    </row>
    <row r="21" spans="1:10" ht="21.75" hidden="1" x14ac:dyDescent="0.25">
      <c r="A21" s="78" t="s">
        <v>179</v>
      </c>
      <c r="B21" s="62">
        <v>0.4</v>
      </c>
      <c r="C21" s="62" t="s">
        <v>178</v>
      </c>
      <c r="D21" s="67">
        <f>B21*DADOS_INICIAIS!$E$21</f>
        <v>292.30588000000012</v>
      </c>
      <c r="E21" s="67" t="s">
        <v>2</v>
      </c>
      <c r="F21" s="88">
        <v>45</v>
      </c>
      <c r="G21" s="89">
        <f>F21*D21*1.1</f>
        <v>14469.141060000007</v>
      </c>
      <c r="H21" s="67"/>
    </row>
    <row r="22" spans="1:10" ht="21.75" hidden="1" x14ac:dyDescent="0.25">
      <c r="A22" s="78" t="s">
        <v>177</v>
      </c>
      <c r="B22" s="62">
        <v>1.65</v>
      </c>
      <c r="C22" s="62" t="s">
        <v>176</v>
      </c>
      <c r="D22" s="67">
        <f>B22*(DADOS_INICIAIS!$E$19*(DADOS_INICIAIS!$E$16+DADOS_INICIAIS!$E$17))*0.4</f>
        <v>4492.9236000000001</v>
      </c>
      <c r="E22" s="67" t="s">
        <v>2</v>
      </c>
      <c r="F22" s="88">
        <v>45</v>
      </c>
      <c r="G22" s="89">
        <f>F22*D22*1.1</f>
        <v>222399.71820000003</v>
      </c>
      <c r="H22" s="67"/>
    </row>
    <row r="23" spans="1:10" ht="21.75" hidden="1" x14ac:dyDescent="0.25">
      <c r="A23" s="78" t="s">
        <v>307</v>
      </c>
      <c r="B23" s="62">
        <v>1.65</v>
      </c>
      <c r="C23" s="62" t="s">
        <v>176</v>
      </c>
      <c r="D23" s="67">
        <f>B23*(DADOS_INICIAIS!$E$19*(DADOS_INICIAIS!$E$16+DADOS_INICIAIS!$E$17))*0.6</f>
        <v>6739.3853999999992</v>
      </c>
      <c r="E23" s="67" t="s">
        <v>2</v>
      </c>
      <c r="F23" s="88">
        <v>220</v>
      </c>
      <c r="G23" s="89">
        <f t="shared" ref="G23:G27" si="0">F23*D23*1.1</f>
        <v>1630931.2667999999</v>
      </c>
      <c r="H23" s="67"/>
      <c r="J23" s="55">
        <f>D23/(D27+D23)</f>
        <v>0.37601868063334687</v>
      </c>
    </row>
    <row r="24" spans="1:10" ht="21.75" hidden="1" x14ac:dyDescent="0.25">
      <c r="A24" s="78" t="s">
        <v>175</v>
      </c>
      <c r="B24" s="62">
        <v>0.2</v>
      </c>
      <c r="C24" s="62" t="s">
        <v>37</v>
      </c>
      <c r="D24" s="67">
        <f>B24*DADOS_INICIAIS!$E$9</f>
        <v>2243.6380000000004</v>
      </c>
      <c r="E24" s="67" t="s">
        <v>2</v>
      </c>
      <c r="F24" s="88">
        <v>70</v>
      </c>
      <c r="G24" s="89">
        <f t="shared" si="0"/>
        <v>172760.12600000005</v>
      </c>
      <c r="H24" s="67"/>
      <c r="J24" s="55">
        <f>1-J23</f>
        <v>0.62398131936665313</v>
      </c>
    </row>
    <row r="25" spans="1:10" ht="21.75" hidden="1" x14ac:dyDescent="0.25">
      <c r="A25" s="66" t="s">
        <v>174</v>
      </c>
      <c r="B25" s="62">
        <v>0.8</v>
      </c>
      <c r="C25" s="62" t="s">
        <v>173</v>
      </c>
      <c r="D25" s="67">
        <f>B25*DADOS_INICIAIS!$E$19</f>
        <v>247.54400000000001</v>
      </c>
      <c r="E25" s="67" t="s">
        <v>22</v>
      </c>
      <c r="F25" s="88">
        <v>45</v>
      </c>
      <c r="G25" s="89">
        <f t="shared" si="0"/>
        <v>12253.428000000002</v>
      </c>
      <c r="H25" s="67"/>
    </row>
    <row r="26" spans="1:10" ht="21.75" hidden="1" x14ac:dyDescent="0.25">
      <c r="A26" s="66" t="s">
        <v>172</v>
      </c>
      <c r="B26" s="62">
        <v>1.75</v>
      </c>
      <c r="C26" s="62" t="s">
        <v>309</v>
      </c>
      <c r="D26" s="67">
        <f>'SISTEMAS ESPECIAIS'!B10</f>
        <v>46</v>
      </c>
      <c r="E26" s="67" t="s">
        <v>326</v>
      </c>
      <c r="F26" s="88">
        <v>210</v>
      </c>
      <c r="G26" s="89">
        <f t="shared" si="0"/>
        <v>10626</v>
      </c>
      <c r="H26" s="67"/>
    </row>
    <row r="27" spans="1:10" ht="21.75" hidden="1" x14ac:dyDescent="0.25">
      <c r="A27" s="66" t="s">
        <v>171</v>
      </c>
      <c r="B27" s="62">
        <v>12.5</v>
      </c>
      <c r="C27" s="62" t="s">
        <v>170</v>
      </c>
      <c r="D27" s="67">
        <f>D21+D22+D20+D24+D25</f>
        <v>11183.621480000002</v>
      </c>
      <c r="E27" s="67" t="s">
        <v>2</v>
      </c>
      <c r="F27" s="88">
        <f>B27</f>
        <v>12.5</v>
      </c>
      <c r="G27" s="89">
        <f t="shared" si="0"/>
        <v>153774.79535000003</v>
      </c>
      <c r="H27" s="67"/>
    </row>
    <row r="28" spans="1:10" ht="21.75" hidden="1" x14ac:dyDescent="0.25">
      <c r="A28" s="66" t="s">
        <v>25</v>
      </c>
      <c r="B28" s="62">
        <v>35</v>
      </c>
      <c r="C28" s="62" t="s">
        <v>170</v>
      </c>
      <c r="D28" s="67">
        <f>D21+D22+D20+D24+D25</f>
        <v>11183.621480000002</v>
      </c>
      <c r="E28" s="67" t="s">
        <v>2</v>
      </c>
      <c r="F28" s="88">
        <v>35</v>
      </c>
      <c r="G28" s="89">
        <f>F28*D28*1.1</f>
        <v>430569.42698000011</v>
      </c>
      <c r="H28" s="67"/>
    </row>
    <row r="29" spans="1:10" ht="21.75" hidden="1" x14ac:dyDescent="0.25">
      <c r="A29" s="344" t="s">
        <v>17</v>
      </c>
      <c r="B29" s="344"/>
      <c r="C29" s="344"/>
      <c r="D29" s="344"/>
      <c r="E29" s="344"/>
      <c r="F29" s="344"/>
      <c r="G29" s="90">
        <f>SUM(G20:G28)</f>
        <v>2841190.79739</v>
      </c>
      <c r="H29" s="90"/>
    </row>
    <row r="30" spans="1:10" x14ac:dyDescent="0.25">
      <c r="G30" s="55">
        <f>G14/(D10+D11)</f>
        <v>73.215526569768016</v>
      </c>
    </row>
    <row r="32" spans="1:10" ht="21.75" x14ac:dyDescent="0.25">
      <c r="A32" s="354" t="s">
        <v>168</v>
      </c>
      <c r="B32" s="355"/>
      <c r="C32" s="355"/>
      <c r="D32" s="355"/>
      <c r="E32" s="355"/>
      <c r="F32" s="356"/>
      <c r="G32" s="91">
        <f>G15</f>
        <v>1725490.4943699001</v>
      </c>
      <c r="H32" s="91">
        <f>G32/DADOS_INICIAIS!E9</f>
        <v>153.81184436793279</v>
      </c>
    </row>
    <row r="34" spans="1:8" x14ac:dyDescent="0.25">
      <c r="B34" s="247">
        <f>D10+D11</f>
        <v>11442.5538</v>
      </c>
    </row>
    <row r="35" spans="1:8" x14ac:dyDescent="0.25">
      <c r="B35" s="247">
        <f>B34-[6]CÁLCULOS!$C$16</f>
        <v>-1.2362222241790732E-3</v>
      </c>
      <c r="C35" s="55">
        <f>24000/(568+874+1996+1144)</f>
        <v>5.2378873854212138</v>
      </c>
      <c r="G35" s="191">
        <f>G32/1.1</f>
        <v>1568627.7221544546</v>
      </c>
      <c r="H35" s="55">
        <f>G35/DADOS_INICIAIS!E9</f>
        <v>139.82894942539343</v>
      </c>
    </row>
    <row r="36" spans="1:8" x14ac:dyDescent="0.25">
      <c r="A36" s="247"/>
    </row>
  </sheetData>
  <mergeCells count="8">
    <mergeCell ref="A29:F29"/>
    <mergeCell ref="A32:F32"/>
    <mergeCell ref="A3:H3"/>
    <mergeCell ref="B9:C9"/>
    <mergeCell ref="D9:E9"/>
    <mergeCell ref="A15:F15"/>
    <mergeCell ref="B19:C19"/>
    <mergeCell ref="D19:E1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1518-D0F4-4632-BC49-7307CA0DA86C}">
  <sheetPr>
    <tabColor rgb="FF92D050"/>
  </sheetPr>
  <dimension ref="A1:I37"/>
  <sheetViews>
    <sheetView showGridLines="0" topLeftCell="A20" zoomScale="85" zoomScaleNormal="85" zoomScaleSheetLayoutView="95" workbookViewId="0">
      <selection activeCell="E31" sqref="E31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7" x14ac:dyDescent="0.25">
      <c r="A1" s="48"/>
      <c r="B1" s="48"/>
      <c r="C1" s="48"/>
      <c r="D1" s="48"/>
      <c r="E1" s="48"/>
      <c r="G1" s="2"/>
    </row>
    <row r="2" spans="1:7" ht="28.5" x14ac:dyDescent="0.25">
      <c r="A2" s="345" t="s">
        <v>254</v>
      </c>
      <c r="B2" s="346"/>
      <c r="C2" s="346"/>
      <c r="D2" s="346"/>
      <c r="E2" s="347"/>
      <c r="G2" s="2"/>
    </row>
    <row r="3" spans="1:7" x14ac:dyDescent="0.25">
      <c r="A3" s="50"/>
      <c r="B3" s="50"/>
      <c r="C3" s="50"/>
      <c r="D3" s="48"/>
      <c r="E3" s="48"/>
      <c r="G3" s="2"/>
    </row>
    <row r="4" spans="1:7" s="55" customFormat="1" ht="21.75" x14ac:dyDescent="0.25">
      <c r="A4" s="52" t="s">
        <v>253</v>
      </c>
      <c r="B4" s="53"/>
      <c r="C4" s="53"/>
      <c r="D4" s="53"/>
      <c r="E4" s="53"/>
    </row>
    <row r="5" spans="1:7" s="55" customFormat="1" ht="21.75" x14ac:dyDescent="0.25">
      <c r="A5" s="56"/>
      <c r="B5" s="57"/>
      <c r="C5" s="57"/>
      <c r="D5" s="59"/>
      <c r="E5" s="59"/>
    </row>
    <row r="6" spans="1:7" s="55" customFormat="1" ht="42" customHeight="1" x14ac:dyDescent="0.25">
      <c r="A6" s="63" t="s">
        <v>14</v>
      </c>
      <c r="B6" s="349" t="s">
        <v>5</v>
      </c>
      <c r="C6" s="350"/>
      <c r="D6" s="71" t="s">
        <v>16</v>
      </c>
      <c r="E6" s="59"/>
    </row>
    <row r="7" spans="1:7" s="55" customFormat="1" ht="21.75" x14ac:dyDescent="0.25">
      <c r="A7" s="66" t="s">
        <v>252</v>
      </c>
      <c r="B7" s="62">
        <v>13</v>
      </c>
      <c r="C7" s="62" t="s">
        <v>6</v>
      </c>
      <c r="D7" s="89">
        <f>B7*DADOS_INICIAIS!$E$9</f>
        <v>145836.47</v>
      </c>
      <c r="E7" s="57"/>
    </row>
    <row r="8" spans="1:7" s="55" customFormat="1" ht="21.75" x14ac:dyDescent="0.25">
      <c r="A8" s="66" t="s">
        <v>251</v>
      </c>
      <c r="B8" s="62">
        <v>12</v>
      </c>
      <c r="C8" s="62" t="s">
        <v>6</v>
      </c>
      <c r="D8" s="89">
        <f>B8*DADOS_INICIAIS!$E$9</f>
        <v>134618.28</v>
      </c>
      <c r="E8" s="57"/>
    </row>
    <row r="9" spans="1:7" s="55" customFormat="1" ht="21.75" x14ac:dyDescent="0.25">
      <c r="A9" s="66" t="s">
        <v>250</v>
      </c>
      <c r="B9" s="62">
        <v>15</v>
      </c>
      <c r="C9" s="62" t="s">
        <v>6</v>
      </c>
      <c r="D9" s="89">
        <f>B9*DADOS_INICIAIS!$E$9</f>
        <v>168272.85</v>
      </c>
      <c r="E9" s="57"/>
    </row>
    <row r="10" spans="1:7" s="55" customFormat="1" ht="21.75" x14ac:dyDescent="0.25">
      <c r="A10" s="66" t="s">
        <v>249</v>
      </c>
      <c r="B10" s="62">
        <v>10</v>
      </c>
      <c r="C10" s="62" t="s">
        <v>6</v>
      </c>
      <c r="D10" s="89">
        <f>B10*DADOS_INICIAIS!$E$9</f>
        <v>112181.90000000001</v>
      </c>
      <c r="E10" s="57"/>
    </row>
    <row r="11" spans="1:7" s="55" customFormat="1" ht="21.75" x14ac:dyDescent="0.25">
      <c r="A11" s="66" t="s">
        <v>248</v>
      </c>
      <c r="B11" s="62">
        <v>10</v>
      </c>
      <c r="C11" s="62" t="s">
        <v>6</v>
      </c>
      <c r="D11" s="89">
        <f>B11*DADOS_INICIAIS!$E$9</f>
        <v>112181.90000000001</v>
      </c>
      <c r="E11" s="57"/>
    </row>
    <row r="12" spans="1:7" s="55" customFormat="1" ht="21.75" x14ac:dyDescent="0.25">
      <c r="A12" s="66" t="s">
        <v>247</v>
      </c>
      <c r="B12" s="62">
        <v>12</v>
      </c>
      <c r="C12" s="62" t="s">
        <v>6</v>
      </c>
      <c r="D12" s="89">
        <f>B12*DADOS_INICIAIS!$E$9</f>
        <v>134618.28</v>
      </c>
      <c r="E12" s="57"/>
    </row>
    <row r="13" spans="1:7" s="55" customFormat="1" ht="21.75" x14ac:dyDescent="0.25">
      <c r="A13" s="66" t="s">
        <v>246</v>
      </c>
      <c r="B13" s="62">
        <v>50</v>
      </c>
      <c r="C13" s="62" t="s">
        <v>6</v>
      </c>
      <c r="D13" s="89">
        <f>B13*DADOS_INICIAIS!$E$9</f>
        <v>560909.5</v>
      </c>
      <c r="E13" s="57">
        <f>D13/DADOS_INICIAIS!$E$9</f>
        <v>50</v>
      </c>
    </row>
    <row r="14" spans="1:7" s="55" customFormat="1" ht="21.75" x14ac:dyDescent="0.25">
      <c r="A14" s="344" t="s">
        <v>17</v>
      </c>
      <c r="B14" s="344"/>
      <c r="C14" s="344"/>
      <c r="D14" s="90">
        <f>SUM(D7:D13)</f>
        <v>1368619.1800000002</v>
      </c>
      <c r="E14" s="60"/>
    </row>
    <row r="15" spans="1:7" s="55" customFormat="1" ht="21.75" x14ac:dyDescent="0.25">
      <c r="A15" s="348"/>
      <c r="B15" s="348"/>
      <c r="C15" s="348"/>
      <c r="D15" s="100"/>
      <c r="E15" s="59"/>
    </row>
    <row r="16" spans="1:7" s="55" customFormat="1" ht="21.75" x14ac:dyDescent="0.25">
      <c r="A16" s="52" t="s">
        <v>245</v>
      </c>
      <c r="B16" s="53"/>
      <c r="C16" s="53"/>
      <c r="D16" s="98"/>
      <c r="E16" s="53"/>
    </row>
    <row r="17" spans="1:5" s="55" customFormat="1" ht="21.75" x14ac:dyDescent="0.25">
      <c r="A17" s="56"/>
      <c r="B17" s="57"/>
      <c r="C17" s="57"/>
      <c r="D17" s="100"/>
      <c r="E17" s="59"/>
    </row>
    <row r="18" spans="1:5" s="55" customFormat="1" ht="42" customHeight="1" x14ac:dyDescent="0.25">
      <c r="A18" s="63" t="s">
        <v>14</v>
      </c>
      <c r="B18" s="349" t="s">
        <v>5</v>
      </c>
      <c r="C18" s="350"/>
      <c r="D18" s="90" t="s">
        <v>16</v>
      </c>
      <c r="E18" s="59"/>
    </row>
    <row r="19" spans="1:5" s="55" customFormat="1" ht="21.75" x14ac:dyDescent="0.25">
      <c r="A19" s="66" t="s">
        <v>244</v>
      </c>
      <c r="B19" s="62">
        <v>25</v>
      </c>
      <c r="C19" s="62" t="s">
        <v>6</v>
      </c>
      <c r="D19" s="89">
        <f>B19*DADOS_INICIAIS!$E$9</f>
        <v>280454.75</v>
      </c>
      <c r="E19" s="57"/>
    </row>
    <row r="20" spans="1:5" s="55" customFormat="1" ht="21.75" x14ac:dyDescent="0.25">
      <c r="A20" s="66" t="s">
        <v>243</v>
      </c>
      <c r="B20" s="62">
        <v>20</v>
      </c>
      <c r="C20" s="62" t="s">
        <v>6</v>
      </c>
      <c r="D20" s="89">
        <f>B20*DADOS_INICIAIS!$E$9</f>
        <v>224363.80000000002</v>
      </c>
      <c r="E20" s="57"/>
    </row>
    <row r="21" spans="1:5" s="55" customFormat="1" ht="21.75" x14ac:dyDescent="0.25">
      <c r="A21" s="66" t="s">
        <v>242</v>
      </c>
      <c r="B21" s="62">
        <v>12</v>
      </c>
      <c r="C21" s="62" t="s">
        <v>6</v>
      </c>
      <c r="D21" s="89">
        <f>B21*DADOS_INICIAIS!$E$9</f>
        <v>134618.28</v>
      </c>
      <c r="E21" s="57"/>
    </row>
    <row r="22" spans="1:5" s="55" customFormat="1" ht="21.75" x14ac:dyDescent="0.25">
      <c r="A22" s="66" t="s">
        <v>241</v>
      </c>
      <c r="B22" s="62">
        <v>16</v>
      </c>
      <c r="C22" s="62" t="s">
        <v>6</v>
      </c>
      <c r="D22" s="89">
        <f>B22*DADOS_INICIAIS!$E$9</f>
        <v>179491.04</v>
      </c>
      <c r="E22" s="57"/>
    </row>
    <row r="23" spans="1:5" s="55" customFormat="1" ht="21.75" x14ac:dyDescent="0.25">
      <c r="A23" s="66" t="s">
        <v>240</v>
      </c>
      <c r="B23" s="62">
        <v>45</v>
      </c>
      <c r="C23" s="62" t="s">
        <v>6</v>
      </c>
      <c r="D23" s="89">
        <f>B23*DADOS_INICIAIS!$E$9</f>
        <v>504818.55000000005</v>
      </c>
      <c r="E23" s="57"/>
    </row>
    <row r="24" spans="1:5" s="55" customFormat="1" ht="21.75" x14ac:dyDescent="0.25">
      <c r="A24" s="66" t="s">
        <v>239</v>
      </c>
      <c r="B24" s="62">
        <v>45</v>
      </c>
      <c r="C24" s="62" t="s">
        <v>6</v>
      </c>
      <c r="D24" s="89">
        <f>B24*DADOS_INICIAIS!$E$9</f>
        <v>504818.55000000005</v>
      </c>
      <c r="E24" s="57">
        <f>D24/DADOS_INICIAIS!$E$9</f>
        <v>45</v>
      </c>
    </row>
    <row r="25" spans="1:5" s="55" customFormat="1" ht="21.75" x14ac:dyDescent="0.25">
      <c r="A25" s="344" t="s">
        <v>17</v>
      </c>
      <c r="B25" s="344"/>
      <c r="C25" s="344"/>
      <c r="D25" s="90">
        <f>SUM(D19:D24)</f>
        <v>1828564.9700000002</v>
      </c>
      <c r="E25" s="60"/>
    </row>
    <row r="26" spans="1:5" s="55" customFormat="1" ht="21.75" x14ac:dyDescent="0.25">
      <c r="A26" s="348"/>
      <c r="B26" s="348"/>
      <c r="C26" s="348"/>
      <c r="D26" s="100"/>
      <c r="E26" s="59"/>
    </row>
    <row r="27" spans="1:5" s="55" customFormat="1" ht="21.75" x14ac:dyDescent="0.25">
      <c r="A27" s="52" t="s">
        <v>238</v>
      </c>
      <c r="B27" s="53"/>
      <c r="C27" s="53"/>
      <c r="D27" s="98"/>
      <c r="E27" s="53"/>
    </row>
    <row r="28" spans="1:5" s="55" customFormat="1" ht="21.75" x14ac:dyDescent="0.25">
      <c r="A28" s="56"/>
      <c r="B28" s="57"/>
      <c r="C28" s="57"/>
      <c r="D28" s="100"/>
      <c r="E28" s="59"/>
    </row>
    <row r="29" spans="1:5" s="55" customFormat="1" ht="42" customHeight="1" x14ac:dyDescent="0.25">
      <c r="A29" s="63" t="s">
        <v>14</v>
      </c>
      <c r="B29" s="349" t="s">
        <v>5</v>
      </c>
      <c r="C29" s="350"/>
      <c r="D29" s="90" t="s">
        <v>16</v>
      </c>
      <c r="E29" s="59"/>
    </row>
    <row r="30" spans="1:5" s="55" customFormat="1" ht="26.25" customHeight="1" x14ac:dyDescent="0.25">
      <c r="A30" s="70" t="s">
        <v>237</v>
      </c>
      <c r="B30" s="62">
        <v>15</v>
      </c>
      <c r="C30" s="62" t="s">
        <v>6</v>
      </c>
      <c r="D30" s="89">
        <f>B30*DADOS_INICIAIS!$E$9</f>
        <v>168272.85</v>
      </c>
      <c r="E30" s="57"/>
    </row>
    <row r="31" spans="1:5" s="55" customFormat="1" ht="26.25" customHeight="1" x14ac:dyDescent="0.25">
      <c r="A31" s="70" t="s">
        <v>236</v>
      </c>
      <c r="B31" s="62">
        <v>22</v>
      </c>
      <c r="C31" s="62" t="s">
        <v>6</v>
      </c>
      <c r="D31" s="89">
        <f>B31*DADOS_INICIAIS!$E$9</f>
        <v>246800.18000000002</v>
      </c>
      <c r="E31" s="57"/>
    </row>
    <row r="32" spans="1:5" s="55" customFormat="1" ht="21.75" x14ac:dyDescent="0.25">
      <c r="A32" s="70" t="s">
        <v>235</v>
      </c>
      <c r="B32" s="62">
        <v>5</v>
      </c>
      <c r="C32" s="62" t="s">
        <v>6</v>
      </c>
      <c r="D32" s="89">
        <f>B32*DADOS_INICIAIS!$E$9</f>
        <v>56090.950000000004</v>
      </c>
      <c r="E32" s="57"/>
    </row>
    <row r="33" spans="1:9" s="55" customFormat="1" ht="21.75" x14ac:dyDescent="0.25">
      <c r="A33" s="344" t="s">
        <v>17</v>
      </c>
      <c r="B33" s="344"/>
      <c r="C33" s="344"/>
      <c r="D33" s="90">
        <f>SUM(D30:D32)</f>
        <v>471163.98000000004</v>
      </c>
      <c r="E33" s="60"/>
    </row>
    <row r="34" spans="1:9" x14ac:dyDescent="0.25">
      <c r="D34" s="107"/>
      <c r="I34" s="47"/>
    </row>
    <row r="35" spans="1:9" ht="23.25" customHeight="1" x14ac:dyDescent="0.25">
      <c r="A35" s="341" t="s">
        <v>234</v>
      </c>
      <c r="B35" s="342"/>
      <c r="C35" s="342"/>
      <c r="D35" s="108">
        <f>D14+D25+D33</f>
        <v>3668348.1300000004</v>
      </c>
      <c r="E35" s="108">
        <f>D35/DADOS_INICIAIS!E9</f>
        <v>327</v>
      </c>
    </row>
    <row r="37" spans="1:9" x14ac:dyDescent="0.25">
      <c r="E37" s="192">
        <f>E35/1.1</f>
        <v>297.27272727272725</v>
      </c>
    </row>
  </sheetData>
  <mergeCells count="10">
    <mergeCell ref="A35:C35"/>
    <mergeCell ref="A33:C33"/>
    <mergeCell ref="A2:E2"/>
    <mergeCell ref="A14:C14"/>
    <mergeCell ref="A15:C15"/>
    <mergeCell ref="B6:C6"/>
    <mergeCell ref="B18:C18"/>
    <mergeCell ref="B29:C29"/>
    <mergeCell ref="A25:C25"/>
    <mergeCell ref="A26:C2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5187-AAF1-4E2E-B3CF-221688C97F2B}">
  <sheetPr>
    <tabColor rgb="FF92D050"/>
  </sheetPr>
  <dimension ref="A1:M44"/>
  <sheetViews>
    <sheetView showGridLines="0" topLeftCell="A25" zoomScale="85" zoomScaleNormal="85" zoomScaleSheetLayoutView="95" workbookViewId="0">
      <selection activeCell="B32" sqref="B32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7" width="9.140625" style="1"/>
    <col min="8" max="8" width="12.85546875" style="1" bestFit="1" customWidth="1"/>
    <col min="9" max="16384" width="9.140625" style="1"/>
  </cols>
  <sheetData>
    <row r="1" spans="1:13" x14ac:dyDescent="0.25">
      <c r="A1" s="48"/>
      <c r="B1" s="48"/>
      <c r="C1" s="48"/>
      <c r="D1" s="48"/>
      <c r="E1" s="48"/>
      <c r="G1" s="2"/>
    </row>
    <row r="2" spans="1:13" ht="28.5" x14ac:dyDescent="0.25">
      <c r="A2" s="345" t="s">
        <v>273</v>
      </c>
      <c r="B2" s="346"/>
      <c r="C2" s="346"/>
      <c r="D2" s="346"/>
      <c r="E2" s="347"/>
      <c r="G2" s="2"/>
    </row>
    <row r="3" spans="1:13" x14ac:dyDescent="0.25">
      <c r="A3" s="50"/>
      <c r="B3" s="50"/>
      <c r="C3" s="50"/>
      <c r="D3" s="48"/>
      <c r="E3" s="48"/>
      <c r="G3" s="2"/>
    </row>
    <row r="4" spans="1:13" s="55" customFormat="1" ht="21.75" x14ac:dyDescent="0.25">
      <c r="A4" s="52" t="s">
        <v>272</v>
      </c>
      <c r="B4" s="53"/>
      <c r="C4" s="53"/>
      <c r="D4" s="53"/>
      <c r="E4" s="53"/>
    </row>
    <row r="5" spans="1:13" s="55" customFormat="1" ht="21.75" x14ac:dyDescent="0.25">
      <c r="A5" s="56"/>
      <c r="B5" s="57"/>
      <c r="C5" s="57"/>
      <c r="D5" s="59"/>
      <c r="E5" s="59"/>
    </row>
    <row r="6" spans="1:13" s="55" customFormat="1" ht="42" customHeight="1" x14ac:dyDescent="0.25">
      <c r="A6" s="63" t="s">
        <v>14</v>
      </c>
      <c r="B6" s="65" t="s">
        <v>18</v>
      </c>
      <c r="C6" s="71" t="s">
        <v>261</v>
      </c>
      <c r="D6" s="71" t="s">
        <v>16</v>
      </c>
      <c r="E6" s="59"/>
      <c r="G6" s="55" t="s">
        <v>199</v>
      </c>
      <c r="H6" s="55" t="s">
        <v>451</v>
      </c>
      <c r="I6" s="55" t="s">
        <v>452</v>
      </c>
      <c r="J6" s="55" t="s">
        <v>471</v>
      </c>
      <c r="K6" s="55" t="s">
        <v>589</v>
      </c>
      <c r="L6" s="55" t="s">
        <v>588</v>
      </c>
      <c r="M6" s="55" t="s">
        <v>486</v>
      </c>
    </row>
    <row r="7" spans="1:13" s="55" customFormat="1" ht="43.5" x14ac:dyDescent="0.25">
      <c r="A7" s="66" t="s">
        <v>271</v>
      </c>
      <c r="B7" s="67">
        <f>SUM(G7:M7)</f>
        <v>288</v>
      </c>
      <c r="C7" s="181">
        <v>1200</v>
      </c>
      <c r="D7" s="89">
        <f>B7*C7*1.1</f>
        <v>380160.00000000006</v>
      </c>
      <c r="E7" s="57"/>
      <c r="G7" s="55">
        <f>9+1</f>
        <v>10</v>
      </c>
      <c r="H7" s="55">
        <v>5</v>
      </c>
      <c r="I7" s="55">
        <v>2</v>
      </c>
      <c r="J7" s="55">
        <v>2</v>
      </c>
      <c r="K7" s="55">
        <f>6*2</f>
        <v>12</v>
      </c>
      <c r="L7" s="55">
        <f>K7*21</f>
        <v>252</v>
      </c>
      <c r="M7" s="55">
        <v>5</v>
      </c>
    </row>
    <row r="8" spans="1:13" s="55" customFormat="1" ht="21.75" x14ac:dyDescent="0.25">
      <c r="A8" s="66" t="s">
        <v>270</v>
      </c>
      <c r="B8" s="67">
        <f t="shared" ref="B8:B10" si="0">SUM(G8:M8)</f>
        <v>14</v>
      </c>
      <c r="C8" s="181">
        <v>5000</v>
      </c>
      <c r="D8" s="89">
        <f>B8*C8*1.1</f>
        <v>77000</v>
      </c>
      <c r="E8" s="57"/>
      <c r="G8" s="55">
        <v>0</v>
      </c>
      <c r="H8" s="55">
        <f>H7</f>
        <v>5</v>
      </c>
      <c r="I8" s="55">
        <f>I7</f>
        <v>2</v>
      </c>
      <c r="J8" s="55">
        <f>J7</f>
        <v>2</v>
      </c>
      <c r="K8" s="55">
        <v>0</v>
      </c>
      <c r="L8" s="55">
        <f t="shared" ref="L8:L10" si="1">K8*21</f>
        <v>0</v>
      </c>
      <c r="M8" s="55">
        <f>M7</f>
        <v>5</v>
      </c>
    </row>
    <row r="9" spans="1:13" s="55" customFormat="1" ht="21.75" x14ac:dyDescent="0.25">
      <c r="A9" s="66" t="s">
        <v>269</v>
      </c>
      <c r="B9" s="67">
        <f t="shared" si="0"/>
        <v>58</v>
      </c>
      <c r="C9" s="181">
        <v>900</v>
      </c>
      <c r="D9" s="89">
        <f>B9*C9*1.1</f>
        <v>57420.000000000007</v>
      </c>
      <c r="E9" s="57"/>
      <c r="G9" s="55">
        <f>9</f>
        <v>9</v>
      </c>
      <c r="H9" s="55">
        <v>2</v>
      </c>
      <c r="I9" s="55">
        <v>1</v>
      </c>
      <c r="J9" s="55">
        <v>1</v>
      </c>
      <c r="K9" s="55">
        <f>1*2</f>
        <v>2</v>
      </c>
      <c r="L9" s="55">
        <f t="shared" si="1"/>
        <v>42</v>
      </c>
      <c r="M9" s="55">
        <v>1</v>
      </c>
    </row>
    <row r="10" spans="1:13" s="55" customFormat="1" ht="21.75" x14ac:dyDescent="0.25">
      <c r="A10" s="66" t="s">
        <v>268</v>
      </c>
      <c r="B10" s="67">
        <f t="shared" si="0"/>
        <v>46</v>
      </c>
      <c r="C10" s="181">
        <v>2600</v>
      </c>
      <c r="D10" s="89">
        <f>B10*C10*1.1</f>
        <v>131560</v>
      </c>
      <c r="E10" s="57"/>
      <c r="G10" s="55">
        <v>0</v>
      </c>
      <c r="H10" s="55">
        <v>1</v>
      </c>
      <c r="I10" s="55">
        <v>1</v>
      </c>
      <c r="J10" s="55">
        <v>0</v>
      </c>
      <c r="K10" s="55">
        <f>1*2</f>
        <v>2</v>
      </c>
      <c r="L10" s="55">
        <f t="shared" si="1"/>
        <v>42</v>
      </c>
      <c r="M10" s="55">
        <v>0</v>
      </c>
    </row>
    <row r="11" spans="1:13" s="55" customFormat="1" ht="21.75" x14ac:dyDescent="0.25">
      <c r="A11" s="66" t="s">
        <v>587</v>
      </c>
      <c r="B11" s="67">
        <f>DADOS_INICIAIS!E9</f>
        <v>11218.19</v>
      </c>
      <c r="C11" s="181">
        <v>11</v>
      </c>
      <c r="D11" s="89">
        <f>B11*C11*1.1</f>
        <v>135740.09900000002</v>
      </c>
      <c r="E11" s="57"/>
    </row>
    <row r="12" spans="1:13" s="55" customFormat="1" ht="21.75" x14ac:dyDescent="0.25">
      <c r="A12" s="344" t="s">
        <v>17</v>
      </c>
      <c r="B12" s="344"/>
      <c r="C12" s="344"/>
      <c r="D12" s="90">
        <f>SUM(D7:D11)</f>
        <v>781880.09900000005</v>
      </c>
      <c r="E12" s="60"/>
    </row>
    <row r="13" spans="1:13" s="55" customFormat="1" ht="21.75" x14ac:dyDescent="0.25">
      <c r="A13" s="348"/>
      <c r="B13" s="348"/>
      <c r="C13" s="348"/>
      <c r="D13" s="59"/>
      <c r="E13" s="59"/>
    </row>
    <row r="14" spans="1:13" s="55" customFormat="1" ht="21.75" x14ac:dyDescent="0.25">
      <c r="A14" s="52" t="s">
        <v>267</v>
      </c>
      <c r="B14" s="53"/>
      <c r="C14" s="53"/>
      <c r="D14" s="53"/>
      <c r="E14" s="53"/>
    </row>
    <row r="15" spans="1:13" s="55" customFormat="1" ht="21.75" x14ac:dyDescent="0.25">
      <c r="A15" s="56"/>
      <c r="B15" s="57"/>
      <c r="C15" s="57"/>
      <c r="D15" s="59"/>
      <c r="E15" s="59"/>
    </row>
    <row r="16" spans="1:13" s="55" customFormat="1" ht="42" customHeight="1" x14ac:dyDescent="0.25">
      <c r="A16" s="63" t="s">
        <v>14</v>
      </c>
      <c r="B16" s="349" t="s">
        <v>5</v>
      </c>
      <c r="C16" s="350"/>
      <c r="D16" s="71" t="s">
        <v>16</v>
      </c>
      <c r="E16" s="59"/>
    </row>
    <row r="17" spans="1:8" s="55" customFormat="1" ht="21.75" x14ac:dyDescent="0.25">
      <c r="A17" s="66" t="s">
        <v>266</v>
      </c>
      <c r="B17" s="62">
        <v>2</v>
      </c>
      <c r="C17" s="62" t="s">
        <v>6</v>
      </c>
      <c r="D17" s="89">
        <f>B17*DADOS_INICIAIS!$E$9*1.05</f>
        <v>23558.199000000001</v>
      </c>
      <c r="E17" s="57"/>
    </row>
    <row r="18" spans="1:8" s="55" customFormat="1" ht="21.75" x14ac:dyDescent="0.25">
      <c r="A18" s="66" t="s">
        <v>265</v>
      </c>
      <c r="B18" s="62">
        <v>5</v>
      </c>
      <c r="C18" s="62" t="s">
        <v>6</v>
      </c>
      <c r="D18" s="89">
        <f>B18*DADOS_INICIAIS!$E$9*1.05</f>
        <v>58895.497500000005</v>
      </c>
      <c r="E18" s="57"/>
    </row>
    <row r="19" spans="1:8" s="55" customFormat="1" ht="21.75" x14ac:dyDescent="0.25">
      <c r="A19" s="66" t="s">
        <v>264</v>
      </c>
      <c r="B19" s="62">
        <v>4.5</v>
      </c>
      <c r="C19" s="62" t="s">
        <v>6</v>
      </c>
      <c r="D19" s="89">
        <f>B19*DADOS_INICIAIS!$E$9*1.05</f>
        <v>53005.947750000007</v>
      </c>
      <c r="E19" s="57"/>
      <c r="H19" s="327"/>
    </row>
    <row r="20" spans="1:8" s="55" customFormat="1" ht="43.5" x14ac:dyDescent="0.25">
      <c r="A20" s="66" t="s">
        <v>263</v>
      </c>
      <c r="B20" s="62">
        <v>5.5</v>
      </c>
      <c r="C20" s="62" t="s">
        <v>6</v>
      </c>
      <c r="D20" s="89">
        <f>B20*DADOS_INICIAIS!$E$9*1.05</f>
        <v>64785.047250000011</v>
      </c>
      <c r="E20" s="57"/>
      <c r="H20" s="327"/>
    </row>
    <row r="21" spans="1:8" s="55" customFormat="1" ht="21.75" x14ac:dyDescent="0.25">
      <c r="A21" s="344" t="s">
        <v>17</v>
      </c>
      <c r="B21" s="344"/>
      <c r="C21" s="344"/>
      <c r="D21" s="90">
        <f>SUM(D17:D20)</f>
        <v>200244.69150000002</v>
      </c>
      <c r="E21" s="60"/>
    </row>
    <row r="22" spans="1:8" s="55" customFormat="1" ht="21.75" x14ac:dyDescent="0.25">
      <c r="A22" s="348"/>
      <c r="B22" s="348"/>
      <c r="C22" s="348"/>
      <c r="D22" s="59"/>
      <c r="E22" s="59"/>
    </row>
    <row r="23" spans="1:8" s="55" customFormat="1" ht="21.75" x14ac:dyDescent="0.25">
      <c r="A23" s="52" t="s">
        <v>262</v>
      </c>
      <c r="B23" s="53"/>
      <c r="C23" s="53"/>
      <c r="D23" s="53"/>
      <c r="E23" s="53"/>
    </row>
    <row r="24" spans="1:8" s="55" customFormat="1" ht="21.75" x14ac:dyDescent="0.25">
      <c r="A24" s="56"/>
      <c r="B24" s="57"/>
      <c r="C24" s="57"/>
      <c r="D24" s="59"/>
      <c r="E24" s="59"/>
    </row>
    <row r="25" spans="1:8" s="55" customFormat="1" ht="42" customHeight="1" x14ac:dyDescent="0.25">
      <c r="A25" s="63" t="s">
        <v>14</v>
      </c>
      <c r="B25" s="65" t="s">
        <v>18</v>
      </c>
      <c r="C25" s="71" t="s">
        <v>261</v>
      </c>
      <c r="D25" s="71" t="s">
        <v>16</v>
      </c>
      <c r="E25" s="59"/>
    </row>
    <row r="26" spans="1:8" s="55" customFormat="1" ht="26.25" customHeight="1" x14ac:dyDescent="0.25">
      <c r="A26" s="70" t="s">
        <v>260</v>
      </c>
      <c r="B26" s="67">
        <v>1</v>
      </c>
      <c r="C26" s="235">
        <v>195000</v>
      </c>
      <c r="D26" s="89">
        <f>B26*C26*1.05</f>
        <v>204750</v>
      </c>
      <c r="E26" s="57" t="s">
        <v>475</v>
      </c>
    </row>
    <row r="27" spans="1:8" s="55" customFormat="1" ht="26.25" customHeight="1" x14ac:dyDescent="0.25">
      <c r="A27" s="70" t="s">
        <v>260</v>
      </c>
      <c r="B27" s="67">
        <v>2</v>
      </c>
      <c r="C27" s="235">
        <f>17750*DADOS_INICIAIS!E15</f>
        <v>479250</v>
      </c>
      <c r="D27" s="89">
        <f t="shared" ref="D27" si="2">B27*C27*1.1</f>
        <v>1054350</v>
      </c>
      <c r="E27" s="57"/>
    </row>
    <row r="28" spans="1:8" s="55" customFormat="1" ht="26.25" customHeight="1" x14ac:dyDescent="0.25">
      <c r="A28" s="70" t="s">
        <v>379</v>
      </c>
      <c r="B28" s="67"/>
      <c r="C28" s="242">
        <v>42750</v>
      </c>
      <c r="D28" s="89">
        <f t="shared" ref="D28" si="3">B28*C28*1.1</f>
        <v>0</v>
      </c>
      <c r="E28" s="57" t="s">
        <v>380</v>
      </c>
    </row>
    <row r="29" spans="1:8" s="55" customFormat="1" ht="26.25" customHeight="1" x14ac:dyDescent="0.25">
      <c r="A29" s="70" t="s">
        <v>259</v>
      </c>
      <c r="B29" s="67">
        <v>1</v>
      </c>
      <c r="C29" s="236">
        <v>19800</v>
      </c>
      <c r="D29" s="89">
        <f>B29*C29*1.05</f>
        <v>20790</v>
      </c>
      <c r="E29" s="57"/>
    </row>
    <row r="30" spans="1:8" s="55" customFormat="1" ht="26.25" customHeight="1" x14ac:dyDescent="0.25">
      <c r="A30" s="70" t="s">
        <v>313</v>
      </c>
      <c r="B30" s="67">
        <v>1</v>
      </c>
      <c r="C30" s="181"/>
      <c r="D30" s="89">
        <f t="shared" ref="D30" si="4">B30*C30*1.1</f>
        <v>0</v>
      </c>
      <c r="E30" s="57"/>
    </row>
    <row r="31" spans="1:8" s="55" customFormat="1" ht="26.25" customHeight="1" x14ac:dyDescent="0.25">
      <c r="A31" s="70" t="s">
        <v>258</v>
      </c>
      <c r="B31" s="67">
        <v>3</v>
      </c>
      <c r="C31" s="181">
        <v>590</v>
      </c>
      <c r="D31" s="89">
        <f>B31*C31</f>
        <v>1770</v>
      </c>
      <c r="E31" s="57"/>
    </row>
    <row r="32" spans="1:8" s="55" customFormat="1" ht="26.25" customHeight="1" x14ac:dyDescent="0.25">
      <c r="A32" s="70" t="s">
        <v>340</v>
      </c>
      <c r="B32" s="67">
        <v>1</v>
      </c>
      <c r="C32" s="181">
        <v>27500</v>
      </c>
      <c r="D32" s="89">
        <f>B32*C32*1.1</f>
        <v>30250.000000000004</v>
      </c>
      <c r="E32" s="57"/>
    </row>
    <row r="33" spans="1:9" s="55" customFormat="1" ht="26.25" customHeight="1" x14ac:dyDescent="0.25">
      <c r="A33" s="70" t="s">
        <v>590</v>
      </c>
      <c r="B33" s="67">
        <v>1</v>
      </c>
      <c r="C33" s="181">
        <v>7980</v>
      </c>
      <c r="D33" s="89">
        <f t="shared" ref="D33" si="5">B33*C33*1.1</f>
        <v>8778</v>
      </c>
      <c r="E33" s="57"/>
    </row>
    <row r="34" spans="1:9" s="55" customFormat="1" ht="26.25" customHeight="1" x14ac:dyDescent="0.25">
      <c r="A34" s="70" t="s">
        <v>591</v>
      </c>
      <c r="B34" s="67">
        <v>2</v>
      </c>
      <c r="C34" s="181">
        <f>19700/2</f>
        <v>9850</v>
      </c>
      <c r="D34" s="89"/>
      <c r="E34" s="57"/>
    </row>
    <row r="35" spans="1:9" s="55" customFormat="1" ht="26.25" customHeight="1" x14ac:dyDescent="0.25">
      <c r="A35" s="70" t="s">
        <v>370</v>
      </c>
      <c r="B35" s="67"/>
      <c r="C35" s="237">
        <v>1150</v>
      </c>
      <c r="D35" s="89">
        <f>B35*C35*1.1</f>
        <v>0</v>
      </c>
      <c r="E35" s="57"/>
    </row>
    <row r="36" spans="1:9" s="55" customFormat="1" ht="21.75" x14ac:dyDescent="0.25">
      <c r="A36" s="344" t="s">
        <v>17</v>
      </c>
      <c r="B36" s="344"/>
      <c r="C36" s="344"/>
      <c r="D36" s="90">
        <f>SUM(D26:D35)</f>
        <v>1320688</v>
      </c>
      <c r="E36" s="60"/>
    </row>
    <row r="37" spans="1:9" x14ac:dyDescent="0.25">
      <c r="I37" s="47"/>
    </row>
    <row r="38" spans="1:9" s="55" customFormat="1" ht="21.75" x14ac:dyDescent="0.25">
      <c r="A38" s="52" t="s">
        <v>257</v>
      </c>
      <c r="B38" s="53"/>
      <c r="C38" s="53"/>
      <c r="D38" s="53"/>
      <c r="E38" s="53"/>
    </row>
    <row r="39" spans="1:9" s="55" customFormat="1" ht="21.75" x14ac:dyDescent="0.25">
      <c r="A39" s="56"/>
      <c r="B39" s="57"/>
      <c r="C39" s="57"/>
      <c r="D39" s="59"/>
      <c r="E39" s="59"/>
    </row>
    <row r="40" spans="1:9" s="55" customFormat="1" ht="40.5" customHeight="1" x14ac:dyDescent="0.25">
      <c r="A40" s="63" t="s">
        <v>14</v>
      </c>
      <c r="B40" s="349" t="s">
        <v>5</v>
      </c>
      <c r="C40" s="350"/>
      <c r="D40" s="71" t="s">
        <v>16</v>
      </c>
      <c r="E40" s="59"/>
    </row>
    <row r="41" spans="1:9" s="55" customFormat="1" ht="26.25" customHeight="1" x14ac:dyDescent="0.25">
      <c r="A41" s="70" t="s">
        <v>256</v>
      </c>
      <c r="B41" s="62">
        <v>10</v>
      </c>
      <c r="C41" s="62" t="s">
        <v>6</v>
      </c>
      <c r="D41" s="89">
        <f>B41*DADOS_INICIAIS!E9</f>
        <v>112181.90000000001</v>
      </c>
      <c r="E41" s="102"/>
    </row>
    <row r="42" spans="1:9" s="55" customFormat="1" ht="21.75" x14ac:dyDescent="0.25">
      <c r="A42" s="344" t="s">
        <v>17</v>
      </c>
      <c r="B42" s="344"/>
      <c r="C42" s="344"/>
      <c r="D42" s="90">
        <f>SUM(D41:D41)</f>
        <v>112181.90000000001</v>
      </c>
      <c r="E42" s="103"/>
    </row>
    <row r="43" spans="1:9" x14ac:dyDescent="0.25">
      <c r="D43" s="107"/>
      <c r="E43" s="107"/>
      <c r="I43" s="47"/>
    </row>
    <row r="44" spans="1:9" ht="23.25" customHeight="1" x14ac:dyDescent="0.25">
      <c r="A44" s="341" t="s">
        <v>255</v>
      </c>
      <c r="B44" s="342"/>
      <c r="C44" s="343"/>
      <c r="D44" s="108">
        <f>D12+D21+D36+D42</f>
        <v>2414994.6905</v>
      </c>
      <c r="E44" s="108">
        <f>D44/DADOS_INICIAIS!E9</f>
        <v>215.27489644051312</v>
      </c>
    </row>
  </sheetData>
  <mergeCells count="10">
    <mergeCell ref="A36:C36"/>
    <mergeCell ref="A44:C44"/>
    <mergeCell ref="B40:C40"/>
    <mergeCell ref="A42:C42"/>
    <mergeCell ref="A2:E2"/>
    <mergeCell ref="A12:C12"/>
    <mergeCell ref="A13:C13"/>
    <mergeCell ref="B16:C16"/>
    <mergeCell ref="A21:C21"/>
    <mergeCell ref="A22:C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20EE-5AC6-4766-BCD9-F110DF8BD5BE}">
  <sheetPr>
    <tabColor rgb="FF92D050"/>
  </sheetPr>
  <dimension ref="A1:L44"/>
  <sheetViews>
    <sheetView showGridLines="0" topLeftCell="A3" zoomScale="80" zoomScaleNormal="80" zoomScaleSheetLayoutView="95" workbookViewId="0">
      <selection activeCell="G12" sqref="G12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14.28515625" style="55" bestFit="1" customWidth="1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345" t="s">
        <v>225</v>
      </c>
      <c r="B3" s="353"/>
      <c r="C3" s="353"/>
      <c r="D3" s="346"/>
      <c r="E3" s="346"/>
      <c r="F3" s="346"/>
      <c r="G3" s="346"/>
      <c r="H3" s="347"/>
      <c r="J3" s="79"/>
    </row>
    <row r="4" spans="1:10" ht="19.5" x14ac:dyDescent="0.25">
      <c r="A4" s="182" t="s">
        <v>185</v>
      </c>
      <c r="B4" s="188">
        <v>45471</v>
      </c>
      <c r="C4" s="186"/>
      <c r="D4" s="186"/>
      <c r="E4" s="186"/>
      <c r="F4" s="186"/>
      <c r="G4" s="186"/>
      <c r="H4" s="187"/>
      <c r="J4" s="79"/>
    </row>
    <row r="5" spans="1:10" ht="19.5" x14ac:dyDescent="0.25">
      <c r="A5" s="182" t="s">
        <v>293</v>
      </c>
      <c r="B5" s="189" t="s">
        <v>210</v>
      </c>
      <c r="C5" s="184"/>
      <c r="D5" s="184"/>
      <c r="E5" s="184"/>
      <c r="F5" s="184"/>
      <c r="G5" s="184"/>
      <c r="H5" s="185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225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349" t="s">
        <v>5</v>
      </c>
      <c r="C9" s="350"/>
      <c r="D9" s="349" t="s">
        <v>18</v>
      </c>
      <c r="E9" s="350"/>
      <c r="F9" s="65" t="s">
        <v>118</v>
      </c>
      <c r="G9" s="71" t="s">
        <v>16</v>
      </c>
      <c r="H9" s="90" t="s">
        <v>295</v>
      </c>
    </row>
    <row r="10" spans="1:10" ht="21.75" x14ac:dyDescent="0.25">
      <c r="A10" s="66" t="s">
        <v>224</v>
      </c>
      <c r="B10" s="62">
        <v>25</v>
      </c>
      <c r="C10" s="62" t="s">
        <v>170</v>
      </c>
      <c r="D10" s="67">
        <f>D16+D17+D18</f>
        <v>4862.4766099999997</v>
      </c>
      <c r="E10" s="67" t="s">
        <v>2</v>
      </c>
      <c r="F10" s="88">
        <v>7</v>
      </c>
      <c r="G10" s="89">
        <f t="shared" ref="G10:G19" si="0">F10*D10*1.1</f>
        <v>37441.069897000001</v>
      </c>
      <c r="H10" s="67"/>
    </row>
    <row r="11" spans="1:10" ht="21.75" x14ac:dyDescent="0.25">
      <c r="A11" s="66" t="s">
        <v>217</v>
      </c>
      <c r="B11" s="62">
        <v>28</v>
      </c>
      <c r="C11" s="62" t="s">
        <v>170</v>
      </c>
      <c r="D11" s="67">
        <f>D18+D17</f>
        <v>1497.0196100000003</v>
      </c>
      <c r="E11" s="67" t="s">
        <v>2</v>
      </c>
      <c r="F11" s="88">
        <v>50</v>
      </c>
      <c r="G11" s="89">
        <f t="shared" ref="G11" si="1">F11*D11*1.1</f>
        <v>82336.078550000035</v>
      </c>
      <c r="H11" s="67"/>
      <c r="J11" s="191"/>
    </row>
    <row r="12" spans="1:10" ht="21.75" x14ac:dyDescent="0.25">
      <c r="A12" s="66" t="s">
        <v>608</v>
      </c>
      <c r="B12" s="62">
        <v>28</v>
      </c>
      <c r="C12" s="62" t="s">
        <v>170</v>
      </c>
      <c r="D12" s="67">
        <v>1</v>
      </c>
      <c r="E12" s="67" t="s">
        <v>27</v>
      </c>
      <c r="F12" s="88">
        <f>'Custos Serviços'!D32</f>
        <v>186171.68928220001</v>
      </c>
      <c r="G12" s="89">
        <f>F12*D12</f>
        <v>186171.68928220001</v>
      </c>
      <c r="H12" s="67"/>
      <c r="J12" s="191"/>
    </row>
    <row r="13" spans="1:10" ht="21.75" x14ac:dyDescent="0.25">
      <c r="A13" s="78" t="s">
        <v>223</v>
      </c>
      <c r="B13" s="62">
        <v>45</v>
      </c>
      <c r="C13" s="62" t="s">
        <v>170</v>
      </c>
      <c r="D13" s="67">
        <f>(3.51+3.8+2.94)+(1.7*4*1.8)+(1.75*2+2*2)*1.8*2</f>
        <v>49.49</v>
      </c>
      <c r="E13" s="67" t="s">
        <v>2</v>
      </c>
      <c r="F13" s="88">
        <f>36+30</f>
        <v>66</v>
      </c>
      <c r="G13" s="89">
        <f t="shared" si="0"/>
        <v>3592.9740000000006</v>
      </c>
      <c r="H13" s="67"/>
    </row>
    <row r="14" spans="1:10" ht="21.75" x14ac:dyDescent="0.25">
      <c r="A14" s="78" t="s">
        <v>222</v>
      </c>
      <c r="B14" s="62">
        <v>30</v>
      </c>
      <c r="C14" s="62" t="s">
        <v>170</v>
      </c>
      <c r="D14" s="67">
        <f>INFRAESTRUTURA!D28</f>
        <v>746.2364</v>
      </c>
      <c r="E14" s="67" t="s">
        <v>2</v>
      </c>
      <c r="F14" s="88">
        <f>25+39</f>
        <v>64</v>
      </c>
      <c r="G14" s="89">
        <f t="shared" si="0"/>
        <v>52535.042560000002</v>
      </c>
      <c r="H14" s="67"/>
    </row>
    <row r="15" spans="1:10" ht="21.75" x14ac:dyDescent="0.25">
      <c r="A15" s="66" t="s">
        <v>221</v>
      </c>
      <c r="B15" s="62">
        <v>2</v>
      </c>
      <c r="C15" s="62" t="s">
        <v>6</v>
      </c>
      <c r="D15" s="67">
        <v>1</v>
      </c>
      <c r="E15" s="67" t="s">
        <v>27</v>
      </c>
      <c r="F15" s="88">
        <f>B15*DADOS_INICIAIS!$E$9</f>
        <v>22436.38</v>
      </c>
      <c r="G15" s="89">
        <f t="shared" si="0"/>
        <v>24680.018000000004</v>
      </c>
      <c r="H15" s="67" t="e">
        <f>G15/I15</f>
        <v>#DIV/0!</v>
      </c>
    </row>
    <row r="16" spans="1:10" ht="21.75" x14ac:dyDescent="0.25">
      <c r="A16" s="66" t="s">
        <v>220</v>
      </c>
      <c r="B16" s="62">
        <v>0.3</v>
      </c>
      <c r="C16" s="62" t="s">
        <v>37</v>
      </c>
      <c r="D16" s="67">
        <f>B16*DADOS_INICIAIS!E9</f>
        <v>3365.4569999999999</v>
      </c>
      <c r="E16" s="67" t="s">
        <v>2</v>
      </c>
      <c r="F16" s="88">
        <f>40+30</f>
        <v>70</v>
      </c>
      <c r="G16" s="89">
        <f t="shared" si="0"/>
        <v>259140.18900000001</v>
      </c>
      <c r="H16" s="67"/>
      <c r="J16" s="191"/>
    </row>
    <row r="17" spans="1:12" ht="21.75" x14ac:dyDescent="0.25">
      <c r="A17" s="66" t="s">
        <v>219</v>
      </c>
      <c r="B17" s="62">
        <f>D17/DADOS_INICIAIS!E9</f>
        <v>8.3445735007162472E-2</v>
      </c>
      <c r="C17" s="62" t="s">
        <v>37</v>
      </c>
      <c r="D17" s="67">
        <f>('PISO E TETO'!M17-'PISO E TETO'!M35)*1.3</f>
        <v>936.11011000000008</v>
      </c>
      <c r="E17" s="67" t="s">
        <v>2</v>
      </c>
      <c r="F17" s="88">
        <f>50+48</f>
        <v>98</v>
      </c>
      <c r="G17" s="89">
        <f t="shared" si="0"/>
        <v>100912.66985800002</v>
      </c>
      <c r="H17" s="67" t="s">
        <v>607</v>
      </c>
      <c r="J17" s="191"/>
    </row>
    <row r="18" spans="1:12" ht="43.5" x14ac:dyDescent="0.25">
      <c r="A18" s="66" t="s">
        <v>406</v>
      </c>
      <c r="B18" s="62">
        <v>0.05</v>
      </c>
      <c r="C18" s="62" t="s">
        <v>37</v>
      </c>
      <c r="D18" s="67">
        <f>B18*DADOS_INICIAIS!E9</f>
        <v>560.90950000000009</v>
      </c>
      <c r="E18" s="67" t="s">
        <v>2</v>
      </c>
      <c r="F18" s="88">
        <f>50+48</f>
        <v>98</v>
      </c>
      <c r="G18" s="89">
        <f t="shared" ref="G18" si="2">F18*D18*1.1</f>
        <v>60466.044100000014</v>
      </c>
      <c r="H18" s="67"/>
      <c r="J18" s="191"/>
    </row>
    <row r="19" spans="1:12" ht="21.75" x14ac:dyDescent="0.25">
      <c r="A19" s="66" t="s">
        <v>218</v>
      </c>
      <c r="B19" s="62">
        <v>1.3</v>
      </c>
      <c r="C19" s="62" t="s">
        <v>6</v>
      </c>
      <c r="D19" s="67">
        <v>1</v>
      </c>
      <c r="E19" s="67" t="s">
        <v>27</v>
      </c>
      <c r="F19" s="88">
        <f>B19*DADOS_INICIAIS!$E$9</f>
        <v>14583.647000000001</v>
      </c>
      <c r="G19" s="89">
        <f t="shared" si="0"/>
        <v>16042.011700000003</v>
      </c>
      <c r="H19" s="67" t="e">
        <f>G19/I19</f>
        <v>#DIV/0!</v>
      </c>
    </row>
    <row r="20" spans="1:12" ht="21.75" x14ac:dyDescent="0.25">
      <c r="A20" s="344" t="s">
        <v>17</v>
      </c>
      <c r="B20" s="344"/>
      <c r="C20" s="344"/>
      <c r="D20" s="344"/>
      <c r="E20" s="344"/>
      <c r="F20" s="344"/>
      <c r="G20" s="90">
        <f>SUM(G10:G19)</f>
        <v>823317.78694720019</v>
      </c>
      <c r="H20" s="90"/>
      <c r="K20" s="55">
        <f>4160+1440+1120+2880+4800+91680+4000</f>
        <v>110080</v>
      </c>
      <c r="L20" s="55">
        <f>K20/21</f>
        <v>5241.9047619047615</v>
      </c>
    </row>
    <row r="22" spans="1:12" ht="21.75" x14ac:dyDescent="0.25">
      <c r="A22" s="354" t="s">
        <v>216</v>
      </c>
      <c r="B22" s="355"/>
      <c r="C22" s="355"/>
      <c r="D22" s="355"/>
      <c r="E22" s="355"/>
      <c r="F22" s="356"/>
      <c r="G22" s="91">
        <f>G20</f>
        <v>823317.78694720019</v>
      </c>
      <c r="H22" s="91">
        <f>G22/DADOS_INICIAIS!E9</f>
        <v>73.391321322530658</v>
      </c>
    </row>
    <row r="25" spans="1:12" x14ac:dyDescent="0.25">
      <c r="H25" s="191">
        <f>H22/1.1</f>
        <v>66.719383020482411</v>
      </c>
    </row>
    <row r="26" spans="1:12" x14ac:dyDescent="0.25">
      <c r="C26" s="55">
        <f>3.36*(141*2+10)</f>
        <v>981.12</v>
      </c>
    </row>
    <row r="27" spans="1:12" x14ac:dyDescent="0.25">
      <c r="C27" s="55">
        <f>1.5*2.1*(141*2+10)</f>
        <v>919.80000000000007</v>
      </c>
    </row>
    <row r="28" spans="1:12" x14ac:dyDescent="0.25">
      <c r="C28" s="55">
        <f>C26+C27</f>
        <v>1900.92</v>
      </c>
      <c r="D28" s="81" t="s">
        <v>381</v>
      </c>
    </row>
    <row r="29" spans="1:12" x14ac:dyDescent="0.25">
      <c r="C29" s="55">
        <f>4*1.5*56</f>
        <v>336</v>
      </c>
      <c r="D29" s="81" t="s">
        <v>382</v>
      </c>
    </row>
    <row r="32" spans="1:12" ht="21.75" x14ac:dyDescent="0.25">
      <c r="A32" s="52" t="s">
        <v>225</v>
      </c>
      <c r="B32" s="52"/>
      <c r="C32" s="52"/>
      <c r="D32" s="53"/>
      <c r="E32" s="53"/>
      <c r="F32" s="54"/>
      <c r="G32" s="53"/>
      <c r="H32" s="53"/>
    </row>
    <row r="33" spans="1:12" ht="21.75" x14ac:dyDescent="0.25">
      <c r="A33" s="56"/>
      <c r="B33" s="56"/>
      <c r="C33" s="56"/>
      <c r="D33" s="57"/>
      <c r="E33" s="57"/>
      <c r="F33" s="58"/>
      <c r="G33" s="59"/>
      <c r="H33" s="59"/>
    </row>
    <row r="34" spans="1:12" ht="42" customHeight="1" x14ac:dyDescent="0.25">
      <c r="A34" s="63" t="s">
        <v>14</v>
      </c>
      <c r="B34" s="349" t="s">
        <v>5</v>
      </c>
      <c r="C34" s="350"/>
      <c r="D34" s="349" t="s">
        <v>18</v>
      </c>
      <c r="E34" s="350"/>
      <c r="F34" s="65" t="s">
        <v>118</v>
      </c>
      <c r="G34" s="71" t="s">
        <v>16</v>
      </c>
      <c r="H34" s="90" t="s">
        <v>295</v>
      </c>
    </row>
    <row r="35" spans="1:12" ht="21.75" x14ac:dyDescent="0.25">
      <c r="A35" s="66" t="s">
        <v>224</v>
      </c>
      <c r="B35" s="62">
        <v>25</v>
      </c>
      <c r="C35" s="62" t="s">
        <v>170</v>
      </c>
      <c r="D35" s="67">
        <v>6235.3760000000002</v>
      </c>
      <c r="E35" s="67" t="s">
        <v>2</v>
      </c>
      <c r="F35" s="88">
        <f>5+20</f>
        <v>25</v>
      </c>
      <c r="G35" s="89">
        <f t="shared" ref="G35:G43" si="3">F35*D35*1.1</f>
        <v>171472.84</v>
      </c>
      <c r="H35" s="67"/>
    </row>
    <row r="36" spans="1:12" ht="21.75" x14ac:dyDescent="0.25">
      <c r="A36" s="78" t="s">
        <v>223</v>
      </c>
      <c r="B36" s="62">
        <v>45</v>
      </c>
      <c r="C36" s="62" t="s">
        <v>170</v>
      </c>
      <c r="D36" s="67">
        <v>37.805999999999997</v>
      </c>
      <c r="E36" s="67" t="s">
        <v>2</v>
      </c>
      <c r="F36" s="88">
        <f>41</f>
        <v>41</v>
      </c>
      <c r="G36" s="89">
        <f t="shared" si="3"/>
        <v>1705.0506</v>
      </c>
      <c r="H36" s="67"/>
    </row>
    <row r="37" spans="1:12" ht="21.75" x14ac:dyDescent="0.25">
      <c r="A37" s="78" t="s">
        <v>222</v>
      </c>
      <c r="B37" s="62">
        <v>30</v>
      </c>
      <c r="C37" s="62" t="s">
        <v>170</v>
      </c>
      <c r="D37" s="67">
        <v>1131.0624</v>
      </c>
      <c r="E37" s="67" t="s">
        <v>2</v>
      </c>
      <c r="F37" s="88">
        <f>15+38</f>
        <v>53</v>
      </c>
      <c r="G37" s="89">
        <f t="shared" si="3"/>
        <v>65940.937920000011</v>
      </c>
      <c r="H37" s="67"/>
    </row>
    <row r="38" spans="1:12" ht="21.75" x14ac:dyDescent="0.25">
      <c r="A38" s="66" t="s">
        <v>221</v>
      </c>
      <c r="B38" s="62">
        <v>1</v>
      </c>
      <c r="C38" s="62" t="s">
        <v>6</v>
      </c>
      <c r="D38" s="67">
        <v>1</v>
      </c>
      <c r="E38" s="67" t="s">
        <v>27</v>
      </c>
      <c r="F38" s="88">
        <f>B38*DADOS_INICIAIS!$E$9</f>
        <v>11218.19</v>
      </c>
      <c r="G38" s="89">
        <f t="shared" si="3"/>
        <v>12340.009000000002</v>
      </c>
      <c r="H38" s="67" t="e">
        <f>G38/I38</f>
        <v>#DIV/0!</v>
      </c>
    </row>
    <row r="39" spans="1:12" ht="21.75" x14ac:dyDescent="0.25">
      <c r="A39" s="66" t="s">
        <v>220</v>
      </c>
      <c r="B39" s="62">
        <v>0.3</v>
      </c>
      <c r="C39" s="62" t="s">
        <v>37</v>
      </c>
      <c r="D39" s="67">
        <v>3944.3339999999998</v>
      </c>
      <c r="E39" s="67" t="s">
        <v>2</v>
      </c>
      <c r="F39" s="88">
        <f>40+30</f>
        <v>70</v>
      </c>
      <c r="G39" s="89">
        <f t="shared" si="3"/>
        <v>303713.71800000005</v>
      </c>
      <c r="H39" s="67"/>
      <c r="J39" s="191"/>
    </row>
    <row r="40" spans="1:12" ht="21.75" x14ac:dyDescent="0.25">
      <c r="A40" s="66" t="s">
        <v>219</v>
      </c>
      <c r="B40" s="62">
        <f>D40/DADOS_INICIAIS!E33</f>
        <v>3.4666059026154543</v>
      </c>
      <c r="C40" s="62" t="s">
        <v>37</v>
      </c>
      <c r="D40" s="67">
        <v>2291.0420000000004</v>
      </c>
      <c r="E40" s="67" t="s">
        <v>2</v>
      </c>
      <c r="F40" s="88">
        <f>50+48</f>
        <v>98</v>
      </c>
      <c r="G40" s="89">
        <f t="shared" si="3"/>
        <v>246974.32760000005</v>
      </c>
      <c r="H40" s="67"/>
      <c r="J40" s="191"/>
    </row>
    <row r="41" spans="1:12" ht="43.5" x14ac:dyDescent="0.25">
      <c r="A41" s="66" t="s">
        <v>406</v>
      </c>
      <c r="B41" s="62"/>
      <c r="C41" s="62" t="s">
        <v>37</v>
      </c>
      <c r="D41" s="67"/>
      <c r="E41" s="67" t="s">
        <v>2</v>
      </c>
      <c r="F41" s="88">
        <f>50+48</f>
        <v>98</v>
      </c>
      <c r="G41" s="89">
        <f t="shared" si="3"/>
        <v>0</v>
      </c>
      <c r="H41" s="67"/>
      <c r="J41" s="191"/>
    </row>
    <row r="42" spans="1:12" ht="21.75" x14ac:dyDescent="0.25">
      <c r="A42" s="66" t="s">
        <v>218</v>
      </c>
      <c r="B42" s="62">
        <v>1.2</v>
      </c>
      <c r="C42" s="62" t="s">
        <v>6</v>
      </c>
      <c r="D42" s="67">
        <v>1</v>
      </c>
      <c r="E42" s="67" t="s">
        <v>27</v>
      </c>
      <c r="F42" s="88">
        <f>B42*DADOS_INICIAIS!$E$9</f>
        <v>13461.828</v>
      </c>
      <c r="G42" s="89">
        <f t="shared" si="3"/>
        <v>14808.0108</v>
      </c>
      <c r="H42" s="67" t="e">
        <f>G42/I42</f>
        <v>#DIV/0!</v>
      </c>
    </row>
    <row r="43" spans="1:12" ht="21.75" x14ac:dyDescent="0.25">
      <c r="A43" s="66" t="s">
        <v>217</v>
      </c>
      <c r="B43" s="62">
        <v>28</v>
      </c>
      <c r="C43" s="62" t="s">
        <v>170</v>
      </c>
      <c r="D43" s="67">
        <v>2291.0420000000004</v>
      </c>
      <c r="E43" s="67" t="s">
        <v>2</v>
      </c>
      <c r="F43" s="88">
        <f>35+22</f>
        <v>57</v>
      </c>
      <c r="G43" s="89">
        <f t="shared" si="3"/>
        <v>143648.33340000003</v>
      </c>
      <c r="H43" s="67"/>
      <c r="J43" s="191"/>
    </row>
    <row r="44" spans="1:12" ht="21.75" x14ac:dyDescent="0.25">
      <c r="A44" s="344" t="s">
        <v>17</v>
      </c>
      <c r="B44" s="344"/>
      <c r="C44" s="344"/>
      <c r="D44" s="344"/>
      <c r="E44" s="344"/>
      <c r="F44" s="344"/>
      <c r="G44" s="90">
        <f>SUM(G35:G43)</f>
        <v>960603.22732000018</v>
      </c>
      <c r="H44" s="90"/>
      <c r="K44" s="55">
        <f>4160+1440+1120+2880+4800+91680+4000</f>
        <v>110080</v>
      </c>
      <c r="L44" s="55">
        <f>K44/21</f>
        <v>5241.9047619047615</v>
      </c>
    </row>
  </sheetData>
  <mergeCells count="8">
    <mergeCell ref="B34:C34"/>
    <mergeCell ref="D34:E34"/>
    <mergeCell ref="A44:F44"/>
    <mergeCell ref="A22:F22"/>
    <mergeCell ref="A3:H3"/>
    <mergeCell ref="B9:C9"/>
    <mergeCell ref="D9:E9"/>
    <mergeCell ref="A20:F20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BF055-F5DB-4C7C-8016-472086DE0C1F}">
  <sheetPr>
    <tabColor rgb="FF003C66"/>
  </sheetPr>
  <dimension ref="A1:Y987"/>
  <sheetViews>
    <sheetView topLeftCell="E15" zoomScaleNormal="100" workbookViewId="0">
      <selection activeCell="K44" sqref="K44"/>
    </sheetView>
  </sheetViews>
  <sheetFormatPr defaultColWidth="14.42578125" defaultRowHeight="15" customHeight="1" x14ac:dyDescent="0.25"/>
  <cols>
    <col min="1" max="1" width="12.28515625" style="203" customWidth="1"/>
    <col min="2" max="2" width="20" style="203" customWidth="1"/>
    <col min="3" max="3" width="31" style="203" customWidth="1"/>
    <col min="4" max="4" width="13.42578125" style="203" customWidth="1"/>
    <col min="5" max="5" width="31.140625" style="203" customWidth="1"/>
    <col min="6" max="7" width="21.140625" style="203" customWidth="1"/>
    <col min="8" max="9" width="8.7109375" style="203" customWidth="1"/>
    <col min="10" max="10" width="8.85546875" style="203" customWidth="1"/>
    <col min="11" max="11" width="32.5703125" style="203" customWidth="1"/>
    <col min="12" max="13" width="20.7109375" style="203" customWidth="1"/>
    <col min="14" max="14" width="16.42578125" style="203" customWidth="1"/>
    <col min="15" max="15" width="8.85546875" style="203" customWidth="1"/>
    <col min="16" max="25" width="8.7109375" style="203" customWidth="1"/>
    <col min="26" max="16384" width="14.42578125" style="203"/>
  </cols>
  <sheetData>
    <row r="1" spans="1:25" ht="15" customHeight="1" x14ac:dyDescent="0.25">
      <c r="A1" s="233" t="s">
        <v>0</v>
      </c>
      <c r="B1" s="232" t="str">
        <f>DADOS_INICIAIS!B1</f>
        <v>2cinco4</v>
      </c>
      <c r="C1" s="231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04"/>
      <c r="O1" s="229"/>
    </row>
    <row r="2" spans="1:25" ht="15" customHeight="1" x14ac:dyDescent="0.25">
      <c r="A2" s="228" t="s">
        <v>117</v>
      </c>
      <c r="B2" s="232" t="str">
        <f>DADOS_INICIAIS!B2</f>
        <v>H Empreendimentos</v>
      </c>
      <c r="C2" s="224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04"/>
      <c r="O2" s="205"/>
    </row>
    <row r="3" spans="1:25" ht="15" customHeight="1" x14ac:dyDescent="0.25">
      <c r="A3" s="228" t="s">
        <v>1</v>
      </c>
      <c r="B3" s="227" t="s">
        <v>184</v>
      </c>
      <c r="C3" s="224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04"/>
      <c r="O3" s="205"/>
    </row>
    <row r="4" spans="1:25" ht="15" customHeight="1" x14ac:dyDescent="0.25">
      <c r="A4" s="225" t="s">
        <v>185</v>
      </c>
      <c r="B4" s="250">
        <v>45825</v>
      </c>
      <c r="C4" s="224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04"/>
      <c r="O4" s="205"/>
    </row>
    <row r="5" spans="1:25" ht="26.25" customHeight="1" x14ac:dyDescent="0.25">
      <c r="A5" s="357" t="s">
        <v>365</v>
      </c>
      <c r="B5" s="358"/>
      <c r="C5" s="358"/>
      <c r="D5" s="358"/>
      <c r="E5" s="358"/>
      <c r="F5" s="358"/>
      <c r="G5" s="358"/>
      <c r="H5" s="358"/>
      <c r="I5" s="358"/>
      <c r="J5" s="358"/>
      <c r="K5" s="358"/>
      <c r="L5" s="358"/>
      <c r="M5" s="358"/>
      <c r="N5" s="358"/>
      <c r="O5" s="359"/>
    </row>
    <row r="6" spans="1:25" ht="14.25" customHeight="1" x14ac:dyDescent="0.25">
      <c r="A6" s="211"/>
      <c r="B6" s="204"/>
      <c r="C6" s="204"/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5"/>
    </row>
    <row r="7" spans="1:25" ht="26.25" customHeight="1" x14ac:dyDescent="0.25">
      <c r="A7" s="360" t="s">
        <v>377</v>
      </c>
      <c r="B7" s="358"/>
      <c r="C7" s="358"/>
      <c r="D7" s="358"/>
      <c r="E7" s="358"/>
      <c r="F7" s="358"/>
      <c r="G7" s="358"/>
      <c r="H7" s="358"/>
      <c r="I7" s="358"/>
      <c r="J7" s="358"/>
      <c r="K7" s="358"/>
      <c r="L7" s="358"/>
      <c r="M7" s="358"/>
      <c r="N7" s="358"/>
      <c r="O7" s="359"/>
    </row>
    <row r="8" spans="1:25" ht="14.25" customHeight="1" thickBot="1" x14ac:dyDescent="0.3">
      <c r="A8" s="211"/>
      <c r="B8" s="204"/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5"/>
      <c r="P8" s="204"/>
      <c r="Q8" s="204"/>
      <c r="R8" s="204"/>
      <c r="S8" s="204"/>
      <c r="T8" s="204"/>
      <c r="U8" s="204"/>
      <c r="V8" s="204"/>
      <c r="W8" s="204"/>
      <c r="X8" s="204"/>
      <c r="Y8" s="204"/>
    </row>
    <row r="9" spans="1:25" ht="14.25" customHeight="1" thickBot="1" x14ac:dyDescent="0.3">
      <c r="A9" s="211"/>
      <c r="B9" s="361" t="s">
        <v>364</v>
      </c>
      <c r="C9" s="362"/>
      <c r="D9" s="362"/>
      <c r="E9" s="362"/>
      <c r="F9" s="362"/>
      <c r="G9" s="362"/>
      <c r="H9" s="362"/>
      <c r="I9" s="363"/>
      <c r="J9" s="204"/>
      <c r="K9" s="204"/>
      <c r="L9" s="361" t="s">
        <v>363</v>
      </c>
      <c r="M9" s="363"/>
      <c r="N9" s="204"/>
      <c r="O9" s="205"/>
    </row>
    <row r="10" spans="1:25" ht="14.25" customHeight="1" x14ac:dyDescent="0.45">
      <c r="A10" s="211"/>
      <c r="B10" s="216" t="s">
        <v>362</v>
      </c>
      <c r="C10" s="221" t="s">
        <v>361</v>
      </c>
      <c r="D10" s="221" t="s">
        <v>360</v>
      </c>
      <c r="E10" s="221" t="s">
        <v>354</v>
      </c>
      <c r="F10" s="222" t="s">
        <v>359</v>
      </c>
      <c r="G10" s="222" t="s">
        <v>375</v>
      </c>
      <c r="H10" s="221" t="s">
        <v>358</v>
      </c>
      <c r="I10" s="215" t="s">
        <v>357</v>
      </c>
      <c r="J10" s="204"/>
      <c r="K10" s="204"/>
      <c r="L10" s="216" t="s">
        <v>356</v>
      </c>
      <c r="M10" s="215" t="s">
        <v>353</v>
      </c>
      <c r="N10" s="204"/>
      <c r="O10" s="205"/>
    </row>
    <row r="11" spans="1:25" ht="14.25" customHeight="1" x14ac:dyDescent="0.25">
      <c r="A11" s="211"/>
      <c r="B11" s="220" t="s">
        <v>199</v>
      </c>
      <c r="C11" s="219" t="s">
        <v>420</v>
      </c>
      <c r="D11" s="219">
        <v>92.47</v>
      </c>
      <c r="E11" s="209" t="s">
        <v>446</v>
      </c>
      <c r="F11" s="209" t="s">
        <v>347</v>
      </c>
      <c r="G11" s="209" t="s">
        <v>376</v>
      </c>
      <c r="H11" s="218">
        <v>1</v>
      </c>
      <c r="I11" s="217">
        <f>H11*Table_2[[#This Row],[Área (m²)]]</f>
        <v>92.47</v>
      </c>
      <c r="J11" s="204"/>
      <c r="K11" s="204"/>
      <c r="L11" s="214" t="s">
        <v>193</v>
      </c>
      <c r="M11" s="213">
        <f>SUMIF(F:F,"Sim",I:I)</f>
        <v>7152.5749249999999</v>
      </c>
      <c r="N11" s="204"/>
      <c r="O11" s="205"/>
    </row>
    <row r="12" spans="1:25" ht="14.25" customHeight="1" thickBot="1" x14ac:dyDescent="0.3">
      <c r="A12" s="211"/>
      <c r="B12" s="210" t="s">
        <v>199</v>
      </c>
      <c r="C12" s="209" t="s">
        <v>421</v>
      </c>
      <c r="D12" s="209">
        <v>84.94</v>
      </c>
      <c r="E12" s="209" t="s">
        <v>446</v>
      </c>
      <c r="F12" s="209" t="s">
        <v>347</v>
      </c>
      <c r="G12" s="209" t="s">
        <v>376</v>
      </c>
      <c r="H12" s="208">
        <v>1</v>
      </c>
      <c r="I12" s="212">
        <f>H12*Table_2[[#This Row],[Área (m²)]]</f>
        <v>84.94</v>
      </c>
      <c r="J12" s="204"/>
      <c r="K12" s="204"/>
      <c r="L12" s="207" t="s">
        <v>192</v>
      </c>
      <c r="M12" s="212">
        <f>SUM(I78:I105)</f>
        <v>6627.424</v>
      </c>
      <c r="N12" s="204"/>
      <c r="O12" s="205"/>
    </row>
    <row r="13" spans="1:25" ht="14.25" customHeight="1" thickBot="1" x14ac:dyDescent="0.3">
      <c r="A13" s="211"/>
      <c r="B13" s="210" t="s">
        <v>199</v>
      </c>
      <c r="C13" s="209" t="s">
        <v>422</v>
      </c>
      <c r="D13" s="209">
        <v>97.08</v>
      </c>
      <c r="E13" s="209" t="s">
        <v>446</v>
      </c>
      <c r="F13" s="209" t="s">
        <v>347</v>
      </c>
      <c r="G13" s="209" t="s">
        <v>376</v>
      </c>
      <c r="H13" s="208">
        <v>1</v>
      </c>
      <c r="I13" s="212">
        <f>H13*Table_2[[#This Row],[Área (m²)]]</f>
        <v>97.08</v>
      </c>
      <c r="J13" s="204"/>
      <c r="K13" s="204"/>
      <c r="L13" s="361" t="s">
        <v>378</v>
      </c>
      <c r="M13" s="363"/>
      <c r="N13" s="204"/>
      <c r="O13" s="205"/>
    </row>
    <row r="14" spans="1:25" ht="14.25" customHeight="1" x14ac:dyDescent="0.25">
      <c r="A14" s="211"/>
      <c r="B14" s="210" t="s">
        <v>199</v>
      </c>
      <c r="C14" s="209" t="s">
        <v>423</v>
      </c>
      <c r="D14" s="209">
        <v>69.17</v>
      </c>
      <c r="E14" s="209" t="s">
        <v>446</v>
      </c>
      <c r="F14" s="209" t="s">
        <v>347</v>
      </c>
      <c r="G14" s="209" t="s">
        <v>376</v>
      </c>
      <c r="H14" s="208">
        <v>1</v>
      </c>
      <c r="I14" s="212">
        <f>H14*Table_2[[#This Row],[Área (m²)]]</f>
        <v>69.17</v>
      </c>
      <c r="J14" s="204"/>
      <c r="K14" s="204"/>
      <c r="L14" s="216" t="s">
        <v>356</v>
      </c>
      <c r="M14" s="215" t="s">
        <v>353</v>
      </c>
      <c r="N14" s="204"/>
      <c r="O14" s="205"/>
    </row>
    <row r="15" spans="1:25" ht="14.25" customHeight="1" x14ac:dyDescent="0.25">
      <c r="A15" s="211"/>
      <c r="B15" s="210" t="s">
        <v>199</v>
      </c>
      <c r="C15" s="209" t="s">
        <v>424</v>
      </c>
      <c r="D15" s="209">
        <v>68.62</v>
      </c>
      <c r="E15" s="209" t="s">
        <v>446</v>
      </c>
      <c r="F15" s="209" t="s">
        <v>347</v>
      </c>
      <c r="G15" s="209" t="s">
        <v>376</v>
      </c>
      <c r="H15" s="208">
        <v>1</v>
      </c>
      <c r="I15" s="212">
        <f>H15*Table_2[[#This Row],[Área (m²)]]</f>
        <v>68.62</v>
      </c>
      <c r="J15" s="204"/>
      <c r="K15" s="204"/>
      <c r="L15" s="214" t="s">
        <v>196</v>
      </c>
      <c r="M15" s="213">
        <f>SUMIF(G:G,L15,I:I)</f>
        <v>3253.1563589999996</v>
      </c>
      <c r="N15" s="204"/>
      <c r="O15" s="205"/>
    </row>
    <row r="16" spans="1:25" ht="14.25" customHeight="1" x14ac:dyDescent="0.25">
      <c r="A16" s="211"/>
      <c r="B16" s="210" t="s">
        <v>199</v>
      </c>
      <c r="C16" s="209" t="s">
        <v>425</v>
      </c>
      <c r="D16" s="209">
        <v>72.349999999999994</v>
      </c>
      <c r="E16" s="209" t="s">
        <v>446</v>
      </c>
      <c r="F16" s="209" t="s">
        <v>347</v>
      </c>
      <c r="G16" s="209" t="s">
        <v>376</v>
      </c>
      <c r="H16" s="208">
        <v>1</v>
      </c>
      <c r="I16" s="212">
        <f>H16*Table_2[[#This Row],[Área (m²)]]</f>
        <v>72.349999999999994</v>
      </c>
      <c r="J16" s="204"/>
      <c r="K16" s="204"/>
      <c r="L16" s="207" t="s">
        <v>376</v>
      </c>
      <c r="M16" s="213">
        <f>SUMIF(G:G,L16,I:I)</f>
        <v>6909.311999999999</v>
      </c>
      <c r="N16" s="204"/>
      <c r="O16" s="205"/>
    </row>
    <row r="17" spans="1:15" ht="14.25" customHeight="1" x14ac:dyDescent="0.25">
      <c r="A17" s="211"/>
      <c r="B17" s="210" t="s">
        <v>199</v>
      </c>
      <c r="C17" s="209" t="s">
        <v>426</v>
      </c>
      <c r="D17" s="209">
        <v>50.73</v>
      </c>
      <c r="E17" s="209" t="s">
        <v>446</v>
      </c>
      <c r="F17" s="209" t="s">
        <v>347</v>
      </c>
      <c r="G17" s="209" t="s">
        <v>376</v>
      </c>
      <c r="H17" s="208">
        <v>1</v>
      </c>
      <c r="I17" s="212">
        <f>H17*Table_2[[#This Row],[Área (m²)]]</f>
        <v>50.73</v>
      </c>
      <c r="J17" s="204"/>
      <c r="K17" s="204"/>
      <c r="L17" s="207" t="s">
        <v>210</v>
      </c>
      <c r="M17" s="213">
        <f>SUMIF(G:G,L17,I:I)</f>
        <v>1253.2311</v>
      </c>
      <c r="N17" s="204"/>
      <c r="O17" s="205"/>
    </row>
    <row r="18" spans="1:15" ht="14.25" customHeight="1" x14ac:dyDescent="0.25">
      <c r="A18" s="211"/>
      <c r="B18" s="210" t="s">
        <v>199</v>
      </c>
      <c r="C18" s="209" t="s">
        <v>427</v>
      </c>
      <c r="D18" s="209">
        <v>50.17</v>
      </c>
      <c r="E18" s="209" t="s">
        <v>446</v>
      </c>
      <c r="F18" s="209" t="s">
        <v>347</v>
      </c>
      <c r="G18" s="209" t="s">
        <v>376</v>
      </c>
      <c r="H18" s="208">
        <v>1</v>
      </c>
      <c r="I18" s="212">
        <f>H18*Table_2[[#This Row],[Área (m²)]]</f>
        <v>50.17</v>
      </c>
      <c r="J18" s="204"/>
      <c r="K18" s="204"/>
      <c r="L18" s="207"/>
      <c r="M18" s="213"/>
      <c r="N18" s="204"/>
      <c r="O18" s="205"/>
    </row>
    <row r="19" spans="1:15" ht="14.25" customHeight="1" x14ac:dyDescent="0.25">
      <c r="A19" s="211"/>
      <c r="B19" s="210" t="s">
        <v>199</v>
      </c>
      <c r="C19" s="209" t="s">
        <v>428</v>
      </c>
      <c r="D19" s="209">
        <v>53.07</v>
      </c>
      <c r="E19" s="209" t="s">
        <v>446</v>
      </c>
      <c r="F19" s="209" t="s">
        <v>347</v>
      </c>
      <c r="G19" s="209" t="s">
        <v>376</v>
      </c>
      <c r="H19" s="208">
        <v>1</v>
      </c>
      <c r="I19" s="212">
        <f>H19*Table_2[[#This Row],[Área (m²)]]</f>
        <v>53.07</v>
      </c>
      <c r="J19" s="204"/>
      <c r="K19" s="204"/>
      <c r="L19" s="207"/>
      <c r="M19" s="213"/>
      <c r="N19" s="204"/>
      <c r="O19" s="205"/>
    </row>
    <row r="20" spans="1:15" ht="14.25" customHeight="1" thickBot="1" x14ac:dyDescent="0.3">
      <c r="A20" s="211"/>
      <c r="B20" s="210" t="s">
        <v>199</v>
      </c>
      <c r="C20" s="209" t="s">
        <v>429</v>
      </c>
      <c r="D20" s="209">
        <f>3+2.93+2.93+2.91+2.93+3.85+3.75+2.99</f>
        <v>25.29</v>
      </c>
      <c r="E20" s="209" t="s">
        <v>446</v>
      </c>
      <c r="F20" s="209" t="s">
        <v>347</v>
      </c>
      <c r="G20" s="209" t="s">
        <v>376</v>
      </c>
      <c r="H20" s="208">
        <v>1</v>
      </c>
      <c r="I20" s="212">
        <f>H20*Table_2[[#This Row],[Área (m²)]]</f>
        <v>25.29</v>
      </c>
      <c r="J20" s="204"/>
      <c r="K20" s="204"/>
      <c r="L20" s="243"/>
      <c r="M20" s="244"/>
      <c r="N20" s="204"/>
      <c r="O20" s="205"/>
    </row>
    <row r="21" spans="1:15" ht="14.25" customHeight="1" thickBot="1" x14ac:dyDescent="0.3">
      <c r="A21" s="211"/>
      <c r="B21" s="210" t="s">
        <v>199</v>
      </c>
      <c r="C21" s="209" t="s">
        <v>433</v>
      </c>
      <c r="D21" s="209">
        <f>12.52*(5)</f>
        <v>62.599999999999994</v>
      </c>
      <c r="E21" s="209" t="s">
        <v>430</v>
      </c>
      <c r="F21" s="209" t="s">
        <v>346</v>
      </c>
      <c r="G21" s="209" t="s">
        <v>376</v>
      </c>
      <c r="H21" s="208">
        <v>1</v>
      </c>
      <c r="I21" s="212">
        <f>H21*Table_2[[#This Row],[Área (m²)]]</f>
        <v>62.599999999999994</v>
      </c>
      <c r="J21" s="204"/>
      <c r="K21" s="204"/>
      <c r="L21" s="361" t="s">
        <v>355</v>
      </c>
      <c r="M21" s="363"/>
      <c r="N21" s="204"/>
      <c r="O21" s="205"/>
    </row>
    <row r="22" spans="1:15" ht="14.25" customHeight="1" x14ac:dyDescent="0.25">
      <c r="A22" s="211"/>
      <c r="B22" s="210" t="s">
        <v>199</v>
      </c>
      <c r="C22" s="209" t="s">
        <v>432</v>
      </c>
      <c r="D22" s="209">
        <f>12.52*(1.5)</f>
        <v>18.78</v>
      </c>
      <c r="E22" s="209" t="s">
        <v>430</v>
      </c>
      <c r="F22" s="209" t="s">
        <v>346</v>
      </c>
      <c r="G22" s="209" t="s">
        <v>210</v>
      </c>
      <c r="H22" s="208">
        <v>1</v>
      </c>
      <c r="I22" s="212">
        <f>H22*Table_2[[#This Row],[Área (m²)]]</f>
        <v>18.78</v>
      </c>
      <c r="J22" s="204"/>
      <c r="K22" s="204"/>
      <c r="L22" s="216" t="s">
        <v>354</v>
      </c>
      <c r="M22" s="215" t="s">
        <v>353</v>
      </c>
      <c r="N22" s="204"/>
      <c r="O22" s="205"/>
    </row>
    <row r="23" spans="1:15" ht="14.25" customHeight="1" x14ac:dyDescent="0.25">
      <c r="A23" s="211"/>
      <c r="B23" s="210" t="s">
        <v>199</v>
      </c>
      <c r="C23" s="209" t="s">
        <v>431</v>
      </c>
      <c r="D23" s="209">
        <f>37*1.5</f>
        <v>55.5</v>
      </c>
      <c r="E23" s="209" t="s">
        <v>430</v>
      </c>
      <c r="F23" s="209" t="s">
        <v>346</v>
      </c>
      <c r="G23" s="209" t="s">
        <v>376</v>
      </c>
      <c r="H23" s="208">
        <v>1</v>
      </c>
      <c r="I23" s="212">
        <f>H23*Table_2[[#This Row],[Área (m²)]]</f>
        <v>55.5</v>
      </c>
      <c r="J23" s="204"/>
      <c r="K23" s="204"/>
      <c r="L23" s="214" t="s">
        <v>446</v>
      </c>
      <c r="M23" s="238">
        <f>SUMIF(E:E,L23,I:I)</f>
        <v>723.204925</v>
      </c>
      <c r="N23" s="204"/>
      <c r="O23" s="205"/>
    </row>
    <row r="24" spans="1:15" ht="14.25" customHeight="1" x14ac:dyDescent="0.25">
      <c r="A24" s="211"/>
      <c r="B24" s="210" t="s">
        <v>199</v>
      </c>
      <c r="C24" s="209" t="s">
        <v>434</v>
      </c>
      <c r="D24" s="209">
        <f>37*2.5</f>
        <v>92.5</v>
      </c>
      <c r="E24" s="209" t="s">
        <v>430</v>
      </c>
      <c r="F24" s="209" t="s">
        <v>346</v>
      </c>
      <c r="G24" s="209" t="s">
        <v>210</v>
      </c>
      <c r="H24" s="208">
        <v>1</v>
      </c>
      <c r="I24" s="212">
        <f>H24*Table_2[[#This Row],[Área (m²)]]</f>
        <v>92.5</v>
      </c>
      <c r="J24" s="204"/>
      <c r="K24" s="204"/>
      <c r="L24" s="207" t="s">
        <v>430</v>
      </c>
      <c r="M24" s="238">
        <f t="shared" ref="M24:M39" si="0">SUMIF(E:E,L24,I:I)</f>
        <v>229.38</v>
      </c>
      <c r="N24" s="204"/>
      <c r="O24" s="205"/>
    </row>
    <row r="25" spans="1:15" ht="14.25" customHeight="1" x14ac:dyDescent="0.25">
      <c r="A25" s="211"/>
      <c r="B25" s="210" t="s">
        <v>199</v>
      </c>
      <c r="C25" s="209" t="s">
        <v>435</v>
      </c>
      <c r="D25" s="209">
        <v>4.1100000000000003</v>
      </c>
      <c r="E25" s="209" t="s">
        <v>383</v>
      </c>
      <c r="F25" s="209" t="s">
        <v>347</v>
      </c>
      <c r="G25" s="209" t="s">
        <v>196</v>
      </c>
      <c r="H25" s="208">
        <v>1</v>
      </c>
      <c r="I25" s="212">
        <f>H25*Table_2[[#This Row],[Área (m²)]]</f>
        <v>4.1100000000000003</v>
      </c>
      <c r="J25" s="204"/>
      <c r="K25" s="204"/>
      <c r="L25" s="207" t="s">
        <v>383</v>
      </c>
      <c r="M25" s="238">
        <f t="shared" si="0"/>
        <v>5.07</v>
      </c>
      <c r="N25" s="204"/>
      <c r="O25" s="205"/>
    </row>
    <row r="26" spans="1:15" ht="14.25" customHeight="1" x14ac:dyDescent="0.25">
      <c r="A26" s="211"/>
      <c r="B26" s="210" t="s">
        <v>199</v>
      </c>
      <c r="C26" s="209" t="s">
        <v>436</v>
      </c>
      <c r="D26" s="209">
        <v>0.96</v>
      </c>
      <c r="E26" s="209" t="s">
        <v>383</v>
      </c>
      <c r="F26" s="209" t="s">
        <v>347</v>
      </c>
      <c r="G26" s="209" t="s">
        <v>196</v>
      </c>
      <c r="H26" s="208">
        <v>1</v>
      </c>
      <c r="I26" s="212">
        <f>H26*Table_2[[#This Row],[Área (m²)]]</f>
        <v>0.96</v>
      </c>
      <c r="J26" s="204"/>
      <c r="K26" s="204"/>
      <c r="L26" s="207" t="s">
        <v>447</v>
      </c>
      <c r="M26" s="238">
        <f t="shared" si="0"/>
        <v>513.39</v>
      </c>
      <c r="N26" s="204"/>
      <c r="O26" s="205"/>
    </row>
    <row r="27" spans="1:15" ht="14.25" customHeight="1" x14ac:dyDescent="0.25">
      <c r="A27" s="211"/>
      <c r="B27" s="210" t="s">
        <v>199</v>
      </c>
      <c r="C27" s="209" t="s">
        <v>437</v>
      </c>
      <c r="D27" s="209">
        <f>4.98*1.5</f>
        <v>7.4700000000000006</v>
      </c>
      <c r="E27" s="209" t="s">
        <v>447</v>
      </c>
      <c r="F27" s="209" t="s">
        <v>347</v>
      </c>
      <c r="G27" s="209" t="s">
        <v>376</v>
      </c>
      <c r="H27" s="208">
        <v>1</v>
      </c>
      <c r="I27" s="212">
        <f>H27*Table_2[[#This Row],[Área (m²)]]</f>
        <v>7.4700000000000006</v>
      </c>
      <c r="J27" s="204"/>
      <c r="K27" s="204"/>
      <c r="L27" s="334" t="s">
        <v>448</v>
      </c>
      <c r="M27" s="333">
        <f t="shared" si="0"/>
        <v>6.24</v>
      </c>
      <c r="N27" s="204"/>
      <c r="O27" s="205"/>
    </row>
    <row r="28" spans="1:15" ht="14.25" customHeight="1" x14ac:dyDescent="0.25">
      <c r="A28" s="211"/>
      <c r="B28" s="210" t="s">
        <v>199</v>
      </c>
      <c r="C28" s="209" t="s">
        <v>438</v>
      </c>
      <c r="D28" s="209">
        <v>20.36</v>
      </c>
      <c r="E28" s="209" t="s">
        <v>447</v>
      </c>
      <c r="F28" s="209" t="s">
        <v>347</v>
      </c>
      <c r="G28" s="209" t="s">
        <v>376</v>
      </c>
      <c r="H28" s="208">
        <v>1</v>
      </c>
      <c r="I28" s="212">
        <f>H28*Table_2[[#This Row],[Área (m²)]]</f>
        <v>20.36</v>
      </c>
      <c r="J28" s="204"/>
      <c r="K28" s="204"/>
      <c r="L28" s="334" t="s">
        <v>339</v>
      </c>
      <c r="M28" s="333">
        <f t="shared" si="0"/>
        <v>26.54</v>
      </c>
      <c r="N28" s="204"/>
      <c r="O28" s="205"/>
    </row>
    <row r="29" spans="1:15" ht="14.25" customHeight="1" x14ac:dyDescent="0.25">
      <c r="A29" s="211"/>
      <c r="B29" s="210" t="s">
        <v>199</v>
      </c>
      <c r="C29" s="209" t="s">
        <v>348</v>
      </c>
      <c r="D29" s="209">
        <f>11.85+40.89</f>
        <v>52.74</v>
      </c>
      <c r="E29" s="209" t="s">
        <v>446</v>
      </c>
      <c r="F29" s="209" t="s">
        <v>347</v>
      </c>
      <c r="G29" s="209" t="s">
        <v>196</v>
      </c>
      <c r="H29" s="208">
        <v>1</v>
      </c>
      <c r="I29" s="212">
        <f>H29*Table_2[[#This Row],[Área (m²)]]</f>
        <v>52.74</v>
      </c>
      <c r="J29" s="204"/>
      <c r="K29" s="204"/>
      <c r="L29" s="334" t="s">
        <v>449</v>
      </c>
      <c r="M29" s="333">
        <f t="shared" si="0"/>
        <v>1301.9714340000003</v>
      </c>
      <c r="N29" s="204"/>
      <c r="O29" s="205"/>
    </row>
    <row r="30" spans="1:15" ht="14.25" customHeight="1" x14ac:dyDescent="0.25">
      <c r="A30" s="211"/>
      <c r="B30" s="210" t="s">
        <v>199</v>
      </c>
      <c r="C30" s="209" t="s">
        <v>439</v>
      </c>
      <c r="D30" s="251">
        <f>2.95*1.5*1.061</f>
        <v>4.6949250000000005</v>
      </c>
      <c r="E30" s="209" t="s">
        <v>446</v>
      </c>
      <c r="F30" s="209" t="s">
        <v>347</v>
      </c>
      <c r="G30" s="209" t="s">
        <v>196</v>
      </c>
      <c r="H30" s="208">
        <v>1</v>
      </c>
      <c r="I30" s="212">
        <f>H30*Table_2[[#This Row],[Área (m²)]]</f>
        <v>4.6949250000000005</v>
      </c>
      <c r="J30" s="204"/>
      <c r="K30" s="204"/>
      <c r="L30" s="334" t="s">
        <v>454</v>
      </c>
      <c r="M30" s="333">
        <f t="shared" si="0"/>
        <v>1854.02</v>
      </c>
      <c r="N30" s="204"/>
      <c r="O30" s="205"/>
    </row>
    <row r="31" spans="1:15" ht="14.25" customHeight="1" x14ac:dyDescent="0.25">
      <c r="A31" s="211"/>
      <c r="B31" s="210" t="s">
        <v>199</v>
      </c>
      <c r="C31" s="209" t="s">
        <v>440</v>
      </c>
      <c r="D31" s="209">
        <f>1.88</f>
        <v>1.88</v>
      </c>
      <c r="E31" s="209" t="s">
        <v>446</v>
      </c>
      <c r="F31" s="209" t="s">
        <v>347</v>
      </c>
      <c r="G31" s="209" t="s">
        <v>196</v>
      </c>
      <c r="H31" s="208">
        <v>1</v>
      </c>
      <c r="I31" s="212">
        <f>H31*Table_2[[#This Row],[Área (m²)]]</f>
        <v>1.88</v>
      </c>
      <c r="J31" s="204"/>
      <c r="K31" s="204"/>
      <c r="L31" s="207" t="s">
        <v>462</v>
      </c>
      <c r="M31" s="238">
        <f t="shared" si="0"/>
        <v>32.630000000000003</v>
      </c>
      <c r="N31" s="204"/>
      <c r="O31" s="205"/>
    </row>
    <row r="32" spans="1:15" ht="14.25" customHeight="1" x14ac:dyDescent="0.25">
      <c r="A32" s="211"/>
      <c r="B32" s="210" t="s">
        <v>199</v>
      </c>
      <c r="C32" s="209" t="s">
        <v>441</v>
      </c>
      <c r="D32" s="209">
        <v>6.24</v>
      </c>
      <c r="E32" s="209" t="s">
        <v>448</v>
      </c>
      <c r="F32" s="209" t="s">
        <v>347</v>
      </c>
      <c r="G32" s="209" t="s">
        <v>196</v>
      </c>
      <c r="H32" s="208">
        <v>1</v>
      </c>
      <c r="I32" s="212">
        <f>H32*Table_2[[#This Row],[Área (m²)]]</f>
        <v>6.24</v>
      </c>
      <c r="J32" s="204"/>
      <c r="K32" s="204"/>
      <c r="L32" s="207" t="s">
        <v>469</v>
      </c>
      <c r="M32" s="238">
        <f t="shared" si="0"/>
        <v>130.99</v>
      </c>
      <c r="N32" s="204"/>
      <c r="O32" s="205"/>
    </row>
    <row r="33" spans="1:15" ht="14.25" customHeight="1" x14ac:dyDescent="0.25">
      <c r="A33" s="211"/>
      <c r="B33" s="210" t="s">
        <v>199</v>
      </c>
      <c r="C33" s="209" t="s">
        <v>442</v>
      </c>
      <c r="D33" s="209">
        <v>26.54</v>
      </c>
      <c r="E33" s="209" t="s">
        <v>339</v>
      </c>
      <c r="F33" s="209" t="s">
        <v>346</v>
      </c>
      <c r="G33" s="209" t="s">
        <v>196</v>
      </c>
      <c r="H33" s="208">
        <v>1</v>
      </c>
      <c r="I33" s="212">
        <f>H33*Table_2[[#This Row],[Área (m²)]]</f>
        <v>26.54</v>
      </c>
      <c r="J33" s="204"/>
      <c r="K33" s="204"/>
      <c r="L33" s="334" t="s">
        <v>470</v>
      </c>
      <c r="M33" s="333">
        <f t="shared" si="0"/>
        <v>4.2446999999999999</v>
      </c>
      <c r="N33" s="204"/>
      <c r="O33" s="205"/>
    </row>
    <row r="34" spans="1:15" ht="14.25" customHeight="1" x14ac:dyDescent="0.25">
      <c r="A34" s="211"/>
      <c r="B34" s="210" t="s">
        <v>199</v>
      </c>
      <c r="C34" s="209" t="s">
        <v>450</v>
      </c>
      <c r="D34" s="251">
        <f>3.89*(13*1.157+4.59+2.67*1.099+5.95*1.158+2.5*1.052)</f>
        <v>124.81232270000001</v>
      </c>
      <c r="E34" s="209" t="s">
        <v>449</v>
      </c>
      <c r="F34" s="209" t="s">
        <v>346</v>
      </c>
      <c r="G34" s="209" t="s">
        <v>196</v>
      </c>
      <c r="H34" s="208">
        <v>1</v>
      </c>
      <c r="I34" s="212">
        <f>H34*Table_2[[#This Row],[Área (m²)]]</f>
        <v>124.81232270000001</v>
      </c>
      <c r="J34" s="204"/>
      <c r="K34" s="204"/>
      <c r="L34" s="207" t="s">
        <v>210</v>
      </c>
      <c r="M34" s="238">
        <f t="shared" si="0"/>
        <v>45.7</v>
      </c>
      <c r="N34" s="204"/>
      <c r="O34" s="205"/>
    </row>
    <row r="35" spans="1:15" ht="14.25" customHeight="1" x14ac:dyDescent="0.25">
      <c r="A35" s="211"/>
      <c r="B35" s="210" t="s">
        <v>199</v>
      </c>
      <c r="C35" s="209" t="s">
        <v>443</v>
      </c>
      <c r="D35" s="209">
        <v>5.14</v>
      </c>
      <c r="E35" s="209" t="s">
        <v>449</v>
      </c>
      <c r="F35" s="209" t="s">
        <v>346</v>
      </c>
      <c r="G35" s="209" t="s">
        <v>196</v>
      </c>
      <c r="H35" s="208">
        <v>1</v>
      </c>
      <c r="I35" s="212">
        <f>H35*Table_2[[#This Row],[Área (m²)]]</f>
        <v>5.14</v>
      </c>
      <c r="J35" s="204"/>
      <c r="K35" s="204"/>
      <c r="L35" s="207" t="s">
        <v>477</v>
      </c>
      <c r="M35" s="238">
        <f t="shared" si="0"/>
        <v>533.14639999999997</v>
      </c>
      <c r="N35" s="204"/>
      <c r="O35" s="205"/>
    </row>
    <row r="36" spans="1:15" ht="14.25" customHeight="1" x14ac:dyDescent="0.25">
      <c r="A36" s="211"/>
      <c r="B36" s="210" t="s">
        <v>199</v>
      </c>
      <c r="C36" s="209" t="s">
        <v>444</v>
      </c>
      <c r="D36" s="209">
        <f>11.54+20*1.2*0.18</f>
        <v>15.86</v>
      </c>
      <c r="E36" s="209" t="s">
        <v>449</v>
      </c>
      <c r="F36" s="209" t="s">
        <v>346</v>
      </c>
      <c r="G36" s="209" t="s">
        <v>196</v>
      </c>
      <c r="H36" s="208">
        <v>1</v>
      </c>
      <c r="I36" s="212">
        <f>H36*Table_2[[#This Row],[Área (m²)]]</f>
        <v>15.86</v>
      </c>
      <c r="J36" s="204"/>
      <c r="K36" s="204"/>
      <c r="L36" s="207" t="s">
        <v>478</v>
      </c>
      <c r="M36" s="238">
        <f t="shared" si="0"/>
        <v>4007.2999999999997</v>
      </c>
      <c r="N36" s="204"/>
      <c r="O36" s="205"/>
    </row>
    <row r="37" spans="1:15" ht="14.25" customHeight="1" x14ac:dyDescent="0.25">
      <c r="A37" s="211"/>
      <c r="B37" s="210" t="s">
        <v>199</v>
      </c>
      <c r="C37" s="209" t="s">
        <v>445</v>
      </c>
      <c r="D37" s="209">
        <f>9.27+21*1.2*0.18</f>
        <v>13.805999999999999</v>
      </c>
      <c r="E37" s="209" t="s">
        <v>449</v>
      </c>
      <c r="F37" s="209" t="s">
        <v>346</v>
      </c>
      <c r="G37" s="209" t="s">
        <v>196</v>
      </c>
      <c r="H37" s="208">
        <v>1</v>
      </c>
      <c r="I37" s="212">
        <f>H37*Table_2[[#This Row],[Área (m²)]]</f>
        <v>13.805999999999999</v>
      </c>
      <c r="J37" s="204"/>
      <c r="K37" s="204"/>
      <c r="L37" s="207" t="s">
        <v>372</v>
      </c>
      <c r="M37" s="238">
        <f t="shared" si="0"/>
        <v>1725.8799999999999</v>
      </c>
      <c r="N37" s="204"/>
      <c r="O37" s="205"/>
    </row>
    <row r="38" spans="1:15" ht="14.25" customHeight="1" x14ac:dyDescent="0.25">
      <c r="A38" s="211"/>
      <c r="B38" s="210" t="s">
        <v>451</v>
      </c>
      <c r="C38" s="209" t="s">
        <v>453</v>
      </c>
      <c r="D38" s="209">
        <f>107.72+8*25+99.49+8*25+12.5</f>
        <v>619.71</v>
      </c>
      <c r="E38" s="209" t="s">
        <v>454</v>
      </c>
      <c r="F38" s="209" t="s">
        <v>346</v>
      </c>
      <c r="G38" s="209" t="s">
        <v>196</v>
      </c>
      <c r="H38" s="208">
        <v>1</v>
      </c>
      <c r="I38" s="212">
        <f>H38*Table_2[[#This Row],[Área (m²)]]</f>
        <v>619.71</v>
      </c>
      <c r="J38" s="204"/>
      <c r="K38" s="204"/>
      <c r="L38" s="207" t="s">
        <v>388</v>
      </c>
      <c r="M38" s="238">
        <f t="shared" si="0"/>
        <v>7.87</v>
      </c>
      <c r="N38" s="204"/>
      <c r="O38" s="205"/>
    </row>
    <row r="39" spans="1:15" ht="14.25" customHeight="1" x14ac:dyDescent="0.25">
      <c r="A39" s="211"/>
      <c r="B39" s="210" t="s">
        <v>451</v>
      </c>
      <c r="C39" s="209" t="s">
        <v>450</v>
      </c>
      <c r="D39" s="251">
        <f>3.89*(1.68*1.089+6.1*1.1869+1.7*1.088)+3.89*(2.6*1.0615+5.95*1.0893+2.65*1.089)</f>
        <v>89.650087549999995</v>
      </c>
      <c r="E39" s="209" t="s">
        <v>449</v>
      </c>
      <c r="F39" s="209" t="s">
        <v>346</v>
      </c>
      <c r="G39" s="209" t="s">
        <v>196</v>
      </c>
      <c r="H39" s="208">
        <v>4</v>
      </c>
      <c r="I39" s="212">
        <f>H39*Table_2[[#This Row],[Área (m²)]]</f>
        <v>358.60035019999998</v>
      </c>
      <c r="J39" s="204"/>
      <c r="K39" s="204"/>
      <c r="L39" s="207" t="s">
        <v>198</v>
      </c>
      <c r="M39" s="238">
        <f t="shared" si="0"/>
        <v>268.12200000000001</v>
      </c>
      <c r="N39" s="204"/>
      <c r="O39" s="205"/>
    </row>
    <row r="40" spans="1:15" ht="14.25" customHeight="1" x14ac:dyDescent="0.25">
      <c r="A40" s="211"/>
      <c r="B40" s="210" t="s">
        <v>451</v>
      </c>
      <c r="C40" s="209" t="s">
        <v>455</v>
      </c>
      <c r="D40" s="209">
        <f>8*1.25*(0.18+0.27)</f>
        <v>4.5</v>
      </c>
      <c r="E40" s="209" t="s">
        <v>449</v>
      </c>
      <c r="F40" s="209" t="s">
        <v>346</v>
      </c>
      <c r="G40" s="209" t="s">
        <v>196</v>
      </c>
      <c r="H40" s="208">
        <v>1</v>
      </c>
      <c r="I40" s="212">
        <f>H40*Table_2[[#This Row],[Área (m²)]]</f>
        <v>4.5</v>
      </c>
      <c r="J40" s="204"/>
      <c r="K40" s="204"/>
      <c r="L40" s="207"/>
      <c r="M40" s="206"/>
      <c r="N40" s="204"/>
      <c r="O40" s="205"/>
    </row>
    <row r="41" spans="1:15" ht="14.25" customHeight="1" x14ac:dyDescent="0.25">
      <c r="A41" s="211"/>
      <c r="B41" s="210" t="s">
        <v>451</v>
      </c>
      <c r="C41" s="209" t="s">
        <v>443</v>
      </c>
      <c r="D41" s="209">
        <v>6.58</v>
      </c>
      <c r="E41" s="209" t="s">
        <v>449</v>
      </c>
      <c r="F41" s="209" t="s">
        <v>346</v>
      </c>
      <c r="G41" s="209" t="s">
        <v>196</v>
      </c>
      <c r="H41" s="208">
        <v>1</v>
      </c>
      <c r="I41" s="212">
        <f>H41*Table_2[[#This Row],[Área (m²)]]</f>
        <v>6.58</v>
      </c>
      <c r="J41" s="204"/>
      <c r="K41" s="204"/>
      <c r="L41" s="207"/>
      <c r="M41" s="206"/>
      <c r="N41" s="204"/>
      <c r="O41" s="205"/>
    </row>
    <row r="42" spans="1:15" ht="14.25" customHeight="1" x14ac:dyDescent="0.25">
      <c r="A42" s="211"/>
      <c r="B42" s="210" t="s">
        <v>451</v>
      </c>
      <c r="C42" s="209" t="s">
        <v>444</v>
      </c>
      <c r="D42" s="209">
        <f>11.39+17*1.2*0.18</f>
        <v>15.062000000000001</v>
      </c>
      <c r="E42" s="209" t="s">
        <v>449</v>
      </c>
      <c r="F42" s="209" t="s">
        <v>346</v>
      </c>
      <c r="G42" s="209" t="s">
        <v>196</v>
      </c>
      <c r="H42" s="208">
        <v>1</v>
      </c>
      <c r="I42" s="212">
        <f>H42*Table_2[[#This Row],[Área (m²)]]</f>
        <v>15.062000000000001</v>
      </c>
      <c r="J42" s="204"/>
      <c r="K42" s="204"/>
      <c r="L42" s="207"/>
      <c r="M42" s="206"/>
      <c r="N42" s="204"/>
      <c r="O42" s="205"/>
    </row>
    <row r="43" spans="1:15" ht="14.25" customHeight="1" x14ac:dyDescent="0.25">
      <c r="A43" s="211"/>
      <c r="B43" s="210" t="s">
        <v>451</v>
      </c>
      <c r="C43" s="209" t="s">
        <v>445</v>
      </c>
      <c r="D43" s="209">
        <f>14.66+18*1.2*0.18</f>
        <v>18.547999999999998</v>
      </c>
      <c r="E43" s="209" t="s">
        <v>449</v>
      </c>
      <c r="F43" s="209" t="s">
        <v>346</v>
      </c>
      <c r="G43" s="209" t="s">
        <v>196</v>
      </c>
      <c r="H43" s="208">
        <v>1</v>
      </c>
      <c r="I43" s="212">
        <f>H43*Table_2[[#This Row],[Área (m²)]]</f>
        <v>18.547999999999998</v>
      </c>
      <c r="J43" s="204"/>
      <c r="K43" s="204"/>
      <c r="L43" s="207"/>
      <c r="M43" s="206"/>
      <c r="N43" s="204"/>
      <c r="O43" s="205"/>
    </row>
    <row r="44" spans="1:15" ht="14.25" customHeight="1" x14ac:dyDescent="0.25">
      <c r="A44" s="211"/>
      <c r="B44" s="210" t="s">
        <v>451</v>
      </c>
      <c r="C44" s="209" t="s">
        <v>350</v>
      </c>
      <c r="D44" s="209">
        <v>5.26</v>
      </c>
      <c r="E44" s="209" t="s">
        <v>447</v>
      </c>
      <c r="F44" s="209" t="s">
        <v>347</v>
      </c>
      <c r="G44" s="209" t="s">
        <v>376</v>
      </c>
      <c r="H44" s="208">
        <v>1</v>
      </c>
      <c r="I44" s="212">
        <f>H44*Table_2[[#This Row],[Área (m²)]]</f>
        <v>5.26</v>
      </c>
      <c r="J44" s="204" t="s">
        <v>414</v>
      </c>
      <c r="K44" s="204">
        <f>SUMIF(J11:J112,"LAZER",I11:I112)</f>
        <v>730.76470000000029</v>
      </c>
      <c r="L44" s="207"/>
      <c r="M44" s="206"/>
      <c r="N44" s="204"/>
      <c r="O44" s="205"/>
    </row>
    <row r="45" spans="1:15" ht="14.25" customHeight="1" x14ac:dyDescent="0.25">
      <c r="A45" s="211"/>
      <c r="B45" s="210" t="s">
        <v>451</v>
      </c>
      <c r="C45" s="209" t="s">
        <v>456</v>
      </c>
      <c r="D45" s="209">
        <v>4.4400000000000004</v>
      </c>
      <c r="E45" s="209" t="s">
        <v>447</v>
      </c>
      <c r="F45" s="209" t="s">
        <v>347</v>
      </c>
      <c r="G45" s="209" t="s">
        <v>376</v>
      </c>
      <c r="H45" s="208">
        <v>1</v>
      </c>
      <c r="I45" s="212">
        <f>H45*Table_2[[#This Row],[Área (m²)]]</f>
        <v>4.4400000000000004</v>
      </c>
      <c r="J45" s="204" t="s">
        <v>414</v>
      </c>
      <c r="K45" s="204"/>
      <c r="L45" s="207"/>
      <c r="M45" s="206"/>
      <c r="N45" s="204"/>
      <c r="O45" s="205"/>
    </row>
    <row r="46" spans="1:15" ht="14.25" customHeight="1" x14ac:dyDescent="0.25">
      <c r="A46" s="211"/>
      <c r="B46" s="210" t="s">
        <v>451</v>
      </c>
      <c r="C46" s="209" t="s">
        <v>457</v>
      </c>
      <c r="D46" s="209">
        <f>2.1+3</f>
        <v>5.0999999999999996</v>
      </c>
      <c r="E46" s="209" t="s">
        <v>447</v>
      </c>
      <c r="F46" s="209" t="s">
        <v>347</v>
      </c>
      <c r="G46" s="209" t="s">
        <v>376</v>
      </c>
      <c r="H46" s="208">
        <v>1</v>
      </c>
      <c r="I46" s="212">
        <f>H46*Table_2[[#This Row],[Área (m²)]]</f>
        <v>5.0999999999999996</v>
      </c>
      <c r="J46" s="204" t="s">
        <v>414</v>
      </c>
      <c r="K46" s="204"/>
      <c r="L46" s="207"/>
      <c r="M46" s="206"/>
      <c r="N46" s="204"/>
      <c r="O46" s="205"/>
    </row>
    <row r="47" spans="1:15" ht="14.25" customHeight="1" x14ac:dyDescent="0.25">
      <c r="A47" s="211"/>
      <c r="B47" s="210" t="s">
        <v>451</v>
      </c>
      <c r="C47" s="209" t="s">
        <v>389</v>
      </c>
      <c r="D47" s="209">
        <v>24.42</v>
      </c>
      <c r="E47" s="209" t="s">
        <v>447</v>
      </c>
      <c r="F47" s="209" t="s">
        <v>347</v>
      </c>
      <c r="G47" s="209" t="s">
        <v>376</v>
      </c>
      <c r="H47" s="208">
        <v>1</v>
      </c>
      <c r="I47" s="212">
        <f>H47*Table_2[[#This Row],[Área (m²)]]</f>
        <v>24.42</v>
      </c>
      <c r="J47" s="204" t="s">
        <v>414</v>
      </c>
      <c r="K47" s="204"/>
      <c r="L47" s="207"/>
      <c r="M47" s="206"/>
      <c r="N47" s="204"/>
      <c r="O47" s="205"/>
    </row>
    <row r="48" spans="1:15" ht="14.25" customHeight="1" x14ac:dyDescent="0.25">
      <c r="A48" s="211"/>
      <c r="B48" s="210" t="s">
        <v>451</v>
      </c>
      <c r="C48" s="209" t="s">
        <v>459</v>
      </c>
      <c r="D48" s="209">
        <v>32.03</v>
      </c>
      <c r="E48" s="209" t="s">
        <v>447</v>
      </c>
      <c r="F48" s="209" t="s">
        <v>347</v>
      </c>
      <c r="G48" s="209" t="s">
        <v>376</v>
      </c>
      <c r="H48" s="208">
        <v>1</v>
      </c>
      <c r="I48" s="212">
        <f>H48*Table_2[[#This Row],[Área (m²)]]</f>
        <v>32.03</v>
      </c>
      <c r="J48" s="204" t="s">
        <v>414</v>
      </c>
      <c r="K48" s="204"/>
      <c r="L48" s="207"/>
      <c r="M48" s="206"/>
      <c r="N48" s="204"/>
      <c r="O48" s="205"/>
    </row>
    <row r="49" spans="1:15" ht="14.25" customHeight="1" x14ac:dyDescent="0.25">
      <c r="A49" s="211"/>
      <c r="B49" s="210" t="s">
        <v>451</v>
      </c>
      <c r="C49" s="209" t="s">
        <v>458</v>
      </c>
      <c r="D49" s="209">
        <v>10.58</v>
      </c>
      <c r="E49" s="209" t="s">
        <v>447</v>
      </c>
      <c r="F49" s="209" t="s">
        <v>347</v>
      </c>
      <c r="G49" s="209" t="s">
        <v>376</v>
      </c>
      <c r="H49" s="208">
        <v>2</v>
      </c>
      <c r="I49" s="212">
        <f>H49*Table_2[[#This Row],[Área (m²)]]</f>
        <v>21.16</v>
      </c>
      <c r="J49" s="204" t="s">
        <v>414</v>
      </c>
      <c r="K49" s="204"/>
      <c r="L49" s="207"/>
      <c r="M49" s="206"/>
      <c r="N49" s="204"/>
      <c r="O49" s="205"/>
    </row>
    <row r="50" spans="1:15" ht="14.25" customHeight="1" x14ac:dyDescent="0.25">
      <c r="A50" s="211"/>
      <c r="B50" s="210" t="s">
        <v>451</v>
      </c>
      <c r="C50" s="209" t="s">
        <v>385</v>
      </c>
      <c r="D50" s="209">
        <v>32.630000000000003</v>
      </c>
      <c r="E50" s="209" t="s">
        <v>462</v>
      </c>
      <c r="F50" s="209" t="s">
        <v>347</v>
      </c>
      <c r="G50" s="209" t="s">
        <v>376</v>
      </c>
      <c r="H50" s="208">
        <v>1</v>
      </c>
      <c r="I50" s="212">
        <f>H50*Table_2[[#This Row],[Área (m²)]]</f>
        <v>32.630000000000003</v>
      </c>
      <c r="J50" s="204" t="s">
        <v>414</v>
      </c>
      <c r="K50" s="204"/>
      <c r="L50" s="207"/>
      <c r="M50" s="206"/>
      <c r="N50" s="204"/>
      <c r="O50" s="205"/>
    </row>
    <row r="51" spans="1:15" ht="14.25" customHeight="1" x14ac:dyDescent="0.25">
      <c r="A51" s="211"/>
      <c r="B51" s="210" t="s">
        <v>451</v>
      </c>
      <c r="C51" s="209" t="s">
        <v>460</v>
      </c>
      <c r="D51" s="209">
        <v>60.75</v>
      </c>
      <c r="E51" s="209" t="s">
        <v>447</v>
      </c>
      <c r="F51" s="209" t="s">
        <v>347</v>
      </c>
      <c r="G51" s="209" t="s">
        <v>376</v>
      </c>
      <c r="H51" s="208">
        <v>1</v>
      </c>
      <c r="I51" s="212">
        <f>H51*Table_2[[#This Row],[Área (m²)]]</f>
        <v>60.75</v>
      </c>
      <c r="J51" s="204" t="s">
        <v>414</v>
      </c>
      <c r="K51" s="204"/>
      <c r="L51" s="207"/>
      <c r="M51" s="206"/>
      <c r="N51" s="204"/>
      <c r="O51" s="205"/>
    </row>
    <row r="52" spans="1:15" ht="14.25" customHeight="1" x14ac:dyDescent="0.25">
      <c r="A52" s="211"/>
      <c r="B52" s="210" t="s">
        <v>451</v>
      </c>
      <c r="C52" s="209" t="s">
        <v>461</v>
      </c>
      <c r="D52" s="209">
        <v>36.979999999999997</v>
      </c>
      <c r="E52" s="209" t="s">
        <v>447</v>
      </c>
      <c r="F52" s="209" t="s">
        <v>347</v>
      </c>
      <c r="G52" s="209" t="s">
        <v>210</v>
      </c>
      <c r="H52" s="208">
        <v>1</v>
      </c>
      <c r="I52" s="212">
        <f>H52*Table_2[[#This Row],[Área (m²)]]</f>
        <v>36.979999999999997</v>
      </c>
      <c r="J52" s="204" t="s">
        <v>414</v>
      </c>
      <c r="K52" s="204"/>
      <c r="L52" s="207"/>
      <c r="M52" s="206"/>
      <c r="N52" s="204"/>
      <c r="O52" s="205"/>
    </row>
    <row r="53" spans="1:15" ht="14.25" customHeight="1" x14ac:dyDescent="0.25">
      <c r="A53" s="211"/>
      <c r="B53" s="210" t="s">
        <v>452</v>
      </c>
      <c r="C53" s="209" t="s">
        <v>453</v>
      </c>
      <c r="D53" s="209">
        <f>107.72+8*25+99.73+8*25+12.5</f>
        <v>619.95000000000005</v>
      </c>
      <c r="E53" s="209" t="s">
        <v>454</v>
      </c>
      <c r="F53" s="209" t="s">
        <v>346</v>
      </c>
      <c r="G53" s="209" t="s">
        <v>196</v>
      </c>
      <c r="H53" s="208">
        <v>1</v>
      </c>
      <c r="I53" s="212">
        <f>H53*Table_2[[#This Row],[Área (m²)]]</f>
        <v>619.95000000000005</v>
      </c>
      <c r="J53" s="204"/>
      <c r="K53" s="204"/>
      <c r="L53" s="207"/>
      <c r="M53" s="206"/>
      <c r="N53" s="204"/>
      <c r="O53" s="205"/>
    </row>
    <row r="54" spans="1:15" ht="14.25" customHeight="1" x14ac:dyDescent="0.25">
      <c r="A54" s="211"/>
      <c r="B54" s="210" t="s">
        <v>452</v>
      </c>
      <c r="C54" s="209" t="s">
        <v>450</v>
      </c>
      <c r="D54" s="251">
        <f>3.89*(1.68*1.0357+6.1*1.1869+1.7*1.0353)+3.89*(2.6*1.0893+5.95*1.0893+2.65*1.0893)</f>
        <v>89.237518039999998</v>
      </c>
      <c r="E54" s="209" t="s">
        <v>449</v>
      </c>
      <c r="F54" s="209" t="s">
        <v>346</v>
      </c>
      <c r="G54" s="209" t="s">
        <v>196</v>
      </c>
      <c r="H54" s="208">
        <v>1</v>
      </c>
      <c r="I54" s="212">
        <f>H54*Table_2[[#This Row],[Área (m²)]]</f>
        <v>89.237518039999998</v>
      </c>
      <c r="J54" s="204"/>
      <c r="K54" s="204"/>
      <c r="L54" s="207"/>
      <c r="M54" s="206"/>
      <c r="N54" s="204"/>
      <c r="O54" s="205"/>
    </row>
    <row r="55" spans="1:15" ht="14.25" customHeight="1" x14ac:dyDescent="0.25">
      <c r="A55" s="211"/>
      <c r="B55" s="210" t="s">
        <v>452</v>
      </c>
      <c r="C55" s="209" t="s">
        <v>455</v>
      </c>
      <c r="D55" s="209">
        <f>7*1.25*(0.18+0.27)</f>
        <v>3.9375</v>
      </c>
      <c r="E55" s="209" t="s">
        <v>449</v>
      </c>
      <c r="F55" s="209" t="s">
        <v>346</v>
      </c>
      <c r="G55" s="209" t="s">
        <v>196</v>
      </c>
      <c r="H55" s="208">
        <v>1</v>
      </c>
      <c r="I55" s="212">
        <f>H55*Table_2[[#This Row],[Área (m²)]]</f>
        <v>3.9375</v>
      </c>
      <c r="J55" s="204"/>
      <c r="K55" s="204"/>
      <c r="L55" s="207"/>
      <c r="M55" s="206"/>
      <c r="N55" s="204"/>
      <c r="O55" s="205"/>
    </row>
    <row r="56" spans="1:15" ht="14.25" customHeight="1" x14ac:dyDescent="0.25">
      <c r="A56" s="211"/>
      <c r="B56" s="210" t="s">
        <v>452</v>
      </c>
      <c r="C56" s="209" t="s">
        <v>443</v>
      </c>
      <c r="D56" s="209">
        <v>6.58</v>
      </c>
      <c r="E56" s="209" t="s">
        <v>449</v>
      </c>
      <c r="F56" s="209" t="s">
        <v>346</v>
      </c>
      <c r="G56" s="209" t="s">
        <v>196</v>
      </c>
      <c r="H56" s="208">
        <v>1</v>
      </c>
      <c r="I56" s="212">
        <f>H56*Table_2[[#This Row],[Área (m²)]]</f>
        <v>6.58</v>
      </c>
      <c r="J56" s="204"/>
      <c r="K56" s="204"/>
      <c r="L56" s="207"/>
      <c r="M56" s="206"/>
      <c r="N56" s="204"/>
      <c r="O56" s="205"/>
    </row>
    <row r="57" spans="1:15" ht="14.25" customHeight="1" x14ac:dyDescent="0.25">
      <c r="A57" s="211"/>
      <c r="B57" s="210" t="s">
        <v>452</v>
      </c>
      <c r="C57" s="209" t="s">
        <v>444</v>
      </c>
      <c r="D57" s="209">
        <f>11.39+18*1.2*0.18</f>
        <v>15.278</v>
      </c>
      <c r="E57" s="209" t="s">
        <v>449</v>
      </c>
      <c r="F57" s="209" t="s">
        <v>346</v>
      </c>
      <c r="G57" s="209" t="s">
        <v>196</v>
      </c>
      <c r="H57" s="208">
        <v>1</v>
      </c>
      <c r="I57" s="212">
        <f>H57*Table_2[[#This Row],[Área (m²)]]</f>
        <v>15.278</v>
      </c>
      <c r="J57" s="204"/>
      <c r="K57" s="204"/>
      <c r="L57" s="207"/>
      <c r="M57" s="206"/>
      <c r="N57" s="204"/>
      <c r="O57" s="205"/>
    </row>
    <row r="58" spans="1:15" ht="14.25" customHeight="1" x14ac:dyDescent="0.25">
      <c r="A58" s="211"/>
      <c r="B58" s="210" t="s">
        <v>452</v>
      </c>
      <c r="C58" s="209" t="s">
        <v>445</v>
      </c>
      <c r="D58" s="209">
        <f>14.66+23*1.2*0.18</f>
        <v>19.628</v>
      </c>
      <c r="E58" s="209" t="s">
        <v>449</v>
      </c>
      <c r="F58" s="209" t="s">
        <v>346</v>
      </c>
      <c r="G58" s="209" t="s">
        <v>196</v>
      </c>
      <c r="H58" s="208">
        <v>1</v>
      </c>
      <c r="I58" s="212">
        <f>H58*Table_2[[#This Row],[Área (m²)]]</f>
        <v>19.628</v>
      </c>
      <c r="J58" s="204"/>
      <c r="K58" s="204"/>
      <c r="L58" s="207"/>
      <c r="M58" s="206"/>
      <c r="N58" s="204"/>
      <c r="O58" s="205"/>
    </row>
    <row r="59" spans="1:15" ht="14.25" customHeight="1" x14ac:dyDescent="0.25">
      <c r="A59" s="211"/>
      <c r="B59" s="210" t="s">
        <v>452</v>
      </c>
      <c r="C59" s="209" t="s">
        <v>463</v>
      </c>
      <c r="D59" s="209">
        <f>61.72+1.65*6*0.18</f>
        <v>63.501999999999995</v>
      </c>
      <c r="E59" s="209" t="s">
        <v>447</v>
      </c>
      <c r="F59" s="209" t="s">
        <v>347</v>
      </c>
      <c r="G59" s="209" t="s">
        <v>376</v>
      </c>
      <c r="H59" s="208">
        <v>1</v>
      </c>
      <c r="I59" s="212">
        <f>H59*Table_2[[#This Row],[Área (m²)]]</f>
        <v>63.501999999999995</v>
      </c>
      <c r="J59" s="204" t="s">
        <v>414</v>
      </c>
      <c r="K59" s="204"/>
      <c r="L59" s="207"/>
      <c r="M59" s="206"/>
      <c r="N59" s="204"/>
      <c r="O59" s="205"/>
    </row>
    <row r="60" spans="1:15" ht="14.25" customHeight="1" x14ac:dyDescent="0.25">
      <c r="A60" s="211"/>
      <c r="B60" s="210" t="s">
        <v>452</v>
      </c>
      <c r="C60" s="209" t="s">
        <v>464</v>
      </c>
      <c r="D60" s="209">
        <v>61.72</v>
      </c>
      <c r="E60" s="209" t="s">
        <v>447</v>
      </c>
      <c r="F60" s="209" t="s">
        <v>347</v>
      </c>
      <c r="G60" s="209" t="s">
        <v>376</v>
      </c>
      <c r="H60" s="208">
        <v>1</v>
      </c>
      <c r="I60" s="212">
        <f>H60*Table_2[[#This Row],[Área (m²)]]</f>
        <v>61.72</v>
      </c>
      <c r="J60" s="204" t="s">
        <v>414</v>
      </c>
      <c r="K60" s="204"/>
      <c r="L60" s="207"/>
      <c r="M60" s="206"/>
      <c r="N60" s="204"/>
      <c r="O60" s="205"/>
    </row>
    <row r="61" spans="1:15" ht="14.25" customHeight="1" x14ac:dyDescent="0.25">
      <c r="A61" s="211"/>
      <c r="B61" s="210" t="s">
        <v>452</v>
      </c>
      <c r="C61" s="209" t="s">
        <v>465</v>
      </c>
      <c r="D61" s="209">
        <v>3</v>
      </c>
      <c r="E61" s="209" t="s">
        <v>447</v>
      </c>
      <c r="F61" s="209" t="s">
        <v>347</v>
      </c>
      <c r="G61" s="209" t="s">
        <v>376</v>
      </c>
      <c r="H61" s="208">
        <v>1</v>
      </c>
      <c r="I61" s="212">
        <f>H61*Table_2[[#This Row],[Área (m²)]]</f>
        <v>3</v>
      </c>
      <c r="J61" s="204" t="s">
        <v>414</v>
      </c>
      <c r="K61" s="204"/>
      <c r="L61" s="207"/>
      <c r="M61" s="206"/>
      <c r="N61" s="204"/>
      <c r="O61" s="205"/>
    </row>
    <row r="62" spans="1:15" ht="14.25" customHeight="1" x14ac:dyDescent="0.25">
      <c r="A62" s="211"/>
      <c r="B62" s="210" t="s">
        <v>452</v>
      </c>
      <c r="C62" s="209" t="s">
        <v>387</v>
      </c>
      <c r="D62" s="209">
        <v>13.67</v>
      </c>
      <c r="E62" s="209" t="s">
        <v>447</v>
      </c>
      <c r="F62" s="209" t="s">
        <v>347</v>
      </c>
      <c r="G62" s="209" t="s">
        <v>210</v>
      </c>
      <c r="H62" s="208">
        <v>1</v>
      </c>
      <c r="I62" s="212">
        <f>H62*Table_2[[#This Row],[Área (m²)]]</f>
        <v>13.67</v>
      </c>
      <c r="J62" s="204" t="s">
        <v>414</v>
      </c>
      <c r="K62" s="204"/>
      <c r="L62" s="207"/>
      <c r="M62" s="206"/>
      <c r="N62" s="204"/>
      <c r="O62" s="205"/>
    </row>
    <row r="63" spans="1:15" ht="14.25" customHeight="1" x14ac:dyDescent="0.25">
      <c r="A63" s="211"/>
      <c r="B63" s="210" t="s">
        <v>452</v>
      </c>
      <c r="C63" s="209" t="s">
        <v>466</v>
      </c>
      <c r="D63" s="209">
        <f>9.65+3*1.2*0.18</f>
        <v>10.298</v>
      </c>
      <c r="E63" s="209" t="s">
        <v>447</v>
      </c>
      <c r="F63" s="209" t="s">
        <v>347</v>
      </c>
      <c r="G63" s="209" t="s">
        <v>210</v>
      </c>
      <c r="H63" s="208">
        <v>1</v>
      </c>
      <c r="I63" s="212">
        <f>H63*Table_2[[#This Row],[Área (m²)]]</f>
        <v>10.298</v>
      </c>
      <c r="J63" s="204" t="s">
        <v>414</v>
      </c>
      <c r="K63" s="204"/>
      <c r="L63" s="207"/>
      <c r="M63" s="206"/>
      <c r="N63" s="204"/>
      <c r="O63" s="205"/>
    </row>
    <row r="64" spans="1:15" ht="14.25" customHeight="1" x14ac:dyDescent="0.25">
      <c r="A64" s="211"/>
      <c r="B64" s="210" t="s">
        <v>452</v>
      </c>
      <c r="C64" s="209" t="s">
        <v>467</v>
      </c>
      <c r="D64" s="209">
        <f>8.4+(2.41*2+3.42*2)*0.7</f>
        <v>16.561999999999998</v>
      </c>
      <c r="E64" s="209" t="s">
        <v>469</v>
      </c>
      <c r="F64" s="209" t="s">
        <v>347</v>
      </c>
      <c r="G64" s="209" t="s">
        <v>210</v>
      </c>
      <c r="H64" s="208">
        <v>1</v>
      </c>
      <c r="I64" s="212">
        <f>H64*Table_2[[#This Row],[Área (m²)]]</f>
        <v>16.561999999999998</v>
      </c>
      <c r="J64" s="204" t="s">
        <v>414</v>
      </c>
      <c r="K64" s="204"/>
      <c r="L64" s="207"/>
      <c r="M64" s="206"/>
      <c r="N64" s="204"/>
      <c r="O64" s="205"/>
    </row>
    <row r="65" spans="1:15" ht="14.25" customHeight="1" x14ac:dyDescent="0.25">
      <c r="A65" s="211"/>
      <c r="B65" s="210" t="s">
        <v>452</v>
      </c>
      <c r="C65" s="209" t="s">
        <v>349</v>
      </c>
      <c r="D65" s="209">
        <f>43.11+23.97+((0.3+3.7+1.85)*2+(3.42+0.3+4.66+0.71+2.86)*2)*1.33</f>
        <v>114.428</v>
      </c>
      <c r="E65" s="209" t="s">
        <v>469</v>
      </c>
      <c r="F65" s="209" t="s">
        <v>347</v>
      </c>
      <c r="G65" s="209" t="s">
        <v>210</v>
      </c>
      <c r="H65" s="208">
        <v>1</v>
      </c>
      <c r="I65" s="212">
        <f>H65*Table_2[[#This Row],[Área (m²)]]</f>
        <v>114.428</v>
      </c>
      <c r="J65" s="204" t="s">
        <v>414</v>
      </c>
      <c r="K65" s="204"/>
      <c r="L65" s="207"/>
      <c r="M65" s="206"/>
      <c r="N65" s="204"/>
      <c r="O65" s="205"/>
    </row>
    <row r="66" spans="1:15" ht="14.25" customHeight="1" x14ac:dyDescent="0.25">
      <c r="A66" s="211"/>
      <c r="B66" s="210" t="s">
        <v>452</v>
      </c>
      <c r="C66" s="209" t="s">
        <v>468</v>
      </c>
      <c r="D66" s="209">
        <f>0.3*2.41+0.26*3.42+(0.3+3.7+1.85)*0.45</f>
        <v>4.2446999999999999</v>
      </c>
      <c r="E66" s="209" t="s">
        <v>470</v>
      </c>
      <c r="F66" s="209" t="s">
        <v>346</v>
      </c>
      <c r="G66" s="209" t="s">
        <v>210</v>
      </c>
      <c r="H66" s="208">
        <v>1</v>
      </c>
      <c r="I66" s="212">
        <f>H66*Table_2[[#This Row],[Área (m²)]]</f>
        <v>4.2446999999999999</v>
      </c>
      <c r="J66" s="204" t="s">
        <v>414</v>
      </c>
      <c r="K66" s="204"/>
      <c r="L66" s="207"/>
      <c r="M66" s="206"/>
      <c r="N66" s="204"/>
      <c r="O66" s="205"/>
    </row>
    <row r="67" spans="1:15" ht="14.25" customHeight="1" x14ac:dyDescent="0.25">
      <c r="A67" s="211"/>
      <c r="B67" s="210" t="s">
        <v>471</v>
      </c>
      <c r="C67" s="209" t="s">
        <v>453</v>
      </c>
      <c r="D67" s="209">
        <f>109.13+8*25+117.73+5*25+5*12.5</f>
        <v>614.36</v>
      </c>
      <c r="E67" s="209" t="s">
        <v>454</v>
      </c>
      <c r="F67" s="209" t="s">
        <v>346</v>
      </c>
      <c r="G67" s="209" t="s">
        <v>196</v>
      </c>
      <c r="H67" s="208">
        <v>1</v>
      </c>
      <c r="I67" s="212">
        <f>H67*Table_2[[#This Row],[Área (m²)]]</f>
        <v>614.36</v>
      </c>
      <c r="J67" s="204"/>
      <c r="K67" s="204"/>
      <c r="L67" s="207"/>
      <c r="M67" s="206"/>
      <c r="N67" s="204"/>
      <c r="O67" s="205"/>
    </row>
    <row r="68" spans="1:15" ht="14.25" customHeight="1" x14ac:dyDescent="0.25">
      <c r="A68" s="211"/>
      <c r="B68" s="210" t="s">
        <v>471</v>
      </c>
      <c r="C68" s="209" t="s">
        <v>450</v>
      </c>
      <c r="D68" s="251">
        <f>3.89*(1.68*1.0298+6.1*1.1311+1.7*1.0294)</f>
        <v>40.377243060000005</v>
      </c>
      <c r="E68" s="209" t="s">
        <v>449</v>
      </c>
      <c r="F68" s="209" t="s">
        <v>346</v>
      </c>
      <c r="G68" s="209" t="s">
        <v>196</v>
      </c>
      <c r="H68" s="208">
        <v>1</v>
      </c>
      <c r="I68" s="212">
        <f>H68*Table_2[[#This Row],[Área (m²)]]</f>
        <v>40.377243060000005</v>
      </c>
      <c r="J68" s="204"/>
      <c r="K68" s="204"/>
      <c r="L68" s="207"/>
      <c r="M68" s="206"/>
      <c r="N68" s="204"/>
      <c r="O68" s="205"/>
    </row>
    <row r="69" spans="1:15" ht="14.25" customHeight="1" x14ac:dyDescent="0.25">
      <c r="A69" s="211"/>
      <c r="B69" s="210" t="s">
        <v>471</v>
      </c>
      <c r="C69" s="209" t="s">
        <v>455</v>
      </c>
      <c r="D69" s="209">
        <f>5*1.25*(0.18+0.27)</f>
        <v>2.8125</v>
      </c>
      <c r="E69" s="209" t="s">
        <v>449</v>
      </c>
      <c r="F69" s="209" t="s">
        <v>346</v>
      </c>
      <c r="G69" s="209" t="s">
        <v>196</v>
      </c>
      <c r="H69" s="208">
        <v>1</v>
      </c>
      <c r="I69" s="212">
        <f>H69*Table_2[[#This Row],[Área (m²)]]</f>
        <v>2.8125</v>
      </c>
      <c r="J69" s="204"/>
      <c r="K69" s="204"/>
      <c r="L69" s="207"/>
      <c r="M69" s="206"/>
      <c r="N69" s="204"/>
      <c r="O69" s="205"/>
    </row>
    <row r="70" spans="1:15" ht="14.25" customHeight="1" x14ac:dyDescent="0.25">
      <c r="A70" s="211"/>
      <c r="B70" s="210" t="s">
        <v>471</v>
      </c>
      <c r="C70" s="209" t="s">
        <v>443</v>
      </c>
      <c r="D70" s="209">
        <v>6.58</v>
      </c>
      <c r="E70" s="209" t="s">
        <v>449</v>
      </c>
      <c r="F70" s="209" t="s">
        <v>346</v>
      </c>
      <c r="G70" s="209" t="s">
        <v>196</v>
      </c>
      <c r="H70" s="208">
        <v>1</v>
      </c>
      <c r="I70" s="212">
        <f>H70*Table_2[[#This Row],[Área (m²)]]</f>
        <v>6.58</v>
      </c>
      <c r="J70" s="204"/>
      <c r="K70" s="204"/>
      <c r="L70" s="207"/>
      <c r="M70" s="206"/>
      <c r="N70" s="204"/>
      <c r="O70" s="205"/>
    </row>
    <row r="71" spans="1:15" ht="14.25" customHeight="1" x14ac:dyDescent="0.25">
      <c r="A71" s="211"/>
      <c r="B71" s="210" t="s">
        <v>471</v>
      </c>
      <c r="C71" s="209" t="s">
        <v>444</v>
      </c>
      <c r="D71" s="209">
        <f>16.16+22*1.2*0.18</f>
        <v>20.911999999999999</v>
      </c>
      <c r="E71" s="209" t="s">
        <v>449</v>
      </c>
      <c r="F71" s="209" t="s">
        <v>346</v>
      </c>
      <c r="G71" s="209" t="s">
        <v>196</v>
      </c>
      <c r="H71" s="208">
        <v>1</v>
      </c>
      <c r="I71" s="212">
        <f>H71*Table_2[[#This Row],[Área (m²)]]</f>
        <v>20.911999999999999</v>
      </c>
      <c r="J71" s="204"/>
      <c r="K71" s="204"/>
      <c r="L71" s="207"/>
      <c r="M71" s="206"/>
      <c r="N71" s="204"/>
      <c r="O71" s="205"/>
    </row>
    <row r="72" spans="1:15" ht="14.25" customHeight="1" x14ac:dyDescent="0.25">
      <c r="A72" s="211"/>
      <c r="B72" s="210" t="s">
        <v>471</v>
      </c>
      <c r="C72" s="209" t="s">
        <v>445</v>
      </c>
      <c r="D72" s="209">
        <f>13.67+23*1.2*0.18</f>
        <v>18.637999999999998</v>
      </c>
      <c r="E72" s="209" t="s">
        <v>449</v>
      </c>
      <c r="F72" s="209" t="s">
        <v>346</v>
      </c>
      <c r="G72" s="209" t="s">
        <v>196</v>
      </c>
      <c r="H72" s="208">
        <v>1</v>
      </c>
      <c r="I72" s="212">
        <f>H72*Table_2[[#This Row],[Área (m²)]]</f>
        <v>18.637999999999998</v>
      </c>
      <c r="J72" s="204"/>
      <c r="K72" s="204"/>
      <c r="L72" s="207"/>
      <c r="M72" s="206"/>
      <c r="N72" s="204"/>
      <c r="O72" s="205"/>
    </row>
    <row r="73" spans="1:15" ht="14.25" customHeight="1" x14ac:dyDescent="0.25">
      <c r="A73" s="211"/>
      <c r="B73" s="210" t="s">
        <v>471</v>
      </c>
      <c r="C73" s="209" t="s">
        <v>384</v>
      </c>
      <c r="D73" s="209">
        <v>64.44</v>
      </c>
      <c r="E73" s="209" t="s">
        <v>447</v>
      </c>
      <c r="F73" s="209" t="s">
        <v>347</v>
      </c>
      <c r="G73" s="209" t="s">
        <v>376</v>
      </c>
      <c r="H73" s="208">
        <v>1</v>
      </c>
      <c r="I73" s="212">
        <f>H73*Table_2[[#This Row],[Área (m²)]]</f>
        <v>64.44</v>
      </c>
      <c r="J73" s="204" t="s">
        <v>414</v>
      </c>
      <c r="K73" s="204"/>
      <c r="L73" s="207"/>
      <c r="M73" s="206"/>
      <c r="N73" s="204"/>
      <c r="O73" s="205"/>
    </row>
    <row r="74" spans="1:15" ht="14.25" customHeight="1" x14ac:dyDescent="0.25">
      <c r="A74" s="211"/>
      <c r="B74" s="210" t="s">
        <v>471</v>
      </c>
      <c r="C74" s="209" t="s">
        <v>472</v>
      </c>
      <c r="D74" s="209">
        <v>3</v>
      </c>
      <c r="E74" s="209" t="s">
        <v>447</v>
      </c>
      <c r="F74" s="209" t="s">
        <v>347</v>
      </c>
      <c r="G74" s="209" t="s">
        <v>376</v>
      </c>
      <c r="H74" s="208">
        <v>1</v>
      </c>
      <c r="I74" s="212">
        <f>H74*Table_2[[#This Row],[Área (m²)]]</f>
        <v>3</v>
      </c>
      <c r="J74" s="204" t="s">
        <v>414</v>
      </c>
      <c r="K74" s="204"/>
      <c r="L74" s="207"/>
      <c r="M74" s="206"/>
      <c r="N74" s="204"/>
      <c r="O74" s="205"/>
    </row>
    <row r="75" spans="1:15" ht="14.25" customHeight="1" x14ac:dyDescent="0.25">
      <c r="A75" s="211"/>
      <c r="B75" s="210" t="s">
        <v>474</v>
      </c>
      <c r="C75" s="209" t="s">
        <v>352</v>
      </c>
      <c r="D75" s="209">
        <v>11.7</v>
      </c>
      <c r="E75" s="209" t="s">
        <v>210</v>
      </c>
      <c r="F75" s="209" t="s">
        <v>346</v>
      </c>
      <c r="G75" s="209" t="s">
        <v>210</v>
      </c>
      <c r="H75" s="208">
        <v>1</v>
      </c>
      <c r="I75" s="212">
        <f>H75*Table_2[[#This Row],[Área (m²)]]</f>
        <v>11.7</v>
      </c>
      <c r="J75" s="204"/>
      <c r="K75" s="204"/>
      <c r="L75" s="207"/>
      <c r="M75" s="206"/>
      <c r="N75" s="204"/>
      <c r="O75" s="205"/>
    </row>
    <row r="76" spans="1:15" ht="14.25" customHeight="1" x14ac:dyDescent="0.25">
      <c r="A76" s="211"/>
      <c r="B76" s="210" t="s">
        <v>474</v>
      </c>
      <c r="C76" s="209" t="s">
        <v>348</v>
      </c>
      <c r="D76" s="209">
        <v>8.09</v>
      </c>
      <c r="E76" s="209" t="s">
        <v>449</v>
      </c>
      <c r="F76" s="209" t="s">
        <v>346</v>
      </c>
      <c r="G76" s="209" t="s">
        <v>196</v>
      </c>
      <c r="H76" s="208">
        <v>1</v>
      </c>
      <c r="I76" s="212">
        <f>H76*Table_2[[#This Row],[Área (m²)]]</f>
        <v>8.09</v>
      </c>
      <c r="J76" s="204"/>
      <c r="K76" s="204"/>
      <c r="L76" s="207"/>
      <c r="M76" s="206"/>
      <c r="N76" s="204"/>
      <c r="O76" s="205"/>
    </row>
    <row r="77" spans="1:15" ht="14.25" customHeight="1" x14ac:dyDescent="0.25">
      <c r="A77" s="211"/>
      <c r="B77" s="210" t="s">
        <v>474</v>
      </c>
      <c r="C77" s="209" t="s">
        <v>476</v>
      </c>
      <c r="D77" s="209">
        <f>12.52*(10.19+1.31+0.25+3*0.19)</f>
        <v>154.24639999999999</v>
      </c>
      <c r="E77" s="209" t="s">
        <v>477</v>
      </c>
      <c r="F77" s="209" t="s">
        <v>346</v>
      </c>
      <c r="G77" s="209" t="s">
        <v>210</v>
      </c>
      <c r="H77" s="208">
        <v>1</v>
      </c>
      <c r="I77" s="212">
        <f>H77*Table_2[[#This Row],[Área (m²)]]</f>
        <v>154.24639999999999</v>
      </c>
      <c r="J77" s="204"/>
      <c r="K77" s="204"/>
      <c r="L77" s="207"/>
      <c r="M77" s="206"/>
      <c r="N77" s="204"/>
      <c r="O77" s="205"/>
    </row>
    <row r="78" spans="1:15" ht="14.25" customHeight="1" x14ac:dyDescent="0.25">
      <c r="A78" s="211"/>
      <c r="B78" s="210" t="s">
        <v>473</v>
      </c>
      <c r="C78" s="209" t="s">
        <v>443</v>
      </c>
      <c r="D78" s="209">
        <v>4.91</v>
      </c>
      <c r="E78" s="209" t="s">
        <v>449</v>
      </c>
      <c r="F78" s="209" t="s">
        <v>346</v>
      </c>
      <c r="G78" s="209" t="s">
        <v>196</v>
      </c>
      <c r="H78" s="208">
        <v>1</v>
      </c>
      <c r="I78" s="212">
        <f>H78*Table_2[[#This Row],[Área (m²)]]</f>
        <v>4.91</v>
      </c>
      <c r="J78" s="204"/>
      <c r="K78" s="204"/>
      <c r="L78" s="207"/>
      <c r="M78" s="206"/>
      <c r="N78" s="204"/>
      <c r="O78" s="205"/>
    </row>
    <row r="79" spans="1:15" ht="14.25" customHeight="1" x14ac:dyDescent="0.25">
      <c r="A79" s="211"/>
      <c r="B79" s="210" t="s">
        <v>473</v>
      </c>
      <c r="C79" s="209" t="s">
        <v>444</v>
      </c>
      <c r="D79" s="209">
        <f>11.39+18*1.2*0.18</f>
        <v>15.278</v>
      </c>
      <c r="E79" s="209" t="s">
        <v>449</v>
      </c>
      <c r="F79" s="209" t="s">
        <v>346</v>
      </c>
      <c r="G79" s="209" t="s">
        <v>196</v>
      </c>
      <c r="H79" s="208">
        <v>1</v>
      </c>
      <c r="I79" s="212">
        <f>H79*Table_2[[#This Row],[Área (m²)]]</f>
        <v>15.278</v>
      </c>
      <c r="J79" s="204"/>
      <c r="K79" s="204"/>
      <c r="L79" s="207"/>
      <c r="M79" s="206"/>
      <c r="N79" s="204"/>
      <c r="O79" s="205"/>
    </row>
    <row r="80" spans="1:15" ht="14.25" customHeight="1" x14ac:dyDescent="0.25">
      <c r="A80" s="211"/>
      <c r="B80" s="210" t="s">
        <v>473</v>
      </c>
      <c r="C80" s="209" t="s">
        <v>456</v>
      </c>
      <c r="D80" s="209">
        <v>11.47</v>
      </c>
      <c r="E80" s="209" t="s">
        <v>478</v>
      </c>
      <c r="F80" s="209" t="s">
        <v>347</v>
      </c>
      <c r="G80" s="209" t="s">
        <v>376</v>
      </c>
      <c r="H80" s="208">
        <v>1</v>
      </c>
      <c r="I80" s="212">
        <f>H80*Table_2[[#This Row],[Área (m²)]]</f>
        <v>11.47</v>
      </c>
      <c r="J80" s="204"/>
      <c r="K80" s="204"/>
      <c r="L80" s="207"/>
      <c r="M80" s="206"/>
      <c r="N80" s="204"/>
      <c r="O80" s="205"/>
    </row>
    <row r="81" spans="1:15" ht="14.25" customHeight="1" x14ac:dyDescent="0.25">
      <c r="A81" s="211"/>
      <c r="B81" s="210" t="s">
        <v>473</v>
      </c>
      <c r="C81" s="209" t="s">
        <v>479</v>
      </c>
      <c r="D81" s="209">
        <f>10.07+11.65+15.95</f>
        <v>37.67</v>
      </c>
      <c r="E81" s="209" t="s">
        <v>372</v>
      </c>
      <c r="F81" s="209" t="s">
        <v>347</v>
      </c>
      <c r="G81" s="209" t="s">
        <v>376</v>
      </c>
      <c r="H81" s="208">
        <v>1</v>
      </c>
      <c r="I81" s="212">
        <f>H81*Table_2[[#This Row],[Área (m²)]]</f>
        <v>37.67</v>
      </c>
      <c r="J81" s="204"/>
      <c r="K81" s="204"/>
      <c r="L81" s="207"/>
      <c r="M81" s="206"/>
      <c r="N81" s="204"/>
      <c r="O81" s="205"/>
    </row>
    <row r="82" spans="1:15" ht="14.25" customHeight="1" x14ac:dyDescent="0.25">
      <c r="A82" s="211"/>
      <c r="B82" s="210" t="s">
        <v>473</v>
      </c>
      <c r="C82" s="209" t="s">
        <v>480</v>
      </c>
      <c r="D82" s="209">
        <v>45.86</v>
      </c>
      <c r="E82" s="209" t="s">
        <v>478</v>
      </c>
      <c r="F82" s="209" t="s">
        <v>347</v>
      </c>
      <c r="G82" s="209" t="s">
        <v>210</v>
      </c>
      <c r="H82" s="208">
        <v>1</v>
      </c>
      <c r="I82" s="212">
        <f>H82*Table_2[[#This Row],[Área (m²)]]</f>
        <v>45.86</v>
      </c>
      <c r="J82" s="204"/>
      <c r="K82" s="204"/>
      <c r="L82" s="207"/>
      <c r="M82" s="206"/>
      <c r="N82" s="204"/>
      <c r="O82" s="205"/>
    </row>
    <row r="83" spans="1:15" ht="14.25" customHeight="1" x14ac:dyDescent="0.25">
      <c r="A83" s="211"/>
      <c r="B83" s="210" t="s">
        <v>473</v>
      </c>
      <c r="C83" s="209" t="s">
        <v>481</v>
      </c>
      <c r="D83" s="209">
        <f>163.11-D81-D82</f>
        <v>79.580000000000013</v>
      </c>
      <c r="E83" s="209" t="s">
        <v>478</v>
      </c>
      <c r="F83" s="209" t="s">
        <v>347</v>
      </c>
      <c r="G83" s="209" t="s">
        <v>376</v>
      </c>
      <c r="H83" s="208">
        <v>1</v>
      </c>
      <c r="I83" s="212">
        <f>H83*Table_2[[#This Row],[Área (m²)]]</f>
        <v>79.580000000000013</v>
      </c>
      <c r="J83" s="204"/>
      <c r="K83" s="204"/>
      <c r="L83" s="207"/>
      <c r="M83" s="206"/>
      <c r="N83" s="204"/>
      <c r="O83" s="205"/>
    </row>
    <row r="84" spans="1:15" ht="14.25" customHeight="1" x14ac:dyDescent="0.25">
      <c r="A84" s="211"/>
      <c r="B84" s="210" t="s">
        <v>473</v>
      </c>
      <c r="C84" s="209" t="s">
        <v>482</v>
      </c>
      <c r="D84" s="209">
        <f>10.07+15.93+11.65</f>
        <v>37.65</v>
      </c>
      <c r="E84" s="209" t="s">
        <v>372</v>
      </c>
      <c r="F84" s="209" t="s">
        <v>347</v>
      </c>
      <c r="G84" s="209" t="s">
        <v>376</v>
      </c>
      <c r="H84" s="208">
        <v>1</v>
      </c>
      <c r="I84" s="212">
        <f>H84*Table_2[[#This Row],[Área (m²)]]</f>
        <v>37.65</v>
      </c>
      <c r="J84" s="204"/>
      <c r="K84" s="204"/>
      <c r="L84" s="207"/>
      <c r="M84" s="206"/>
      <c r="N84" s="204"/>
      <c r="O84" s="205"/>
    </row>
    <row r="85" spans="1:15" ht="14.25" customHeight="1" x14ac:dyDescent="0.25">
      <c r="A85" s="211"/>
      <c r="B85" s="210" t="s">
        <v>473</v>
      </c>
      <c r="C85" s="209" t="s">
        <v>483</v>
      </c>
      <c r="D85" s="209">
        <v>52.94</v>
      </c>
      <c r="E85" s="209" t="s">
        <v>478</v>
      </c>
      <c r="F85" s="209" t="s">
        <v>347</v>
      </c>
      <c r="G85" s="209" t="s">
        <v>210</v>
      </c>
      <c r="H85" s="208">
        <v>1</v>
      </c>
      <c r="I85" s="212">
        <f>H85*Table_2[[#This Row],[Área (m²)]]</f>
        <v>52.94</v>
      </c>
      <c r="J85" s="204"/>
      <c r="K85" s="204"/>
      <c r="L85" s="207"/>
      <c r="M85" s="206"/>
      <c r="N85" s="204"/>
      <c r="O85" s="205"/>
    </row>
    <row r="86" spans="1:15" ht="14.25" customHeight="1" x14ac:dyDescent="0.25">
      <c r="A86" s="211"/>
      <c r="B86" s="210" t="s">
        <v>473</v>
      </c>
      <c r="C86" s="209" t="s">
        <v>484</v>
      </c>
      <c r="D86" s="209">
        <f>170.24-D84-D85</f>
        <v>79.650000000000006</v>
      </c>
      <c r="E86" s="209" t="s">
        <v>478</v>
      </c>
      <c r="F86" s="209" t="s">
        <v>347</v>
      </c>
      <c r="G86" s="209" t="s">
        <v>376</v>
      </c>
      <c r="H86" s="208">
        <v>1</v>
      </c>
      <c r="I86" s="212">
        <f>H86*Table_2[[#This Row],[Área (m²)]]</f>
        <v>79.650000000000006</v>
      </c>
      <c r="J86" s="204"/>
      <c r="K86" s="204"/>
      <c r="L86" s="207"/>
      <c r="M86" s="206"/>
      <c r="N86" s="204"/>
      <c r="O86" s="205"/>
    </row>
    <row r="87" spans="1:15" ht="14.25" customHeight="1" x14ac:dyDescent="0.25">
      <c r="A87" s="211"/>
      <c r="B87" s="210" t="s">
        <v>473</v>
      </c>
      <c r="C87" s="209" t="s">
        <v>476</v>
      </c>
      <c r="D87" s="209">
        <v>344.9</v>
      </c>
      <c r="E87" s="209" t="s">
        <v>477</v>
      </c>
      <c r="F87" s="209" t="s">
        <v>346</v>
      </c>
      <c r="G87" s="209" t="s">
        <v>210</v>
      </c>
      <c r="H87" s="208">
        <v>1</v>
      </c>
      <c r="I87" s="212">
        <f>H87*Table_2[[#This Row],[Área (m²)]]</f>
        <v>344.9</v>
      </c>
      <c r="J87" s="204"/>
      <c r="K87" s="204"/>
      <c r="L87" s="207"/>
      <c r="M87" s="206"/>
      <c r="N87" s="204"/>
      <c r="O87" s="205"/>
    </row>
    <row r="88" spans="1:15" ht="14.25" customHeight="1" x14ac:dyDescent="0.25">
      <c r="A88" s="211"/>
      <c r="B88" s="210" t="s">
        <v>485</v>
      </c>
      <c r="C88" s="209" t="s">
        <v>443</v>
      </c>
      <c r="D88" s="209">
        <v>4.91</v>
      </c>
      <c r="E88" s="209" t="s">
        <v>449</v>
      </c>
      <c r="F88" s="209" t="s">
        <v>346</v>
      </c>
      <c r="G88" s="209" t="s">
        <v>196</v>
      </c>
      <c r="H88" s="208">
        <v>21</v>
      </c>
      <c r="I88" s="212">
        <f>H88*Table_2[[#This Row],[Área (m²)]]</f>
        <v>103.11</v>
      </c>
      <c r="J88" s="204"/>
      <c r="K88" s="204"/>
      <c r="L88" s="207"/>
      <c r="M88" s="206"/>
      <c r="N88" s="204"/>
      <c r="O88" s="205"/>
    </row>
    <row r="89" spans="1:15" ht="14.25" customHeight="1" x14ac:dyDescent="0.25">
      <c r="A89" s="211"/>
      <c r="B89" s="210" t="s">
        <v>485</v>
      </c>
      <c r="C89" s="209" t="s">
        <v>444</v>
      </c>
      <c r="D89" s="209">
        <f>11.39+18*1.2*0.18</f>
        <v>15.278</v>
      </c>
      <c r="E89" s="209" t="s">
        <v>449</v>
      </c>
      <c r="F89" s="209" t="s">
        <v>346</v>
      </c>
      <c r="G89" s="209" t="s">
        <v>196</v>
      </c>
      <c r="H89" s="208">
        <v>21</v>
      </c>
      <c r="I89" s="212">
        <f>H89*Table_2[[#This Row],[Área (m²)]]</f>
        <v>320.83800000000002</v>
      </c>
      <c r="J89" s="204"/>
      <c r="K89" s="204"/>
      <c r="L89" s="207"/>
      <c r="M89" s="206"/>
      <c r="N89" s="204"/>
      <c r="O89" s="205"/>
    </row>
    <row r="90" spans="1:15" ht="14.25" customHeight="1" x14ac:dyDescent="0.25">
      <c r="A90" s="211"/>
      <c r="B90" s="210" t="s">
        <v>485</v>
      </c>
      <c r="C90" s="209" t="s">
        <v>456</v>
      </c>
      <c r="D90" s="209">
        <v>11.47</v>
      </c>
      <c r="E90" s="209" t="s">
        <v>478</v>
      </c>
      <c r="F90" s="209" t="s">
        <v>347</v>
      </c>
      <c r="G90" s="209" t="s">
        <v>376</v>
      </c>
      <c r="H90" s="208">
        <v>21</v>
      </c>
      <c r="I90" s="212">
        <f>H90*Table_2[[#This Row],[Área (m²)]]</f>
        <v>240.87</v>
      </c>
      <c r="J90" s="204"/>
      <c r="K90" s="204"/>
      <c r="L90" s="207"/>
      <c r="M90" s="206"/>
      <c r="N90" s="204"/>
      <c r="O90" s="205"/>
    </row>
    <row r="91" spans="1:15" ht="14.25" customHeight="1" x14ac:dyDescent="0.25">
      <c r="A91" s="211"/>
      <c r="B91" s="210" t="s">
        <v>485</v>
      </c>
      <c r="C91" s="209" t="s">
        <v>479</v>
      </c>
      <c r="D91" s="209">
        <f>10.06+11.65+15.93</f>
        <v>37.64</v>
      </c>
      <c r="E91" s="209" t="s">
        <v>372</v>
      </c>
      <c r="F91" s="209" t="s">
        <v>347</v>
      </c>
      <c r="G91" s="209" t="s">
        <v>376</v>
      </c>
      <c r="H91" s="208">
        <v>21</v>
      </c>
      <c r="I91" s="212">
        <f>H91*Table_2[[#This Row],[Área (m²)]]</f>
        <v>790.44</v>
      </c>
      <c r="J91" s="204"/>
      <c r="K91" s="204"/>
      <c r="L91" s="207"/>
      <c r="M91" s="206"/>
      <c r="N91" s="204"/>
      <c r="O91" s="205"/>
    </row>
    <row r="92" spans="1:15" ht="14.25" customHeight="1" x14ac:dyDescent="0.25">
      <c r="A92" s="211"/>
      <c r="B92" s="210" t="s">
        <v>485</v>
      </c>
      <c r="C92" s="209" t="s">
        <v>481</v>
      </c>
      <c r="D92" s="209">
        <f>120.67-D91</f>
        <v>83.03</v>
      </c>
      <c r="E92" s="209" t="s">
        <v>478</v>
      </c>
      <c r="F92" s="209" t="s">
        <v>347</v>
      </c>
      <c r="G92" s="209" t="s">
        <v>376</v>
      </c>
      <c r="H92" s="208">
        <v>21</v>
      </c>
      <c r="I92" s="212">
        <f>H92*Table_2[[#This Row],[Área (m²)]]</f>
        <v>1743.63</v>
      </c>
      <c r="J92" s="204"/>
      <c r="K92" s="204"/>
      <c r="L92" s="207"/>
      <c r="M92" s="206"/>
      <c r="N92" s="204"/>
      <c r="O92" s="205"/>
    </row>
    <row r="93" spans="1:15" ht="14.25" customHeight="1" x14ac:dyDescent="0.25">
      <c r="A93" s="211"/>
      <c r="B93" s="210" t="s">
        <v>485</v>
      </c>
      <c r="C93" s="209" t="s">
        <v>482</v>
      </c>
      <c r="D93" s="209">
        <f>10.07+15.93+11.65</f>
        <v>37.65</v>
      </c>
      <c r="E93" s="209" t="s">
        <v>372</v>
      </c>
      <c r="F93" s="209" t="s">
        <v>347</v>
      </c>
      <c r="G93" s="209" t="s">
        <v>376</v>
      </c>
      <c r="H93" s="208">
        <v>21</v>
      </c>
      <c r="I93" s="212">
        <f>H93*Table_2[[#This Row],[Área (m²)]]</f>
        <v>790.65</v>
      </c>
      <c r="J93" s="204"/>
      <c r="K93" s="204"/>
      <c r="L93" s="207"/>
      <c r="M93" s="206"/>
      <c r="N93" s="204"/>
      <c r="O93" s="205"/>
    </row>
    <row r="94" spans="1:15" ht="14.25" customHeight="1" x14ac:dyDescent="0.25">
      <c r="A94" s="211"/>
      <c r="B94" s="210" t="s">
        <v>485</v>
      </c>
      <c r="C94" s="209" t="s">
        <v>484</v>
      </c>
      <c r="D94" s="209">
        <f>120.62-D93</f>
        <v>82.97</v>
      </c>
      <c r="E94" s="209" t="s">
        <v>478</v>
      </c>
      <c r="F94" s="209" t="s">
        <v>347</v>
      </c>
      <c r="G94" s="209" t="s">
        <v>376</v>
      </c>
      <c r="H94" s="208">
        <v>21</v>
      </c>
      <c r="I94" s="212">
        <f>H94*Table_2[[#This Row],[Área (m²)]]</f>
        <v>1742.37</v>
      </c>
      <c r="J94" s="204"/>
      <c r="K94" s="204"/>
      <c r="L94" s="207"/>
      <c r="M94" s="206"/>
      <c r="N94" s="204"/>
      <c r="O94" s="205"/>
    </row>
    <row r="95" spans="1:15" ht="14.25" customHeight="1" x14ac:dyDescent="0.25">
      <c r="A95" s="211"/>
      <c r="B95" s="210" t="s">
        <v>486</v>
      </c>
      <c r="C95" s="209" t="s">
        <v>443</v>
      </c>
      <c r="D95" s="209">
        <v>6.27</v>
      </c>
      <c r="E95" s="209" t="s">
        <v>449</v>
      </c>
      <c r="F95" s="209" t="s">
        <v>346</v>
      </c>
      <c r="G95" s="209" t="s">
        <v>196</v>
      </c>
      <c r="H95" s="208">
        <v>1</v>
      </c>
      <c r="I95" s="212">
        <f>H95*Table_2[[#This Row],[Área (m²)]]</f>
        <v>6.27</v>
      </c>
      <c r="J95" s="204"/>
      <c r="K95" s="204"/>
      <c r="L95" s="207"/>
      <c r="M95" s="206"/>
      <c r="N95" s="204"/>
      <c r="O95" s="205"/>
    </row>
    <row r="96" spans="1:15" ht="14.25" customHeight="1" x14ac:dyDescent="0.25">
      <c r="A96" s="211"/>
      <c r="B96" s="210" t="s">
        <v>486</v>
      </c>
      <c r="C96" s="209" t="s">
        <v>444</v>
      </c>
      <c r="D96" s="209">
        <f>11.39+18*1.2*0.18</f>
        <v>15.278</v>
      </c>
      <c r="E96" s="209" t="s">
        <v>449</v>
      </c>
      <c r="F96" s="209" t="s">
        <v>346</v>
      </c>
      <c r="G96" s="209" t="s">
        <v>196</v>
      </c>
      <c r="H96" s="208">
        <v>1</v>
      </c>
      <c r="I96" s="212">
        <f>H96*Table_2[[#This Row],[Área (m²)]]</f>
        <v>15.278</v>
      </c>
      <c r="J96" s="204"/>
      <c r="K96" s="204"/>
      <c r="L96" s="207"/>
      <c r="M96" s="206"/>
      <c r="N96" s="204"/>
      <c r="O96" s="205"/>
    </row>
    <row r="97" spans="1:15" ht="14.25" customHeight="1" x14ac:dyDescent="0.25">
      <c r="A97" s="211"/>
      <c r="B97" s="210" t="s">
        <v>486</v>
      </c>
      <c r="C97" s="209" t="s">
        <v>487</v>
      </c>
      <c r="D97" s="209">
        <v>10.93</v>
      </c>
      <c r="E97" s="209" t="s">
        <v>478</v>
      </c>
      <c r="F97" s="209" t="s">
        <v>347</v>
      </c>
      <c r="G97" s="209" t="s">
        <v>376</v>
      </c>
      <c r="H97" s="208">
        <v>1</v>
      </c>
      <c r="I97" s="212">
        <f>H97*Table_2[[#This Row],[Área (m²)]]</f>
        <v>10.93</v>
      </c>
      <c r="J97" s="204"/>
      <c r="K97" s="204"/>
      <c r="L97" s="207"/>
      <c r="M97" s="206"/>
      <c r="N97" s="204"/>
      <c r="O97" s="205"/>
    </row>
    <row r="98" spans="1:15" ht="14.25" customHeight="1" x14ac:dyDescent="0.25">
      <c r="A98" s="211"/>
      <c r="B98" s="210" t="s">
        <v>486</v>
      </c>
      <c r="C98" s="209" t="s">
        <v>350</v>
      </c>
      <c r="D98" s="209">
        <v>13.32</v>
      </c>
      <c r="E98" s="209" t="s">
        <v>447</v>
      </c>
      <c r="F98" s="209" t="s">
        <v>347</v>
      </c>
      <c r="G98" s="209" t="s">
        <v>376</v>
      </c>
      <c r="H98" s="208">
        <v>1</v>
      </c>
      <c r="I98" s="212">
        <f>H98*Table_2[[#This Row],[Área (m²)]]</f>
        <v>13.32</v>
      </c>
      <c r="J98" s="204" t="s">
        <v>414</v>
      </c>
      <c r="K98" s="204"/>
      <c r="L98" s="207"/>
      <c r="M98" s="206"/>
      <c r="N98" s="204"/>
      <c r="O98" s="205"/>
    </row>
    <row r="99" spans="1:15" ht="14.25" customHeight="1" x14ac:dyDescent="0.25">
      <c r="A99" s="211"/>
      <c r="B99" s="210" t="s">
        <v>486</v>
      </c>
      <c r="C99" s="209" t="s">
        <v>351</v>
      </c>
      <c r="D99" s="209">
        <v>69.47</v>
      </c>
      <c r="E99" s="209" t="s">
        <v>372</v>
      </c>
      <c r="F99" s="209" t="s">
        <v>347</v>
      </c>
      <c r="G99" s="209" t="s">
        <v>376</v>
      </c>
      <c r="H99" s="208">
        <v>1</v>
      </c>
      <c r="I99" s="212">
        <f>H99*Table_2[[#This Row],[Área (m²)]]</f>
        <v>69.47</v>
      </c>
      <c r="J99" s="204" t="s">
        <v>414</v>
      </c>
      <c r="K99" s="204"/>
      <c r="L99" s="207"/>
      <c r="M99" s="206"/>
      <c r="N99" s="204"/>
      <c r="O99" s="205"/>
    </row>
    <row r="100" spans="1:15" ht="14.25" customHeight="1" x14ac:dyDescent="0.25">
      <c r="A100" s="211"/>
      <c r="B100" s="210" t="s">
        <v>486</v>
      </c>
      <c r="C100" s="209" t="s">
        <v>389</v>
      </c>
      <c r="D100" s="209">
        <v>20.22</v>
      </c>
      <c r="E100" s="209" t="s">
        <v>447</v>
      </c>
      <c r="F100" s="209" t="s">
        <v>347</v>
      </c>
      <c r="G100" s="209" t="s">
        <v>376</v>
      </c>
      <c r="H100" s="208">
        <v>1</v>
      </c>
      <c r="I100" s="212">
        <f>H100*Table_2[[#This Row],[Área (m²)]]</f>
        <v>20.22</v>
      </c>
      <c r="J100" s="204" t="s">
        <v>414</v>
      </c>
      <c r="K100" s="204"/>
      <c r="L100" s="207"/>
      <c r="M100" s="206"/>
      <c r="N100" s="204"/>
      <c r="O100" s="205"/>
    </row>
    <row r="101" spans="1:15" ht="14.25" customHeight="1" x14ac:dyDescent="0.25">
      <c r="A101" s="211"/>
      <c r="B101" s="210" t="s">
        <v>486</v>
      </c>
      <c r="C101" s="209" t="s">
        <v>488</v>
      </c>
      <c r="D101" s="209">
        <v>12.84</v>
      </c>
      <c r="E101" s="209" t="s">
        <v>447</v>
      </c>
      <c r="F101" s="209" t="s">
        <v>347</v>
      </c>
      <c r="G101" s="209" t="s">
        <v>376</v>
      </c>
      <c r="H101" s="208">
        <v>1</v>
      </c>
      <c r="I101" s="212">
        <f>H101*Table_2[[#This Row],[Área (m²)]]</f>
        <v>12.84</v>
      </c>
      <c r="J101" s="204" t="s">
        <v>414</v>
      </c>
      <c r="K101" s="204"/>
      <c r="L101" s="207"/>
      <c r="M101" s="206"/>
      <c r="N101" s="204"/>
      <c r="O101" s="205"/>
    </row>
    <row r="102" spans="1:15" ht="14.25" customHeight="1" x14ac:dyDescent="0.25">
      <c r="A102" s="211"/>
      <c r="B102" s="210" t="s">
        <v>486</v>
      </c>
      <c r="C102" s="209" t="s">
        <v>489</v>
      </c>
      <c r="D102" s="209">
        <v>9.19</v>
      </c>
      <c r="E102" s="209" t="s">
        <v>447</v>
      </c>
      <c r="F102" s="209" t="s">
        <v>347</v>
      </c>
      <c r="G102" s="209" t="s">
        <v>376</v>
      </c>
      <c r="H102" s="208">
        <v>1</v>
      </c>
      <c r="I102" s="212">
        <f>H102*Table_2[[#This Row],[Área (m²)]]</f>
        <v>9.19</v>
      </c>
      <c r="J102" s="204" t="s">
        <v>414</v>
      </c>
      <c r="K102" s="204"/>
      <c r="L102" s="207"/>
      <c r="M102" s="206"/>
      <c r="N102" s="204"/>
      <c r="O102" s="205"/>
    </row>
    <row r="103" spans="1:15" ht="14.25" customHeight="1" x14ac:dyDescent="0.25">
      <c r="A103" s="211"/>
      <c r="B103" s="210" t="s">
        <v>486</v>
      </c>
      <c r="C103" s="209" t="s">
        <v>465</v>
      </c>
      <c r="D103" s="209">
        <f>3.67+3.69+4.25</f>
        <v>11.61</v>
      </c>
      <c r="E103" s="209" t="s">
        <v>447</v>
      </c>
      <c r="F103" s="209" t="s">
        <v>347</v>
      </c>
      <c r="G103" s="209" t="s">
        <v>376</v>
      </c>
      <c r="H103" s="208">
        <v>1</v>
      </c>
      <c r="I103" s="212">
        <f>H103*Table_2[[#This Row],[Área (m²)]]</f>
        <v>11.61</v>
      </c>
      <c r="J103" s="204" t="s">
        <v>414</v>
      </c>
      <c r="K103" s="204"/>
      <c r="L103" s="207"/>
      <c r="M103" s="206"/>
      <c r="N103" s="204"/>
      <c r="O103" s="205"/>
    </row>
    <row r="104" spans="1:15" ht="14.25" customHeight="1" x14ac:dyDescent="0.25">
      <c r="A104" s="211"/>
      <c r="B104" s="210" t="s">
        <v>486</v>
      </c>
      <c r="C104" s="209" t="s">
        <v>386</v>
      </c>
      <c r="D104" s="209">
        <v>7.87</v>
      </c>
      <c r="E104" s="209" t="s">
        <v>388</v>
      </c>
      <c r="F104" s="209" t="s">
        <v>347</v>
      </c>
      <c r="G104" s="209" t="s">
        <v>376</v>
      </c>
      <c r="H104" s="208">
        <v>1</v>
      </c>
      <c r="I104" s="212">
        <f>H104*Table_2[[#This Row],[Área (m²)]]</f>
        <v>7.87</v>
      </c>
      <c r="J104" s="204" t="s">
        <v>414</v>
      </c>
      <c r="K104" s="204"/>
      <c r="L104" s="207"/>
      <c r="M104" s="206"/>
      <c r="N104" s="204"/>
      <c r="O104" s="205"/>
    </row>
    <row r="105" spans="1:15" ht="14.25" customHeight="1" x14ac:dyDescent="0.25">
      <c r="A105" s="211"/>
      <c r="B105" s="210" t="s">
        <v>486</v>
      </c>
      <c r="C105" s="209" t="s">
        <v>490</v>
      </c>
      <c r="D105" s="209">
        <v>8.61</v>
      </c>
      <c r="E105" s="209" t="s">
        <v>447</v>
      </c>
      <c r="F105" s="209" t="s">
        <v>347</v>
      </c>
      <c r="G105" s="209" t="s">
        <v>376</v>
      </c>
      <c r="H105" s="208">
        <v>1</v>
      </c>
      <c r="I105" s="212">
        <f>H105*Table_2[[#This Row],[Área (m²)]]</f>
        <v>8.61</v>
      </c>
      <c r="J105" s="204" t="s">
        <v>414</v>
      </c>
      <c r="K105" s="204"/>
      <c r="L105" s="207"/>
      <c r="M105" s="206"/>
      <c r="N105" s="204"/>
      <c r="O105" s="205"/>
    </row>
    <row r="106" spans="1:15" ht="14.25" customHeight="1" x14ac:dyDescent="0.25">
      <c r="A106" s="211"/>
      <c r="B106" s="210" t="s">
        <v>491</v>
      </c>
      <c r="C106" s="209" t="s">
        <v>444</v>
      </c>
      <c r="D106" s="209">
        <f>11.39+18*1.2*0.18</f>
        <v>15.278</v>
      </c>
      <c r="E106" s="209" t="s">
        <v>449</v>
      </c>
      <c r="F106" s="209" t="s">
        <v>346</v>
      </c>
      <c r="G106" s="209" t="s">
        <v>196</v>
      </c>
      <c r="H106" s="208">
        <v>1</v>
      </c>
      <c r="I106" s="212">
        <f>H106*Table_2[[#This Row],[Área (m²)]]</f>
        <v>15.278</v>
      </c>
      <c r="J106" s="204"/>
      <c r="K106" s="204"/>
      <c r="L106" s="207"/>
      <c r="M106" s="206"/>
      <c r="N106" s="204"/>
      <c r="O106" s="205"/>
    </row>
    <row r="107" spans="1:15" ht="14.25" customHeight="1" x14ac:dyDescent="0.25">
      <c r="A107" s="211"/>
      <c r="B107" s="210" t="s">
        <v>491</v>
      </c>
      <c r="C107" s="209" t="s">
        <v>492</v>
      </c>
      <c r="D107" s="209">
        <v>6.27</v>
      </c>
      <c r="E107" s="209" t="s">
        <v>449</v>
      </c>
      <c r="F107" s="209" t="s">
        <v>346</v>
      </c>
      <c r="G107" s="209" t="s">
        <v>196</v>
      </c>
      <c r="H107" s="208">
        <v>1</v>
      </c>
      <c r="I107" s="212">
        <f>H107*Table_2[[#This Row],[Área (m²)]]</f>
        <v>6.27</v>
      </c>
      <c r="J107" s="204"/>
      <c r="K107" s="204"/>
      <c r="L107" s="207"/>
      <c r="M107" s="206"/>
      <c r="N107" s="204"/>
      <c r="O107" s="205"/>
    </row>
    <row r="108" spans="1:15" ht="14.25" customHeight="1" x14ac:dyDescent="0.25">
      <c r="A108" s="211"/>
      <c r="B108" s="210" t="s">
        <v>491</v>
      </c>
      <c r="C108" s="209" t="s">
        <v>348</v>
      </c>
      <c r="D108" s="209">
        <f>8.06+3.88</f>
        <v>11.940000000000001</v>
      </c>
      <c r="E108" s="209" t="s">
        <v>449</v>
      </c>
      <c r="F108" s="209" t="s">
        <v>346</v>
      </c>
      <c r="G108" s="209" t="s">
        <v>196</v>
      </c>
      <c r="H108" s="208">
        <v>1</v>
      </c>
      <c r="I108" s="212">
        <f>H108*Table_2[[#This Row],[Área (m²)]]</f>
        <v>11.940000000000001</v>
      </c>
      <c r="J108" s="204"/>
      <c r="K108" s="204"/>
      <c r="L108" s="207"/>
      <c r="M108" s="206"/>
      <c r="N108" s="204"/>
      <c r="O108" s="205"/>
    </row>
    <row r="109" spans="1:15" ht="14.25" customHeight="1" x14ac:dyDescent="0.25">
      <c r="A109" s="211"/>
      <c r="B109" s="210" t="s">
        <v>491</v>
      </c>
      <c r="C109" s="209" t="s">
        <v>493</v>
      </c>
      <c r="D109" s="209">
        <f>3.8+4.02</f>
        <v>7.8199999999999994</v>
      </c>
      <c r="E109" s="209" t="s">
        <v>449</v>
      </c>
      <c r="F109" s="209" t="s">
        <v>346</v>
      </c>
      <c r="G109" s="209" t="s">
        <v>196</v>
      </c>
      <c r="H109" s="208">
        <v>1</v>
      </c>
      <c r="I109" s="212">
        <f>H109*Table_2[[#This Row],[Área (m²)]]</f>
        <v>7.8199999999999994</v>
      </c>
      <c r="J109" s="204"/>
      <c r="K109" s="204"/>
      <c r="L109" s="207"/>
      <c r="M109" s="206"/>
      <c r="N109" s="204"/>
      <c r="O109" s="205"/>
    </row>
    <row r="110" spans="1:15" ht="14.25" customHeight="1" x14ac:dyDescent="0.25">
      <c r="A110" s="211"/>
      <c r="B110" s="210" t="s">
        <v>491</v>
      </c>
      <c r="C110" s="209" t="s">
        <v>198</v>
      </c>
      <c r="D110" s="209">
        <f>309.43-(D106+D107+D108+D109)</f>
        <v>268.12200000000001</v>
      </c>
      <c r="E110" s="209" t="s">
        <v>198</v>
      </c>
      <c r="F110" s="209" t="s">
        <v>346</v>
      </c>
      <c r="G110" s="209" t="s">
        <v>210</v>
      </c>
      <c r="H110" s="208">
        <v>1</v>
      </c>
      <c r="I110" s="212">
        <f>H110*Table_2[[#This Row],[Área (m²)]]</f>
        <v>268.12200000000001</v>
      </c>
      <c r="J110" s="204"/>
      <c r="K110" s="204"/>
      <c r="L110" s="207"/>
      <c r="M110" s="206"/>
      <c r="N110" s="204"/>
      <c r="O110" s="205"/>
    </row>
    <row r="111" spans="1:15" ht="14.25" customHeight="1" x14ac:dyDescent="0.25">
      <c r="A111" s="211"/>
      <c r="B111" s="210" t="s">
        <v>491</v>
      </c>
      <c r="C111" s="209" t="s">
        <v>352</v>
      </c>
      <c r="D111" s="209">
        <f>14.78+19.22</f>
        <v>34</v>
      </c>
      <c r="E111" s="209" t="s">
        <v>210</v>
      </c>
      <c r="F111" s="209" t="s">
        <v>346</v>
      </c>
      <c r="G111" s="209" t="s">
        <v>210</v>
      </c>
      <c r="H111" s="208">
        <v>1</v>
      </c>
      <c r="I111" s="212">
        <f>H111*Table_2[[#This Row],[Área (m²)]]</f>
        <v>34</v>
      </c>
      <c r="J111" s="204"/>
      <c r="K111" s="204"/>
      <c r="L111" s="207"/>
      <c r="M111" s="206"/>
      <c r="N111" s="204"/>
      <c r="O111" s="205"/>
    </row>
    <row r="112" spans="1:15" ht="14.25" customHeight="1" x14ac:dyDescent="0.25">
      <c r="A112" s="211"/>
      <c r="B112" s="210" t="s">
        <v>491</v>
      </c>
      <c r="C112" s="209" t="s">
        <v>494</v>
      </c>
      <c r="D112" s="209">
        <f>14.78+19.22</f>
        <v>34</v>
      </c>
      <c r="E112" s="209" t="s">
        <v>477</v>
      </c>
      <c r="F112" s="209" t="s">
        <v>346</v>
      </c>
      <c r="G112" s="209" t="s">
        <v>210</v>
      </c>
      <c r="H112" s="208">
        <v>1</v>
      </c>
      <c r="I112" s="212">
        <f>H112*Table_2[[#This Row],[Área (m²)]]</f>
        <v>34</v>
      </c>
      <c r="J112" s="204"/>
      <c r="K112" s="204"/>
      <c r="L112" s="207"/>
      <c r="M112" s="206"/>
      <c r="N112" s="204"/>
      <c r="O112" s="205"/>
    </row>
    <row r="113" spans="1:15" ht="14.25" customHeight="1" x14ac:dyDescent="0.25">
      <c r="A113" s="211"/>
      <c r="B113" s="210"/>
      <c r="C113" s="209"/>
      <c r="D113" s="209"/>
      <c r="E113" s="209"/>
      <c r="F113" s="209"/>
      <c r="G113" s="209"/>
      <c r="H113" s="208"/>
      <c r="I113" s="212"/>
      <c r="J113" s="204"/>
      <c r="K113" s="204"/>
      <c r="L113" s="207"/>
      <c r="M113" s="206"/>
      <c r="N113" s="204"/>
      <c r="O113" s="205"/>
    </row>
    <row r="114" spans="1:15" ht="14.25" customHeight="1" x14ac:dyDescent="0.25">
      <c r="A114" s="211"/>
      <c r="B114" s="210"/>
      <c r="C114" s="209"/>
      <c r="D114" s="209"/>
      <c r="E114" s="209"/>
      <c r="F114" s="209"/>
      <c r="G114" s="209"/>
      <c r="H114" s="208"/>
      <c r="I114" s="212"/>
      <c r="J114" s="204"/>
      <c r="K114" s="204"/>
      <c r="L114" s="207"/>
      <c r="M114" s="206"/>
      <c r="N114" s="204"/>
      <c r="O114" s="205"/>
    </row>
    <row r="115" spans="1:15" ht="14.25" customHeight="1" x14ac:dyDescent="0.25">
      <c r="A115" s="211"/>
      <c r="B115" s="210"/>
      <c r="C115" s="209"/>
      <c r="D115" s="209"/>
      <c r="E115" s="209"/>
      <c r="F115" s="209"/>
      <c r="G115" s="209"/>
      <c r="H115" s="208"/>
      <c r="I115" s="212"/>
      <c r="J115" s="204"/>
      <c r="K115" s="204"/>
      <c r="L115" s="207"/>
      <c r="M115" s="206"/>
      <c r="N115" s="204"/>
      <c r="O115" s="205"/>
    </row>
    <row r="116" spans="1:15" ht="14.25" customHeight="1" x14ac:dyDescent="0.25">
      <c r="A116" s="211"/>
      <c r="B116" s="210"/>
      <c r="C116" s="209"/>
      <c r="D116" s="209"/>
      <c r="E116" s="209"/>
      <c r="F116" s="209"/>
      <c r="G116" s="209"/>
      <c r="H116" s="208"/>
      <c r="I116" s="212"/>
      <c r="J116" s="204"/>
      <c r="K116" s="204"/>
      <c r="L116" s="207"/>
      <c r="M116" s="206"/>
      <c r="N116" s="204"/>
      <c r="O116" s="205"/>
    </row>
    <row r="117" spans="1:15" ht="14.25" customHeight="1" x14ac:dyDescent="0.25">
      <c r="A117" s="211"/>
      <c r="B117" s="210"/>
      <c r="C117" s="209"/>
      <c r="D117" s="209"/>
      <c r="E117" s="209"/>
      <c r="F117" s="209"/>
      <c r="G117" s="209"/>
      <c r="H117" s="208"/>
      <c r="I117" s="212"/>
      <c r="J117" s="204"/>
      <c r="K117" s="204"/>
      <c r="L117" s="207"/>
      <c r="M117" s="206"/>
      <c r="N117" s="204"/>
      <c r="O117" s="205"/>
    </row>
    <row r="118" spans="1:15" ht="14.25" customHeight="1" x14ac:dyDescent="0.25">
      <c r="A118" s="211"/>
      <c r="B118" s="210"/>
      <c r="C118" s="209"/>
      <c r="D118" s="209"/>
      <c r="E118" s="209"/>
      <c r="F118" s="209"/>
      <c r="G118" s="209"/>
      <c r="H118" s="208"/>
      <c r="I118" s="212"/>
      <c r="J118" s="204"/>
      <c r="K118" s="204"/>
      <c r="L118" s="207"/>
      <c r="M118" s="206"/>
      <c r="N118" s="204"/>
      <c r="O118" s="205"/>
    </row>
    <row r="119" spans="1:15" ht="14.25" customHeight="1" x14ac:dyDescent="0.25">
      <c r="A119" s="211"/>
      <c r="B119" s="210"/>
      <c r="C119" s="209"/>
      <c r="D119" s="209"/>
      <c r="E119" s="209"/>
      <c r="F119" s="209"/>
      <c r="G119" s="209"/>
      <c r="H119" s="208"/>
      <c r="I119" s="212"/>
      <c r="J119" s="204"/>
      <c r="K119" s="204"/>
      <c r="L119" s="207"/>
      <c r="M119" s="206"/>
      <c r="N119" s="204"/>
      <c r="O119" s="205"/>
    </row>
    <row r="120" spans="1:15" ht="14.25" customHeight="1" x14ac:dyDescent="0.25">
      <c r="A120" s="211"/>
      <c r="B120" s="210"/>
      <c r="C120" s="209"/>
      <c r="D120" s="209"/>
      <c r="E120" s="209"/>
      <c r="F120" s="209"/>
      <c r="G120" s="209"/>
      <c r="H120" s="208"/>
      <c r="I120" s="212"/>
      <c r="J120" s="204"/>
      <c r="K120" s="204"/>
      <c r="L120" s="207"/>
      <c r="M120" s="206"/>
      <c r="N120" s="204"/>
      <c r="O120" s="205"/>
    </row>
    <row r="121" spans="1:15" ht="14.25" customHeight="1" x14ac:dyDescent="0.25">
      <c r="A121" s="211"/>
      <c r="B121" s="210"/>
      <c r="C121" s="209"/>
      <c r="D121" s="209"/>
      <c r="E121" s="209"/>
      <c r="F121" s="209"/>
      <c r="G121" s="209"/>
      <c r="H121" s="208"/>
      <c r="I121" s="212"/>
      <c r="J121" s="204"/>
      <c r="K121" s="204"/>
      <c r="L121" s="207"/>
      <c r="M121" s="206"/>
      <c r="N121" s="204"/>
      <c r="O121" s="205"/>
    </row>
    <row r="122" spans="1:15" ht="14.25" customHeight="1" x14ac:dyDescent="0.25">
      <c r="A122" s="211"/>
      <c r="B122" s="210"/>
      <c r="C122" s="209"/>
      <c r="D122" s="209"/>
      <c r="E122" s="209"/>
      <c r="F122" s="209"/>
      <c r="G122" s="209"/>
      <c r="H122" s="208"/>
      <c r="I122" s="212"/>
      <c r="J122" s="204"/>
      <c r="K122" s="204"/>
      <c r="L122" s="207"/>
      <c r="M122" s="206"/>
      <c r="N122" s="204"/>
      <c r="O122" s="205"/>
    </row>
    <row r="123" spans="1:15" ht="14.25" customHeight="1" x14ac:dyDescent="0.25">
      <c r="A123" s="211"/>
      <c r="B123" s="210"/>
      <c r="C123" s="209"/>
      <c r="D123" s="209"/>
      <c r="E123" s="209"/>
      <c r="F123" s="209"/>
      <c r="G123" s="209"/>
      <c r="H123" s="208"/>
      <c r="I123" s="212"/>
      <c r="J123" s="204"/>
      <c r="K123" s="204"/>
      <c r="L123" s="207"/>
      <c r="M123" s="206"/>
      <c r="N123" s="204"/>
      <c r="O123" s="205"/>
    </row>
    <row r="124" spans="1:15" ht="14.25" customHeight="1" x14ac:dyDescent="0.25">
      <c r="A124" s="211"/>
      <c r="B124" s="210"/>
      <c r="C124" s="209"/>
      <c r="D124" s="209"/>
      <c r="E124" s="209"/>
      <c r="F124" s="209"/>
      <c r="G124" s="209"/>
      <c r="H124" s="208"/>
      <c r="I124" s="212"/>
      <c r="J124" s="204"/>
      <c r="K124" s="204"/>
      <c r="L124" s="207"/>
      <c r="M124" s="206"/>
      <c r="N124" s="204"/>
      <c r="O124" s="205"/>
    </row>
    <row r="125" spans="1:15" ht="14.25" customHeight="1" x14ac:dyDescent="0.25">
      <c r="A125" s="211"/>
      <c r="B125" s="210"/>
      <c r="C125" s="209"/>
      <c r="D125" s="209"/>
      <c r="E125" s="209"/>
      <c r="F125" s="209"/>
      <c r="G125" s="209"/>
      <c r="H125" s="208"/>
      <c r="I125" s="212"/>
      <c r="J125" s="204"/>
      <c r="K125" s="204"/>
      <c r="L125" s="207"/>
      <c r="M125" s="206"/>
      <c r="N125" s="204"/>
      <c r="O125" s="205"/>
    </row>
    <row r="126" spans="1:15" ht="14.25" customHeight="1" x14ac:dyDescent="0.25">
      <c r="A126" s="211"/>
      <c r="B126" s="210"/>
      <c r="C126" s="209"/>
      <c r="D126" s="209"/>
      <c r="E126" s="209"/>
      <c r="F126" s="209"/>
      <c r="G126" s="209"/>
      <c r="H126" s="208"/>
      <c r="I126" s="212"/>
      <c r="J126" s="204"/>
      <c r="K126" s="204"/>
      <c r="L126" s="207"/>
      <c r="M126" s="206"/>
      <c r="N126" s="204"/>
      <c r="O126" s="205"/>
    </row>
    <row r="127" spans="1:15" ht="14.25" customHeight="1" x14ac:dyDescent="0.25">
      <c r="A127" s="211"/>
      <c r="B127" s="210"/>
      <c r="C127" s="209"/>
      <c r="D127" s="209"/>
      <c r="E127" s="209"/>
      <c r="F127" s="209"/>
      <c r="G127" s="209"/>
      <c r="H127" s="208"/>
      <c r="I127" s="212"/>
      <c r="J127" s="204"/>
      <c r="K127" s="204"/>
      <c r="L127" s="207"/>
      <c r="M127" s="206"/>
      <c r="N127" s="204"/>
      <c r="O127" s="205"/>
    </row>
    <row r="128" spans="1:15" ht="14.25" customHeight="1" x14ac:dyDescent="0.25">
      <c r="A128" s="211"/>
      <c r="B128" s="210"/>
      <c r="C128" s="209"/>
      <c r="D128" s="209"/>
      <c r="E128" s="209"/>
      <c r="F128" s="209"/>
      <c r="G128" s="209"/>
      <c r="H128" s="208"/>
      <c r="I128" s="212"/>
      <c r="J128" s="204"/>
      <c r="K128" s="204"/>
      <c r="L128" s="207"/>
      <c r="M128" s="206"/>
      <c r="N128" s="204"/>
      <c r="O128" s="205"/>
    </row>
    <row r="129" spans="1:15" ht="14.25" customHeight="1" x14ac:dyDescent="0.25">
      <c r="A129" s="211"/>
      <c r="B129" s="210"/>
      <c r="C129" s="209"/>
      <c r="D129" s="209"/>
      <c r="E129" s="209"/>
      <c r="F129" s="209"/>
      <c r="G129" s="209"/>
      <c r="H129" s="208"/>
      <c r="I129" s="212"/>
      <c r="J129" s="204"/>
      <c r="K129" s="204"/>
      <c r="L129" s="207"/>
      <c r="M129" s="206"/>
      <c r="N129" s="204"/>
      <c r="O129" s="205"/>
    </row>
    <row r="130" spans="1:15" ht="14.25" customHeight="1" x14ac:dyDescent="0.25">
      <c r="A130" s="211"/>
      <c r="B130" s="210"/>
      <c r="C130" s="209"/>
      <c r="D130" s="209"/>
      <c r="E130" s="209"/>
      <c r="F130" s="209"/>
      <c r="G130" s="209"/>
      <c r="H130" s="208"/>
      <c r="I130" s="212"/>
      <c r="J130" s="204"/>
      <c r="K130" s="204"/>
      <c r="L130" s="207"/>
      <c r="M130" s="206"/>
      <c r="N130" s="204"/>
      <c r="O130" s="205"/>
    </row>
    <row r="131" spans="1:15" ht="14.25" customHeight="1" x14ac:dyDescent="0.25">
      <c r="A131" s="211"/>
      <c r="B131" s="210"/>
      <c r="C131" s="209"/>
      <c r="D131" s="209"/>
      <c r="E131" s="209"/>
      <c r="F131" s="209"/>
      <c r="G131" s="209"/>
      <c r="H131" s="208"/>
      <c r="I131" s="212"/>
      <c r="J131" s="204"/>
      <c r="K131" s="204"/>
      <c r="L131" s="207"/>
      <c r="M131" s="206"/>
      <c r="N131" s="204"/>
      <c r="O131" s="205"/>
    </row>
    <row r="132" spans="1:15" ht="14.25" customHeight="1" x14ac:dyDescent="0.25">
      <c r="A132" s="211"/>
      <c r="B132" s="210"/>
      <c r="C132" s="209"/>
      <c r="D132" s="209"/>
      <c r="E132" s="209"/>
      <c r="F132" s="209"/>
      <c r="G132" s="209"/>
      <c r="H132" s="208"/>
      <c r="I132" s="212"/>
      <c r="J132" s="204"/>
      <c r="K132" s="204"/>
      <c r="L132" s="207"/>
      <c r="M132" s="206"/>
      <c r="N132" s="204"/>
      <c r="O132" s="205"/>
    </row>
    <row r="133" spans="1:15" ht="14.25" customHeight="1" x14ac:dyDescent="0.25">
      <c r="A133" s="211"/>
      <c r="B133" s="210"/>
      <c r="C133" s="209"/>
      <c r="D133" s="209"/>
      <c r="E133" s="209"/>
      <c r="F133" s="209"/>
      <c r="G133" s="209"/>
      <c r="H133" s="208"/>
      <c r="I133" s="212"/>
      <c r="J133" s="204"/>
      <c r="K133" s="204"/>
      <c r="L133" s="207"/>
      <c r="M133" s="206"/>
      <c r="N133" s="204"/>
      <c r="O133" s="205"/>
    </row>
    <row r="134" spans="1:15" ht="14.25" customHeight="1" x14ac:dyDescent="0.25">
      <c r="A134" s="211"/>
      <c r="B134" s="210"/>
      <c r="C134" s="209"/>
      <c r="D134" s="209"/>
      <c r="E134" s="209"/>
      <c r="F134" s="209"/>
      <c r="G134" s="209"/>
      <c r="H134" s="208"/>
      <c r="I134" s="212"/>
      <c r="J134" s="204"/>
      <c r="K134" s="204"/>
      <c r="L134" s="207"/>
      <c r="M134" s="206"/>
      <c r="N134" s="204"/>
      <c r="O134" s="205"/>
    </row>
    <row r="135" spans="1:15" ht="14.25" customHeight="1" x14ac:dyDescent="0.25">
      <c r="A135" s="211"/>
      <c r="B135" s="210"/>
      <c r="C135" s="209"/>
      <c r="D135" s="209"/>
      <c r="E135" s="209"/>
      <c r="F135" s="209"/>
      <c r="G135" s="209"/>
      <c r="H135" s="208"/>
      <c r="I135" s="212"/>
      <c r="J135" s="204"/>
      <c r="K135" s="204"/>
      <c r="L135" s="207"/>
      <c r="M135" s="206"/>
      <c r="N135" s="204"/>
      <c r="O135" s="205"/>
    </row>
    <row r="136" spans="1:15" ht="14.25" customHeight="1" x14ac:dyDescent="0.25">
      <c r="A136" s="211"/>
      <c r="B136" s="210"/>
      <c r="C136" s="209"/>
      <c r="D136" s="209"/>
      <c r="E136" s="209"/>
      <c r="F136" s="209"/>
      <c r="G136" s="209"/>
      <c r="H136" s="208"/>
      <c r="I136" s="212"/>
      <c r="J136" s="204"/>
      <c r="K136" s="204"/>
      <c r="L136" s="207"/>
      <c r="M136" s="206"/>
      <c r="N136" s="204"/>
      <c r="O136" s="205"/>
    </row>
    <row r="137" spans="1:15" ht="14.25" customHeight="1" x14ac:dyDescent="0.25">
      <c r="A137" s="211"/>
      <c r="B137" s="210"/>
      <c r="C137" s="209"/>
      <c r="D137" s="209"/>
      <c r="E137" s="209"/>
      <c r="F137" s="209"/>
      <c r="G137" s="209"/>
      <c r="H137" s="208"/>
      <c r="I137" s="212"/>
      <c r="J137" s="204"/>
      <c r="K137" s="204"/>
      <c r="L137" s="207"/>
      <c r="M137" s="206"/>
      <c r="N137" s="204"/>
      <c r="O137" s="205"/>
    </row>
    <row r="138" spans="1:15" ht="14.25" customHeight="1" x14ac:dyDescent="0.25">
      <c r="A138" s="211"/>
      <c r="B138" s="210"/>
      <c r="C138" s="209"/>
      <c r="D138" s="209"/>
      <c r="E138" s="209"/>
      <c r="F138" s="209"/>
      <c r="G138" s="209"/>
      <c r="H138" s="208"/>
      <c r="I138" s="212"/>
      <c r="J138" s="204"/>
      <c r="K138" s="204"/>
      <c r="L138" s="207"/>
      <c r="M138" s="206"/>
      <c r="N138" s="204"/>
      <c r="O138" s="205"/>
    </row>
    <row r="139" spans="1:15" ht="14.25" customHeight="1" x14ac:dyDescent="0.25">
      <c r="A139" s="211"/>
      <c r="B139" s="210"/>
      <c r="C139" s="209"/>
      <c r="D139" s="209"/>
      <c r="E139" s="209"/>
      <c r="F139" s="209"/>
      <c r="G139" s="209"/>
      <c r="H139" s="208"/>
      <c r="I139" s="212"/>
      <c r="J139" s="204"/>
      <c r="K139" s="204"/>
      <c r="L139" s="207"/>
      <c r="M139" s="206"/>
      <c r="N139" s="204"/>
      <c r="O139" s="205"/>
    </row>
    <row r="140" spans="1:15" ht="14.25" customHeight="1" x14ac:dyDescent="0.25">
      <c r="A140" s="211"/>
      <c r="B140" s="210"/>
      <c r="C140" s="209"/>
      <c r="D140" s="209"/>
      <c r="E140" s="209"/>
      <c r="F140" s="209"/>
      <c r="G140" s="209"/>
      <c r="H140" s="208"/>
      <c r="I140" s="212"/>
      <c r="J140" s="204"/>
      <c r="K140" s="204"/>
      <c r="L140" s="207"/>
      <c r="M140" s="206"/>
      <c r="N140" s="204"/>
      <c r="O140" s="205"/>
    </row>
    <row r="141" spans="1:15" ht="14.25" customHeight="1" x14ac:dyDescent="0.25">
      <c r="A141" s="211"/>
      <c r="B141" s="210"/>
      <c r="C141" s="209"/>
      <c r="D141" s="209"/>
      <c r="E141" s="209"/>
      <c r="F141" s="209"/>
      <c r="G141" s="209"/>
      <c r="H141" s="208"/>
      <c r="I141" s="212"/>
      <c r="J141" s="204"/>
      <c r="K141" s="204"/>
      <c r="L141" s="207"/>
      <c r="M141" s="206"/>
      <c r="N141" s="204"/>
      <c r="O141" s="205"/>
    </row>
    <row r="142" spans="1:15" ht="14.25" customHeight="1" x14ac:dyDescent="0.25">
      <c r="A142" s="211"/>
      <c r="B142" s="210"/>
      <c r="C142" s="209"/>
      <c r="D142" s="209"/>
      <c r="E142" s="209"/>
      <c r="F142" s="209"/>
      <c r="G142" s="209"/>
      <c r="H142" s="208"/>
      <c r="I142" s="212"/>
      <c r="J142" s="204"/>
      <c r="K142" s="204"/>
      <c r="L142" s="207"/>
      <c r="M142" s="206"/>
      <c r="N142" s="204"/>
      <c r="O142" s="205"/>
    </row>
    <row r="143" spans="1:15" ht="14.25" customHeight="1" x14ac:dyDescent="0.25">
      <c r="A143" s="211"/>
      <c r="B143" s="210"/>
      <c r="C143" s="209"/>
      <c r="D143" s="209"/>
      <c r="E143" s="209"/>
      <c r="F143" s="209"/>
      <c r="G143" s="209"/>
      <c r="H143" s="208"/>
      <c r="I143" s="212"/>
      <c r="J143" s="204"/>
      <c r="K143" s="204"/>
      <c r="L143" s="207"/>
      <c r="M143" s="206"/>
      <c r="N143" s="204"/>
      <c r="O143" s="205"/>
    </row>
    <row r="144" spans="1:15" ht="14.25" customHeight="1" x14ac:dyDescent="0.25">
      <c r="A144" s="211"/>
      <c r="B144" s="210"/>
      <c r="C144" s="209"/>
      <c r="D144" s="209"/>
      <c r="E144" s="209"/>
      <c r="F144" s="209"/>
      <c r="G144" s="209"/>
      <c r="H144" s="208"/>
      <c r="I144" s="212"/>
      <c r="J144" s="204"/>
      <c r="K144" s="204"/>
      <c r="L144" s="207"/>
      <c r="M144" s="206"/>
      <c r="N144" s="204"/>
      <c r="O144" s="205"/>
    </row>
    <row r="145" spans="1:15" ht="14.25" customHeight="1" x14ac:dyDescent="0.25">
      <c r="A145" s="211"/>
      <c r="B145" s="210"/>
      <c r="C145" s="209"/>
      <c r="D145" s="209"/>
      <c r="E145" s="209"/>
      <c r="F145" s="209"/>
      <c r="G145" s="209"/>
      <c r="H145" s="208"/>
      <c r="I145" s="212"/>
      <c r="J145" s="204"/>
      <c r="K145" s="204"/>
      <c r="L145" s="207"/>
      <c r="M145" s="206"/>
      <c r="N145" s="204"/>
      <c r="O145" s="205"/>
    </row>
    <row r="146" spans="1:15" ht="14.25" customHeight="1" x14ac:dyDescent="0.25">
      <c r="A146" s="211"/>
      <c r="B146" s="210"/>
      <c r="C146" s="209"/>
      <c r="D146" s="209"/>
      <c r="E146" s="209"/>
      <c r="F146" s="209"/>
      <c r="G146" s="209"/>
      <c r="H146" s="208"/>
      <c r="I146" s="212"/>
      <c r="J146" s="204"/>
      <c r="K146" s="204"/>
      <c r="L146" s="207"/>
      <c r="M146" s="206"/>
      <c r="N146" s="204"/>
      <c r="O146" s="205"/>
    </row>
    <row r="147" spans="1:15" ht="14.25" customHeight="1" x14ac:dyDescent="0.25">
      <c r="A147" s="211"/>
      <c r="B147" s="210"/>
      <c r="C147" s="209"/>
      <c r="D147" s="209"/>
      <c r="E147" s="209"/>
      <c r="F147" s="209"/>
      <c r="G147" s="209"/>
      <c r="H147" s="208"/>
      <c r="I147" s="212"/>
      <c r="J147" s="204"/>
      <c r="K147" s="204"/>
      <c r="L147" s="207"/>
      <c r="M147" s="206"/>
      <c r="N147" s="204"/>
      <c r="O147" s="205"/>
    </row>
    <row r="148" spans="1:15" ht="14.25" customHeight="1" x14ac:dyDescent="0.25">
      <c r="A148" s="211"/>
      <c r="B148" s="210"/>
      <c r="C148" s="209"/>
      <c r="D148" s="209"/>
      <c r="E148" s="209"/>
      <c r="F148" s="209"/>
      <c r="G148" s="209"/>
      <c r="H148" s="208"/>
      <c r="I148" s="212"/>
      <c r="J148" s="204"/>
      <c r="K148" s="204"/>
      <c r="L148" s="207"/>
      <c r="M148" s="206"/>
      <c r="N148" s="204"/>
      <c r="O148" s="205"/>
    </row>
    <row r="149" spans="1:15" ht="14.25" customHeight="1" x14ac:dyDescent="0.25">
      <c r="A149" s="211"/>
      <c r="B149" s="210"/>
      <c r="C149" s="209"/>
      <c r="D149" s="209"/>
      <c r="E149" s="209"/>
      <c r="F149" s="209"/>
      <c r="G149" s="209"/>
      <c r="H149" s="208"/>
      <c r="I149" s="212"/>
      <c r="J149" s="204"/>
      <c r="K149" s="204"/>
      <c r="L149" s="207"/>
      <c r="M149" s="206"/>
      <c r="N149" s="204"/>
      <c r="O149" s="205"/>
    </row>
    <row r="150" spans="1:15" ht="14.25" customHeight="1" x14ac:dyDescent="0.25">
      <c r="A150" s="211"/>
      <c r="B150" s="210"/>
      <c r="C150" s="209"/>
      <c r="D150" s="209"/>
      <c r="E150" s="209"/>
      <c r="F150" s="209"/>
      <c r="G150" s="209"/>
      <c r="H150" s="208"/>
      <c r="I150" s="212"/>
      <c r="J150" s="204"/>
      <c r="K150" s="204"/>
      <c r="L150" s="207"/>
      <c r="M150" s="206"/>
      <c r="N150" s="204"/>
      <c r="O150" s="205"/>
    </row>
    <row r="151" spans="1:15" ht="14.25" customHeight="1" x14ac:dyDescent="0.25">
      <c r="A151" s="211"/>
      <c r="B151" s="210"/>
      <c r="C151" s="209"/>
      <c r="D151" s="209"/>
      <c r="E151" s="209"/>
      <c r="F151" s="209"/>
      <c r="G151" s="209"/>
      <c r="H151" s="208"/>
      <c r="I151" s="212"/>
      <c r="J151" s="204"/>
      <c r="K151" s="204"/>
      <c r="L151" s="207"/>
      <c r="M151" s="206"/>
      <c r="N151" s="204"/>
      <c r="O151" s="205"/>
    </row>
    <row r="152" spans="1:15" ht="14.25" customHeight="1" x14ac:dyDescent="0.25">
      <c r="A152" s="211"/>
      <c r="B152" s="210"/>
      <c r="C152" s="209"/>
      <c r="D152" s="209"/>
      <c r="E152" s="209"/>
      <c r="F152" s="209"/>
      <c r="G152" s="209"/>
      <c r="H152" s="208"/>
      <c r="I152" s="212"/>
      <c r="J152" s="204"/>
      <c r="K152" s="204"/>
      <c r="L152" s="207"/>
      <c r="M152" s="206"/>
      <c r="N152" s="204"/>
      <c r="O152" s="205"/>
    </row>
    <row r="153" spans="1:15" ht="14.25" customHeight="1" x14ac:dyDescent="0.25">
      <c r="A153" s="211"/>
      <c r="B153" s="210"/>
      <c r="C153" s="209"/>
      <c r="D153" s="209"/>
      <c r="E153" s="209"/>
      <c r="F153" s="209"/>
      <c r="G153" s="209"/>
      <c r="H153" s="208"/>
      <c r="I153" s="212"/>
      <c r="J153" s="204"/>
      <c r="K153" s="204"/>
      <c r="L153" s="207"/>
      <c r="M153" s="206"/>
      <c r="N153" s="204"/>
      <c r="O153" s="205"/>
    </row>
    <row r="154" spans="1:15" ht="14.25" customHeight="1" x14ac:dyDescent="0.25">
      <c r="A154" s="211"/>
      <c r="B154" s="210"/>
      <c r="C154" s="209"/>
      <c r="D154" s="209"/>
      <c r="E154" s="209"/>
      <c r="F154" s="209"/>
      <c r="G154" s="209"/>
      <c r="H154" s="208"/>
      <c r="I154" s="212"/>
      <c r="J154" s="204"/>
      <c r="K154" s="204"/>
      <c r="L154" s="207"/>
      <c r="M154" s="206"/>
      <c r="N154" s="204"/>
      <c r="O154" s="205"/>
    </row>
    <row r="155" spans="1:15" ht="14.25" customHeight="1" x14ac:dyDescent="0.25">
      <c r="A155" s="211"/>
      <c r="B155" s="210"/>
      <c r="C155" s="209"/>
      <c r="D155" s="209"/>
      <c r="E155" s="209"/>
      <c r="F155" s="209"/>
      <c r="G155" s="209"/>
      <c r="H155" s="208"/>
      <c r="I155" s="212"/>
      <c r="J155" s="204"/>
      <c r="K155" s="204"/>
      <c r="L155" s="207"/>
      <c r="M155" s="206"/>
      <c r="N155" s="204"/>
      <c r="O155" s="205"/>
    </row>
    <row r="156" spans="1:15" ht="14.25" customHeight="1" x14ac:dyDescent="0.25">
      <c r="A156" s="211"/>
      <c r="B156" s="210"/>
      <c r="C156" s="209"/>
      <c r="D156" s="209"/>
      <c r="E156" s="209"/>
      <c r="F156" s="209"/>
      <c r="G156" s="209"/>
      <c r="H156" s="208"/>
      <c r="I156" s="212"/>
      <c r="J156" s="204"/>
      <c r="K156" s="204"/>
      <c r="L156" s="207"/>
      <c r="M156" s="206"/>
      <c r="N156" s="204"/>
      <c r="O156" s="205"/>
    </row>
    <row r="157" spans="1:15" ht="14.25" customHeight="1" x14ac:dyDescent="0.25">
      <c r="A157" s="211"/>
      <c r="B157" s="210"/>
      <c r="C157" s="209"/>
      <c r="D157" s="209"/>
      <c r="E157" s="209"/>
      <c r="F157" s="209"/>
      <c r="G157" s="209"/>
      <c r="H157" s="208"/>
      <c r="I157" s="212"/>
      <c r="J157" s="204"/>
      <c r="K157" s="204"/>
      <c r="L157" s="207"/>
      <c r="M157" s="206"/>
      <c r="N157" s="204"/>
      <c r="O157" s="205"/>
    </row>
    <row r="158" spans="1:15" ht="14.25" customHeight="1" x14ac:dyDescent="0.25">
      <c r="A158" s="211"/>
      <c r="B158" s="210"/>
      <c r="C158" s="209"/>
      <c r="D158" s="209"/>
      <c r="E158" s="209"/>
      <c r="F158" s="209"/>
      <c r="G158" s="209"/>
      <c r="H158" s="208"/>
      <c r="I158" s="212"/>
      <c r="J158" s="204"/>
      <c r="K158" s="204"/>
      <c r="L158" s="207"/>
      <c r="M158" s="206"/>
      <c r="N158" s="204"/>
      <c r="O158" s="205"/>
    </row>
    <row r="159" spans="1:15" ht="14.25" customHeight="1" x14ac:dyDescent="0.25">
      <c r="A159" s="211"/>
      <c r="B159" s="210"/>
      <c r="C159" s="209"/>
      <c r="D159" s="209"/>
      <c r="E159" s="209"/>
      <c r="F159" s="209"/>
      <c r="G159" s="209"/>
      <c r="H159" s="208"/>
      <c r="I159" s="212"/>
      <c r="J159" s="204"/>
      <c r="K159" s="204"/>
      <c r="L159" s="207"/>
      <c r="M159" s="206"/>
      <c r="N159" s="204"/>
      <c r="O159" s="205"/>
    </row>
    <row r="160" spans="1:15" ht="14.25" customHeight="1" x14ac:dyDescent="0.25">
      <c r="A160" s="211"/>
      <c r="B160" s="210"/>
      <c r="C160" s="209"/>
      <c r="D160" s="209"/>
      <c r="E160" s="209"/>
      <c r="F160" s="209"/>
      <c r="G160" s="209"/>
      <c r="H160" s="208"/>
      <c r="I160" s="212"/>
      <c r="J160" s="204"/>
      <c r="K160" s="204"/>
      <c r="L160" s="207"/>
      <c r="M160" s="206"/>
      <c r="N160" s="204"/>
      <c r="O160" s="205"/>
    </row>
    <row r="161" spans="1:15" ht="14.25" customHeight="1" x14ac:dyDescent="0.25">
      <c r="A161" s="211"/>
      <c r="B161" s="210"/>
      <c r="C161" s="209"/>
      <c r="D161" s="209"/>
      <c r="E161" s="209"/>
      <c r="F161" s="209"/>
      <c r="G161" s="209"/>
      <c r="H161" s="208"/>
      <c r="I161" s="212"/>
      <c r="J161" s="204"/>
      <c r="K161" s="204"/>
      <c r="L161" s="207"/>
      <c r="M161" s="206"/>
      <c r="N161" s="204"/>
      <c r="O161" s="205"/>
    </row>
    <row r="162" spans="1:15" ht="14.25" customHeight="1" x14ac:dyDescent="0.25">
      <c r="A162" s="211"/>
      <c r="B162" s="210"/>
      <c r="C162" s="209"/>
      <c r="D162" s="209"/>
      <c r="E162" s="209"/>
      <c r="F162" s="209"/>
      <c r="G162" s="209"/>
      <c r="H162" s="208"/>
      <c r="I162" s="212"/>
      <c r="J162" s="204"/>
      <c r="K162" s="204"/>
      <c r="L162" s="207"/>
      <c r="M162" s="206"/>
      <c r="N162" s="204"/>
      <c r="O162" s="205"/>
    </row>
    <row r="163" spans="1:15" ht="14.25" customHeight="1" x14ac:dyDescent="0.25">
      <c r="A163" s="211"/>
      <c r="B163" s="210"/>
      <c r="C163" s="209"/>
      <c r="D163" s="209"/>
      <c r="E163" s="209"/>
      <c r="F163" s="209"/>
      <c r="G163" s="209"/>
      <c r="H163" s="208"/>
      <c r="I163" s="212"/>
      <c r="J163" s="204"/>
      <c r="K163" s="204"/>
      <c r="L163" s="207"/>
      <c r="M163" s="206"/>
      <c r="N163" s="204"/>
      <c r="O163" s="205"/>
    </row>
    <row r="164" spans="1:15" ht="14.25" customHeight="1" x14ac:dyDescent="0.25">
      <c r="A164" s="211"/>
      <c r="B164" s="210"/>
      <c r="C164" s="209"/>
      <c r="D164" s="209"/>
      <c r="E164" s="209"/>
      <c r="F164" s="209"/>
      <c r="G164" s="209"/>
      <c r="H164" s="208"/>
      <c r="I164" s="212"/>
      <c r="J164" s="204"/>
      <c r="K164" s="204"/>
      <c r="L164" s="207"/>
      <c r="M164" s="206"/>
      <c r="N164" s="204"/>
      <c r="O164" s="205"/>
    </row>
    <row r="165" spans="1:15" ht="14.25" customHeight="1" x14ac:dyDescent="0.25">
      <c r="A165" s="211"/>
      <c r="B165" s="210"/>
      <c r="C165" s="209"/>
      <c r="D165" s="209"/>
      <c r="E165" s="209"/>
      <c r="F165" s="209"/>
      <c r="G165" s="209"/>
      <c r="H165" s="208"/>
      <c r="I165" s="212"/>
      <c r="J165" s="204"/>
      <c r="K165" s="204"/>
      <c r="L165" s="207"/>
      <c r="M165" s="206"/>
      <c r="N165" s="204"/>
      <c r="O165" s="205"/>
    </row>
    <row r="166" spans="1:15" ht="14.25" customHeight="1" x14ac:dyDescent="0.25">
      <c r="A166" s="211"/>
      <c r="B166" s="210"/>
      <c r="C166" s="209"/>
      <c r="D166" s="209"/>
      <c r="E166" s="209"/>
      <c r="F166" s="209"/>
      <c r="G166" s="209"/>
      <c r="H166" s="208"/>
      <c r="I166" s="212"/>
      <c r="J166" s="204"/>
      <c r="K166" s="204"/>
      <c r="L166" s="207"/>
      <c r="M166" s="206"/>
      <c r="N166" s="204"/>
      <c r="O166" s="205"/>
    </row>
    <row r="167" spans="1:15" ht="14.25" customHeight="1" x14ac:dyDescent="0.25">
      <c r="A167" s="211"/>
      <c r="B167" s="210"/>
      <c r="C167" s="209"/>
      <c r="D167" s="209"/>
      <c r="E167" s="209"/>
      <c r="F167" s="209"/>
      <c r="G167" s="209"/>
      <c r="H167" s="208"/>
      <c r="I167" s="212"/>
      <c r="J167" s="204"/>
      <c r="K167" s="204"/>
      <c r="L167" s="207"/>
      <c r="M167" s="206"/>
      <c r="N167" s="204"/>
      <c r="O167" s="205"/>
    </row>
    <row r="168" spans="1:15" ht="14.25" customHeight="1" x14ac:dyDescent="0.25">
      <c r="A168" s="211"/>
      <c r="B168" s="210"/>
      <c r="C168" s="209"/>
      <c r="D168" s="209"/>
      <c r="E168" s="209"/>
      <c r="F168" s="209"/>
      <c r="G168" s="209"/>
      <c r="H168" s="208"/>
      <c r="I168" s="212"/>
      <c r="J168" s="204"/>
      <c r="K168" s="204"/>
      <c r="L168" s="207"/>
      <c r="M168" s="206"/>
      <c r="N168" s="204"/>
      <c r="O168" s="205"/>
    </row>
    <row r="169" spans="1:15" ht="14.25" customHeight="1" x14ac:dyDescent="0.25">
      <c r="A169" s="211"/>
      <c r="B169" s="210"/>
      <c r="C169" s="209"/>
      <c r="D169" s="209"/>
      <c r="E169" s="209"/>
      <c r="F169" s="209"/>
      <c r="G169" s="209"/>
      <c r="H169" s="208"/>
      <c r="I169" s="212"/>
      <c r="J169" s="204"/>
      <c r="K169" s="204"/>
      <c r="L169" s="207"/>
      <c r="M169" s="206"/>
      <c r="N169" s="204"/>
      <c r="O169" s="205"/>
    </row>
    <row r="170" spans="1:15" ht="14.25" customHeight="1" x14ac:dyDescent="0.25">
      <c r="A170" s="211"/>
      <c r="B170" s="210"/>
      <c r="C170" s="209"/>
      <c r="D170" s="209"/>
      <c r="E170" s="209"/>
      <c r="F170" s="209"/>
      <c r="G170" s="209"/>
      <c r="H170" s="208"/>
      <c r="I170" s="212"/>
      <c r="J170" s="204"/>
      <c r="K170" s="204"/>
      <c r="L170" s="207"/>
      <c r="M170" s="206"/>
      <c r="N170" s="204"/>
      <c r="O170" s="205"/>
    </row>
    <row r="171" spans="1:15" ht="14.25" customHeight="1" x14ac:dyDescent="0.25">
      <c r="A171" s="211"/>
      <c r="B171" s="210"/>
      <c r="C171" s="209"/>
      <c r="D171" s="209"/>
      <c r="E171" s="209"/>
      <c r="F171" s="209"/>
      <c r="G171" s="209"/>
      <c r="H171" s="208"/>
      <c r="I171" s="212"/>
      <c r="J171" s="204"/>
      <c r="K171" s="204"/>
      <c r="L171" s="207"/>
      <c r="M171" s="206"/>
      <c r="N171" s="204"/>
      <c r="O171" s="205"/>
    </row>
    <row r="172" spans="1:15" ht="14.25" customHeight="1" x14ac:dyDescent="0.25">
      <c r="A172" s="211"/>
      <c r="B172" s="210"/>
      <c r="C172" s="209"/>
      <c r="D172" s="209"/>
      <c r="E172" s="209"/>
      <c r="F172" s="209"/>
      <c r="G172" s="209"/>
      <c r="H172" s="208"/>
      <c r="I172" s="212"/>
      <c r="J172" s="204"/>
      <c r="K172" s="204"/>
      <c r="L172" s="207"/>
      <c r="M172" s="206"/>
      <c r="N172" s="204"/>
      <c r="O172" s="205"/>
    </row>
    <row r="173" spans="1:15" ht="14.25" customHeight="1" x14ac:dyDescent="0.25">
      <c r="A173" s="211"/>
      <c r="B173" s="210"/>
      <c r="C173" s="209"/>
      <c r="D173" s="209"/>
      <c r="E173" s="209"/>
      <c r="F173" s="209"/>
      <c r="G173" s="209"/>
      <c r="H173" s="208"/>
      <c r="I173" s="212"/>
      <c r="J173" s="204"/>
      <c r="K173" s="204"/>
      <c r="L173" s="207"/>
      <c r="M173" s="206"/>
      <c r="N173" s="204"/>
      <c r="O173" s="205"/>
    </row>
    <row r="174" spans="1:15" ht="14.25" customHeight="1" x14ac:dyDescent="0.25">
      <c r="A174" s="211"/>
      <c r="B174" s="210"/>
      <c r="C174" s="209"/>
      <c r="D174" s="209"/>
      <c r="E174" s="209"/>
      <c r="F174" s="209"/>
      <c r="G174" s="209"/>
      <c r="H174" s="208"/>
      <c r="I174" s="212"/>
      <c r="J174" s="204"/>
      <c r="K174" s="204"/>
      <c r="L174" s="207"/>
      <c r="M174" s="206"/>
      <c r="N174" s="204"/>
      <c r="O174" s="205"/>
    </row>
    <row r="175" spans="1:15" ht="14.25" customHeight="1" x14ac:dyDescent="0.25">
      <c r="A175" s="211"/>
      <c r="B175" s="210"/>
      <c r="C175" s="209"/>
      <c r="D175" s="209"/>
      <c r="E175" s="209"/>
      <c r="F175" s="209"/>
      <c r="G175" s="209"/>
      <c r="H175" s="208"/>
      <c r="I175" s="212"/>
      <c r="J175" s="204"/>
      <c r="K175" s="204"/>
      <c r="L175" s="207"/>
      <c r="M175" s="206"/>
      <c r="N175" s="204"/>
      <c r="O175" s="205"/>
    </row>
    <row r="176" spans="1:15" ht="14.25" customHeight="1" x14ac:dyDescent="0.25">
      <c r="A176" s="211"/>
      <c r="B176" s="210"/>
      <c r="C176" s="209"/>
      <c r="D176" s="209"/>
      <c r="E176" s="209"/>
      <c r="F176" s="209"/>
      <c r="G176" s="209"/>
      <c r="H176" s="208"/>
      <c r="I176" s="212"/>
      <c r="J176" s="204"/>
      <c r="K176" s="204"/>
      <c r="L176" s="207"/>
      <c r="M176" s="206"/>
      <c r="N176" s="204"/>
      <c r="O176" s="205"/>
    </row>
    <row r="177" spans="1:15" ht="14.25" customHeight="1" x14ac:dyDescent="0.25">
      <c r="A177" s="211"/>
      <c r="B177" s="210"/>
      <c r="C177" s="209"/>
      <c r="D177" s="209"/>
      <c r="E177" s="209"/>
      <c r="F177" s="209"/>
      <c r="G177" s="209"/>
      <c r="H177" s="208"/>
      <c r="I177" s="212"/>
      <c r="J177" s="204"/>
      <c r="K177" s="204"/>
      <c r="L177" s="207"/>
      <c r="M177" s="206"/>
      <c r="N177" s="204"/>
      <c r="O177" s="205"/>
    </row>
    <row r="178" spans="1:15" ht="14.25" customHeight="1" x14ac:dyDescent="0.25">
      <c r="A178" s="211"/>
      <c r="B178" s="210"/>
      <c r="C178" s="209"/>
      <c r="D178" s="209"/>
      <c r="E178" s="209"/>
      <c r="F178" s="209"/>
      <c r="G178" s="209"/>
      <c r="H178" s="208"/>
      <c r="I178" s="212"/>
      <c r="J178" s="204"/>
      <c r="K178" s="204"/>
      <c r="L178" s="207"/>
      <c r="M178" s="206"/>
      <c r="N178" s="204"/>
      <c r="O178" s="205"/>
    </row>
    <row r="179" spans="1:15" ht="14.25" customHeight="1" x14ac:dyDescent="0.25">
      <c r="A179" s="211"/>
      <c r="B179" s="210"/>
      <c r="C179" s="209"/>
      <c r="D179" s="209"/>
      <c r="E179" s="209"/>
      <c r="F179" s="209"/>
      <c r="G179" s="209"/>
      <c r="H179" s="208"/>
      <c r="I179" s="212"/>
      <c r="J179" s="204"/>
      <c r="K179" s="204"/>
      <c r="L179" s="207"/>
      <c r="M179" s="206"/>
      <c r="N179" s="204"/>
      <c r="O179" s="205"/>
    </row>
    <row r="180" spans="1:15" ht="14.25" customHeight="1" x14ac:dyDescent="0.25">
      <c r="A180" s="211"/>
      <c r="B180" s="210"/>
      <c r="C180" s="209"/>
      <c r="D180" s="209"/>
      <c r="E180" s="209"/>
      <c r="F180" s="209"/>
      <c r="G180" s="209"/>
      <c r="H180" s="208"/>
      <c r="I180" s="212"/>
      <c r="J180" s="204"/>
      <c r="K180" s="204"/>
      <c r="L180" s="207"/>
      <c r="M180" s="206"/>
      <c r="N180" s="204"/>
      <c r="O180" s="205"/>
    </row>
    <row r="181" spans="1:15" ht="14.25" customHeight="1" x14ac:dyDescent="0.25">
      <c r="A181" s="211"/>
      <c r="B181" s="210"/>
      <c r="C181" s="209"/>
      <c r="D181" s="209"/>
      <c r="E181" s="209"/>
      <c r="F181" s="209"/>
      <c r="G181" s="209"/>
      <c r="H181" s="208"/>
      <c r="I181" s="212"/>
      <c r="J181" s="204"/>
      <c r="K181" s="204"/>
      <c r="L181" s="207"/>
      <c r="M181" s="206"/>
      <c r="N181" s="204"/>
      <c r="O181" s="205"/>
    </row>
    <row r="182" spans="1:15" ht="14.25" customHeight="1" x14ac:dyDescent="0.25">
      <c r="A182" s="211"/>
      <c r="B182" s="210"/>
      <c r="C182" s="209"/>
      <c r="D182" s="209"/>
      <c r="E182" s="209"/>
      <c r="F182" s="209"/>
      <c r="G182" s="209"/>
      <c r="H182" s="208"/>
      <c r="I182" s="212"/>
      <c r="J182" s="204"/>
      <c r="K182" s="204"/>
      <c r="L182" s="207"/>
      <c r="M182" s="206"/>
      <c r="N182" s="204"/>
      <c r="O182" s="205"/>
    </row>
    <row r="183" spans="1:15" ht="14.25" customHeight="1" x14ac:dyDescent="0.25">
      <c r="A183" s="211"/>
      <c r="B183" s="210"/>
      <c r="C183" s="209"/>
      <c r="D183" s="209"/>
      <c r="E183" s="209"/>
      <c r="F183" s="209"/>
      <c r="G183" s="209"/>
      <c r="H183" s="208"/>
      <c r="I183" s="212"/>
      <c r="J183" s="204"/>
      <c r="K183" s="204"/>
      <c r="L183" s="207"/>
      <c r="M183" s="206"/>
      <c r="N183" s="204"/>
      <c r="O183" s="205"/>
    </row>
    <row r="184" spans="1:15" ht="14.25" customHeight="1" x14ac:dyDescent="0.25">
      <c r="A184" s="211"/>
      <c r="B184" s="210"/>
      <c r="C184" s="209"/>
      <c r="D184" s="209"/>
      <c r="E184" s="209"/>
      <c r="F184" s="209"/>
      <c r="G184" s="209"/>
      <c r="H184" s="208"/>
      <c r="I184" s="212"/>
      <c r="J184" s="204"/>
      <c r="K184" s="204"/>
      <c r="L184" s="207"/>
      <c r="M184" s="206"/>
      <c r="N184" s="204"/>
      <c r="O184" s="205"/>
    </row>
    <row r="185" spans="1:15" ht="14.25" customHeight="1" x14ac:dyDescent="0.25">
      <c r="A185" s="211"/>
      <c r="B185" s="210"/>
      <c r="C185" s="209"/>
      <c r="D185" s="209"/>
      <c r="E185" s="209"/>
      <c r="F185" s="209"/>
      <c r="G185" s="209"/>
      <c r="H185" s="208"/>
      <c r="I185" s="212"/>
      <c r="J185" s="204"/>
      <c r="K185" s="204"/>
      <c r="L185" s="207"/>
      <c r="M185" s="206"/>
      <c r="N185" s="204"/>
      <c r="O185" s="205"/>
    </row>
    <row r="186" spans="1:15" ht="14.25" customHeight="1" x14ac:dyDescent="0.25">
      <c r="A186" s="211"/>
      <c r="B186" s="210"/>
      <c r="C186" s="209"/>
      <c r="D186" s="209"/>
      <c r="E186" s="209"/>
      <c r="F186" s="209"/>
      <c r="G186" s="209"/>
      <c r="H186" s="208"/>
      <c r="I186" s="212"/>
      <c r="J186" s="204"/>
      <c r="K186" s="204"/>
      <c r="L186" s="207"/>
      <c r="M186" s="206"/>
      <c r="N186" s="204"/>
      <c r="O186" s="205"/>
    </row>
    <row r="187" spans="1:15" ht="14.25" customHeight="1" x14ac:dyDescent="0.25">
      <c r="A187" s="211"/>
      <c r="B187" s="210"/>
      <c r="C187" s="209"/>
      <c r="D187" s="209"/>
      <c r="E187" s="209"/>
      <c r="F187" s="209"/>
      <c r="G187" s="209"/>
      <c r="H187" s="208"/>
      <c r="I187" s="212"/>
      <c r="J187" s="204"/>
      <c r="K187" s="204"/>
      <c r="L187" s="207"/>
      <c r="M187" s="206"/>
      <c r="N187" s="204"/>
      <c r="O187" s="205"/>
    </row>
    <row r="188" spans="1:15" ht="14.25" customHeight="1" x14ac:dyDescent="0.25">
      <c r="A188" s="211"/>
      <c r="B188" s="210"/>
      <c r="C188" s="209"/>
      <c r="D188" s="209"/>
      <c r="E188" s="209"/>
      <c r="F188" s="209"/>
      <c r="G188" s="209"/>
      <c r="H188" s="208"/>
      <c r="I188" s="212"/>
      <c r="J188" s="204"/>
      <c r="K188" s="204"/>
      <c r="L188" s="207"/>
      <c r="M188" s="206"/>
      <c r="N188" s="204"/>
      <c r="O188" s="205"/>
    </row>
    <row r="189" spans="1:15" ht="14.25" customHeight="1" x14ac:dyDescent="0.25">
      <c r="A189" s="211"/>
      <c r="B189" s="210"/>
      <c r="C189" s="209"/>
      <c r="D189" s="209"/>
      <c r="E189" s="209"/>
      <c r="F189" s="209"/>
      <c r="G189" s="209"/>
      <c r="H189" s="208"/>
      <c r="I189" s="212"/>
      <c r="J189" s="204"/>
      <c r="K189" s="204"/>
      <c r="L189" s="207"/>
      <c r="M189" s="206"/>
      <c r="N189" s="204"/>
      <c r="O189" s="205"/>
    </row>
    <row r="190" spans="1:15" ht="14.25" customHeight="1" x14ac:dyDescent="0.25">
      <c r="A190" s="211"/>
      <c r="B190" s="210"/>
      <c r="C190" s="209"/>
      <c r="D190" s="209"/>
      <c r="E190" s="209"/>
      <c r="F190" s="209"/>
      <c r="G190" s="209"/>
      <c r="H190" s="208"/>
      <c r="I190" s="212"/>
      <c r="J190" s="204"/>
      <c r="K190" s="204"/>
      <c r="L190" s="207"/>
      <c r="M190" s="206"/>
      <c r="N190" s="204"/>
      <c r="O190" s="205"/>
    </row>
    <row r="191" spans="1:15" ht="14.25" customHeight="1" x14ac:dyDescent="0.25">
      <c r="A191" s="211"/>
      <c r="B191" s="210"/>
      <c r="C191" s="209"/>
      <c r="D191" s="209"/>
      <c r="E191" s="209"/>
      <c r="F191" s="209"/>
      <c r="G191" s="209"/>
      <c r="H191" s="208"/>
      <c r="I191" s="212"/>
      <c r="J191" s="204"/>
      <c r="K191" s="204"/>
      <c r="L191" s="207"/>
      <c r="M191" s="206"/>
      <c r="N191" s="204"/>
      <c r="O191" s="205"/>
    </row>
    <row r="192" spans="1:15" ht="14.25" customHeight="1" x14ac:dyDescent="0.25">
      <c r="A192" s="211"/>
      <c r="B192" s="210"/>
      <c r="C192" s="209"/>
      <c r="D192" s="209"/>
      <c r="E192" s="209"/>
      <c r="F192" s="209"/>
      <c r="G192" s="209"/>
      <c r="H192" s="208"/>
      <c r="I192" s="212"/>
      <c r="J192" s="204"/>
      <c r="K192" s="204"/>
      <c r="L192" s="207"/>
      <c r="M192" s="206"/>
      <c r="N192" s="204"/>
      <c r="O192" s="205"/>
    </row>
    <row r="193" spans="1:15" ht="14.25" customHeight="1" x14ac:dyDescent="0.25">
      <c r="A193" s="211"/>
      <c r="B193" s="210"/>
      <c r="C193" s="209"/>
      <c r="D193" s="209"/>
      <c r="E193" s="209"/>
      <c r="F193" s="209"/>
      <c r="G193" s="209"/>
      <c r="H193" s="208"/>
      <c r="I193" s="212"/>
      <c r="J193" s="204"/>
      <c r="K193" s="204"/>
      <c r="L193" s="207"/>
      <c r="M193" s="206"/>
      <c r="N193" s="204"/>
      <c r="O193" s="205"/>
    </row>
    <row r="194" spans="1:15" ht="14.25" customHeight="1" x14ac:dyDescent="0.25">
      <c r="A194" s="211"/>
      <c r="B194" s="210"/>
      <c r="C194" s="209"/>
      <c r="D194" s="209"/>
      <c r="E194" s="209"/>
      <c r="F194" s="209"/>
      <c r="G194" s="209"/>
      <c r="H194" s="208"/>
      <c r="I194" s="212"/>
      <c r="J194" s="204"/>
      <c r="K194" s="204"/>
      <c r="L194" s="207"/>
      <c r="M194" s="206"/>
      <c r="N194" s="204"/>
      <c r="O194" s="205"/>
    </row>
    <row r="195" spans="1:15" ht="14.25" customHeight="1" x14ac:dyDescent="0.25">
      <c r="A195" s="211"/>
      <c r="B195" s="210"/>
      <c r="C195" s="209"/>
      <c r="D195" s="209"/>
      <c r="E195" s="209"/>
      <c r="F195" s="209"/>
      <c r="G195" s="209"/>
      <c r="H195" s="208"/>
      <c r="I195" s="212"/>
      <c r="J195" s="204"/>
      <c r="K195" s="204"/>
      <c r="L195" s="207"/>
      <c r="M195" s="206"/>
      <c r="N195" s="204"/>
      <c r="O195" s="205"/>
    </row>
    <row r="196" spans="1:15" ht="14.25" customHeight="1" x14ac:dyDescent="0.25">
      <c r="A196" s="211"/>
      <c r="B196" s="210"/>
      <c r="C196" s="209"/>
      <c r="D196" s="209"/>
      <c r="E196" s="209"/>
      <c r="F196" s="209"/>
      <c r="G196" s="209"/>
      <c r="H196" s="208"/>
      <c r="I196" s="212"/>
      <c r="J196" s="204"/>
      <c r="K196" s="204"/>
      <c r="L196" s="207"/>
      <c r="M196" s="206"/>
      <c r="N196" s="204"/>
      <c r="O196" s="205"/>
    </row>
    <row r="197" spans="1:15" ht="14.25" customHeight="1" x14ac:dyDescent="0.25">
      <c r="A197" s="211"/>
      <c r="B197" s="210"/>
      <c r="C197" s="209"/>
      <c r="D197" s="209"/>
      <c r="E197" s="209"/>
      <c r="F197" s="209"/>
      <c r="G197" s="209"/>
      <c r="H197" s="208"/>
      <c r="I197" s="212"/>
      <c r="J197" s="204"/>
      <c r="K197" s="204"/>
      <c r="L197" s="207"/>
      <c r="M197" s="206"/>
      <c r="N197" s="204"/>
      <c r="O197" s="205"/>
    </row>
    <row r="198" spans="1:15" ht="14.25" customHeight="1" x14ac:dyDescent="0.25">
      <c r="A198" s="211"/>
      <c r="B198" s="210"/>
      <c r="C198" s="209"/>
      <c r="D198" s="209"/>
      <c r="E198" s="209"/>
      <c r="F198" s="209"/>
      <c r="G198" s="209"/>
      <c r="H198" s="208"/>
      <c r="I198" s="212"/>
      <c r="J198" s="204"/>
      <c r="K198" s="204"/>
      <c r="L198" s="207"/>
      <c r="M198" s="206"/>
      <c r="N198" s="204"/>
      <c r="O198" s="205"/>
    </row>
    <row r="199" spans="1:15" ht="14.25" customHeight="1" x14ac:dyDescent="0.25">
      <c r="A199" s="211"/>
      <c r="B199" s="210"/>
      <c r="C199" s="209"/>
      <c r="D199" s="209"/>
      <c r="E199" s="209"/>
      <c r="F199" s="209"/>
      <c r="G199" s="209"/>
      <c r="H199" s="208"/>
      <c r="I199" s="212"/>
      <c r="J199" s="204"/>
      <c r="K199" s="204"/>
      <c r="L199" s="207"/>
      <c r="M199" s="206"/>
      <c r="N199" s="204"/>
      <c r="O199" s="205"/>
    </row>
    <row r="200" spans="1:15" ht="14.25" customHeight="1" x14ac:dyDescent="0.25">
      <c r="A200" s="211"/>
      <c r="B200" s="210"/>
      <c r="C200" s="209"/>
      <c r="D200" s="209"/>
      <c r="E200" s="209"/>
      <c r="F200" s="209"/>
      <c r="G200" s="209"/>
      <c r="H200" s="208"/>
      <c r="I200" s="212"/>
      <c r="J200" s="204"/>
      <c r="K200" s="204"/>
      <c r="L200" s="207"/>
      <c r="M200" s="206"/>
      <c r="N200" s="204"/>
      <c r="O200" s="205"/>
    </row>
    <row r="201" spans="1:15" ht="14.25" customHeight="1" x14ac:dyDescent="0.25">
      <c r="A201" s="211"/>
      <c r="B201" s="210"/>
      <c r="C201" s="209"/>
      <c r="D201" s="209"/>
      <c r="E201" s="209"/>
      <c r="F201" s="209"/>
      <c r="G201" s="209"/>
      <c r="H201" s="208"/>
      <c r="I201" s="212"/>
      <c r="J201" s="204"/>
      <c r="K201" s="204"/>
      <c r="L201" s="207"/>
      <c r="M201" s="206"/>
      <c r="N201" s="204"/>
      <c r="O201" s="205"/>
    </row>
    <row r="202" spans="1:15" ht="14.25" customHeight="1" x14ac:dyDescent="0.25">
      <c r="A202" s="211"/>
      <c r="B202" s="210"/>
      <c r="C202" s="209"/>
      <c r="D202" s="209"/>
      <c r="E202" s="209"/>
      <c r="F202" s="209"/>
      <c r="G202" s="209"/>
      <c r="H202" s="208"/>
      <c r="I202" s="212"/>
      <c r="J202" s="204"/>
      <c r="K202" s="204"/>
      <c r="L202" s="207"/>
      <c r="M202" s="206"/>
      <c r="N202" s="204"/>
      <c r="O202" s="205"/>
    </row>
    <row r="203" spans="1:15" ht="14.25" customHeight="1" x14ac:dyDescent="0.25">
      <c r="A203" s="211"/>
      <c r="B203" s="210"/>
      <c r="C203" s="209"/>
      <c r="D203" s="209"/>
      <c r="E203" s="209"/>
      <c r="F203" s="209"/>
      <c r="G203" s="209"/>
      <c r="H203" s="208"/>
      <c r="I203" s="206"/>
      <c r="J203" s="204"/>
      <c r="K203" s="204"/>
      <c r="L203" s="207"/>
      <c r="M203" s="206"/>
      <c r="N203" s="204"/>
      <c r="O203" s="205"/>
    </row>
    <row r="204" spans="1:15" ht="14.25" customHeight="1" x14ac:dyDescent="0.25">
      <c r="A204" s="211"/>
      <c r="B204" s="210"/>
      <c r="C204" s="209"/>
      <c r="D204" s="209"/>
      <c r="E204" s="209"/>
      <c r="F204" s="209"/>
      <c r="G204" s="209"/>
      <c r="H204" s="208"/>
      <c r="I204" s="206"/>
      <c r="J204" s="204"/>
      <c r="K204" s="204"/>
      <c r="L204" s="207"/>
      <c r="M204" s="206"/>
      <c r="N204" s="204"/>
      <c r="O204" s="205"/>
    </row>
    <row r="205" spans="1:15" ht="14.25" customHeight="1" x14ac:dyDescent="0.25">
      <c r="A205" s="211"/>
      <c r="B205" s="210"/>
      <c r="C205" s="209"/>
      <c r="D205" s="209"/>
      <c r="E205" s="209"/>
      <c r="F205" s="209"/>
      <c r="G205" s="209"/>
      <c r="H205" s="208"/>
      <c r="I205" s="206"/>
      <c r="J205" s="204"/>
      <c r="K205" s="204"/>
      <c r="L205" s="207"/>
      <c r="M205" s="206"/>
      <c r="N205" s="204"/>
      <c r="O205" s="205"/>
    </row>
    <row r="206" spans="1:15" ht="14.25" customHeight="1" x14ac:dyDescent="0.25">
      <c r="A206" s="211"/>
      <c r="B206" s="210"/>
      <c r="C206" s="209"/>
      <c r="D206" s="209"/>
      <c r="E206" s="209"/>
      <c r="F206" s="209"/>
      <c r="G206" s="209"/>
      <c r="H206" s="208"/>
      <c r="I206" s="206"/>
      <c r="J206" s="204"/>
      <c r="K206" s="204"/>
      <c r="L206" s="207"/>
      <c r="M206" s="206"/>
      <c r="N206" s="204"/>
      <c r="O206" s="205"/>
    </row>
    <row r="207" spans="1:15" ht="14.25" customHeight="1" x14ac:dyDescent="0.25">
      <c r="A207" s="211"/>
      <c r="B207" s="210"/>
      <c r="C207" s="209"/>
      <c r="D207" s="209"/>
      <c r="E207" s="209"/>
      <c r="F207" s="209"/>
      <c r="G207" s="209"/>
      <c r="H207" s="208"/>
      <c r="I207" s="206"/>
      <c r="J207" s="204"/>
      <c r="K207" s="204"/>
      <c r="L207" s="207"/>
      <c r="M207" s="206"/>
      <c r="N207" s="204"/>
      <c r="O207" s="205"/>
    </row>
    <row r="208" spans="1:15" ht="14.25" customHeight="1" x14ac:dyDescent="0.25">
      <c r="A208" s="204"/>
      <c r="J208" s="204"/>
      <c r="K208" s="204"/>
      <c r="N208" s="204"/>
      <c r="O208" s="204"/>
    </row>
    <row r="209" spans="1:15" ht="14.25" customHeight="1" x14ac:dyDescent="0.25">
      <c r="A209" s="204"/>
      <c r="J209" s="204"/>
      <c r="K209" s="204"/>
      <c r="N209" s="204"/>
      <c r="O209" s="204"/>
    </row>
    <row r="210" spans="1:15" ht="14.25" customHeight="1" x14ac:dyDescent="0.25">
      <c r="A210" s="204"/>
      <c r="J210" s="204"/>
      <c r="K210" s="204"/>
      <c r="N210" s="204"/>
      <c r="O210" s="204"/>
    </row>
    <row r="211" spans="1:15" ht="14.25" customHeight="1" x14ac:dyDescent="0.25">
      <c r="A211" s="204"/>
      <c r="J211" s="204"/>
      <c r="K211" s="204"/>
      <c r="N211" s="204"/>
      <c r="O211" s="204"/>
    </row>
    <row r="212" spans="1:15" ht="14.25" customHeight="1" x14ac:dyDescent="0.25">
      <c r="A212" s="204"/>
      <c r="J212" s="204"/>
      <c r="K212" s="204"/>
      <c r="N212" s="204"/>
      <c r="O212" s="204"/>
    </row>
    <row r="213" spans="1:15" ht="14.25" customHeight="1" x14ac:dyDescent="0.25">
      <c r="A213" s="204"/>
      <c r="J213" s="204"/>
      <c r="K213" s="204"/>
      <c r="N213" s="204"/>
      <c r="O213" s="204"/>
    </row>
    <row r="214" spans="1:15" ht="14.25" customHeight="1" x14ac:dyDescent="0.25">
      <c r="A214" s="204"/>
      <c r="J214" s="204"/>
      <c r="K214" s="204"/>
      <c r="N214" s="204"/>
      <c r="O214" s="204"/>
    </row>
    <row r="215" spans="1:15" ht="14.25" customHeight="1" x14ac:dyDescent="0.25">
      <c r="A215" s="204"/>
      <c r="J215" s="204"/>
      <c r="K215" s="204"/>
      <c r="N215" s="204"/>
      <c r="O215" s="204"/>
    </row>
    <row r="216" spans="1:15" ht="14.25" customHeight="1" x14ac:dyDescent="0.25">
      <c r="A216" s="204"/>
      <c r="J216" s="204"/>
      <c r="K216" s="204"/>
      <c r="N216" s="204"/>
      <c r="O216" s="204"/>
    </row>
    <row r="217" spans="1:15" ht="14.25" customHeight="1" x14ac:dyDescent="0.25">
      <c r="A217" s="204"/>
      <c r="J217" s="204"/>
      <c r="K217" s="204"/>
      <c r="N217" s="204"/>
      <c r="O217" s="204"/>
    </row>
    <row r="218" spans="1:15" ht="14.25" customHeight="1" x14ac:dyDescent="0.25">
      <c r="A218" s="204"/>
      <c r="J218" s="204"/>
      <c r="K218" s="204"/>
      <c r="N218" s="204"/>
      <c r="O218" s="204"/>
    </row>
    <row r="219" spans="1:15" ht="14.25" customHeight="1" x14ac:dyDescent="0.25">
      <c r="A219" s="204"/>
      <c r="J219" s="204"/>
      <c r="K219" s="204"/>
      <c r="N219" s="204"/>
      <c r="O219" s="204"/>
    </row>
    <row r="220" spans="1:15" ht="14.25" customHeight="1" x14ac:dyDescent="0.25">
      <c r="A220" s="204"/>
      <c r="J220" s="204"/>
      <c r="K220" s="204"/>
      <c r="N220" s="204"/>
      <c r="O220" s="204"/>
    </row>
    <row r="221" spans="1:15" ht="14.25" customHeight="1" x14ac:dyDescent="0.25">
      <c r="A221" s="204"/>
      <c r="J221" s="204"/>
      <c r="K221" s="204"/>
      <c r="N221" s="204"/>
      <c r="O221" s="204"/>
    </row>
    <row r="222" spans="1:15" ht="14.25" customHeight="1" x14ac:dyDescent="0.25">
      <c r="A222" s="204"/>
      <c r="J222" s="204"/>
      <c r="K222" s="204"/>
      <c r="N222" s="204"/>
      <c r="O222" s="204"/>
    </row>
    <row r="223" spans="1:15" ht="14.25" customHeight="1" x14ac:dyDescent="0.25">
      <c r="A223" s="204"/>
      <c r="J223" s="204"/>
      <c r="K223" s="204"/>
      <c r="N223" s="204"/>
      <c r="O223" s="204"/>
    </row>
    <row r="224" spans="1:15" ht="14.25" customHeight="1" x14ac:dyDescent="0.25">
      <c r="A224" s="204"/>
      <c r="J224" s="204"/>
      <c r="K224" s="204"/>
      <c r="N224" s="204"/>
      <c r="O224" s="204"/>
    </row>
    <row r="225" spans="1:15" ht="14.25" customHeight="1" x14ac:dyDescent="0.25">
      <c r="A225" s="204"/>
      <c r="J225" s="204"/>
      <c r="K225" s="204"/>
      <c r="N225" s="204"/>
      <c r="O225" s="204"/>
    </row>
    <row r="226" spans="1:15" ht="14.25" customHeight="1" x14ac:dyDescent="0.25">
      <c r="A226" s="204"/>
      <c r="J226" s="204"/>
      <c r="K226" s="204"/>
      <c r="N226" s="204"/>
      <c r="O226" s="204"/>
    </row>
    <row r="227" spans="1:15" ht="14.25" customHeight="1" x14ac:dyDescent="0.25">
      <c r="A227" s="204"/>
      <c r="J227" s="204"/>
      <c r="K227" s="204"/>
      <c r="N227" s="204"/>
      <c r="O227" s="204"/>
    </row>
    <row r="228" spans="1:15" ht="14.25" customHeight="1" x14ac:dyDescent="0.25">
      <c r="A228" s="204"/>
      <c r="J228" s="204"/>
      <c r="K228" s="204"/>
      <c r="N228" s="204"/>
      <c r="O228" s="204"/>
    </row>
    <row r="229" spans="1:15" ht="14.25" customHeight="1" x14ac:dyDescent="0.25">
      <c r="A229" s="204"/>
      <c r="J229" s="204"/>
      <c r="K229" s="204"/>
      <c r="N229" s="204"/>
      <c r="O229" s="204"/>
    </row>
    <row r="230" spans="1:15" ht="14.25" customHeight="1" x14ac:dyDescent="0.25">
      <c r="A230" s="204"/>
      <c r="J230" s="204"/>
      <c r="K230" s="204"/>
      <c r="N230" s="204"/>
      <c r="O230" s="204"/>
    </row>
    <row r="231" spans="1:15" ht="14.25" customHeight="1" x14ac:dyDescent="0.25">
      <c r="A231" s="204"/>
      <c r="J231" s="204"/>
      <c r="K231" s="204"/>
      <c r="N231" s="204"/>
      <c r="O231" s="204"/>
    </row>
    <row r="232" spans="1:15" ht="14.25" customHeight="1" x14ac:dyDescent="0.25">
      <c r="A232" s="204"/>
      <c r="J232" s="204"/>
      <c r="K232" s="204"/>
      <c r="N232" s="204"/>
      <c r="O232" s="204"/>
    </row>
    <row r="233" spans="1:15" ht="14.25" customHeight="1" x14ac:dyDescent="0.25">
      <c r="A233" s="204"/>
      <c r="J233" s="204"/>
      <c r="K233" s="204"/>
      <c r="N233" s="204"/>
      <c r="O233" s="204"/>
    </row>
    <row r="234" spans="1:15" ht="14.25" customHeight="1" x14ac:dyDescent="0.25">
      <c r="A234" s="204"/>
      <c r="J234" s="204"/>
      <c r="K234" s="204"/>
      <c r="N234" s="204"/>
      <c r="O234" s="204"/>
    </row>
    <row r="235" spans="1:15" ht="14.25" customHeight="1" x14ac:dyDescent="0.25">
      <c r="A235" s="204"/>
      <c r="J235" s="204"/>
      <c r="K235" s="204"/>
      <c r="N235" s="204"/>
      <c r="O235" s="204"/>
    </row>
    <row r="236" spans="1:15" ht="14.25" customHeight="1" x14ac:dyDescent="0.25">
      <c r="A236" s="204"/>
      <c r="J236" s="204"/>
      <c r="K236" s="204"/>
      <c r="N236" s="204"/>
      <c r="O236" s="204"/>
    </row>
    <row r="237" spans="1:15" ht="14.25" customHeight="1" x14ac:dyDescent="0.25">
      <c r="A237" s="204"/>
      <c r="J237" s="204"/>
      <c r="K237" s="204"/>
      <c r="N237" s="204"/>
      <c r="O237" s="204"/>
    </row>
    <row r="238" spans="1:15" ht="14.25" customHeight="1" x14ac:dyDescent="0.25">
      <c r="A238" s="204"/>
      <c r="J238" s="204"/>
      <c r="K238" s="204"/>
      <c r="N238" s="204"/>
      <c r="O238" s="204"/>
    </row>
    <row r="239" spans="1:15" ht="14.25" customHeight="1" x14ac:dyDescent="0.25">
      <c r="A239" s="204"/>
      <c r="J239" s="204"/>
      <c r="K239" s="204"/>
      <c r="N239" s="204"/>
      <c r="O239" s="204"/>
    </row>
    <row r="240" spans="1:15" ht="14.25" customHeight="1" x14ac:dyDescent="0.25">
      <c r="A240" s="204"/>
      <c r="J240" s="204"/>
      <c r="K240" s="204"/>
      <c r="N240" s="204"/>
      <c r="O240" s="204"/>
    </row>
    <row r="241" spans="1:15" ht="14.25" customHeight="1" x14ac:dyDescent="0.25">
      <c r="A241" s="204"/>
      <c r="J241" s="204"/>
      <c r="K241" s="204"/>
      <c r="N241" s="204"/>
      <c r="O241" s="204"/>
    </row>
    <row r="242" spans="1:15" ht="14.25" customHeight="1" x14ac:dyDescent="0.25">
      <c r="A242" s="204"/>
      <c r="J242" s="204"/>
      <c r="K242" s="204"/>
      <c r="N242" s="204"/>
      <c r="O242" s="204"/>
    </row>
    <row r="243" spans="1:15" ht="14.25" customHeight="1" x14ac:dyDescent="0.25">
      <c r="A243" s="204"/>
      <c r="J243" s="204"/>
      <c r="K243" s="204"/>
      <c r="N243" s="204"/>
      <c r="O243" s="204"/>
    </row>
    <row r="244" spans="1:15" ht="14.25" customHeight="1" x14ac:dyDescent="0.25">
      <c r="A244" s="204"/>
      <c r="J244" s="204"/>
      <c r="K244" s="204"/>
      <c r="N244" s="204"/>
      <c r="O244" s="204"/>
    </row>
    <row r="245" spans="1:15" ht="14.25" customHeight="1" x14ac:dyDescent="0.25">
      <c r="A245" s="204"/>
      <c r="J245" s="204"/>
      <c r="K245" s="204"/>
      <c r="N245" s="204"/>
      <c r="O245" s="204"/>
    </row>
    <row r="246" spans="1:15" ht="14.25" customHeight="1" x14ac:dyDescent="0.25">
      <c r="A246" s="204"/>
      <c r="J246" s="204"/>
      <c r="K246" s="204"/>
      <c r="N246" s="204"/>
      <c r="O246" s="204"/>
    </row>
    <row r="247" spans="1:15" ht="14.25" customHeight="1" x14ac:dyDescent="0.25">
      <c r="A247" s="204"/>
      <c r="J247" s="204"/>
      <c r="K247" s="204"/>
      <c r="N247" s="204"/>
      <c r="O247" s="204"/>
    </row>
    <row r="248" spans="1:15" ht="14.25" customHeight="1" x14ac:dyDescent="0.25">
      <c r="A248" s="204"/>
      <c r="J248" s="204"/>
      <c r="K248" s="204"/>
      <c r="N248" s="204"/>
      <c r="O248" s="204"/>
    </row>
    <row r="249" spans="1:15" ht="14.25" customHeight="1" x14ac:dyDescent="0.25">
      <c r="A249" s="204"/>
      <c r="J249" s="204"/>
      <c r="K249" s="204"/>
      <c r="N249" s="204"/>
      <c r="O249" s="204"/>
    </row>
    <row r="250" spans="1:15" ht="14.25" customHeight="1" x14ac:dyDescent="0.25">
      <c r="A250" s="204"/>
      <c r="J250" s="204"/>
      <c r="K250" s="204"/>
      <c r="N250" s="204"/>
      <c r="O250" s="204"/>
    </row>
    <row r="251" spans="1:15" ht="14.25" customHeight="1" x14ac:dyDescent="0.25">
      <c r="A251" s="204"/>
      <c r="J251" s="204"/>
      <c r="K251" s="204"/>
      <c r="N251" s="204"/>
      <c r="O251" s="204"/>
    </row>
    <row r="252" spans="1:15" ht="14.25" customHeight="1" x14ac:dyDescent="0.25">
      <c r="A252" s="204"/>
      <c r="J252" s="204"/>
      <c r="K252" s="204"/>
      <c r="N252" s="204"/>
      <c r="O252" s="204"/>
    </row>
    <row r="253" spans="1:15" ht="14.25" customHeight="1" x14ac:dyDescent="0.25">
      <c r="A253" s="204"/>
      <c r="J253" s="204"/>
      <c r="K253" s="204"/>
      <c r="N253" s="204"/>
      <c r="O253" s="204"/>
    </row>
    <row r="254" spans="1:15" ht="14.25" customHeight="1" x14ac:dyDescent="0.25">
      <c r="A254" s="204"/>
      <c r="J254" s="204"/>
      <c r="K254" s="204"/>
      <c r="N254" s="204"/>
      <c r="O254" s="204"/>
    </row>
    <row r="255" spans="1:15" ht="14.25" customHeight="1" x14ac:dyDescent="0.25">
      <c r="A255" s="204"/>
      <c r="J255" s="204"/>
      <c r="K255" s="204"/>
      <c r="N255" s="204"/>
      <c r="O255" s="204"/>
    </row>
    <row r="256" spans="1:15" ht="14.25" customHeight="1" x14ac:dyDescent="0.25">
      <c r="A256" s="204"/>
      <c r="J256" s="204"/>
      <c r="K256" s="204"/>
      <c r="N256" s="204"/>
      <c r="O256" s="204"/>
    </row>
    <row r="257" spans="1:15" ht="14.25" customHeight="1" x14ac:dyDescent="0.25">
      <c r="A257" s="204"/>
      <c r="J257" s="204"/>
      <c r="K257" s="204"/>
      <c r="N257" s="204"/>
      <c r="O257" s="204"/>
    </row>
    <row r="258" spans="1:15" ht="14.25" customHeight="1" x14ac:dyDescent="0.25">
      <c r="A258" s="204"/>
      <c r="J258" s="204"/>
      <c r="K258" s="204"/>
      <c r="N258" s="204"/>
      <c r="O258" s="204"/>
    </row>
    <row r="259" spans="1:15" ht="14.25" customHeight="1" x14ac:dyDescent="0.25">
      <c r="A259" s="204"/>
      <c r="J259" s="204"/>
      <c r="K259" s="204"/>
      <c r="N259" s="204"/>
      <c r="O259" s="204"/>
    </row>
    <row r="260" spans="1:15" ht="14.25" customHeight="1" x14ac:dyDescent="0.25">
      <c r="A260" s="204"/>
      <c r="J260" s="204"/>
      <c r="K260" s="204"/>
      <c r="N260" s="204"/>
      <c r="O260" s="204"/>
    </row>
    <row r="261" spans="1:15" ht="14.25" customHeight="1" x14ac:dyDescent="0.25">
      <c r="A261" s="204"/>
      <c r="J261" s="204"/>
      <c r="K261" s="204"/>
      <c r="N261" s="204"/>
      <c r="O261" s="204"/>
    </row>
    <row r="262" spans="1:15" ht="14.25" customHeight="1" x14ac:dyDescent="0.25">
      <c r="A262" s="204"/>
      <c r="J262" s="204"/>
      <c r="K262" s="204"/>
      <c r="N262" s="204"/>
      <c r="O262" s="204"/>
    </row>
    <row r="263" spans="1:15" ht="14.25" customHeight="1" x14ac:dyDescent="0.25">
      <c r="A263" s="204"/>
      <c r="J263" s="204"/>
      <c r="K263" s="204"/>
      <c r="N263" s="204"/>
      <c r="O263" s="204"/>
    </row>
    <row r="264" spans="1:15" ht="14.25" customHeight="1" x14ac:dyDescent="0.25">
      <c r="A264" s="204"/>
      <c r="J264" s="204"/>
      <c r="K264" s="204"/>
      <c r="N264" s="204"/>
      <c r="O264" s="204"/>
    </row>
    <row r="265" spans="1:15" ht="14.25" customHeight="1" x14ac:dyDescent="0.25">
      <c r="A265" s="204"/>
      <c r="J265" s="204"/>
      <c r="K265" s="204"/>
      <c r="N265" s="204"/>
      <c r="O265" s="204"/>
    </row>
    <row r="266" spans="1:15" ht="14.25" customHeight="1" x14ac:dyDescent="0.25">
      <c r="A266" s="204"/>
      <c r="J266" s="204"/>
      <c r="K266" s="204"/>
      <c r="N266" s="204"/>
      <c r="O266" s="204"/>
    </row>
    <row r="267" spans="1:15" ht="14.25" customHeight="1" x14ac:dyDescent="0.25">
      <c r="A267" s="204"/>
      <c r="J267" s="204"/>
      <c r="K267" s="204"/>
      <c r="N267" s="204"/>
      <c r="O267" s="204"/>
    </row>
    <row r="268" spans="1:15" ht="14.25" customHeight="1" x14ac:dyDescent="0.25">
      <c r="A268" s="204"/>
      <c r="J268" s="204"/>
      <c r="K268" s="204"/>
      <c r="N268" s="204"/>
      <c r="O268" s="204"/>
    </row>
    <row r="269" spans="1:15" ht="14.25" customHeight="1" x14ac:dyDescent="0.25">
      <c r="A269" s="204"/>
      <c r="J269" s="204"/>
      <c r="K269" s="204"/>
      <c r="N269" s="204"/>
      <c r="O269" s="204"/>
    </row>
    <row r="270" spans="1:15" ht="14.25" customHeight="1" x14ac:dyDescent="0.25">
      <c r="A270" s="204"/>
      <c r="J270" s="204"/>
      <c r="K270" s="204"/>
      <c r="N270" s="204"/>
      <c r="O270" s="204"/>
    </row>
    <row r="271" spans="1:15" ht="14.25" customHeight="1" x14ac:dyDescent="0.25">
      <c r="A271" s="204"/>
      <c r="J271" s="204"/>
      <c r="K271" s="204"/>
      <c r="N271" s="204"/>
      <c r="O271" s="204"/>
    </row>
    <row r="272" spans="1:15" ht="14.25" customHeight="1" x14ac:dyDescent="0.25">
      <c r="A272" s="204"/>
      <c r="J272" s="204"/>
      <c r="K272" s="204"/>
      <c r="N272" s="204"/>
      <c r="O272" s="204"/>
    </row>
    <row r="273" spans="1:15" ht="14.25" customHeight="1" x14ac:dyDescent="0.25">
      <c r="A273" s="204"/>
      <c r="J273" s="204"/>
      <c r="K273" s="204"/>
      <c r="N273" s="204"/>
      <c r="O273" s="204"/>
    </row>
    <row r="274" spans="1:15" ht="14.25" customHeight="1" x14ac:dyDescent="0.25">
      <c r="A274" s="204"/>
      <c r="J274" s="204"/>
      <c r="K274" s="204"/>
      <c r="N274" s="204"/>
      <c r="O274" s="204"/>
    </row>
    <row r="275" spans="1:15" ht="14.25" customHeight="1" x14ac:dyDescent="0.25">
      <c r="A275" s="204"/>
      <c r="J275" s="204"/>
      <c r="K275" s="204"/>
      <c r="N275" s="204"/>
      <c r="O275" s="204"/>
    </row>
    <row r="276" spans="1:15" ht="14.25" customHeight="1" x14ac:dyDescent="0.25">
      <c r="A276" s="204"/>
      <c r="J276" s="204"/>
      <c r="K276" s="204"/>
      <c r="N276" s="204"/>
      <c r="O276" s="204"/>
    </row>
    <row r="277" spans="1:15" ht="14.25" customHeight="1" x14ac:dyDescent="0.25">
      <c r="A277" s="204"/>
      <c r="J277" s="204"/>
      <c r="K277" s="204"/>
      <c r="N277" s="204"/>
      <c r="O277" s="204"/>
    </row>
    <row r="278" spans="1:15" ht="14.25" customHeight="1" x14ac:dyDescent="0.25">
      <c r="A278" s="204"/>
      <c r="J278" s="204"/>
      <c r="K278" s="204"/>
      <c r="N278" s="204"/>
      <c r="O278" s="204"/>
    </row>
    <row r="279" spans="1:15" ht="14.25" customHeight="1" x14ac:dyDescent="0.25">
      <c r="A279" s="204"/>
      <c r="J279" s="204"/>
      <c r="K279" s="204"/>
      <c r="N279" s="204"/>
      <c r="O279" s="204"/>
    </row>
    <row r="280" spans="1:15" ht="14.25" customHeight="1" x14ac:dyDescent="0.25">
      <c r="A280" s="204"/>
      <c r="J280" s="204"/>
      <c r="K280" s="204"/>
      <c r="N280" s="204"/>
      <c r="O280" s="204"/>
    </row>
    <row r="281" spans="1:15" ht="14.25" customHeight="1" x14ac:dyDescent="0.25">
      <c r="A281" s="204"/>
      <c r="J281" s="204"/>
      <c r="K281" s="204"/>
      <c r="N281" s="204"/>
      <c r="O281" s="204"/>
    </row>
    <row r="282" spans="1:15" ht="14.25" customHeight="1" x14ac:dyDescent="0.25">
      <c r="A282" s="204"/>
      <c r="J282" s="204"/>
      <c r="K282" s="204"/>
      <c r="N282" s="204"/>
      <c r="O282" s="204"/>
    </row>
    <row r="283" spans="1:15" ht="14.25" customHeight="1" x14ac:dyDescent="0.25">
      <c r="A283" s="204"/>
      <c r="J283" s="204"/>
      <c r="K283" s="204"/>
      <c r="N283" s="204"/>
      <c r="O283" s="204"/>
    </row>
    <row r="284" spans="1:15" ht="14.25" customHeight="1" x14ac:dyDescent="0.25">
      <c r="A284" s="204"/>
      <c r="J284" s="204"/>
      <c r="K284" s="204"/>
      <c r="N284" s="204"/>
      <c r="O284" s="204"/>
    </row>
    <row r="285" spans="1:15" ht="14.25" customHeight="1" x14ac:dyDescent="0.25">
      <c r="A285" s="204"/>
      <c r="J285" s="204"/>
      <c r="K285" s="204"/>
      <c r="N285" s="204"/>
      <c r="O285" s="204"/>
    </row>
    <row r="286" spans="1:15" ht="14.25" customHeight="1" x14ac:dyDescent="0.25">
      <c r="A286" s="204"/>
      <c r="J286" s="204"/>
      <c r="K286" s="204"/>
      <c r="N286" s="204"/>
      <c r="O286" s="204"/>
    </row>
    <row r="287" spans="1:15" ht="14.25" customHeight="1" x14ac:dyDescent="0.25">
      <c r="A287" s="204"/>
      <c r="J287" s="204"/>
      <c r="K287" s="204"/>
      <c r="N287" s="204"/>
      <c r="O287" s="204"/>
    </row>
    <row r="288" spans="1:15" ht="14.25" customHeight="1" x14ac:dyDescent="0.25">
      <c r="A288" s="204"/>
      <c r="J288" s="204"/>
      <c r="K288" s="204"/>
      <c r="N288" s="204"/>
      <c r="O288" s="204"/>
    </row>
    <row r="289" spans="1:15" ht="14.25" customHeight="1" x14ac:dyDescent="0.25">
      <c r="A289" s="204"/>
      <c r="J289" s="204"/>
      <c r="K289" s="204"/>
      <c r="N289" s="204"/>
      <c r="O289" s="204"/>
    </row>
    <row r="290" spans="1:15" ht="14.25" customHeight="1" x14ac:dyDescent="0.25">
      <c r="A290" s="204"/>
      <c r="J290" s="204"/>
      <c r="K290" s="204"/>
      <c r="N290" s="204"/>
      <c r="O290" s="204"/>
    </row>
    <row r="291" spans="1:15" ht="14.25" customHeight="1" x14ac:dyDescent="0.25">
      <c r="A291" s="204"/>
      <c r="J291" s="204"/>
      <c r="K291" s="204"/>
      <c r="N291" s="204"/>
      <c r="O291" s="204"/>
    </row>
    <row r="292" spans="1:15" ht="14.25" customHeight="1" x14ac:dyDescent="0.25">
      <c r="A292" s="204"/>
      <c r="J292" s="204"/>
      <c r="K292" s="204"/>
      <c r="N292" s="204"/>
      <c r="O292" s="204"/>
    </row>
    <row r="293" spans="1:15" ht="14.25" customHeight="1" x14ac:dyDescent="0.25">
      <c r="A293" s="204"/>
      <c r="J293" s="204"/>
      <c r="K293" s="204"/>
      <c r="N293" s="204"/>
      <c r="O293" s="204"/>
    </row>
    <row r="294" spans="1:15" ht="14.25" customHeight="1" x14ac:dyDescent="0.25">
      <c r="A294" s="204"/>
      <c r="J294" s="204"/>
      <c r="K294" s="204"/>
      <c r="N294" s="204"/>
      <c r="O294" s="204"/>
    </row>
    <row r="295" spans="1:15" ht="14.25" customHeight="1" x14ac:dyDescent="0.25">
      <c r="A295" s="204"/>
      <c r="J295" s="204"/>
      <c r="K295" s="204"/>
      <c r="N295" s="204"/>
      <c r="O295" s="204"/>
    </row>
    <row r="296" spans="1:15" ht="14.25" customHeight="1" x14ac:dyDescent="0.25">
      <c r="A296" s="204"/>
      <c r="J296" s="204"/>
      <c r="K296" s="204"/>
      <c r="N296" s="204"/>
      <c r="O296" s="204"/>
    </row>
    <row r="297" spans="1:15" ht="14.25" customHeight="1" x14ac:dyDescent="0.25">
      <c r="A297" s="204"/>
      <c r="J297" s="204"/>
      <c r="K297" s="204"/>
      <c r="N297" s="204"/>
      <c r="O297" s="204"/>
    </row>
    <row r="298" spans="1:15" ht="14.25" customHeight="1" x14ac:dyDescent="0.25">
      <c r="A298" s="204"/>
      <c r="J298" s="204"/>
      <c r="K298" s="204"/>
      <c r="N298" s="204"/>
      <c r="O298" s="204"/>
    </row>
    <row r="299" spans="1:15" ht="14.25" customHeight="1" x14ac:dyDescent="0.25">
      <c r="A299" s="204"/>
      <c r="J299" s="204"/>
      <c r="K299" s="204"/>
      <c r="N299" s="204"/>
      <c r="O299" s="204"/>
    </row>
    <row r="300" spans="1:15" ht="14.25" customHeight="1" x14ac:dyDescent="0.25">
      <c r="A300" s="204"/>
      <c r="J300" s="204"/>
      <c r="K300" s="204"/>
      <c r="N300" s="204"/>
      <c r="O300" s="204"/>
    </row>
    <row r="301" spans="1:15" ht="14.25" customHeight="1" x14ac:dyDescent="0.25">
      <c r="A301" s="204"/>
      <c r="J301" s="204"/>
      <c r="K301" s="204"/>
      <c r="N301" s="204"/>
      <c r="O301" s="204"/>
    </row>
    <row r="302" spans="1:15" ht="14.25" customHeight="1" x14ac:dyDescent="0.25">
      <c r="A302" s="204"/>
      <c r="J302" s="204"/>
      <c r="K302" s="204"/>
      <c r="N302" s="204"/>
      <c r="O302" s="204"/>
    </row>
    <row r="303" spans="1:15" ht="14.25" customHeight="1" x14ac:dyDescent="0.25">
      <c r="A303" s="204"/>
      <c r="J303" s="204"/>
      <c r="K303" s="204"/>
      <c r="N303" s="204"/>
      <c r="O303" s="204"/>
    </row>
    <row r="304" spans="1:15" ht="14.25" customHeight="1" x14ac:dyDescent="0.25">
      <c r="A304" s="204"/>
      <c r="J304" s="204"/>
      <c r="K304" s="204"/>
      <c r="N304" s="204"/>
      <c r="O304" s="204"/>
    </row>
    <row r="305" spans="1:15" ht="14.25" customHeight="1" x14ac:dyDescent="0.25">
      <c r="A305" s="204"/>
      <c r="J305" s="204"/>
      <c r="K305" s="204"/>
      <c r="N305" s="204"/>
      <c r="O305" s="204"/>
    </row>
    <row r="306" spans="1:15" ht="14.25" customHeight="1" x14ac:dyDescent="0.25">
      <c r="A306" s="204"/>
      <c r="J306" s="204"/>
      <c r="K306" s="204"/>
      <c r="N306" s="204"/>
      <c r="O306" s="204"/>
    </row>
    <row r="307" spans="1:15" ht="14.25" customHeight="1" x14ac:dyDescent="0.25">
      <c r="A307" s="204"/>
      <c r="J307" s="204"/>
      <c r="K307" s="204"/>
      <c r="N307" s="204"/>
      <c r="O307" s="204"/>
    </row>
    <row r="308" spans="1:15" ht="14.25" customHeight="1" x14ac:dyDescent="0.25">
      <c r="A308" s="204"/>
      <c r="J308" s="204"/>
      <c r="K308" s="204"/>
      <c r="N308" s="204"/>
      <c r="O308" s="204"/>
    </row>
    <row r="309" spans="1:15" ht="14.25" customHeight="1" x14ac:dyDescent="0.25">
      <c r="A309" s="204"/>
      <c r="J309" s="204"/>
      <c r="K309" s="204"/>
      <c r="N309" s="204"/>
      <c r="O309" s="204"/>
    </row>
    <row r="310" spans="1:15" ht="14.25" customHeight="1" x14ac:dyDescent="0.25">
      <c r="A310" s="204"/>
      <c r="J310" s="204"/>
      <c r="K310" s="204"/>
      <c r="N310" s="204"/>
      <c r="O310" s="204"/>
    </row>
    <row r="311" spans="1:15" ht="14.25" customHeight="1" x14ac:dyDescent="0.25">
      <c r="A311" s="204"/>
      <c r="J311" s="204"/>
      <c r="K311" s="204"/>
      <c r="N311" s="204"/>
      <c r="O311" s="204"/>
    </row>
    <row r="312" spans="1:15" ht="14.25" customHeight="1" x14ac:dyDescent="0.25">
      <c r="A312" s="204"/>
      <c r="J312" s="204"/>
      <c r="K312" s="204"/>
      <c r="N312" s="204"/>
      <c r="O312" s="204"/>
    </row>
    <row r="313" spans="1:15" ht="14.25" customHeight="1" x14ac:dyDescent="0.25">
      <c r="A313" s="204"/>
      <c r="J313" s="204"/>
      <c r="K313" s="204"/>
      <c r="N313" s="204"/>
      <c r="O313" s="204"/>
    </row>
    <row r="314" spans="1:15" ht="14.25" customHeight="1" x14ac:dyDescent="0.25">
      <c r="A314" s="204"/>
      <c r="J314" s="204"/>
      <c r="K314" s="204"/>
      <c r="N314" s="204"/>
      <c r="O314" s="204"/>
    </row>
    <row r="315" spans="1:15" ht="14.25" customHeight="1" x14ac:dyDescent="0.25">
      <c r="A315" s="204"/>
      <c r="J315" s="204"/>
      <c r="K315" s="204"/>
      <c r="N315" s="204"/>
      <c r="O315" s="204"/>
    </row>
    <row r="316" spans="1:15" ht="14.25" customHeight="1" x14ac:dyDescent="0.25">
      <c r="A316" s="204"/>
      <c r="J316" s="204"/>
      <c r="K316" s="204"/>
      <c r="N316" s="204"/>
      <c r="O316" s="204"/>
    </row>
    <row r="317" spans="1:15" ht="14.25" customHeight="1" x14ac:dyDescent="0.25">
      <c r="A317" s="204"/>
      <c r="J317" s="204"/>
      <c r="K317" s="204"/>
      <c r="N317" s="204"/>
      <c r="O317" s="204"/>
    </row>
    <row r="318" spans="1:15" ht="14.25" customHeight="1" x14ac:dyDescent="0.25">
      <c r="A318" s="204"/>
      <c r="J318" s="204"/>
      <c r="K318" s="204"/>
      <c r="N318" s="204"/>
      <c r="O318" s="204"/>
    </row>
    <row r="319" spans="1:15" ht="14.25" customHeight="1" x14ac:dyDescent="0.25">
      <c r="A319" s="204"/>
      <c r="J319" s="204"/>
      <c r="K319" s="204"/>
      <c r="N319" s="204"/>
      <c r="O319" s="204"/>
    </row>
    <row r="320" spans="1:15" ht="14.25" customHeight="1" x14ac:dyDescent="0.25">
      <c r="A320" s="204"/>
      <c r="J320" s="204"/>
      <c r="K320" s="204"/>
      <c r="N320" s="204"/>
      <c r="O320" s="204"/>
    </row>
    <row r="321" spans="1:15" ht="14.25" customHeight="1" x14ac:dyDescent="0.25">
      <c r="A321" s="204"/>
      <c r="J321" s="204"/>
      <c r="K321" s="204"/>
      <c r="N321" s="204"/>
      <c r="O321" s="204"/>
    </row>
    <row r="322" spans="1:15" ht="14.25" customHeight="1" x14ac:dyDescent="0.25">
      <c r="A322" s="204"/>
      <c r="J322" s="204"/>
      <c r="K322" s="204"/>
      <c r="N322" s="204"/>
      <c r="O322" s="204"/>
    </row>
    <row r="323" spans="1:15" ht="14.25" customHeight="1" x14ac:dyDescent="0.25">
      <c r="A323" s="204"/>
      <c r="J323" s="204"/>
      <c r="K323" s="204"/>
      <c r="N323" s="204"/>
      <c r="O323" s="204"/>
    </row>
    <row r="324" spans="1:15" ht="14.25" customHeight="1" x14ac:dyDescent="0.25">
      <c r="A324" s="204"/>
      <c r="J324" s="204"/>
      <c r="K324" s="204"/>
      <c r="N324" s="204"/>
      <c r="O324" s="204"/>
    </row>
    <row r="325" spans="1:15" ht="14.25" customHeight="1" x14ac:dyDescent="0.25">
      <c r="A325" s="204"/>
      <c r="J325" s="204"/>
      <c r="K325" s="204"/>
      <c r="N325" s="204"/>
      <c r="O325" s="204"/>
    </row>
    <row r="326" spans="1:15" ht="14.25" customHeight="1" x14ac:dyDescent="0.25">
      <c r="A326" s="204"/>
      <c r="J326" s="204"/>
      <c r="K326" s="204"/>
      <c r="N326" s="204"/>
      <c r="O326" s="204"/>
    </row>
    <row r="327" spans="1:15" ht="14.25" customHeight="1" x14ac:dyDescent="0.25">
      <c r="A327" s="204"/>
      <c r="J327" s="204"/>
      <c r="K327" s="204"/>
      <c r="N327" s="204"/>
      <c r="O327" s="204"/>
    </row>
    <row r="328" spans="1:15" ht="14.25" customHeight="1" x14ac:dyDescent="0.25">
      <c r="A328" s="204"/>
      <c r="J328" s="204"/>
      <c r="K328" s="204"/>
      <c r="N328" s="204"/>
      <c r="O328" s="204"/>
    </row>
    <row r="329" spans="1:15" ht="14.25" customHeight="1" x14ac:dyDescent="0.25">
      <c r="A329" s="204"/>
      <c r="J329" s="204"/>
      <c r="K329" s="204"/>
      <c r="N329" s="204"/>
      <c r="O329" s="204"/>
    </row>
    <row r="330" spans="1:15" ht="14.25" customHeight="1" x14ac:dyDescent="0.25">
      <c r="A330" s="204"/>
      <c r="J330" s="204"/>
      <c r="K330" s="204"/>
      <c r="N330" s="204"/>
      <c r="O330" s="204"/>
    </row>
    <row r="331" spans="1:15" ht="14.25" customHeight="1" x14ac:dyDescent="0.25">
      <c r="A331" s="204"/>
      <c r="J331" s="204"/>
      <c r="K331" s="204"/>
      <c r="N331" s="204"/>
      <c r="O331" s="204"/>
    </row>
    <row r="332" spans="1:15" ht="14.25" customHeight="1" x14ac:dyDescent="0.25">
      <c r="A332" s="204"/>
      <c r="J332" s="204"/>
      <c r="K332" s="204"/>
      <c r="N332" s="204"/>
      <c r="O332" s="204"/>
    </row>
    <row r="333" spans="1:15" ht="14.25" customHeight="1" x14ac:dyDescent="0.25">
      <c r="A333" s="204"/>
      <c r="J333" s="204"/>
      <c r="K333" s="204"/>
      <c r="N333" s="204"/>
      <c r="O333" s="204"/>
    </row>
    <row r="334" spans="1:15" ht="14.25" customHeight="1" x14ac:dyDescent="0.25">
      <c r="A334" s="204"/>
      <c r="J334" s="204"/>
      <c r="K334" s="204"/>
      <c r="N334" s="204"/>
      <c r="O334" s="204"/>
    </row>
    <row r="335" spans="1:15" ht="14.25" customHeight="1" x14ac:dyDescent="0.25">
      <c r="A335" s="204"/>
      <c r="J335" s="204"/>
      <c r="K335" s="204"/>
      <c r="N335" s="204"/>
      <c r="O335" s="204"/>
    </row>
    <row r="336" spans="1:15" ht="14.25" customHeight="1" x14ac:dyDescent="0.25">
      <c r="A336" s="204"/>
      <c r="J336" s="204"/>
      <c r="K336" s="204"/>
      <c r="N336" s="204"/>
      <c r="O336" s="204"/>
    </row>
    <row r="337" spans="1:15" ht="14.25" customHeight="1" x14ac:dyDescent="0.25">
      <c r="A337" s="204"/>
      <c r="J337" s="204"/>
      <c r="K337" s="204"/>
      <c r="N337" s="204"/>
      <c r="O337" s="204"/>
    </row>
    <row r="338" spans="1:15" ht="14.25" customHeight="1" x14ac:dyDescent="0.25">
      <c r="A338" s="204"/>
      <c r="J338" s="204"/>
      <c r="K338" s="204"/>
      <c r="N338" s="204"/>
      <c r="O338" s="204"/>
    </row>
    <row r="339" spans="1:15" ht="14.25" customHeight="1" x14ac:dyDescent="0.25">
      <c r="A339" s="204"/>
      <c r="J339" s="204"/>
      <c r="K339" s="204"/>
      <c r="N339" s="204"/>
      <c r="O339" s="204"/>
    </row>
    <row r="340" spans="1:15" ht="14.25" customHeight="1" x14ac:dyDescent="0.25">
      <c r="A340" s="204"/>
      <c r="J340" s="204"/>
      <c r="K340" s="204"/>
      <c r="N340" s="204"/>
      <c r="O340" s="204"/>
    </row>
    <row r="341" spans="1:15" ht="14.25" customHeight="1" x14ac:dyDescent="0.25">
      <c r="A341" s="204"/>
      <c r="J341" s="204"/>
      <c r="K341" s="204"/>
      <c r="N341" s="204"/>
      <c r="O341" s="204"/>
    </row>
    <row r="342" spans="1:15" ht="14.25" customHeight="1" x14ac:dyDescent="0.25">
      <c r="A342" s="204"/>
      <c r="J342" s="204"/>
      <c r="K342" s="204"/>
      <c r="N342" s="204"/>
      <c r="O342" s="204"/>
    </row>
    <row r="343" spans="1:15" ht="14.25" customHeight="1" x14ac:dyDescent="0.25">
      <c r="A343" s="204"/>
      <c r="J343" s="204"/>
      <c r="K343" s="204"/>
      <c r="N343" s="204"/>
      <c r="O343" s="204"/>
    </row>
    <row r="344" spans="1:15" ht="14.25" customHeight="1" x14ac:dyDescent="0.25">
      <c r="A344" s="204"/>
      <c r="J344" s="204"/>
      <c r="K344" s="204"/>
      <c r="N344" s="204"/>
      <c r="O344" s="204"/>
    </row>
    <row r="345" spans="1:15" ht="14.25" customHeight="1" x14ac:dyDescent="0.25">
      <c r="A345" s="204"/>
      <c r="J345" s="204"/>
      <c r="K345" s="204"/>
      <c r="N345" s="204"/>
      <c r="O345" s="204"/>
    </row>
    <row r="346" spans="1:15" ht="14.25" customHeight="1" x14ac:dyDescent="0.25">
      <c r="A346" s="204"/>
      <c r="J346" s="204"/>
      <c r="K346" s="204"/>
      <c r="N346" s="204"/>
      <c r="O346" s="204"/>
    </row>
    <row r="347" spans="1:15" ht="14.25" customHeight="1" x14ac:dyDescent="0.25">
      <c r="A347" s="204"/>
      <c r="J347" s="204"/>
      <c r="K347" s="204"/>
      <c r="N347" s="204"/>
      <c r="O347" s="204"/>
    </row>
    <row r="348" spans="1:15" ht="14.25" customHeight="1" x14ac:dyDescent="0.25">
      <c r="A348" s="204"/>
      <c r="J348" s="204"/>
      <c r="K348" s="204"/>
      <c r="N348" s="204"/>
      <c r="O348" s="204"/>
    </row>
    <row r="349" spans="1:15" ht="14.25" customHeight="1" x14ac:dyDescent="0.25">
      <c r="A349" s="204"/>
      <c r="J349" s="204"/>
      <c r="K349" s="204"/>
      <c r="N349" s="204"/>
      <c r="O349" s="204"/>
    </row>
    <row r="350" spans="1:15" ht="14.25" customHeight="1" x14ac:dyDescent="0.25">
      <c r="A350" s="204"/>
      <c r="J350" s="204"/>
      <c r="K350" s="204"/>
      <c r="N350" s="204"/>
      <c r="O350" s="204"/>
    </row>
    <row r="351" spans="1:15" ht="14.25" customHeight="1" x14ac:dyDescent="0.25">
      <c r="A351" s="204"/>
      <c r="J351" s="204"/>
      <c r="K351" s="204"/>
      <c r="N351" s="204"/>
      <c r="O351" s="204"/>
    </row>
    <row r="352" spans="1:15" ht="14.25" customHeight="1" x14ac:dyDescent="0.25">
      <c r="A352" s="204"/>
      <c r="J352" s="204"/>
      <c r="K352" s="204"/>
      <c r="N352" s="204"/>
      <c r="O352" s="204"/>
    </row>
    <row r="353" spans="1:15" ht="14.25" customHeight="1" x14ac:dyDescent="0.25">
      <c r="A353" s="204"/>
      <c r="J353" s="204"/>
      <c r="K353" s="204"/>
      <c r="N353" s="204"/>
      <c r="O353" s="204"/>
    </row>
    <row r="354" spans="1:15" ht="14.25" customHeight="1" x14ac:dyDescent="0.25">
      <c r="A354" s="204"/>
      <c r="J354" s="204"/>
      <c r="K354" s="204"/>
      <c r="N354" s="204"/>
      <c r="O354" s="204"/>
    </row>
    <row r="355" spans="1:15" ht="14.25" customHeight="1" x14ac:dyDescent="0.25">
      <c r="A355" s="204"/>
      <c r="J355" s="204"/>
      <c r="K355" s="204"/>
      <c r="N355" s="204"/>
      <c r="O355" s="204"/>
    </row>
    <row r="356" spans="1:15" ht="14.25" customHeight="1" x14ac:dyDescent="0.25">
      <c r="A356" s="204"/>
      <c r="J356" s="204"/>
      <c r="K356" s="204"/>
      <c r="N356" s="204"/>
      <c r="O356" s="204"/>
    </row>
    <row r="357" spans="1:15" ht="14.25" customHeight="1" x14ac:dyDescent="0.25">
      <c r="A357" s="204"/>
      <c r="J357" s="204"/>
      <c r="K357" s="204"/>
      <c r="N357" s="204"/>
      <c r="O357" s="204"/>
    </row>
    <row r="358" spans="1:15" ht="14.25" customHeight="1" x14ac:dyDescent="0.25">
      <c r="A358" s="204"/>
      <c r="J358" s="204"/>
      <c r="K358" s="204"/>
      <c r="N358" s="204"/>
      <c r="O358" s="204"/>
    </row>
    <row r="359" spans="1:15" ht="14.25" customHeight="1" x14ac:dyDescent="0.25">
      <c r="A359" s="204"/>
      <c r="J359" s="204"/>
      <c r="K359" s="204"/>
      <c r="N359" s="204"/>
      <c r="O359" s="204"/>
    </row>
    <row r="360" spans="1:15" ht="14.25" customHeight="1" x14ac:dyDescent="0.25">
      <c r="A360" s="204"/>
      <c r="J360" s="204"/>
      <c r="K360" s="204"/>
      <c r="N360" s="204"/>
      <c r="O360" s="204"/>
    </row>
    <row r="361" spans="1:15" ht="14.25" customHeight="1" x14ac:dyDescent="0.25">
      <c r="A361" s="204"/>
      <c r="J361" s="204"/>
      <c r="K361" s="204"/>
      <c r="N361" s="204"/>
      <c r="O361" s="204"/>
    </row>
    <row r="362" spans="1:15" ht="14.25" customHeight="1" x14ac:dyDescent="0.25">
      <c r="A362" s="204"/>
      <c r="J362" s="204"/>
      <c r="K362" s="204"/>
      <c r="N362" s="204"/>
      <c r="O362" s="204"/>
    </row>
    <row r="363" spans="1:15" ht="14.25" customHeight="1" x14ac:dyDescent="0.25">
      <c r="A363" s="204"/>
      <c r="J363" s="204"/>
      <c r="K363" s="204"/>
      <c r="N363" s="204"/>
      <c r="O363" s="204"/>
    </row>
    <row r="364" spans="1:15" ht="14.25" customHeight="1" x14ac:dyDescent="0.25">
      <c r="A364" s="204"/>
      <c r="J364" s="204"/>
      <c r="K364" s="204"/>
      <c r="N364" s="204"/>
      <c r="O364" s="204"/>
    </row>
    <row r="365" spans="1:15" ht="14.25" customHeight="1" x14ac:dyDescent="0.25">
      <c r="A365" s="204"/>
      <c r="J365" s="204"/>
      <c r="K365" s="204"/>
      <c r="N365" s="204"/>
      <c r="O365" s="204"/>
    </row>
    <row r="366" spans="1:15" ht="14.25" customHeight="1" x14ac:dyDescent="0.25">
      <c r="A366" s="204"/>
      <c r="J366" s="204"/>
      <c r="K366" s="204"/>
      <c r="N366" s="204"/>
      <c r="O366" s="204"/>
    </row>
    <row r="367" spans="1:15" ht="14.25" customHeight="1" x14ac:dyDescent="0.25">
      <c r="A367" s="204"/>
      <c r="J367" s="204"/>
      <c r="K367" s="204"/>
      <c r="N367" s="204"/>
      <c r="O367" s="204"/>
    </row>
    <row r="368" spans="1:15" ht="14.25" customHeight="1" x14ac:dyDescent="0.25">
      <c r="A368" s="204"/>
      <c r="J368" s="204"/>
      <c r="K368" s="204"/>
      <c r="N368" s="204"/>
      <c r="O368" s="204"/>
    </row>
    <row r="369" spans="1:15" ht="14.25" customHeight="1" x14ac:dyDescent="0.25">
      <c r="A369" s="204"/>
      <c r="J369" s="204"/>
      <c r="K369" s="204"/>
      <c r="N369" s="204"/>
      <c r="O369" s="204"/>
    </row>
    <row r="370" spans="1:15" ht="14.25" customHeight="1" x14ac:dyDescent="0.25">
      <c r="A370" s="204"/>
      <c r="J370" s="204"/>
      <c r="K370" s="204"/>
      <c r="N370" s="204"/>
      <c r="O370" s="204"/>
    </row>
    <row r="371" spans="1:15" ht="14.25" customHeight="1" x14ac:dyDescent="0.25">
      <c r="A371" s="204"/>
      <c r="J371" s="204"/>
      <c r="K371" s="204"/>
      <c r="N371" s="204"/>
      <c r="O371" s="204"/>
    </row>
    <row r="372" spans="1:15" ht="14.25" customHeight="1" x14ac:dyDescent="0.25">
      <c r="A372" s="204"/>
      <c r="J372" s="204"/>
      <c r="K372" s="204"/>
      <c r="N372" s="204"/>
      <c r="O372" s="204"/>
    </row>
    <row r="373" spans="1:15" ht="14.25" customHeight="1" x14ac:dyDescent="0.25">
      <c r="A373" s="204"/>
      <c r="J373" s="204"/>
      <c r="K373" s="204"/>
      <c r="N373" s="204"/>
      <c r="O373" s="204"/>
    </row>
    <row r="374" spans="1:15" ht="14.25" customHeight="1" x14ac:dyDescent="0.25">
      <c r="A374" s="204"/>
      <c r="J374" s="204"/>
      <c r="K374" s="204"/>
      <c r="N374" s="204"/>
      <c r="O374" s="204"/>
    </row>
    <row r="375" spans="1:15" ht="14.25" customHeight="1" x14ac:dyDescent="0.25">
      <c r="A375" s="204"/>
      <c r="J375" s="204"/>
      <c r="K375" s="204"/>
      <c r="N375" s="204"/>
      <c r="O375" s="204"/>
    </row>
    <row r="376" spans="1:15" ht="14.25" customHeight="1" x14ac:dyDescent="0.25">
      <c r="A376" s="204"/>
      <c r="J376" s="204"/>
      <c r="K376" s="204"/>
      <c r="N376" s="204"/>
      <c r="O376" s="204"/>
    </row>
    <row r="377" spans="1:15" ht="14.25" customHeight="1" x14ac:dyDescent="0.25">
      <c r="A377" s="204"/>
      <c r="J377" s="204"/>
      <c r="K377" s="204"/>
      <c r="N377" s="204"/>
      <c r="O377" s="204"/>
    </row>
    <row r="378" spans="1:15" ht="14.25" customHeight="1" x14ac:dyDescent="0.25">
      <c r="A378" s="204"/>
      <c r="J378" s="204"/>
      <c r="K378" s="204"/>
      <c r="N378" s="204"/>
      <c r="O378" s="204"/>
    </row>
    <row r="379" spans="1:15" ht="14.25" customHeight="1" x14ac:dyDescent="0.25">
      <c r="A379" s="204"/>
      <c r="J379" s="204"/>
      <c r="K379" s="204"/>
      <c r="N379" s="204"/>
      <c r="O379" s="204"/>
    </row>
    <row r="380" spans="1:15" ht="14.25" customHeight="1" x14ac:dyDescent="0.25">
      <c r="A380" s="204"/>
      <c r="J380" s="204"/>
      <c r="K380" s="204"/>
      <c r="N380" s="204"/>
      <c r="O380" s="204"/>
    </row>
    <row r="381" spans="1:15" ht="14.25" customHeight="1" x14ac:dyDescent="0.25">
      <c r="A381" s="204"/>
      <c r="J381" s="204"/>
      <c r="K381" s="204"/>
      <c r="N381" s="204"/>
      <c r="O381" s="204"/>
    </row>
    <row r="382" spans="1:15" ht="14.25" customHeight="1" x14ac:dyDescent="0.25">
      <c r="A382" s="204"/>
      <c r="J382" s="204"/>
      <c r="K382" s="204"/>
      <c r="N382" s="204"/>
      <c r="O382" s="204"/>
    </row>
    <row r="383" spans="1:15" ht="14.25" customHeight="1" x14ac:dyDescent="0.25">
      <c r="A383" s="204"/>
      <c r="J383" s="204"/>
      <c r="K383" s="204"/>
      <c r="N383" s="204"/>
      <c r="O383" s="204"/>
    </row>
    <row r="384" spans="1:15" ht="14.25" customHeight="1" x14ac:dyDescent="0.25">
      <c r="A384" s="204"/>
      <c r="J384" s="204"/>
      <c r="K384" s="204"/>
      <c r="N384" s="204"/>
      <c r="O384" s="204"/>
    </row>
    <row r="385" spans="1:15" ht="14.25" customHeight="1" x14ac:dyDescent="0.25">
      <c r="A385" s="204"/>
      <c r="J385" s="204"/>
      <c r="K385" s="204"/>
      <c r="N385" s="204"/>
      <c r="O385" s="204"/>
    </row>
    <row r="386" spans="1:15" ht="14.25" customHeight="1" x14ac:dyDescent="0.25">
      <c r="A386" s="204"/>
      <c r="J386" s="204"/>
      <c r="K386" s="204"/>
      <c r="N386" s="204"/>
      <c r="O386" s="204"/>
    </row>
    <row r="387" spans="1:15" ht="14.25" customHeight="1" x14ac:dyDescent="0.25">
      <c r="A387" s="204"/>
      <c r="J387" s="204"/>
      <c r="K387" s="204"/>
      <c r="N387" s="204"/>
      <c r="O387" s="204"/>
    </row>
    <row r="388" spans="1:15" ht="14.25" customHeight="1" x14ac:dyDescent="0.25">
      <c r="A388" s="204"/>
      <c r="J388" s="204"/>
      <c r="K388" s="204"/>
      <c r="N388" s="204"/>
      <c r="O388" s="204"/>
    </row>
    <row r="389" spans="1:15" ht="14.25" customHeight="1" x14ac:dyDescent="0.25">
      <c r="A389" s="204"/>
      <c r="J389" s="204"/>
      <c r="K389" s="204"/>
      <c r="N389" s="204"/>
      <c r="O389" s="204"/>
    </row>
    <row r="390" spans="1:15" ht="14.25" customHeight="1" x14ac:dyDescent="0.25">
      <c r="A390" s="204"/>
      <c r="J390" s="204"/>
      <c r="K390" s="204"/>
      <c r="N390" s="204"/>
      <c r="O390" s="204"/>
    </row>
    <row r="391" spans="1:15" ht="14.25" customHeight="1" x14ac:dyDescent="0.25">
      <c r="A391" s="204"/>
      <c r="J391" s="204"/>
      <c r="K391" s="204"/>
      <c r="N391" s="204"/>
      <c r="O391" s="204"/>
    </row>
    <row r="392" spans="1:15" ht="14.25" customHeight="1" x14ac:dyDescent="0.25">
      <c r="A392" s="204"/>
      <c r="J392" s="204"/>
      <c r="K392" s="204"/>
      <c r="N392" s="204"/>
      <c r="O392" s="204"/>
    </row>
    <row r="393" spans="1:15" ht="14.25" customHeight="1" x14ac:dyDescent="0.25">
      <c r="A393" s="204"/>
      <c r="J393" s="204"/>
      <c r="K393" s="204"/>
      <c r="N393" s="204"/>
      <c r="O393" s="204"/>
    </row>
    <row r="394" spans="1:15" ht="14.25" customHeight="1" x14ac:dyDescent="0.25">
      <c r="A394" s="204"/>
      <c r="J394" s="204"/>
      <c r="K394" s="204"/>
      <c r="N394" s="204"/>
      <c r="O394" s="204"/>
    </row>
    <row r="395" spans="1:15" ht="14.25" customHeight="1" x14ac:dyDescent="0.25">
      <c r="A395" s="204"/>
      <c r="J395" s="204"/>
      <c r="K395" s="204"/>
      <c r="N395" s="204"/>
      <c r="O395" s="204"/>
    </row>
    <row r="396" spans="1:15" ht="14.25" customHeight="1" x14ac:dyDescent="0.25">
      <c r="A396" s="204"/>
      <c r="J396" s="204"/>
      <c r="K396" s="204"/>
      <c r="N396" s="204"/>
      <c r="O396" s="204"/>
    </row>
    <row r="397" spans="1:15" ht="14.25" customHeight="1" x14ac:dyDescent="0.25">
      <c r="A397" s="204"/>
      <c r="J397" s="204"/>
      <c r="K397" s="204"/>
      <c r="N397" s="204"/>
      <c r="O397" s="204"/>
    </row>
    <row r="398" spans="1:15" ht="14.25" customHeight="1" x14ac:dyDescent="0.25">
      <c r="A398" s="204"/>
      <c r="J398" s="204"/>
      <c r="K398" s="204"/>
      <c r="N398" s="204"/>
      <c r="O398" s="204"/>
    </row>
    <row r="399" spans="1:15" ht="14.25" customHeight="1" x14ac:dyDescent="0.25">
      <c r="A399" s="204"/>
      <c r="J399" s="204"/>
      <c r="K399" s="204"/>
      <c r="N399" s="204"/>
      <c r="O399" s="204"/>
    </row>
    <row r="400" spans="1:15" ht="14.25" customHeight="1" x14ac:dyDescent="0.25">
      <c r="A400" s="204"/>
      <c r="J400" s="204"/>
      <c r="K400" s="204"/>
      <c r="N400" s="204"/>
      <c r="O400" s="204"/>
    </row>
    <row r="401" spans="1:15" ht="14.25" customHeight="1" x14ac:dyDescent="0.25">
      <c r="A401" s="204"/>
      <c r="J401" s="204"/>
      <c r="K401" s="204"/>
      <c r="N401" s="204"/>
      <c r="O401" s="204"/>
    </row>
    <row r="402" spans="1:15" ht="14.25" customHeight="1" x14ac:dyDescent="0.25">
      <c r="A402" s="204"/>
      <c r="J402" s="204"/>
      <c r="K402" s="204"/>
      <c r="N402" s="204"/>
      <c r="O402" s="204"/>
    </row>
    <row r="403" spans="1:15" ht="14.25" customHeight="1" x14ac:dyDescent="0.25">
      <c r="A403" s="204"/>
      <c r="J403" s="204"/>
      <c r="K403" s="204"/>
      <c r="N403" s="204"/>
      <c r="O403" s="204"/>
    </row>
    <row r="404" spans="1:15" ht="14.25" customHeight="1" x14ac:dyDescent="0.25">
      <c r="A404" s="204"/>
      <c r="J404" s="204"/>
      <c r="K404" s="204"/>
      <c r="N404" s="204"/>
      <c r="O404" s="204"/>
    </row>
    <row r="405" spans="1:15" ht="14.25" customHeight="1" x14ac:dyDescent="0.25">
      <c r="A405" s="204"/>
      <c r="J405" s="204"/>
      <c r="K405" s="204"/>
      <c r="N405" s="204"/>
      <c r="O405" s="204"/>
    </row>
    <row r="406" spans="1:15" ht="14.25" customHeight="1" x14ac:dyDescent="0.25">
      <c r="A406" s="204"/>
      <c r="J406" s="204"/>
      <c r="K406" s="204"/>
      <c r="N406" s="204"/>
      <c r="O406" s="204"/>
    </row>
    <row r="407" spans="1:15" ht="14.25" customHeight="1" x14ac:dyDescent="0.25">
      <c r="A407" s="204"/>
      <c r="J407" s="204"/>
      <c r="K407" s="204"/>
      <c r="N407" s="204"/>
      <c r="O407" s="204"/>
    </row>
    <row r="408" spans="1:15" ht="14.25" customHeight="1" x14ac:dyDescent="0.25">
      <c r="A408" s="204"/>
      <c r="J408" s="204"/>
      <c r="K408" s="204"/>
      <c r="N408" s="204"/>
      <c r="O408" s="204"/>
    </row>
    <row r="409" spans="1:15" ht="14.25" customHeight="1" x14ac:dyDescent="0.25">
      <c r="A409" s="204"/>
      <c r="J409" s="204"/>
      <c r="K409" s="204"/>
      <c r="N409" s="204"/>
      <c r="O409" s="204"/>
    </row>
    <row r="410" spans="1:15" ht="14.25" customHeight="1" x14ac:dyDescent="0.25">
      <c r="A410" s="204"/>
      <c r="J410" s="204"/>
      <c r="K410" s="204"/>
      <c r="N410" s="204"/>
      <c r="O410" s="204"/>
    </row>
    <row r="411" spans="1:15" ht="14.25" customHeight="1" x14ac:dyDescent="0.25">
      <c r="A411" s="204"/>
      <c r="J411" s="204"/>
      <c r="K411" s="204"/>
      <c r="N411" s="204"/>
      <c r="O411" s="204"/>
    </row>
    <row r="412" spans="1:15" ht="14.25" customHeight="1" x14ac:dyDescent="0.25">
      <c r="A412" s="204"/>
      <c r="J412" s="204"/>
      <c r="K412" s="204"/>
      <c r="N412" s="204"/>
      <c r="O412" s="204"/>
    </row>
    <row r="413" spans="1:15" ht="14.25" customHeight="1" x14ac:dyDescent="0.25">
      <c r="A413" s="204"/>
      <c r="J413" s="204"/>
      <c r="K413" s="204"/>
      <c r="N413" s="204"/>
      <c r="O413" s="204"/>
    </row>
    <row r="414" spans="1:15" ht="14.25" customHeight="1" x14ac:dyDescent="0.25">
      <c r="A414" s="204"/>
      <c r="J414" s="204"/>
      <c r="K414" s="204"/>
      <c r="N414" s="204"/>
      <c r="O414" s="204"/>
    </row>
    <row r="415" spans="1:15" ht="14.25" customHeight="1" x14ac:dyDescent="0.25">
      <c r="A415" s="204"/>
      <c r="J415" s="204"/>
      <c r="K415" s="204"/>
      <c r="N415" s="204"/>
      <c r="O415" s="204"/>
    </row>
    <row r="416" spans="1:15" ht="14.25" customHeight="1" x14ac:dyDescent="0.25">
      <c r="A416" s="204"/>
      <c r="J416" s="204"/>
      <c r="K416" s="204"/>
      <c r="N416" s="204"/>
      <c r="O416" s="204"/>
    </row>
    <row r="417" spans="1:15" ht="14.25" customHeight="1" x14ac:dyDescent="0.25">
      <c r="A417" s="204"/>
      <c r="J417" s="204"/>
      <c r="K417" s="204"/>
      <c r="N417" s="204"/>
      <c r="O417" s="204"/>
    </row>
    <row r="418" spans="1:15" ht="14.25" customHeight="1" x14ac:dyDescent="0.25">
      <c r="A418" s="204"/>
      <c r="J418" s="204"/>
      <c r="K418" s="204"/>
      <c r="N418" s="204"/>
      <c r="O418" s="204"/>
    </row>
    <row r="419" spans="1:15" ht="14.25" customHeight="1" x14ac:dyDescent="0.25">
      <c r="A419" s="204"/>
      <c r="J419" s="204"/>
      <c r="K419" s="204"/>
      <c r="N419" s="204"/>
      <c r="O419" s="204"/>
    </row>
    <row r="420" spans="1:15" ht="14.25" customHeight="1" x14ac:dyDescent="0.25">
      <c r="A420" s="204"/>
      <c r="J420" s="204"/>
      <c r="K420" s="204"/>
      <c r="N420" s="204"/>
      <c r="O420" s="204"/>
    </row>
    <row r="421" spans="1:15" ht="14.25" customHeight="1" x14ac:dyDescent="0.25">
      <c r="A421" s="204"/>
      <c r="J421" s="204"/>
      <c r="K421" s="204"/>
      <c r="N421" s="204"/>
      <c r="O421" s="204"/>
    </row>
    <row r="422" spans="1:15" ht="14.25" customHeight="1" x14ac:dyDescent="0.25">
      <c r="A422" s="204"/>
      <c r="J422" s="204"/>
      <c r="K422" s="204"/>
      <c r="N422" s="204"/>
      <c r="O422" s="204"/>
    </row>
    <row r="423" spans="1:15" ht="14.25" customHeight="1" x14ac:dyDescent="0.25">
      <c r="A423" s="204"/>
      <c r="J423" s="204"/>
      <c r="K423" s="204"/>
      <c r="N423" s="204"/>
      <c r="O423" s="204"/>
    </row>
    <row r="424" spans="1:15" ht="14.25" customHeight="1" x14ac:dyDescent="0.25">
      <c r="A424" s="204"/>
      <c r="J424" s="204"/>
      <c r="K424" s="204"/>
      <c r="N424" s="204"/>
      <c r="O424" s="204"/>
    </row>
    <row r="425" spans="1:15" ht="14.25" customHeight="1" x14ac:dyDescent="0.25">
      <c r="A425" s="204"/>
      <c r="J425" s="204"/>
      <c r="K425" s="204"/>
      <c r="N425" s="204"/>
      <c r="O425" s="204"/>
    </row>
    <row r="426" spans="1:15" ht="14.25" customHeight="1" x14ac:dyDescent="0.25">
      <c r="A426" s="204"/>
      <c r="J426" s="204"/>
      <c r="K426" s="204"/>
      <c r="N426" s="204"/>
      <c r="O426" s="204"/>
    </row>
    <row r="427" spans="1:15" ht="14.25" customHeight="1" x14ac:dyDescent="0.25">
      <c r="A427" s="204"/>
      <c r="J427" s="204"/>
      <c r="K427" s="204"/>
      <c r="N427" s="204"/>
      <c r="O427" s="204"/>
    </row>
    <row r="428" spans="1:15" ht="14.25" customHeight="1" x14ac:dyDescent="0.25">
      <c r="A428" s="204"/>
      <c r="J428" s="204"/>
      <c r="K428" s="204"/>
      <c r="N428" s="204"/>
      <c r="O428" s="204"/>
    </row>
    <row r="429" spans="1:15" ht="14.25" customHeight="1" x14ac:dyDescent="0.25">
      <c r="A429" s="204"/>
      <c r="J429" s="204"/>
      <c r="K429" s="204"/>
      <c r="N429" s="204"/>
      <c r="O429" s="204"/>
    </row>
    <row r="430" spans="1:15" ht="14.25" customHeight="1" x14ac:dyDescent="0.25">
      <c r="A430" s="204"/>
      <c r="J430" s="204"/>
      <c r="K430" s="204"/>
      <c r="N430" s="204"/>
      <c r="O430" s="204"/>
    </row>
    <row r="431" spans="1:15" ht="14.25" customHeight="1" x14ac:dyDescent="0.25">
      <c r="A431" s="204"/>
      <c r="J431" s="204"/>
      <c r="K431" s="204"/>
      <c r="N431" s="204"/>
      <c r="O431" s="204"/>
    </row>
    <row r="432" spans="1:15" ht="14.25" customHeight="1" x14ac:dyDescent="0.25">
      <c r="A432" s="204"/>
      <c r="J432" s="204"/>
      <c r="K432" s="204"/>
      <c r="N432" s="204"/>
      <c r="O432" s="204"/>
    </row>
    <row r="433" spans="1:15" ht="14.25" customHeight="1" x14ac:dyDescent="0.25">
      <c r="A433" s="204"/>
      <c r="J433" s="204"/>
      <c r="K433" s="204"/>
      <c r="N433" s="204"/>
      <c r="O433" s="204"/>
    </row>
    <row r="434" spans="1:15" ht="14.25" customHeight="1" x14ac:dyDescent="0.25">
      <c r="A434" s="204"/>
      <c r="J434" s="204"/>
      <c r="K434" s="204"/>
      <c r="N434" s="204"/>
      <c r="O434" s="204"/>
    </row>
    <row r="435" spans="1:15" ht="14.25" customHeight="1" x14ac:dyDescent="0.25">
      <c r="A435" s="204"/>
      <c r="J435" s="204"/>
      <c r="K435" s="204"/>
      <c r="N435" s="204"/>
      <c r="O435" s="204"/>
    </row>
    <row r="436" spans="1:15" ht="14.25" customHeight="1" x14ac:dyDescent="0.25">
      <c r="A436" s="204"/>
      <c r="J436" s="204"/>
      <c r="K436" s="204"/>
      <c r="N436" s="204"/>
      <c r="O436" s="204"/>
    </row>
    <row r="437" spans="1:15" ht="14.25" customHeight="1" x14ac:dyDescent="0.25">
      <c r="A437" s="204"/>
      <c r="J437" s="204"/>
      <c r="K437" s="204"/>
      <c r="N437" s="204"/>
      <c r="O437" s="204"/>
    </row>
    <row r="438" spans="1:15" ht="14.25" customHeight="1" x14ac:dyDescent="0.25">
      <c r="A438" s="204"/>
      <c r="J438" s="204"/>
      <c r="K438" s="204"/>
      <c r="N438" s="204"/>
      <c r="O438" s="204"/>
    </row>
    <row r="439" spans="1:15" ht="14.25" customHeight="1" x14ac:dyDescent="0.25">
      <c r="A439" s="204"/>
      <c r="J439" s="204"/>
      <c r="K439" s="204"/>
      <c r="N439" s="204"/>
      <c r="O439" s="204"/>
    </row>
    <row r="440" spans="1:15" ht="14.25" customHeight="1" x14ac:dyDescent="0.25">
      <c r="A440" s="204"/>
      <c r="J440" s="204"/>
      <c r="K440" s="204"/>
      <c r="N440" s="204"/>
      <c r="O440" s="204"/>
    </row>
    <row r="441" spans="1:15" ht="14.25" customHeight="1" x14ac:dyDescent="0.25">
      <c r="A441" s="204"/>
      <c r="J441" s="204"/>
      <c r="K441" s="204"/>
      <c r="N441" s="204"/>
      <c r="O441" s="204"/>
    </row>
    <row r="442" spans="1:15" ht="14.25" customHeight="1" x14ac:dyDescent="0.25">
      <c r="A442" s="204"/>
      <c r="J442" s="204"/>
      <c r="K442" s="204"/>
      <c r="N442" s="204"/>
      <c r="O442" s="204"/>
    </row>
    <row r="443" spans="1:15" ht="14.25" customHeight="1" x14ac:dyDescent="0.25">
      <c r="A443" s="204"/>
      <c r="J443" s="204"/>
      <c r="K443" s="204"/>
      <c r="N443" s="204"/>
      <c r="O443" s="204"/>
    </row>
    <row r="444" spans="1:15" ht="14.25" customHeight="1" x14ac:dyDescent="0.25">
      <c r="A444" s="204"/>
      <c r="J444" s="204"/>
      <c r="K444" s="204"/>
      <c r="N444" s="204"/>
      <c r="O444" s="204"/>
    </row>
    <row r="445" spans="1:15" ht="14.25" customHeight="1" x14ac:dyDescent="0.25">
      <c r="A445" s="204"/>
      <c r="J445" s="204"/>
      <c r="K445" s="204"/>
      <c r="N445" s="204"/>
      <c r="O445" s="204"/>
    </row>
    <row r="446" spans="1:15" ht="14.25" customHeight="1" x14ac:dyDescent="0.25">
      <c r="A446" s="204"/>
      <c r="J446" s="204"/>
      <c r="K446" s="204"/>
      <c r="N446" s="204"/>
      <c r="O446" s="204"/>
    </row>
    <row r="447" spans="1:15" ht="14.25" customHeight="1" x14ac:dyDescent="0.25">
      <c r="A447" s="204"/>
      <c r="J447" s="204"/>
      <c r="K447" s="204"/>
      <c r="N447" s="204"/>
      <c r="O447" s="204"/>
    </row>
    <row r="448" spans="1:15" ht="14.25" customHeight="1" x14ac:dyDescent="0.25">
      <c r="A448" s="204"/>
      <c r="J448" s="204"/>
      <c r="K448" s="204"/>
      <c r="N448" s="204"/>
      <c r="O448" s="204"/>
    </row>
    <row r="449" spans="1:15" ht="14.25" customHeight="1" x14ac:dyDescent="0.25">
      <c r="A449" s="204"/>
      <c r="J449" s="204"/>
      <c r="K449" s="204"/>
      <c r="N449" s="204"/>
      <c r="O449" s="204"/>
    </row>
    <row r="450" spans="1:15" ht="14.25" customHeight="1" x14ac:dyDescent="0.25">
      <c r="A450" s="204"/>
      <c r="J450" s="204"/>
      <c r="K450" s="204"/>
      <c r="N450" s="204"/>
      <c r="O450" s="204"/>
    </row>
    <row r="451" spans="1:15" ht="14.25" customHeight="1" x14ac:dyDescent="0.25">
      <c r="A451" s="204"/>
      <c r="J451" s="204"/>
      <c r="K451" s="204"/>
      <c r="N451" s="204"/>
      <c r="O451" s="204"/>
    </row>
    <row r="452" spans="1:15" ht="14.25" customHeight="1" x14ac:dyDescent="0.25">
      <c r="A452" s="204"/>
      <c r="J452" s="204"/>
      <c r="K452" s="204"/>
      <c r="N452" s="204"/>
      <c r="O452" s="204"/>
    </row>
    <row r="453" spans="1:15" ht="14.25" customHeight="1" x14ac:dyDescent="0.25">
      <c r="A453" s="204"/>
      <c r="J453" s="204"/>
      <c r="K453" s="204"/>
      <c r="N453" s="204"/>
      <c r="O453" s="204"/>
    </row>
    <row r="454" spans="1:15" ht="14.25" customHeight="1" x14ac:dyDescent="0.25">
      <c r="A454" s="204"/>
      <c r="J454" s="204"/>
      <c r="K454" s="204"/>
      <c r="N454" s="204"/>
      <c r="O454" s="204"/>
    </row>
    <row r="455" spans="1:15" ht="14.25" customHeight="1" x14ac:dyDescent="0.25">
      <c r="A455" s="204"/>
      <c r="J455" s="204"/>
      <c r="K455" s="204"/>
      <c r="N455" s="204"/>
      <c r="O455" s="204"/>
    </row>
    <row r="456" spans="1:15" ht="14.25" customHeight="1" x14ac:dyDescent="0.25">
      <c r="A456" s="204"/>
      <c r="J456" s="204"/>
      <c r="K456" s="204"/>
      <c r="N456" s="204"/>
      <c r="O456" s="204"/>
    </row>
    <row r="457" spans="1:15" ht="14.25" customHeight="1" x14ac:dyDescent="0.25">
      <c r="A457" s="204"/>
      <c r="J457" s="204"/>
      <c r="K457" s="204"/>
      <c r="N457" s="204"/>
      <c r="O457" s="204"/>
    </row>
    <row r="458" spans="1:15" ht="14.25" customHeight="1" x14ac:dyDescent="0.25">
      <c r="A458" s="204"/>
      <c r="J458" s="204"/>
      <c r="K458" s="204"/>
      <c r="N458" s="204"/>
      <c r="O458" s="204"/>
    </row>
    <row r="459" spans="1:15" ht="14.25" customHeight="1" x14ac:dyDescent="0.25">
      <c r="A459" s="204"/>
      <c r="J459" s="204"/>
      <c r="K459" s="204"/>
      <c r="N459" s="204"/>
      <c r="O459" s="204"/>
    </row>
    <row r="460" spans="1:15" ht="14.25" customHeight="1" x14ac:dyDescent="0.25">
      <c r="A460" s="204"/>
      <c r="J460" s="204"/>
      <c r="K460" s="204"/>
      <c r="N460" s="204"/>
      <c r="O460" s="204"/>
    </row>
    <row r="461" spans="1:15" ht="14.25" customHeight="1" x14ac:dyDescent="0.25">
      <c r="A461" s="204"/>
      <c r="J461" s="204"/>
      <c r="K461" s="204"/>
      <c r="N461" s="204"/>
      <c r="O461" s="204"/>
    </row>
    <row r="462" spans="1:15" ht="14.25" customHeight="1" x14ac:dyDescent="0.25">
      <c r="A462" s="204"/>
      <c r="J462" s="204"/>
      <c r="K462" s="204"/>
      <c r="N462" s="204"/>
      <c r="O462" s="204"/>
    </row>
    <row r="463" spans="1:15" ht="14.25" customHeight="1" x14ac:dyDescent="0.25">
      <c r="A463" s="204"/>
      <c r="J463" s="204"/>
      <c r="K463" s="204"/>
      <c r="N463" s="204"/>
      <c r="O463" s="204"/>
    </row>
    <row r="464" spans="1:15" ht="14.25" customHeight="1" x14ac:dyDescent="0.25">
      <c r="A464" s="204"/>
      <c r="J464" s="204"/>
      <c r="K464" s="204"/>
      <c r="N464" s="204"/>
      <c r="O464" s="204"/>
    </row>
    <row r="465" spans="1:15" ht="14.25" customHeight="1" x14ac:dyDescent="0.25">
      <c r="A465" s="204"/>
      <c r="J465" s="204"/>
      <c r="K465" s="204"/>
      <c r="N465" s="204"/>
      <c r="O465" s="204"/>
    </row>
    <row r="466" spans="1:15" ht="14.25" customHeight="1" x14ac:dyDescent="0.25">
      <c r="A466" s="204"/>
      <c r="J466" s="204"/>
      <c r="K466" s="204"/>
      <c r="N466" s="204"/>
      <c r="O466" s="204"/>
    </row>
    <row r="467" spans="1:15" ht="14.25" customHeight="1" x14ac:dyDescent="0.25">
      <c r="A467" s="204"/>
      <c r="J467" s="204"/>
      <c r="K467" s="204"/>
      <c r="N467" s="204"/>
      <c r="O467" s="204"/>
    </row>
    <row r="468" spans="1:15" ht="14.25" customHeight="1" x14ac:dyDescent="0.25">
      <c r="A468" s="204"/>
      <c r="J468" s="204"/>
      <c r="K468" s="204"/>
      <c r="N468" s="204"/>
      <c r="O468" s="204"/>
    </row>
    <row r="469" spans="1:15" ht="14.25" customHeight="1" x14ac:dyDescent="0.25">
      <c r="A469" s="204"/>
      <c r="J469" s="204"/>
      <c r="K469" s="204"/>
      <c r="N469" s="204"/>
      <c r="O469" s="204"/>
    </row>
    <row r="470" spans="1:15" ht="14.25" customHeight="1" x14ac:dyDescent="0.25">
      <c r="A470" s="204"/>
      <c r="J470" s="204"/>
      <c r="K470" s="204"/>
      <c r="N470" s="204"/>
      <c r="O470" s="204"/>
    </row>
    <row r="471" spans="1:15" ht="14.25" customHeight="1" x14ac:dyDescent="0.25">
      <c r="A471" s="204"/>
      <c r="J471" s="204"/>
      <c r="K471" s="204"/>
      <c r="N471" s="204"/>
      <c r="O471" s="204"/>
    </row>
    <row r="472" spans="1:15" ht="14.25" customHeight="1" x14ac:dyDescent="0.25">
      <c r="A472" s="204"/>
      <c r="J472" s="204"/>
      <c r="K472" s="204"/>
      <c r="N472" s="204"/>
      <c r="O472" s="204"/>
    </row>
    <row r="473" spans="1:15" ht="14.25" customHeight="1" x14ac:dyDescent="0.25">
      <c r="A473" s="204"/>
      <c r="J473" s="204"/>
      <c r="K473" s="204"/>
      <c r="N473" s="204"/>
      <c r="O473" s="204"/>
    </row>
    <row r="474" spans="1:15" ht="14.25" customHeight="1" x14ac:dyDescent="0.25">
      <c r="A474" s="204"/>
      <c r="J474" s="204"/>
      <c r="K474" s="204"/>
      <c r="N474" s="204"/>
      <c r="O474" s="204"/>
    </row>
    <row r="475" spans="1:15" ht="14.25" customHeight="1" x14ac:dyDescent="0.25">
      <c r="A475" s="204"/>
      <c r="J475" s="204"/>
      <c r="K475" s="204"/>
      <c r="N475" s="204"/>
      <c r="O475" s="204"/>
    </row>
    <row r="476" spans="1:15" ht="14.25" customHeight="1" x14ac:dyDescent="0.25">
      <c r="A476" s="204"/>
      <c r="J476" s="204"/>
      <c r="K476" s="204"/>
      <c r="N476" s="204"/>
      <c r="O476" s="204"/>
    </row>
    <row r="477" spans="1:15" ht="14.25" customHeight="1" x14ac:dyDescent="0.25">
      <c r="A477" s="204"/>
      <c r="J477" s="204"/>
      <c r="K477" s="204"/>
      <c r="N477" s="204"/>
      <c r="O477" s="204"/>
    </row>
    <row r="478" spans="1:15" ht="14.25" customHeight="1" x14ac:dyDescent="0.25">
      <c r="A478" s="204"/>
      <c r="J478" s="204"/>
      <c r="K478" s="204"/>
      <c r="N478" s="204"/>
      <c r="O478" s="204"/>
    </row>
    <row r="479" spans="1:15" ht="14.25" customHeight="1" x14ac:dyDescent="0.25">
      <c r="A479" s="204"/>
      <c r="J479" s="204"/>
      <c r="K479" s="204"/>
      <c r="N479" s="204"/>
      <c r="O479" s="204"/>
    </row>
    <row r="480" spans="1:15" ht="14.25" customHeight="1" x14ac:dyDescent="0.25">
      <c r="A480" s="204"/>
      <c r="J480" s="204"/>
      <c r="K480" s="204"/>
      <c r="N480" s="204"/>
      <c r="O480" s="204"/>
    </row>
    <row r="481" spans="1:15" ht="14.25" customHeight="1" x14ac:dyDescent="0.25">
      <c r="A481" s="204"/>
      <c r="J481" s="204"/>
      <c r="K481" s="204"/>
      <c r="N481" s="204"/>
      <c r="O481" s="204"/>
    </row>
    <row r="482" spans="1:15" ht="14.25" customHeight="1" x14ac:dyDescent="0.25">
      <c r="A482" s="204"/>
      <c r="J482" s="204"/>
      <c r="K482" s="204"/>
      <c r="N482" s="204"/>
      <c r="O482" s="204"/>
    </row>
    <row r="483" spans="1:15" ht="14.25" customHeight="1" x14ac:dyDescent="0.25">
      <c r="A483" s="204"/>
      <c r="J483" s="204"/>
      <c r="K483" s="204"/>
      <c r="N483" s="204"/>
      <c r="O483" s="204"/>
    </row>
    <row r="484" spans="1:15" ht="14.25" customHeight="1" x14ac:dyDescent="0.25">
      <c r="A484" s="204"/>
      <c r="J484" s="204"/>
      <c r="K484" s="204"/>
      <c r="N484" s="204"/>
      <c r="O484" s="204"/>
    </row>
    <row r="485" spans="1:15" ht="14.25" customHeight="1" x14ac:dyDescent="0.25">
      <c r="A485" s="204"/>
      <c r="J485" s="204"/>
      <c r="K485" s="204"/>
      <c r="N485" s="204"/>
      <c r="O485" s="204"/>
    </row>
    <row r="486" spans="1:15" ht="14.25" customHeight="1" x14ac:dyDescent="0.25">
      <c r="A486" s="204"/>
      <c r="J486" s="204"/>
      <c r="K486" s="204"/>
      <c r="N486" s="204"/>
      <c r="O486" s="204"/>
    </row>
    <row r="487" spans="1:15" ht="14.25" customHeight="1" x14ac:dyDescent="0.25">
      <c r="A487" s="204"/>
      <c r="J487" s="204"/>
      <c r="K487" s="204"/>
      <c r="N487" s="204"/>
      <c r="O487" s="204"/>
    </row>
    <row r="488" spans="1:15" ht="14.25" customHeight="1" x14ac:dyDescent="0.25">
      <c r="A488" s="204"/>
      <c r="J488" s="204"/>
      <c r="K488" s="204"/>
      <c r="N488" s="204"/>
      <c r="O488" s="204"/>
    </row>
    <row r="489" spans="1:15" ht="14.25" customHeight="1" x14ac:dyDescent="0.25">
      <c r="A489" s="204"/>
      <c r="J489" s="204"/>
      <c r="K489" s="204"/>
      <c r="N489" s="204"/>
      <c r="O489" s="204"/>
    </row>
    <row r="490" spans="1:15" ht="14.25" customHeight="1" x14ac:dyDescent="0.25">
      <c r="A490" s="204"/>
      <c r="J490" s="204"/>
      <c r="K490" s="204"/>
      <c r="N490" s="204"/>
      <c r="O490" s="204"/>
    </row>
    <row r="491" spans="1:15" ht="14.25" customHeight="1" x14ac:dyDescent="0.25">
      <c r="A491" s="204"/>
      <c r="J491" s="204"/>
      <c r="K491" s="204"/>
      <c r="N491" s="204"/>
      <c r="O491" s="204"/>
    </row>
    <row r="492" spans="1:15" ht="14.25" customHeight="1" x14ac:dyDescent="0.25">
      <c r="A492" s="204"/>
      <c r="J492" s="204"/>
      <c r="K492" s="204"/>
      <c r="N492" s="204"/>
      <c r="O492" s="204"/>
    </row>
    <row r="493" spans="1:15" ht="14.25" customHeight="1" x14ac:dyDescent="0.25">
      <c r="A493" s="204"/>
      <c r="J493" s="204"/>
      <c r="K493" s="204"/>
      <c r="N493" s="204"/>
      <c r="O493" s="204"/>
    </row>
    <row r="494" spans="1:15" ht="14.25" customHeight="1" x14ac:dyDescent="0.25">
      <c r="A494" s="204"/>
      <c r="J494" s="204"/>
      <c r="K494" s="204"/>
      <c r="N494" s="204"/>
      <c r="O494" s="204"/>
    </row>
    <row r="495" spans="1:15" ht="14.25" customHeight="1" x14ac:dyDescent="0.25">
      <c r="A495" s="204"/>
      <c r="J495" s="204"/>
      <c r="K495" s="204"/>
      <c r="N495" s="204"/>
      <c r="O495" s="204"/>
    </row>
    <row r="496" spans="1:15" ht="14.25" customHeight="1" x14ac:dyDescent="0.25">
      <c r="A496" s="204"/>
      <c r="J496" s="204"/>
      <c r="K496" s="204"/>
      <c r="N496" s="204"/>
      <c r="O496" s="204"/>
    </row>
    <row r="497" spans="1:15" ht="14.25" customHeight="1" x14ac:dyDescent="0.25">
      <c r="A497" s="204"/>
      <c r="J497" s="204"/>
      <c r="K497" s="204"/>
      <c r="N497" s="204"/>
      <c r="O497" s="204"/>
    </row>
    <row r="498" spans="1:15" ht="14.25" customHeight="1" x14ac:dyDescent="0.25">
      <c r="A498" s="204"/>
      <c r="J498" s="204"/>
      <c r="K498" s="204"/>
      <c r="N498" s="204"/>
      <c r="O498" s="204"/>
    </row>
    <row r="499" spans="1:15" ht="14.25" customHeight="1" x14ac:dyDescent="0.25">
      <c r="A499" s="204"/>
      <c r="J499" s="204"/>
      <c r="K499" s="204"/>
      <c r="N499" s="204"/>
      <c r="O499" s="204"/>
    </row>
    <row r="500" spans="1:15" ht="14.25" customHeight="1" x14ac:dyDescent="0.25">
      <c r="A500" s="204"/>
      <c r="J500" s="204"/>
      <c r="K500" s="204"/>
      <c r="N500" s="204"/>
      <c r="O500" s="204"/>
    </row>
    <row r="501" spans="1:15" ht="14.25" customHeight="1" x14ac:dyDescent="0.25">
      <c r="A501" s="204"/>
      <c r="J501" s="204"/>
      <c r="K501" s="204"/>
      <c r="N501" s="204"/>
      <c r="O501" s="204"/>
    </row>
    <row r="502" spans="1:15" ht="14.25" customHeight="1" x14ac:dyDescent="0.25">
      <c r="A502" s="204"/>
      <c r="J502" s="204"/>
      <c r="K502" s="204"/>
      <c r="N502" s="204"/>
      <c r="O502" s="204"/>
    </row>
    <row r="503" spans="1:15" ht="14.25" customHeight="1" x14ac:dyDescent="0.25">
      <c r="A503" s="204"/>
      <c r="J503" s="204"/>
      <c r="K503" s="204"/>
      <c r="N503" s="204"/>
      <c r="O503" s="204"/>
    </row>
    <row r="504" spans="1:15" ht="14.25" customHeight="1" x14ac:dyDescent="0.25">
      <c r="A504" s="204"/>
      <c r="J504" s="204"/>
      <c r="K504" s="204"/>
      <c r="N504" s="204"/>
      <c r="O504" s="204"/>
    </row>
    <row r="505" spans="1:15" ht="14.25" customHeight="1" x14ac:dyDescent="0.25">
      <c r="A505" s="204"/>
      <c r="J505" s="204"/>
      <c r="K505" s="204"/>
      <c r="N505" s="204"/>
      <c r="O505" s="204"/>
    </row>
    <row r="506" spans="1:15" ht="14.25" customHeight="1" x14ac:dyDescent="0.25">
      <c r="A506" s="204"/>
      <c r="J506" s="204"/>
      <c r="K506" s="204"/>
      <c r="N506" s="204"/>
      <c r="O506" s="204"/>
    </row>
    <row r="507" spans="1:15" ht="14.25" customHeight="1" x14ac:dyDescent="0.25">
      <c r="A507" s="204"/>
      <c r="J507" s="204"/>
      <c r="K507" s="204"/>
      <c r="N507" s="204"/>
      <c r="O507" s="204"/>
    </row>
    <row r="508" spans="1:15" ht="14.25" customHeight="1" x14ac:dyDescent="0.25">
      <c r="A508" s="204"/>
      <c r="J508" s="204"/>
      <c r="K508" s="204"/>
      <c r="N508" s="204"/>
      <c r="O508" s="204"/>
    </row>
    <row r="509" spans="1:15" ht="14.25" customHeight="1" x14ac:dyDescent="0.25">
      <c r="A509" s="204"/>
      <c r="J509" s="204"/>
      <c r="K509" s="204"/>
      <c r="N509" s="204"/>
      <c r="O509" s="204"/>
    </row>
    <row r="510" spans="1:15" ht="14.25" customHeight="1" x14ac:dyDescent="0.25">
      <c r="A510" s="204"/>
      <c r="J510" s="204"/>
      <c r="K510" s="204"/>
      <c r="N510" s="204"/>
      <c r="O510" s="204"/>
    </row>
    <row r="511" spans="1:15" ht="14.25" customHeight="1" x14ac:dyDescent="0.25">
      <c r="A511" s="204"/>
      <c r="J511" s="204"/>
      <c r="K511" s="204"/>
      <c r="N511" s="204"/>
      <c r="O511" s="204"/>
    </row>
    <row r="512" spans="1:15" ht="14.25" customHeight="1" x14ac:dyDescent="0.25">
      <c r="A512" s="204"/>
      <c r="J512" s="204"/>
      <c r="K512" s="204"/>
      <c r="N512" s="204"/>
      <c r="O512" s="204"/>
    </row>
    <row r="513" spans="1:15" ht="14.25" customHeight="1" x14ac:dyDescent="0.25">
      <c r="A513" s="204"/>
      <c r="J513" s="204"/>
      <c r="K513" s="204"/>
      <c r="N513" s="204"/>
      <c r="O513" s="204"/>
    </row>
    <row r="514" spans="1:15" ht="14.25" customHeight="1" x14ac:dyDescent="0.25">
      <c r="A514" s="204"/>
      <c r="J514" s="204"/>
      <c r="K514" s="204"/>
      <c r="N514" s="204"/>
      <c r="O514" s="204"/>
    </row>
    <row r="515" spans="1:15" ht="14.25" customHeight="1" x14ac:dyDescent="0.25">
      <c r="A515" s="204"/>
      <c r="J515" s="204"/>
      <c r="K515" s="204"/>
      <c r="N515" s="204"/>
      <c r="O515" s="204"/>
    </row>
    <row r="516" spans="1:15" ht="14.25" customHeight="1" x14ac:dyDescent="0.25">
      <c r="A516" s="204"/>
      <c r="J516" s="204"/>
      <c r="K516" s="204"/>
      <c r="N516" s="204"/>
      <c r="O516" s="204"/>
    </row>
    <row r="517" spans="1:15" ht="14.25" customHeight="1" x14ac:dyDescent="0.25">
      <c r="A517" s="204"/>
      <c r="J517" s="204"/>
      <c r="K517" s="204"/>
      <c r="N517" s="204"/>
      <c r="O517" s="204"/>
    </row>
    <row r="518" spans="1:15" ht="14.25" customHeight="1" x14ac:dyDescent="0.25">
      <c r="A518" s="204"/>
      <c r="J518" s="204"/>
      <c r="K518" s="204"/>
      <c r="N518" s="204"/>
      <c r="O518" s="204"/>
    </row>
    <row r="519" spans="1:15" ht="14.25" customHeight="1" x14ac:dyDescent="0.25">
      <c r="A519" s="204"/>
      <c r="J519" s="204"/>
      <c r="K519" s="204"/>
      <c r="N519" s="204"/>
      <c r="O519" s="204"/>
    </row>
    <row r="520" spans="1:15" ht="14.25" customHeight="1" x14ac:dyDescent="0.25">
      <c r="A520" s="204"/>
      <c r="J520" s="204"/>
      <c r="K520" s="204"/>
      <c r="N520" s="204"/>
      <c r="O520" s="204"/>
    </row>
    <row r="521" spans="1:15" ht="14.25" customHeight="1" x14ac:dyDescent="0.25">
      <c r="A521" s="204"/>
      <c r="J521" s="204"/>
      <c r="K521" s="204"/>
      <c r="N521" s="204"/>
      <c r="O521" s="204"/>
    </row>
    <row r="522" spans="1:15" ht="14.25" customHeight="1" x14ac:dyDescent="0.25">
      <c r="A522" s="204"/>
      <c r="J522" s="204"/>
      <c r="K522" s="204"/>
      <c r="N522" s="204"/>
      <c r="O522" s="204"/>
    </row>
    <row r="523" spans="1:15" ht="14.25" customHeight="1" x14ac:dyDescent="0.25">
      <c r="A523" s="204"/>
      <c r="J523" s="204"/>
      <c r="K523" s="204"/>
      <c r="N523" s="204"/>
      <c r="O523" s="204"/>
    </row>
    <row r="524" spans="1:15" ht="14.25" customHeight="1" x14ac:dyDescent="0.25">
      <c r="A524" s="204"/>
      <c r="J524" s="204"/>
      <c r="K524" s="204"/>
      <c r="N524" s="204"/>
      <c r="O524" s="204"/>
    </row>
    <row r="525" spans="1:15" ht="14.25" customHeight="1" x14ac:dyDescent="0.25">
      <c r="A525" s="204"/>
      <c r="J525" s="204"/>
      <c r="K525" s="204"/>
      <c r="N525" s="204"/>
      <c r="O525" s="204"/>
    </row>
    <row r="526" spans="1:15" ht="14.25" customHeight="1" x14ac:dyDescent="0.25">
      <c r="A526" s="204"/>
      <c r="J526" s="204"/>
      <c r="K526" s="204"/>
      <c r="N526" s="204"/>
      <c r="O526" s="204"/>
    </row>
    <row r="527" spans="1:15" ht="14.25" customHeight="1" x14ac:dyDescent="0.25">
      <c r="A527" s="204"/>
      <c r="J527" s="204"/>
      <c r="K527" s="204"/>
      <c r="N527" s="204"/>
      <c r="O527" s="204"/>
    </row>
    <row r="528" spans="1:15" ht="14.25" customHeight="1" x14ac:dyDescent="0.25">
      <c r="A528" s="204"/>
      <c r="J528" s="204"/>
      <c r="K528" s="204"/>
      <c r="N528" s="204"/>
      <c r="O528" s="204"/>
    </row>
    <row r="529" spans="1:15" ht="14.25" customHeight="1" x14ac:dyDescent="0.25">
      <c r="A529" s="204"/>
      <c r="J529" s="204"/>
      <c r="K529" s="204"/>
      <c r="N529" s="204"/>
      <c r="O529" s="204"/>
    </row>
    <row r="530" spans="1:15" ht="14.25" customHeight="1" x14ac:dyDescent="0.25">
      <c r="A530" s="204"/>
      <c r="J530" s="204"/>
      <c r="K530" s="204"/>
      <c r="N530" s="204"/>
      <c r="O530" s="204"/>
    </row>
    <row r="531" spans="1:15" ht="14.25" customHeight="1" x14ac:dyDescent="0.25">
      <c r="A531" s="204"/>
      <c r="J531" s="204"/>
      <c r="K531" s="204"/>
      <c r="N531" s="204"/>
      <c r="O531" s="204"/>
    </row>
    <row r="532" spans="1:15" ht="14.25" customHeight="1" x14ac:dyDescent="0.25">
      <c r="A532" s="204"/>
      <c r="J532" s="204"/>
      <c r="K532" s="204"/>
      <c r="N532" s="204"/>
      <c r="O532" s="204"/>
    </row>
    <row r="533" spans="1:15" ht="14.25" customHeight="1" x14ac:dyDescent="0.25">
      <c r="A533" s="204"/>
      <c r="J533" s="204"/>
      <c r="K533" s="204"/>
      <c r="N533" s="204"/>
      <c r="O533" s="204"/>
    </row>
    <row r="534" spans="1:15" ht="14.25" customHeight="1" x14ac:dyDescent="0.25">
      <c r="A534" s="204"/>
      <c r="J534" s="204"/>
      <c r="K534" s="204"/>
      <c r="N534" s="204"/>
      <c r="O534" s="204"/>
    </row>
    <row r="535" spans="1:15" ht="14.25" customHeight="1" x14ac:dyDescent="0.25">
      <c r="A535" s="204"/>
      <c r="J535" s="204"/>
      <c r="K535" s="204"/>
      <c r="N535" s="204"/>
      <c r="O535" s="204"/>
    </row>
    <row r="536" spans="1:15" ht="14.25" customHeight="1" x14ac:dyDescent="0.25">
      <c r="A536" s="204"/>
      <c r="J536" s="204"/>
      <c r="K536" s="204"/>
      <c r="N536" s="204"/>
      <c r="O536" s="204"/>
    </row>
    <row r="537" spans="1:15" ht="14.25" customHeight="1" x14ac:dyDescent="0.25">
      <c r="A537" s="204"/>
      <c r="J537" s="204"/>
      <c r="K537" s="204"/>
      <c r="N537" s="204"/>
      <c r="O537" s="204"/>
    </row>
    <row r="538" spans="1:15" ht="14.25" customHeight="1" x14ac:dyDescent="0.25">
      <c r="A538" s="204"/>
      <c r="J538" s="204"/>
      <c r="K538" s="204"/>
      <c r="N538" s="204"/>
      <c r="O538" s="204"/>
    </row>
    <row r="539" spans="1:15" ht="14.25" customHeight="1" x14ac:dyDescent="0.25">
      <c r="A539" s="204"/>
      <c r="J539" s="204"/>
      <c r="K539" s="204"/>
      <c r="N539" s="204"/>
      <c r="O539" s="204"/>
    </row>
    <row r="540" spans="1:15" ht="14.25" customHeight="1" x14ac:dyDescent="0.25">
      <c r="A540" s="204"/>
      <c r="J540" s="204"/>
      <c r="K540" s="204"/>
      <c r="N540" s="204"/>
      <c r="O540" s="204"/>
    </row>
    <row r="541" spans="1:15" ht="14.25" customHeight="1" x14ac:dyDescent="0.25">
      <c r="A541" s="204"/>
      <c r="J541" s="204"/>
      <c r="K541" s="204"/>
      <c r="N541" s="204"/>
      <c r="O541" s="204"/>
    </row>
    <row r="542" spans="1:15" ht="14.25" customHeight="1" x14ac:dyDescent="0.25">
      <c r="A542" s="204"/>
      <c r="J542" s="204"/>
      <c r="K542" s="204"/>
      <c r="N542" s="204"/>
      <c r="O542" s="204"/>
    </row>
    <row r="543" spans="1:15" ht="14.25" customHeight="1" x14ac:dyDescent="0.25">
      <c r="A543" s="204"/>
      <c r="J543" s="204"/>
      <c r="K543" s="204"/>
      <c r="N543" s="204"/>
      <c r="O543" s="204"/>
    </row>
    <row r="544" spans="1:15" ht="14.25" customHeight="1" x14ac:dyDescent="0.25">
      <c r="A544" s="204"/>
      <c r="J544" s="204"/>
      <c r="K544" s="204"/>
      <c r="N544" s="204"/>
      <c r="O544" s="204"/>
    </row>
    <row r="545" spans="1:15" ht="14.25" customHeight="1" x14ac:dyDescent="0.25">
      <c r="A545" s="204"/>
      <c r="J545" s="204"/>
      <c r="K545" s="204"/>
      <c r="N545" s="204"/>
      <c r="O545" s="204"/>
    </row>
    <row r="546" spans="1:15" ht="14.25" customHeight="1" x14ac:dyDescent="0.25">
      <c r="A546" s="204"/>
      <c r="J546" s="204"/>
      <c r="K546" s="204"/>
      <c r="N546" s="204"/>
      <c r="O546" s="204"/>
    </row>
    <row r="547" spans="1:15" ht="14.25" customHeight="1" x14ac:dyDescent="0.25">
      <c r="A547" s="204"/>
      <c r="J547" s="204"/>
      <c r="K547" s="204"/>
      <c r="N547" s="204"/>
      <c r="O547" s="204"/>
    </row>
    <row r="548" spans="1:15" ht="14.25" customHeight="1" x14ac:dyDescent="0.25">
      <c r="A548" s="204"/>
      <c r="J548" s="204"/>
      <c r="K548" s="204"/>
      <c r="N548" s="204"/>
      <c r="O548" s="204"/>
    </row>
    <row r="549" spans="1:15" ht="14.25" customHeight="1" x14ac:dyDescent="0.25">
      <c r="A549" s="204"/>
      <c r="J549" s="204"/>
      <c r="K549" s="204"/>
      <c r="N549" s="204"/>
      <c r="O549" s="204"/>
    </row>
    <row r="550" spans="1:15" ht="14.25" customHeight="1" x14ac:dyDescent="0.25">
      <c r="A550" s="204"/>
      <c r="J550" s="204"/>
      <c r="K550" s="204"/>
      <c r="N550" s="204"/>
      <c r="O550" s="204"/>
    </row>
    <row r="551" spans="1:15" ht="14.25" customHeight="1" x14ac:dyDescent="0.25">
      <c r="A551" s="204"/>
      <c r="J551" s="204"/>
      <c r="K551" s="204"/>
      <c r="N551" s="204"/>
      <c r="O551" s="204"/>
    </row>
    <row r="552" spans="1:15" ht="14.25" customHeight="1" x14ac:dyDescent="0.25">
      <c r="A552" s="204"/>
      <c r="J552" s="204"/>
      <c r="K552" s="204"/>
      <c r="N552" s="204"/>
      <c r="O552" s="204"/>
    </row>
    <row r="553" spans="1:15" ht="14.25" customHeight="1" x14ac:dyDescent="0.25">
      <c r="A553" s="204"/>
      <c r="J553" s="204"/>
      <c r="K553" s="204"/>
      <c r="N553" s="204"/>
      <c r="O553" s="204"/>
    </row>
    <row r="554" spans="1:15" ht="14.25" customHeight="1" x14ac:dyDescent="0.25">
      <c r="A554" s="204"/>
      <c r="J554" s="204"/>
      <c r="K554" s="204"/>
      <c r="N554" s="204"/>
      <c r="O554" s="204"/>
    </row>
    <row r="555" spans="1:15" ht="14.25" customHeight="1" x14ac:dyDescent="0.25">
      <c r="A555" s="204"/>
      <c r="J555" s="204"/>
      <c r="K555" s="204"/>
      <c r="N555" s="204"/>
      <c r="O555" s="204"/>
    </row>
    <row r="556" spans="1:15" ht="14.25" customHeight="1" x14ac:dyDescent="0.25">
      <c r="A556" s="204"/>
      <c r="J556" s="204"/>
      <c r="K556" s="204"/>
      <c r="N556" s="204"/>
      <c r="O556" s="204"/>
    </row>
    <row r="557" spans="1:15" ht="14.25" customHeight="1" x14ac:dyDescent="0.25">
      <c r="A557" s="204"/>
      <c r="J557" s="204"/>
      <c r="K557" s="204"/>
      <c r="N557" s="204"/>
      <c r="O557" s="204"/>
    </row>
    <row r="558" spans="1:15" ht="14.25" customHeight="1" x14ac:dyDescent="0.25">
      <c r="A558" s="204"/>
      <c r="J558" s="204"/>
      <c r="K558" s="204"/>
      <c r="N558" s="204"/>
      <c r="O558" s="204"/>
    </row>
    <row r="559" spans="1:15" ht="14.25" customHeight="1" x14ac:dyDescent="0.25">
      <c r="A559" s="204"/>
      <c r="J559" s="204"/>
      <c r="K559" s="204"/>
      <c r="N559" s="204"/>
      <c r="O559" s="204"/>
    </row>
    <row r="560" spans="1:15" ht="14.25" customHeight="1" x14ac:dyDescent="0.25">
      <c r="A560" s="204"/>
      <c r="J560" s="204"/>
      <c r="K560" s="204"/>
      <c r="N560" s="204"/>
      <c r="O560" s="204"/>
    </row>
    <row r="561" spans="1:15" ht="14.25" customHeight="1" x14ac:dyDescent="0.25">
      <c r="A561" s="204"/>
      <c r="J561" s="204"/>
      <c r="K561" s="204"/>
      <c r="N561" s="204"/>
      <c r="O561" s="204"/>
    </row>
    <row r="562" spans="1:15" ht="14.25" customHeight="1" x14ac:dyDescent="0.25">
      <c r="A562" s="204"/>
      <c r="J562" s="204"/>
      <c r="K562" s="204"/>
      <c r="N562" s="204"/>
      <c r="O562" s="204"/>
    </row>
    <row r="563" spans="1:15" ht="14.25" customHeight="1" x14ac:dyDescent="0.25">
      <c r="A563" s="204"/>
      <c r="J563" s="204"/>
      <c r="K563" s="204"/>
      <c r="N563" s="204"/>
      <c r="O563" s="204"/>
    </row>
    <row r="564" spans="1:15" ht="14.25" customHeight="1" x14ac:dyDescent="0.25">
      <c r="A564" s="204"/>
      <c r="J564" s="204"/>
      <c r="K564" s="204"/>
      <c r="N564" s="204"/>
      <c r="O564" s="204"/>
    </row>
    <row r="565" spans="1:15" ht="14.25" customHeight="1" x14ac:dyDescent="0.25">
      <c r="A565" s="204"/>
      <c r="J565" s="204"/>
      <c r="K565" s="204"/>
      <c r="N565" s="204"/>
      <c r="O565" s="204"/>
    </row>
    <row r="566" spans="1:15" ht="14.25" customHeight="1" x14ac:dyDescent="0.25">
      <c r="A566" s="204"/>
      <c r="J566" s="204"/>
      <c r="K566" s="204"/>
      <c r="N566" s="204"/>
      <c r="O566" s="204"/>
    </row>
    <row r="567" spans="1:15" ht="14.25" customHeight="1" x14ac:dyDescent="0.25">
      <c r="A567" s="204"/>
      <c r="J567" s="204"/>
      <c r="K567" s="204"/>
      <c r="N567" s="204"/>
      <c r="O567" s="204"/>
    </row>
    <row r="568" spans="1:15" ht="14.25" customHeight="1" x14ac:dyDescent="0.25">
      <c r="A568" s="204"/>
      <c r="J568" s="204"/>
      <c r="K568" s="204"/>
      <c r="N568" s="204"/>
      <c r="O568" s="204"/>
    </row>
    <row r="569" spans="1:15" ht="14.25" customHeight="1" x14ac:dyDescent="0.25">
      <c r="A569" s="204"/>
      <c r="J569" s="204"/>
      <c r="K569" s="204"/>
      <c r="N569" s="204"/>
      <c r="O569" s="204"/>
    </row>
    <row r="570" spans="1:15" ht="14.25" customHeight="1" x14ac:dyDescent="0.25">
      <c r="A570" s="204"/>
      <c r="J570" s="204"/>
      <c r="K570" s="204"/>
      <c r="N570" s="204"/>
      <c r="O570" s="204"/>
    </row>
    <row r="571" spans="1:15" ht="14.25" customHeight="1" x14ac:dyDescent="0.25">
      <c r="A571" s="204"/>
      <c r="J571" s="204"/>
      <c r="K571" s="204"/>
      <c r="N571" s="204"/>
      <c r="O571" s="204"/>
    </row>
    <row r="572" spans="1:15" ht="14.25" customHeight="1" x14ac:dyDescent="0.25">
      <c r="A572" s="204"/>
      <c r="J572" s="204"/>
      <c r="K572" s="204"/>
      <c r="N572" s="204"/>
      <c r="O572" s="204"/>
    </row>
    <row r="573" spans="1:15" ht="14.25" customHeight="1" x14ac:dyDescent="0.25">
      <c r="A573" s="204"/>
      <c r="J573" s="204"/>
      <c r="K573" s="204"/>
      <c r="N573" s="204"/>
      <c r="O573" s="204"/>
    </row>
    <row r="574" spans="1:15" ht="14.25" customHeight="1" x14ac:dyDescent="0.25">
      <c r="A574" s="204"/>
      <c r="J574" s="204"/>
      <c r="K574" s="204"/>
      <c r="N574" s="204"/>
      <c r="O574" s="204"/>
    </row>
    <row r="575" spans="1:15" ht="14.25" customHeight="1" x14ac:dyDescent="0.25">
      <c r="A575" s="204"/>
      <c r="J575" s="204"/>
      <c r="K575" s="204"/>
      <c r="N575" s="204"/>
      <c r="O575" s="204"/>
    </row>
    <row r="576" spans="1:15" ht="14.25" customHeight="1" x14ac:dyDescent="0.25">
      <c r="A576" s="204"/>
      <c r="J576" s="204"/>
      <c r="K576" s="204"/>
      <c r="N576" s="204"/>
      <c r="O576" s="204"/>
    </row>
    <row r="577" spans="1:15" ht="14.25" customHeight="1" x14ac:dyDescent="0.25">
      <c r="A577" s="204"/>
      <c r="J577" s="204"/>
      <c r="K577" s="204"/>
      <c r="N577" s="204"/>
      <c r="O577" s="204"/>
    </row>
    <row r="578" spans="1:15" ht="14.25" customHeight="1" x14ac:dyDescent="0.25">
      <c r="A578" s="204"/>
      <c r="J578" s="204"/>
      <c r="K578" s="204"/>
      <c r="N578" s="204"/>
      <c r="O578" s="204"/>
    </row>
    <row r="579" spans="1:15" ht="14.25" customHeight="1" x14ac:dyDescent="0.25">
      <c r="A579" s="204"/>
      <c r="J579" s="204"/>
      <c r="K579" s="204"/>
      <c r="N579" s="204"/>
      <c r="O579" s="204"/>
    </row>
    <row r="580" spans="1:15" ht="14.25" customHeight="1" x14ac:dyDescent="0.25">
      <c r="A580" s="204"/>
      <c r="J580" s="204"/>
      <c r="K580" s="204"/>
      <c r="N580" s="204"/>
      <c r="O580" s="204"/>
    </row>
    <row r="581" spans="1:15" ht="14.25" customHeight="1" x14ac:dyDescent="0.25">
      <c r="A581" s="204"/>
      <c r="J581" s="204"/>
      <c r="K581" s="204"/>
      <c r="N581" s="204"/>
      <c r="O581" s="204"/>
    </row>
    <row r="582" spans="1:15" ht="14.25" customHeight="1" x14ac:dyDescent="0.25">
      <c r="A582" s="204"/>
      <c r="J582" s="204"/>
      <c r="K582" s="204"/>
      <c r="N582" s="204"/>
      <c r="O582" s="204"/>
    </row>
    <row r="583" spans="1:15" ht="14.25" customHeight="1" x14ac:dyDescent="0.25">
      <c r="A583" s="204"/>
      <c r="J583" s="204"/>
      <c r="K583" s="204"/>
      <c r="N583" s="204"/>
      <c r="O583" s="204"/>
    </row>
    <row r="584" spans="1:15" ht="14.25" customHeight="1" x14ac:dyDescent="0.25">
      <c r="A584" s="204"/>
      <c r="J584" s="204"/>
      <c r="K584" s="204"/>
      <c r="N584" s="204"/>
      <c r="O584" s="204"/>
    </row>
    <row r="585" spans="1:15" ht="14.25" customHeight="1" x14ac:dyDescent="0.25">
      <c r="A585" s="204"/>
      <c r="J585" s="204"/>
      <c r="K585" s="204"/>
      <c r="N585" s="204"/>
      <c r="O585" s="204"/>
    </row>
    <row r="586" spans="1:15" ht="14.25" customHeight="1" x14ac:dyDescent="0.25">
      <c r="A586" s="204"/>
      <c r="J586" s="204"/>
      <c r="K586" s="204"/>
      <c r="N586" s="204"/>
      <c r="O586" s="204"/>
    </row>
    <row r="587" spans="1:15" ht="14.25" customHeight="1" x14ac:dyDescent="0.25">
      <c r="A587" s="204"/>
      <c r="J587" s="204"/>
      <c r="K587" s="204"/>
      <c r="N587" s="204"/>
      <c r="O587" s="204"/>
    </row>
    <row r="588" spans="1:15" ht="14.25" customHeight="1" x14ac:dyDescent="0.25">
      <c r="A588" s="204"/>
      <c r="J588" s="204"/>
      <c r="K588" s="204"/>
      <c r="N588" s="204"/>
      <c r="O588" s="204"/>
    </row>
    <row r="589" spans="1:15" ht="14.25" customHeight="1" x14ac:dyDescent="0.25">
      <c r="A589" s="204"/>
      <c r="J589" s="204"/>
      <c r="K589" s="204"/>
      <c r="N589" s="204"/>
      <c r="O589" s="204"/>
    </row>
    <row r="590" spans="1:15" ht="14.25" customHeight="1" x14ac:dyDescent="0.25">
      <c r="A590" s="204"/>
      <c r="J590" s="204"/>
      <c r="K590" s="204"/>
      <c r="N590" s="204"/>
      <c r="O590" s="204"/>
    </row>
    <row r="591" spans="1:15" ht="14.25" customHeight="1" x14ac:dyDescent="0.25">
      <c r="A591" s="204"/>
      <c r="J591" s="204"/>
      <c r="K591" s="204"/>
      <c r="N591" s="204"/>
      <c r="O591" s="204"/>
    </row>
    <row r="592" spans="1:15" ht="14.25" customHeight="1" x14ac:dyDescent="0.25">
      <c r="A592" s="204"/>
      <c r="J592" s="204"/>
      <c r="K592" s="204"/>
      <c r="N592" s="204"/>
      <c r="O592" s="204"/>
    </row>
    <row r="593" spans="1:15" ht="14.25" customHeight="1" x14ac:dyDescent="0.25">
      <c r="A593" s="204"/>
      <c r="J593" s="204"/>
      <c r="K593" s="204"/>
      <c r="N593" s="204"/>
      <c r="O593" s="204"/>
    </row>
    <row r="594" spans="1:15" ht="14.25" customHeight="1" x14ac:dyDescent="0.25">
      <c r="A594" s="204"/>
      <c r="J594" s="204"/>
      <c r="K594" s="204"/>
      <c r="N594" s="204"/>
      <c r="O594" s="204"/>
    </row>
    <row r="595" spans="1:15" ht="14.25" customHeight="1" x14ac:dyDescent="0.25">
      <c r="A595" s="204"/>
      <c r="J595" s="204"/>
      <c r="K595" s="204"/>
      <c r="N595" s="204"/>
      <c r="O595" s="204"/>
    </row>
    <row r="596" spans="1:15" ht="14.25" customHeight="1" x14ac:dyDescent="0.25">
      <c r="A596" s="204"/>
      <c r="J596" s="204"/>
      <c r="K596" s="204"/>
      <c r="N596" s="204"/>
      <c r="O596" s="204"/>
    </row>
    <row r="597" spans="1:15" ht="14.25" customHeight="1" x14ac:dyDescent="0.25">
      <c r="A597" s="204"/>
      <c r="J597" s="204"/>
      <c r="K597" s="204"/>
      <c r="N597" s="204"/>
      <c r="O597" s="204"/>
    </row>
    <row r="598" spans="1:15" ht="14.25" customHeight="1" x14ac:dyDescent="0.25">
      <c r="A598" s="204"/>
      <c r="J598" s="204"/>
      <c r="K598" s="204"/>
      <c r="N598" s="204"/>
      <c r="O598" s="204"/>
    </row>
    <row r="599" spans="1:15" ht="14.25" customHeight="1" x14ac:dyDescent="0.25">
      <c r="A599" s="204"/>
      <c r="J599" s="204"/>
      <c r="K599" s="204"/>
      <c r="N599" s="204"/>
      <c r="O599" s="204"/>
    </row>
    <row r="600" spans="1:15" ht="14.25" customHeight="1" x14ac:dyDescent="0.25">
      <c r="A600" s="204"/>
      <c r="J600" s="204"/>
      <c r="K600" s="204"/>
      <c r="N600" s="204"/>
      <c r="O600" s="204"/>
    </row>
    <row r="601" spans="1:15" ht="14.25" customHeight="1" x14ac:dyDescent="0.25">
      <c r="A601" s="204"/>
      <c r="J601" s="204"/>
      <c r="K601" s="204"/>
      <c r="N601" s="204"/>
      <c r="O601" s="204"/>
    </row>
    <row r="602" spans="1:15" ht="14.25" customHeight="1" x14ac:dyDescent="0.25">
      <c r="A602" s="204"/>
      <c r="J602" s="204"/>
      <c r="K602" s="204"/>
      <c r="N602" s="204"/>
      <c r="O602" s="204"/>
    </row>
    <row r="603" spans="1:15" ht="14.25" customHeight="1" x14ac:dyDescent="0.25">
      <c r="A603" s="204"/>
      <c r="J603" s="204"/>
      <c r="K603" s="204"/>
      <c r="N603" s="204"/>
      <c r="O603" s="204"/>
    </row>
    <row r="604" spans="1:15" ht="14.25" customHeight="1" x14ac:dyDescent="0.25">
      <c r="A604" s="204"/>
      <c r="J604" s="204"/>
      <c r="K604" s="204"/>
      <c r="N604" s="204"/>
      <c r="O604" s="204"/>
    </row>
    <row r="605" spans="1:15" ht="14.25" customHeight="1" x14ac:dyDescent="0.25">
      <c r="A605" s="204"/>
      <c r="J605" s="204"/>
      <c r="K605" s="204"/>
      <c r="N605" s="204"/>
      <c r="O605" s="204"/>
    </row>
    <row r="606" spans="1:15" ht="14.25" customHeight="1" x14ac:dyDescent="0.25">
      <c r="A606" s="204"/>
      <c r="J606" s="204"/>
      <c r="K606" s="204"/>
      <c r="N606" s="204"/>
      <c r="O606" s="204"/>
    </row>
    <row r="607" spans="1:15" ht="14.25" customHeight="1" x14ac:dyDescent="0.25">
      <c r="A607" s="204"/>
      <c r="J607" s="204"/>
      <c r="K607" s="204"/>
      <c r="N607" s="204"/>
      <c r="O607" s="204"/>
    </row>
    <row r="608" spans="1:15" ht="14.25" customHeight="1" x14ac:dyDescent="0.25">
      <c r="A608" s="204"/>
      <c r="J608" s="204"/>
      <c r="K608" s="204"/>
      <c r="N608" s="204"/>
      <c r="O608" s="204"/>
    </row>
    <row r="609" spans="1:15" ht="14.25" customHeight="1" x14ac:dyDescent="0.25">
      <c r="A609" s="204"/>
      <c r="J609" s="204"/>
      <c r="K609" s="204"/>
      <c r="N609" s="204"/>
      <c r="O609" s="204"/>
    </row>
    <row r="610" spans="1:15" ht="14.25" customHeight="1" x14ac:dyDescent="0.25">
      <c r="A610" s="204"/>
      <c r="J610" s="204"/>
      <c r="K610" s="204"/>
      <c r="N610" s="204"/>
      <c r="O610" s="204"/>
    </row>
    <row r="611" spans="1:15" ht="14.25" customHeight="1" x14ac:dyDescent="0.25">
      <c r="A611" s="204"/>
      <c r="J611" s="204"/>
      <c r="K611" s="204"/>
      <c r="N611" s="204"/>
      <c r="O611" s="204"/>
    </row>
    <row r="612" spans="1:15" ht="14.25" customHeight="1" x14ac:dyDescent="0.25">
      <c r="A612" s="204"/>
      <c r="J612" s="204"/>
      <c r="K612" s="204"/>
      <c r="N612" s="204"/>
      <c r="O612" s="204"/>
    </row>
    <row r="613" spans="1:15" ht="14.25" customHeight="1" x14ac:dyDescent="0.25">
      <c r="A613" s="204"/>
      <c r="J613" s="204"/>
      <c r="K613" s="204"/>
      <c r="N613" s="204"/>
      <c r="O613" s="204"/>
    </row>
    <row r="614" spans="1:15" ht="14.25" customHeight="1" x14ac:dyDescent="0.25">
      <c r="A614" s="204"/>
      <c r="J614" s="204"/>
      <c r="K614" s="204"/>
      <c r="N614" s="204"/>
      <c r="O614" s="204"/>
    </row>
    <row r="615" spans="1:15" ht="14.25" customHeight="1" x14ac:dyDescent="0.25">
      <c r="A615" s="204"/>
      <c r="J615" s="204"/>
      <c r="K615" s="204"/>
      <c r="N615" s="204"/>
      <c r="O615" s="204"/>
    </row>
    <row r="616" spans="1:15" ht="14.25" customHeight="1" x14ac:dyDescent="0.25">
      <c r="A616" s="204"/>
      <c r="J616" s="204"/>
      <c r="K616" s="204"/>
      <c r="N616" s="204"/>
      <c r="O616" s="204"/>
    </row>
    <row r="617" spans="1:15" ht="14.25" customHeight="1" x14ac:dyDescent="0.25">
      <c r="A617" s="204"/>
      <c r="J617" s="204"/>
      <c r="K617" s="204"/>
      <c r="N617" s="204"/>
      <c r="O617" s="204"/>
    </row>
    <row r="618" spans="1:15" ht="14.25" customHeight="1" x14ac:dyDescent="0.25">
      <c r="A618" s="204"/>
      <c r="J618" s="204"/>
      <c r="K618" s="204"/>
      <c r="N618" s="204"/>
      <c r="O618" s="204"/>
    </row>
    <row r="619" spans="1:15" ht="14.25" customHeight="1" x14ac:dyDescent="0.25">
      <c r="A619" s="204"/>
      <c r="J619" s="204"/>
      <c r="K619" s="204"/>
      <c r="N619" s="204"/>
      <c r="O619" s="204"/>
    </row>
    <row r="620" spans="1:15" ht="14.25" customHeight="1" x14ac:dyDescent="0.25">
      <c r="A620" s="204"/>
      <c r="J620" s="204"/>
      <c r="K620" s="204"/>
      <c r="N620" s="204"/>
      <c r="O620" s="204"/>
    </row>
    <row r="621" spans="1:15" ht="14.25" customHeight="1" x14ac:dyDescent="0.25">
      <c r="A621" s="204"/>
      <c r="J621" s="204"/>
      <c r="K621" s="204"/>
      <c r="N621" s="204"/>
      <c r="O621" s="204"/>
    </row>
    <row r="622" spans="1:15" ht="14.25" customHeight="1" x14ac:dyDescent="0.25">
      <c r="A622" s="204"/>
      <c r="J622" s="204"/>
      <c r="K622" s="204"/>
      <c r="N622" s="204"/>
      <c r="O622" s="204"/>
    </row>
    <row r="623" spans="1:15" ht="14.25" customHeight="1" x14ac:dyDescent="0.25">
      <c r="A623" s="204"/>
      <c r="J623" s="204"/>
      <c r="K623" s="204"/>
      <c r="N623" s="204"/>
      <c r="O623" s="204"/>
    </row>
    <row r="624" spans="1:15" ht="14.25" customHeight="1" x14ac:dyDescent="0.25">
      <c r="A624" s="204"/>
      <c r="J624" s="204"/>
      <c r="K624" s="204"/>
      <c r="N624" s="204"/>
      <c r="O624" s="204"/>
    </row>
    <row r="625" spans="1:15" ht="14.25" customHeight="1" x14ac:dyDescent="0.25">
      <c r="A625" s="204"/>
      <c r="J625" s="204"/>
      <c r="K625" s="204"/>
      <c r="N625" s="204"/>
      <c r="O625" s="204"/>
    </row>
    <row r="626" spans="1:15" ht="14.25" customHeight="1" x14ac:dyDescent="0.25">
      <c r="A626" s="204"/>
      <c r="J626" s="204"/>
      <c r="K626" s="204"/>
      <c r="N626" s="204"/>
      <c r="O626" s="204"/>
    </row>
    <row r="627" spans="1:15" ht="14.25" customHeight="1" x14ac:dyDescent="0.25">
      <c r="A627" s="204"/>
      <c r="J627" s="204"/>
      <c r="K627" s="204"/>
      <c r="N627" s="204"/>
      <c r="O627" s="204"/>
    </row>
    <row r="628" spans="1:15" ht="14.25" customHeight="1" x14ac:dyDescent="0.25">
      <c r="A628" s="204"/>
      <c r="J628" s="204"/>
      <c r="K628" s="204"/>
      <c r="N628" s="204"/>
      <c r="O628" s="204"/>
    </row>
    <row r="629" spans="1:15" ht="14.25" customHeight="1" x14ac:dyDescent="0.25">
      <c r="A629" s="204"/>
      <c r="J629" s="204"/>
      <c r="K629" s="204"/>
      <c r="N629" s="204"/>
      <c r="O629" s="204"/>
    </row>
    <row r="630" spans="1:15" ht="14.25" customHeight="1" x14ac:dyDescent="0.25">
      <c r="A630" s="204"/>
      <c r="J630" s="204"/>
      <c r="K630" s="204"/>
      <c r="N630" s="204"/>
      <c r="O630" s="204"/>
    </row>
    <row r="631" spans="1:15" ht="14.25" customHeight="1" x14ac:dyDescent="0.25">
      <c r="A631" s="204"/>
      <c r="J631" s="204"/>
      <c r="K631" s="204"/>
      <c r="N631" s="204"/>
      <c r="O631" s="204"/>
    </row>
    <row r="632" spans="1:15" ht="14.25" customHeight="1" x14ac:dyDescent="0.25">
      <c r="A632" s="204"/>
      <c r="J632" s="204"/>
      <c r="K632" s="204"/>
      <c r="N632" s="204"/>
      <c r="O632" s="204"/>
    </row>
    <row r="633" spans="1:15" ht="14.25" customHeight="1" x14ac:dyDescent="0.25">
      <c r="A633" s="204"/>
      <c r="J633" s="204"/>
      <c r="K633" s="204"/>
      <c r="N633" s="204"/>
      <c r="O633" s="204"/>
    </row>
    <row r="634" spans="1:15" ht="14.25" customHeight="1" x14ac:dyDescent="0.25">
      <c r="A634" s="204"/>
      <c r="J634" s="204"/>
      <c r="K634" s="204"/>
      <c r="N634" s="204"/>
      <c r="O634" s="204"/>
    </row>
    <row r="635" spans="1:15" ht="14.25" customHeight="1" x14ac:dyDescent="0.25">
      <c r="A635" s="204"/>
      <c r="J635" s="204"/>
      <c r="K635" s="204"/>
      <c r="N635" s="204"/>
      <c r="O635" s="204"/>
    </row>
    <row r="636" spans="1:15" ht="14.25" customHeight="1" x14ac:dyDescent="0.25">
      <c r="A636" s="204"/>
      <c r="J636" s="204"/>
      <c r="K636" s="204"/>
      <c r="N636" s="204"/>
      <c r="O636" s="204"/>
    </row>
    <row r="637" spans="1:15" ht="14.25" customHeight="1" x14ac:dyDescent="0.25">
      <c r="A637" s="204"/>
      <c r="J637" s="204"/>
      <c r="K637" s="204"/>
      <c r="N637" s="204"/>
      <c r="O637" s="204"/>
    </row>
    <row r="638" spans="1:15" ht="14.25" customHeight="1" x14ac:dyDescent="0.25">
      <c r="A638" s="204"/>
      <c r="J638" s="204"/>
      <c r="K638" s="204"/>
      <c r="N638" s="204"/>
      <c r="O638" s="204"/>
    </row>
    <row r="639" spans="1:15" ht="14.25" customHeight="1" x14ac:dyDescent="0.25">
      <c r="A639" s="204"/>
      <c r="J639" s="204"/>
      <c r="K639" s="204"/>
      <c r="N639" s="204"/>
      <c r="O639" s="204"/>
    </row>
    <row r="640" spans="1:15" ht="14.25" customHeight="1" x14ac:dyDescent="0.25">
      <c r="A640" s="204"/>
      <c r="J640" s="204"/>
      <c r="K640" s="204"/>
      <c r="N640" s="204"/>
      <c r="O640" s="204"/>
    </row>
    <row r="641" spans="1:15" ht="14.25" customHeight="1" x14ac:dyDescent="0.25">
      <c r="A641" s="204"/>
      <c r="J641" s="204"/>
      <c r="K641" s="204"/>
      <c r="N641" s="204"/>
      <c r="O641" s="204"/>
    </row>
    <row r="642" spans="1:15" ht="14.25" customHeight="1" x14ac:dyDescent="0.25">
      <c r="A642" s="204"/>
      <c r="J642" s="204"/>
      <c r="K642" s="204"/>
      <c r="N642" s="204"/>
      <c r="O642" s="204"/>
    </row>
    <row r="643" spans="1:15" ht="14.25" customHeight="1" x14ac:dyDescent="0.25">
      <c r="A643" s="204"/>
      <c r="J643" s="204"/>
      <c r="K643" s="204"/>
      <c r="N643" s="204"/>
      <c r="O643" s="204"/>
    </row>
    <row r="644" spans="1:15" ht="14.25" customHeight="1" x14ac:dyDescent="0.25">
      <c r="A644" s="204"/>
      <c r="J644" s="204"/>
      <c r="K644" s="204"/>
      <c r="N644" s="204"/>
      <c r="O644" s="204"/>
    </row>
    <row r="645" spans="1:15" ht="14.25" customHeight="1" x14ac:dyDescent="0.25">
      <c r="A645" s="204"/>
      <c r="J645" s="204"/>
      <c r="K645" s="204"/>
      <c r="N645" s="204"/>
      <c r="O645" s="204"/>
    </row>
    <row r="646" spans="1:15" ht="14.25" customHeight="1" x14ac:dyDescent="0.25">
      <c r="A646" s="204"/>
      <c r="J646" s="204"/>
      <c r="K646" s="204"/>
      <c r="N646" s="204"/>
      <c r="O646" s="204"/>
    </row>
    <row r="647" spans="1:15" ht="14.25" customHeight="1" x14ac:dyDescent="0.25">
      <c r="A647" s="204"/>
      <c r="J647" s="204"/>
      <c r="K647" s="204"/>
      <c r="N647" s="204"/>
      <c r="O647" s="204"/>
    </row>
    <row r="648" spans="1:15" ht="14.25" customHeight="1" x14ac:dyDescent="0.25">
      <c r="A648" s="204"/>
      <c r="J648" s="204"/>
      <c r="K648" s="204"/>
      <c r="N648" s="204"/>
      <c r="O648" s="204"/>
    </row>
    <row r="649" spans="1:15" ht="14.25" customHeight="1" x14ac:dyDescent="0.25">
      <c r="A649" s="204"/>
      <c r="J649" s="204"/>
      <c r="K649" s="204"/>
      <c r="N649" s="204"/>
      <c r="O649" s="204"/>
    </row>
    <row r="650" spans="1:15" ht="14.25" customHeight="1" x14ac:dyDescent="0.25">
      <c r="A650" s="204"/>
      <c r="J650" s="204"/>
      <c r="K650" s="204"/>
      <c r="N650" s="204"/>
      <c r="O650" s="204"/>
    </row>
    <row r="651" spans="1:15" ht="14.25" customHeight="1" x14ac:dyDescent="0.25">
      <c r="A651" s="204"/>
      <c r="J651" s="204"/>
      <c r="K651" s="204"/>
      <c r="N651" s="204"/>
      <c r="O651" s="204"/>
    </row>
    <row r="652" spans="1:15" ht="14.25" customHeight="1" x14ac:dyDescent="0.25">
      <c r="A652" s="204"/>
      <c r="J652" s="204"/>
      <c r="K652" s="204"/>
      <c r="N652" s="204"/>
      <c r="O652" s="204"/>
    </row>
    <row r="653" spans="1:15" ht="14.25" customHeight="1" x14ac:dyDescent="0.25">
      <c r="A653" s="204"/>
      <c r="J653" s="204"/>
      <c r="K653" s="204"/>
      <c r="N653" s="204"/>
      <c r="O653" s="204"/>
    </row>
    <row r="654" spans="1:15" ht="14.25" customHeight="1" x14ac:dyDescent="0.25">
      <c r="A654" s="204"/>
      <c r="J654" s="204"/>
      <c r="K654" s="204"/>
      <c r="N654" s="204"/>
      <c r="O654" s="204"/>
    </row>
    <row r="655" spans="1:15" ht="14.25" customHeight="1" x14ac:dyDescent="0.25">
      <c r="A655" s="204"/>
      <c r="J655" s="204"/>
      <c r="K655" s="204"/>
      <c r="N655" s="204"/>
      <c r="O655" s="204"/>
    </row>
    <row r="656" spans="1:15" ht="14.25" customHeight="1" x14ac:dyDescent="0.25">
      <c r="A656" s="204"/>
      <c r="J656" s="204"/>
      <c r="K656" s="204"/>
      <c r="N656" s="204"/>
      <c r="O656" s="204"/>
    </row>
    <row r="657" spans="1:15" ht="14.25" customHeight="1" x14ac:dyDescent="0.25">
      <c r="A657" s="204"/>
      <c r="J657" s="204"/>
      <c r="K657" s="204"/>
      <c r="N657" s="204"/>
      <c r="O657" s="204"/>
    </row>
    <row r="658" spans="1:15" ht="14.25" customHeight="1" x14ac:dyDescent="0.25">
      <c r="A658" s="204"/>
      <c r="J658" s="204"/>
      <c r="K658" s="204"/>
      <c r="N658" s="204"/>
      <c r="O658" s="204"/>
    </row>
    <row r="659" spans="1:15" ht="14.25" customHeight="1" x14ac:dyDescent="0.25">
      <c r="A659" s="204"/>
      <c r="J659" s="204"/>
      <c r="K659" s="204"/>
      <c r="N659" s="204"/>
      <c r="O659" s="204"/>
    </row>
    <row r="660" spans="1:15" ht="14.25" customHeight="1" x14ac:dyDescent="0.25">
      <c r="A660" s="204"/>
      <c r="J660" s="204"/>
      <c r="K660" s="204"/>
      <c r="N660" s="204"/>
      <c r="O660" s="204"/>
    </row>
    <row r="661" spans="1:15" ht="14.25" customHeight="1" x14ac:dyDescent="0.25">
      <c r="A661" s="204"/>
      <c r="J661" s="204"/>
      <c r="K661" s="204"/>
      <c r="N661" s="204"/>
      <c r="O661" s="204"/>
    </row>
    <row r="662" spans="1:15" ht="14.25" customHeight="1" x14ac:dyDescent="0.25">
      <c r="A662" s="204"/>
      <c r="J662" s="204"/>
      <c r="K662" s="204"/>
      <c r="N662" s="204"/>
      <c r="O662" s="204"/>
    </row>
    <row r="663" spans="1:15" ht="14.25" customHeight="1" x14ac:dyDescent="0.25">
      <c r="A663" s="204"/>
      <c r="J663" s="204"/>
      <c r="K663" s="204"/>
      <c r="N663" s="204"/>
      <c r="O663" s="204"/>
    </row>
    <row r="664" spans="1:15" ht="14.25" customHeight="1" x14ac:dyDescent="0.25">
      <c r="A664" s="204"/>
      <c r="J664" s="204"/>
      <c r="K664" s="204"/>
      <c r="N664" s="204"/>
      <c r="O664" s="204"/>
    </row>
    <row r="665" spans="1:15" ht="14.25" customHeight="1" x14ac:dyDescent="0.25">
      <c r="A665" s="204"/>
      <c r="J665" s="204"/>
      <c r="K665" s="204"/>
      <c r="N665" s="204"/>
      <c r="O665" s="204"/>
    </row>
    <row r="666" spans="1:15" ht="14.25" customHeight="1" x14ac:dyDescent="0.25">
      <c r="A666" s="204"/>
      <c r="J666" s="204"/>
      <c r="K666" s="204"/>
      <c r="N666" s="204"/>
      <c r="O666" s="204"/>
    </row>
    <row r="667" spans="1:15" ht="14.25" customHeight="1" x14ac:dyDescent="0.25">
      <c r="A667" s="204"/>
      <c r="J667" s="204"/>
      <c r="K667" s="204"/>
      <c r="N667" s="204"/>
      <c r="O667" s="204"/>
    </row>
    <row r="668" spans="1:15" ht="14.25" customHeight="1" x14ac:dyDescent="0.25">
      <c r="A668" s="204"/>
      <c r="J668" s="204"/>
      <c r="K668" s="204"/>
      <c r="N668" s="204"/>
      <c r="O668" s="204"/>
    </row>
    <row r="669" spans="1:15" ht="14.25" customHeight="1" x14ac:dyDescent="0.25">
      <c r="A669" s="204"/>
      <c r="J669" s="204"/>
      <c r="K669" s="204"/>
      <c r="N669" s="204"/>
      <c r="O669" s="204"/>
    </row>
    <row r="670" spans="1:15" ht="14.25" customHeight="1" x14ac:dyDescent="0.25">
      <c r="A670" s="204"/>
      <c r="J670" s="204"/>
      <c r="K670" s="204"/>
      <c r="N670" s="204"/>
      <c r="O670" s="204"/>
    </row>
    <row r="671" spans="1:15" ht="14.25" customHeight="1" x14ac:dyDescent="0.25">
      <c r="A671" s="204"/>
      <c r="J671" s="204"/>
      <c r="K671" s="204"/>
      <c r="N671" s="204"/>
      <c r="O671" s="204"/>
    </row>
    <row r="672" spans="1:15" ht="14.25" customHeight="1" x14ac:dyDescent="0.25">
      <c r="A672" s="204"/>
      <c r="J672" s="204"/>
      <c r="K672" s="204"/>
      <c r="N672" s="204"/>
      <c r="O672" s="204"/>
    </row>
    <row r="673" spans="1:15" ht="14.25" customHeight="1" x14ac:dyDescent="0.25">
      <c r="A673" s="204"/>
      <c r="J673" s="204"/>
      <c r="K673" s="204"/>
      <c r="N673" s="204"/>
      <c r="O673" s="204"/>
    </row>
    <row r="674" spans="1:15" ht="14.25" customHeight="1" x14ac:dyDescent="0.25">
      <c r="A674" s="204"/>
      <c r="J674" s="204"/>
      <c r="K674" s="204"/>
      <c r="N674" s="204"/>
      <c r="O674" s="204"/>
    </row>
    <row r="675" spans="1:15" ht="14.25" customHeight="1" x14ac:dyDescent="0.25">
      <c r="A675" s="204"/>
      <c r="J675" s="204"/>
      <c r="K675" s="204"/>
      <c r="N675" s="204"/>
      <c r="O675" s="204"/>
    </row>
    <row r="676" spans="1:15" ht="14.25" customHeight="1" x14ac:dyDescent="0.25">
      <c r="A676" s="204"/>
      <c r="J676" s="204"/>
      <c r="K676" s="204"/>
      <c r="N676" s="204"/>
      <c r="O676" s="204"/>
    </row>
    <row r="677" spans="1:15" ht="14.25" customHeight="1" x14ac:dyDescent="0.25">
      <c r="A677" s="204"/>
      <c r="J677" s="204"/>
      <c r="K677" s="204"/>
      <c r="N677" s="204"/>
      <c r="O677" s="204"/>
    </row>
    <row r="678" spans="1:15" ht="14.25" customHeight="1" x14ac:dyDescent="0.25">
      <c r="A678" s="204"/>
      <c r="J678" s="204"/>
      <c r="K678" s="204"/>
      <c r="N678" s="204"/>
      <c r="O678" s="204"/>
    </row>
    <row r="679" spans="1:15" ht="14.25" customHeight="1" x14ac:dyDescent="0.25">
      <c r="A679" s="204"/>
      <c r="J679" s="204"/>
      <c r="K679" s="204"/>
      <c r="N679" s="204"/>
      <c r="O679" s="204"/>
    </row>
    <row r="680" spans="1:15" ht="14.25" customHeight="1" x14ac:dyDescent="0.25">
      <c r="A680" s="204"/>
      <c r="J680" s="204"/>
      <c r="K680" s="204"/>
      <c r="N680" s="204"/>
      <c r="O680" s="204"/>
    </row>
    <row r="681" spans="1:15" ht="14.25" customHeight="1" x14ac:dyDescent="0.25">
      <c r="A681" s="204"/>
      <c r="J681" s="204"/>
      <c r="K681" s="204"/>
      <c r="N681" s="204"/>
      <c r="O681" s="204"/>
    </row>
    <row r="682" spans="1:15" ht="14.25" customHeight="1" x14ac:dyDescent="0.25">
      <c r="A682" s="204"/>
      <c r="J682" s="204"/>
      <c r="K682" s="204"/>
      <c r="N682" s="204"/>
      <c r="O682" s="204"/>
    </row>
    <row r="683" spans="1:15" ht="14.25" customHeight="1" x14ac:dyDescent="0.25">
      <c r="A683" s="204"/>
      <c r="J683" s="204"/>
      <c r="K683" s="204"/>
      <c r="N683" s="204"/>
      <c r="O683" s="204"/>
    </row>
    <row r="684" spans="1:15" ht="14.25" customHeight="1" x14ac:dyDescent="0.25">
      <c r="A684" s="204"/>
      <c r="J684" s="204"/>
      <c r="K684" s="204"/>
      <c r="N684" s="204"/>
      <c r="O684" s="204"/>
    </row>
    <row r="685" spans="1:15" ht="14.25" customHeight="1" x14ac:dyDescent="0.25">
      <c r="A685" s="204"/>
      <c r="J685" s="204"/>
      <c r="K685" s="204"/>
      <c r="N685" s="204"/>
      <c r="O685" s="204"/>
    </row>
    <row r="686" spans="1:15" ht="14.25" customHeight="1" x14ac:dyDescent="0.25">
      <c r="A686" s="204"/>
      <c r="J686" s="204"/>
      <c r="K686" s="204"/>
      <c r="N686" s="204"/>
      <c r="O686" s="204"/>
    </row>
    <row r="687" spans="1:15" ht="14.25" customHeight="1" x14ac:dyDescent="0.25">
      <c r="A687" s="204"/>
      <c r="J687" s="204"/>
      <c r="K687" s="204"/>
      <c r="N687" s="204"/>
      <c r="O687" s="204"/>
    </row>
    <row r="688" spans="1:15" ht="14.25" customHeight="1" x14ac:dyDescent="0.25">
      <c r="A688" s="204"/>
      <c r="J688" s="204"/>
      <c r="K688" s="204"/>
      <c r="N688" s="204"/>
      <c r="O688" s="204"/>
    </row>
    <row r="689" spans="1:15" ht="14.25" customHeight="1" x14ac:dyDescent="0.25">
      <c r="A689" s="204"/>
      <c r="J689" s="204"/>
      <c r="K689" s="204"/>
      <c r="N689" s="204"/>
      <c r="O689" s="204"/>
    </row>
    <row r="690" spans="1:15" ht="14.25" customHeight="1" x14ac:dyDescent="0.25">
      <c r="A690" s="204"/>
      <c r="J690" s="204"/>
      <c r="K690" s="204"/>
      <c r="N690" s="204"/>
      <c r="O690" s="204"/>
    </row>
    <row r="691" spans="1:15" ht="14.25" customHeight="1" x14ac:dyDescent="0.25">
      <c r="A691" s="204"/>
      <c r="J691" s="204"/>
      <c r="K691" s="204"/>
      <c r="N691" s="204"/>
      <c r="O691" s="204"/>
    </row>
    <row r="692" spans="1:15" ht="14.25" customHeight="1" x14ac:dyDescent="0.25">
      <c r="A692" s="204"/>
      <c r="J692" s="204"/>
      <c r="K692" s="204"/>
      <c r="N692" s="204"/>
      <c r="O692" s="204"/>
    </row>
    <row r="693" spans="1:15" ht="14.25" customHeight="1" x14ac:dyDescent="0.25">
      <c r="A693" s="204"/>
      <c r="J693" s="204"/>
      <c r="K693" s="204"/>
      <c r="N693" s="204"/>
      <c r="O693" s="204"/>
    </row>
    <row r="694" spans="1:15" ht="14.25" customHeight="1" x14ac:dyDescent="0.25">
      <c r="A694" s="204"/>
      <c r="J694" s="204"/>
      <c r="K694" s="204"/>
      <c r="N694" s="204"/>
      <c r="O694" s="204"/>
    </row>
    <row r="695" spans="1:15" ht="14.25" customHeight="1" x14ac:dyDescent="0.25">
      <c r="A695" s="204"/>
      <c r="J695" s="204"/>
      <c r="K695" s="204"/>
      <c r="N695" s="204"/>
      <c r="O695" s="204"/>
    </row>
    <row r="696" spans="1:15" ht="14.25" customHeight="1" x14ac:dyDescent="0.25">
      <c r="A696" s="204"/>
      <c r="J696" s="204"/>
      <c r="K696" s="204"/>
      <c r="N696" s="204"/>
      <c r="O696" s="204"/>
    </row>
    <row r="697" spans="1:15" ht="14.25" customHeight="1" x14ac:dyDescent="0.25">
      <c r="A697" s="204"/>
      <c r="J697" s="204"/>
      <c r="K697" s="204"/>
      <c r="N697" s="204"/>
      <c r="O697" s="204"/>
    </row>
    <row r="698" spans="1:15" ht="14.25" customHeight="1" x14ac:dyDescent="0.25">
      <c r="A698" s="204"/>
      <c r="J698" s="204"/>
      <c r="K698" s="204"/>
      <c r="N698" s="204"/>
      <c r="O698" s="204"/>
    </row>
    <row r="699" spans="1:15" ht="14.25" customHeight="1" x14ac:dyDescent="0.25">
      <c r="A699" s="204"/>
      <c r="J699" s="204"/>
      <c r="K699" s="204"/>
      <c r="N699" s="204"/>
      <c r="O699" s="204"/>
    </row>
    <row r="700" spans="1:15" ht="14.25" customHeight="1" x14ac:dyDescent="0.25">
      <c r="A700" s="204"/>
      <c r="J700" s="204"/>
      <c r="K700" s="204"/>
      <c r="N700" s="204"/>
      <c r="O700" s="204"/>
    </row>
    <row r="701" spans="1:15" ht="14.25" customHeight="1" x14ac:dyDescent="0.25">
      <c r="A701" s="204"/>
      <c r="J701" s="204"/>
      <c r="K701" s="204"/>
      <c r="N701" s="204"/>
      <c r="O701" s="204"/>
    </row>
    <row r="702" spans="1:15" ht="14.25" customHeight="1" x14ac:dyDescent="0.25">
      <c r="A702" s="204"/>
      <c r="J702" s="204"/>
      <c r="K702" s="204"/>
      <c r="N702" s="204"/>
      <c r="O702" s="204"/>
    </row>
    <row r="703" spans="1:15" ht="14.25" customHeight="1" x14ac:dyDescent="0.25">
      <c r="A703" s="204"/>
      <c r="J703" s="204"/>
      <c r="K703" s="204"/>
      <c r="N703" s="204"/>
      <c r="O703" s="204"/>
    </row>
    <row r="704" spans="1:15" ht="14.25" customHeight="1" x14ac:dyDescent="0.25">
      <c r="A704" s="204"/>
      <c r="J704" s="204"/>
      <c r="K704" s="204"/>
      <c r="N704" s="204"/>
      <c r="O704" s="204"/>
    </row>
    <row r="705" spans="1:15" ht="14.25" customHeight="1" x14ac:dyDescent="0.25">
      <c r="A705" s="204"/>
      <c r="J705" s="204"/>
      <c r="K705" s="204"/>
      <c r="N705" s="204"/>
      <c r="O705" s="204"/>
    </row>
    <row r="706" spans="1:15" ht="14.25" customHeight="1" x14ac:dyDescent="0.25">
      <c r="A706" s="204"/>
      <c r="J706" s="204"/>
      <c r="K706" s="204"/>
      <c r="N706" s="204"/>
      <c r="O706" s="204"/>
    </row>
    <row r="707" spans="1:15" ht="14.25" customHeight="1" x14ac:dyDescent="0.25">
      <c r="A707" s="204"/>
      <c r="J707" s="204"/>
      <c r="K707" s="204"/>
      <c r="N707" s="204"/>
      <c r="O707" s="204"/>
    </row>
    <row r="708" spans="1:15" ht="14.25" customHeight="1" x14ac:dyDescent="0.25">
      <c r="A708" s="204"/>
      <c r="J708" s="204"/>
      <c r="K708" s="204"/>
      <c r="N708" s="204"/>
      <c r="O708" s="204"/>
    </row>
    <row r="709" spans="1:15" ht="14.25" customHeight="1" x14ac:dyDescent="0.25">
      <c r="A709" s="204"/>
      <c r="J709" s="204"/>
      <c r="K709" s="204"/>
      <c r="N709" s="204"/>
      <c r="O709" s="204"/>
    </row>
    <row r="710" spans="1:15" ht="14.25" customHeight="1" x14ac:dyDescent="0.25">
      <c r="A710" s="204"/>
      <c r="J710" s="204"/>
      <c r="K710" s="204"/>
      <c r="N710" s="204"/>
      <c r="O710" s="204"/>
    </row>
    <row r="711" spans="1:15" ht="14.25" customHeight="1" x14ac:dyDescent="0.25">
      <c r="A711" s="204"/>
      <c r="J711" s="204"/>
      <c r="K711" s="204"/>
      <c r="N711" s="204"/>
      <c r="O711" s="204"/>
    </row>
    <row r="712" spans="1:15" ht="14.25" customHeight="1" x14ac:dyDescent="0.25">
      <c r="A712" s="204"/>
      <c r="J712" s="204"/>
      <c r="K712" s="204"/>
      <c r="N712" s="204"/>
      <c r="O712" s="204"/>
    </row>
    <row r="713" spans="1:15" ht="14.25" customHeight="1" x14ac:dyDescent="0.25">
      <c r="A713" s="204"/>
      <c r="J713" s="204"/>
      <c r="K713" s="204"/>
      <c r="N713" s="204"/>
      <c r="O713" s="204"/>
    </row>
    <row r="714" spans="1:15" ht="14.25" customHeight="1" x14ac:dyDescent="0.25">
      <c r="A714" s="204"/>
      <c r="J714" s="204"/>
      <c r="K714" s="204"/>
      <c r="N714" s="204"/>
      <c r="O714" s="204"/>
    </row>
    <row r="715" spans="1:15" ht="14.25" customHeight="1" x14ac:dyDescent="0.25">
      <c r="A715" s="204"/>
      <c r="J715" s="204"/>
      <c r="K715" s="204"/>
      <c r="N715" s="204"/>
      <c r="O715" s="204"/>
    </row>
    <row r="716" spans="1:15" ht="14.25" customHeight="1" x14ac:dyDescent="0.25">
      <c r="A716" s="204"/>
      <c r="J716" s="204"/>
      <c r="K716" s="204"/>
      <c r="N716" s="204"/>
      <c r="O716" s="204"/>
    </row>
    <row r="717" spans="1:15" ht="14.25" customHeight="1" x14ac:dyDescent="0.25">
      <c r="A717" s="204"/>
      <c r="J717" s="204"/>
      <c r="K717" s="204"/>
      <c r="N717" s="204"/>
      <c r="O717" s="204"/>
    </row>
    <row r="718" spans="1:15" ht="14.25" customHeight="1" x14ac:dyDescent="0.25">
      <c r="A718" s="204"/>
      <c r="J718" s="204"/>
      <c r="K718" s="204"/>
      <c r="N718" s="204"/>
      <c r="O718" s="204"/>
    </row>
    <row r="719" spans="1:15" ht="14.25" customHeight="1" x14ac:dyDescent="0.25">
      <c r="A719" s="204"/>
      <c r="J719" s="204"/>
      <c r="K719" s="204"/>
      <c r="N719" s="204"/>
      <c r="O719" s="204"/>
    </row>
    <row r="720" spans="1:15" ht="14.25" customHeight="1" x14ac:dyDescent="0.25">
      <c r="A720" s="204"/>
      <c r="J720" s="204"/>
      <c r="K720" s="204"/>
      <c r="N720" s="204"/>
      <c r="O720" s="204"/>
    </row>
    <row r="721" spans="1:15" ht="14.25" customHeight="1" x14ac:dyDescent="0.25">
      <c r="A721" s="204"/>
      <c r="J721" s="204"/>
      <c r="K721" s="204"/>
      <c r="N721" s="204"/>
      <c r="O721" s="204"/>
    </row>
    <row r="722" spans="1:15" ht="14.25" customHeight="1" x14ac:dyDescent="0.25">
      <c r="A722" s="204"/>
      <c r="J722" s="204"/>
      <c r="K722" s="204"/>
      <c r="N722" s="204"/>
      <c r="O722" s="204"/>
    </row>
    <row r="723" spans="1:15" ht="14.25" customHeight="1" x14ac:dyDescent="0.25">
      <c r="A723" s="204"/>
      <c r="J723" s="204"/>
      <c r="K723" s="204"/>
      <c r="N723" s="204"/>
      <c r="O723" s="204"/>
    </row>
    <row r="724" spans="1:15" ht="14.25" customHeight="1" x14ac:dyDescent="0.25">
      <c r="A724" s="204"/>
      <c r="J724" s="204"/>
      <c r="K724" s="204"/>
      <c r="N724" s="204"/>
      <c r="O724" s="204"/>
    </row>
    <row r="725" spans="1:15" ht="14.25" customHeight="1" x14ac:dyDescent="0.25">
      <c r="A725" s="204"/>
      <c r="J725" s="204"/>
      <c r="K725" s="204"/>
      <c r="N725" s="204"/>
      <c r="O725" s="204"/>
    </row>
    <row r="726" spans="1:15" ht="14.25" customHeight="1" x14ac:dyDescent="0.25">
      <c r="A726" s="204"/>
      <c r="J726" s="204"/>
      <c r="K726" s="204"/>
      <c r="N726" s="204"/>
      <c r="O726" s="204"/>
    </row>
    <row r="727" spans="1:15" ht="14.25" customHeight="1" x14ac:dyDescent="0.25">
      <c r="A727" s="204"/>
      <c r="J727" s="204"/>
      <c r="K727" s="204"/>
      <c r="N727" s="204"/>
      <c r="O727" s="204"/>
    </row>
    <row r="728" spans="1:15" ht="14.25" customHeight="1" x14ac:dyDescent="0.25">
      <c r="A728" s="204"/>
      <c r="J728" s="204"/>
      <c r="K728" s="204"/>
      <c r="N728" s="204"/>
      <c r="O728" s="204"/>
    </row>
    <row r="729" spans="1:15" ht="14.25" customHeight="1" x14ac:dyDescent="0.25">
      <c r="A729" s="204"/>
      <c r="J729" s="204"/>
      <c r="K729" s="204"/>
      <c r="N729" s="204"/>
      <c r="O729" s="204"/>
    </row>
    <row r="730" spans="1:15" ht="14.25" customHeight="1" x14ac:dyDescent="0.25">
      <c r="A730" s="204"/>
      <c r="J730" s="204"/>
      <c r="K730" s="204"/>
      <c r="N730" s="204"/>
      <c r="O730" s="204"/>
    </row>
    <row r="731" spans="1:15" ht="14.25" customHeight="1" x14ac:dyDescent="0.25">
      <c r="A731" s="204"/>
      <c r="J731" s="204"/>
      <c r="K731" s="204"/>
      <c r="N731" s="204"/>
      <c r="O731" s="204"/>
    </row>
    <row r="732" spans="1:15" ht="14.25" customHeight="1" x14ac:dyDescent="0.25">
      <c r="A732" s="204"/>
      <c r="J732" s="204"/>
      <c r="K732" s="204"/>
      <c r="N732" s="204"/>
      <c r="O732" s="204"/>
    </row>
    <row r="733" spans="1:15" ht="14.25" customHeight="1" x14ac:dyDescent="0.25">
      <c r="A733" s="204"/>
      <c r="J733" s="204"/>
      <c r="K733" s="204"/>
      <c r="N733" s="204"/>
      <c r="O733" s="204"/>
    </row>
    <row r="734" spans="1:15" ht="14.25" customHeight="1" x14ac:dyDescent="0.25">
      <c r="A734" s="204"/>
      <c r="J734" s="204"/>
      <c r="K734" s="204"/>
      <c r="N734" s="204"/>
      <c r="O734" s="204"/>
    </row>
    <row r="735" spans="1:15" ht="14.25" customHeight="1" x14ac:dyDescent="0.25">
      <c r="A735" s="204"/>
      <c r="J735" s="204"/>
      <c r="K735" s="204"/>
      <c r="N735" s="204"/>
      <c r="O735" s="204"/>
    </row>
    <row r="736" spans="1:15" ht="14.25" customHeight="1" x14ac:dyDescent="0.25">
      <c r="A736" s="204"/>
      <c r="J736" s="204"/>
      <c r="K736" s="204"/>
      <c r="N736" s="204"/>
      <c r="O736" s="204"/>
    </row>
    <row r="737" spans="1:15" ht="14.25" customHeight="1" x14ac:dyDescent="0.25">
      <c r="A737" s="204"/>
      <c r="J737" s="204"/>
      <c r="K737" s="204"/>
      <c r="N737" s="204"/>
      <c r="O737" s="204"/>
    </row>
    <row r="738" spans="1:15" ht="14.25" customHeight="1" x14ac:dyDescent="0.25">
      <c r="A738" s="204"/>
      <c r="J738" s="204"/>
      <c r="K738" s="204"/>
      <c r="N738" s="204"/>
      <c r="O738" s="204"/>
    </row>
    <row r="739" spans="1:15" ht="14.25" customHeight="1" x14ac:dyDescent="0.25">
      <c r="A739" s="204"/>
      <c r="J739" s="204"/>
      <c r="K739" s="204"/>
      <c r="N739" s="204"/>
      <c r="O739" s="204"/>
    </row>
    <row r="740" spans="1:15" ht="14.25" customHeight="1" x14ac:dyDescent="0.25">
      <c r="A740" s="204"/>
      <c r="J740" s="204"/>
      <c r="K740" s="204"/>
      <c r="N740" s="204"/>
      <c r="O740" s="204"/>
    </row>
    <row r="741" spans="1:15" ht="14.25" customHeight="1" x14ac:dyDescent="0.25">
      <c r="A741" s="204"/>
      <c r="J741" s="204"/>
      <c r="K741" s="204"/>
      <c r="N741" s="204"/>
      <c r="O741" s="204"/>
    </row>
    <row r="742" spans="1:15" ht="14.25" customHeight="1" x14ac:dyDescent="0.25">
      <c r="A742" s="204"/>
      <c r="J742" s="204"/>
      <c r="K742" s="204"/>
      <c r="N742" s="204"/>
      <c r="O742" s="204"/>
    </row>
    <row r="743" spans="1:15" ht="14.25" customHeight="1" x14ac:dyDescent="0.25">
      <c r="A743" s="204"/>
      <c r="J743" s="204"/>
      <c r="K743" s="204"/>
      <c r="N743" s="204"/>
      <c r="O743" s="204"/>
    </row>
    <row r="744" spans="1:15" ht="14.25" customHeight="1" x14ac:dyDescent="0.25">
      <c r="A744" s="204"/>
      <c r="J744" s="204"/>
      <c r="K744" s="204"/>
      <c r="N744" s="204"/>
      <c r="O744" s="204"/>
    </row>
    <row r="745" spans="1:15" ht="14.25" customHeight="1" x14ac:dyDescent="0.25">
      <c r="A745" s="204"/>
      <c r="J745" s="204"/>
      <c r="K745" s="204"/>
      <c r="N745" s="204"/>
      <c r="O745" s="204"/>
    </row>
    <row r="746" spans="1:15" ht="14.25" customHeight="1" x14ac:dyDescent="0.25">
      <c r="A746" s="204"/>
      <c r="J746" s="204"/>
      <c r="K746" s="204"/>
      <c r="N746" s="204"/>
      <c r="O746" s="204"/>
    </row>
    <row r="747" spans="1:15" ht="14.25" customHeight="1" x14ac:dyDescent="0.25">
      <c r="A747" s="204"/>
      <c r="J747" s="204"/>
      <c r="K747" s="204"/>
      <c r="N747" s="204"/>
      <c r="O747" s="204"/>
    </row>
    <row r="748" spans="1:15" ht="14.25" customHeight="1" x14ac:dyDescent="0.25">
      <c r="A748" s="204"/>
      <c r="J748" s="204"/>
      <c r="K748" s="204"/>
      <c r="N748" s="204"/>
      <c r="O748" s="204"/>
    </row>
    <row r="749" spans="1:15" ht="14.25" customHeight="1" x14ac:dyDescent="0.25">
      <c r="A749" s="204"/>
      <c r="J749" s="204"/>
      <c r="K749" s="204"/>
      <c r="N749" s="204"/>
      <c r="O749" s="204"/>
    </row>
    <row r="750" spans="1:15" ht="14.25" customHeight="1" x14ac:dyDescent="0.25">
      <c r="A750" s="204"/>
      <c r="J750" s="204"/>
      <c r="K750" s="204"/>
      <c r="N750" s="204"/>
      <c r="O750" s="204"/>
    </row>
    <row r="751" spans="1:15" ht="14.25" customHeight="1" x14ac:dyDescent="0.25">
      <c r="A751" s="204"/>
      <c r="J751" s="204"/>
      <c r="K751" s="204"/>
      <c r="N751" s="204"/>
      <c r="O751" s="204"/>
    </row>
    <row r="752" spans="1:15" ht="14.25" customHeight="1" x14ac:dyDescent="0.25">
      <c r="A752" s="204"/>
      <c r="J752" s="204"/>
      <c r="K752" s="204"/>
      <c r="N752" s="204"/>
      <c r="O752" s="204"/>
    </row>
    <row r="753" spans="1:15" ht="14.25" customHeight="1" x14ac:dyDescent="0.25">
      <c r="A753" s="204"/>
      <c r="J753" s="204"/>
      <c r="K753" s="204"/>
      <c r="N753" s="204"/>
      <c r="O753" s="204"/>
    </row>
    <row r="754" spans="1:15" ht="14.25" customHeight="1" x14ac:dyDescent="0.25">
      <c r="A754" s="204"/>
      <c r="J754" s="204"/>
      <c r="K754" s="204"/>
      <c r="N754" s="204"/>
      <c r="O754" s="204"/>
    </row>
    <row r="755" spans="1:15" ht="14.25" customHeight="1" x14ac:dyDescent="0.25">
      <c r="A755" s="204"/>
      <c r="J755" s="204"/>
      <c r="K755" s="204"/>
      <c r="N755" s="204"/>
      <c r="O755" s="204"/>
    </row>
    <row r="756" spans="1:15" ht="14.25" customHeight="1" x14ac:dyDescent="0.25">
      <c r="A756" s="204"/>
      <c r="J756" s="204"/>
      <c r="K756" s="204"/>
      <c r="N756" s="204"/>
      <c r="O756" s="204"/>
    </row>
    <row r="757" spans="1:15" ht="14.25" customHeight="1" x14ac:dyDescent="0.25">
      <c r="A757" s="204"/>
      <c r="J757" s="204"/>
      <c r="K757" s="204"/>
      <c r="N757" s="204"/>
      <c r="O757" s="204"/>
    </row>
    <row r="758" spans="1:15" ht="14.25" customHeight="1" x14ac:dyDescent="0.25">
      <c r="A758" s="204"/>
      <c r="J758" s="204"/>
      <c r="K758" s="204"/>
      <c r="N758" s="204"/>
      <c r="O758" s="204"/>
    </row>
    <row r="759" spans="1:15" ht="14.25" customHeight="1" x14ac:dyDescent="0.25">
      <c r="A759" s="204"/>
      <c r="J759" s="204"/>
      <c r="K759" s="204"/>
      <c r="N759" s="204"/>
      <c r="O759" s="204"/>
    </row>
    <row r="760" spans="1:15" ht="14.25" customHeight="1" x14ac:dyDescent="0.25">
      <c r="A760" s="204"/>
      <c r="J760" s="204"/>
      <c r="K760" s="204"/>
      <c r="N760" s="204"/>
      <c r="O760" s="204"/>
    </row>
    <row r="761" spans="1:15" ht="14.25" customHeight="1" x14ac:dyDescent="0.25">
      <c r="A761" s="204"/>
      <c r="J761" s="204"/>
      <c r="K761" s="204"/>
      <c r="N761" s="204"/>
      <c r="O761" s="204"/>
    </row>
    <row r="762" spans="1:15" ht="14.25" customHeight="1" x14ac:dyDescent="0.25">
      <c r="A762" s="204"/>
      <c r="J762" s="204"/>
      <c r="K762" s="204"/>
      <c r="N762" s="204"/>
      <c r="O762" s="204"/>
    </row>
    <row r="763" spans="1:15" ht="14.25" customHeight="1" x14ac:dyDescent="0.25">
      <c r="A763" s="204"/>
      <c r="J763" s="204"/>
      <c r="K763" s="204"/>
      <c r="N763" s="204"/>
      <c r="O763" s="204"/>
    </row>
    <row r="764" spans="1:15" ht="14.25" customHeight="1" x14ac:dyDescent="0.25">
      <c r="A764" s="204"/>
      <c r="J764" s="204"/>
      <c r="K764" s="204"/>
      <c r="N764" s="204"/>
      <c r="O764" s="204"/>
    </row>
    <row r="765" spans="1:15" ht="14.25" customHeight="1" x14ac:dyDescent="0.25">
      <c r="A765" s="204"/>
      <c r="J765" s="204"/>
      <c r="K765" s="204"/>
      <c r="N765" s="204"/>
      <c r="O765" s="204"/>
    </row>
    <row r="766" spans="1:15" ht="14.25" customHeight="1" x14ac:dyDescent="0.25">
      <c r="A766" s="204"/>
      <c r="J766" s="204"/>
      <c r="K766" s="204"/>
      <c r="N766" s="204"/>
      <c r="O766" s="204"/>
    </row>
    <row r="767" spans="1:15" ht="14.25" customHeight="1" x14ac:dyDescent="0.25">
      <c r="A767" s="204"/>
      <c r="J767" s="204"/>
      <c r="K767" s="204"/>
      <c r="N767" s="204"/>
      <c r="O767" s="204"/>
    </row>
    <row r="768" spans="1:15" ht="14.25" customHeight="1" x14ac:dyDescent="0.25">
      <c r="A768" s="204"/>
      <c r="J768" s="204"/>
      <c r="K768" s="204"/>
      <c r="N768" s="204"/>
      <c r="O768" s="204"/>
    </row>
    <row r="769" spans="1:15" ht="14.25" customHeight="1" x14ac:dyDescent="0.25">
      <c r="A769" s="204"/>
      <c r="J769" s="204"/>
      <c r="K769" s="204"/>
      <c r="N769" s="204"/>
      <c r="O769" s="204"/>
    </row>
    <row r="770" spans="1:15" ht="14.25" customHeight="1" x14ac:dyDescent="0.25">
      <c r="A770" s="204"/>
      <c r="J770" s="204"/>
      <c r="K770" s="204"/>
      <c r="N770" s="204"/>
      <c r="O770" s="204"/>
    </row>
    <row r="771" spans="1:15" ht="14.25" customHeight="1" x14ac:dyDescent="0.25">
      <c r="A771" s="204"/>
      <c r="J771" s="204"/>
      <c r="K771" s="204"/>
      <c r="N771" s="204"/>
      <c r="O771" s="204"/>
    </row>
    <row r="772" spans="1:15" ht="14.25" customHeight="1" x14ac:dyDescent="0.25">
      <c r="A772" s="204"/>
      <c r="J772" s="204"/>
      <c r="K772" s="204"/>
      <c r="N772" s="204"/>
      <c r="O772" s="204"/>
    </row>
    <row r="773" spans="1:15" ht="14.25" customHeight="1" x14ac:dyDescent="0.25">
      <c r="A773" s="204"/>
      <c r="J773" s="204"/>
      <c r="K773" s="204"/>
      <c r="N773" s="204"/>
      <c r="O773" s="204"/>
    </row>
    <row r="774" spans="1:15" ht="14.25" customHeight="1" x14ac:dyDescent="0.25">
      <c r="A774" s="204"/>
      <c r="J774" s="204"/>
      <c r="K774" s="204"/>
      <c r="N774" s="204"/>
      <c r="O774" s="204"/>
    </row>
    <row r="775" spans="1:15" ht="14.25" customHeight="1" x14ac:dyDescent="0.25">
      <c r="A775" s="204"/>
      <c r="J775" s="204"/>
      <c r="K775" s="204"/>
      <c r="N775" s="204"/>
      <c r="O775" s="204"/>
    </row>
    <row r="776" spans="1:15" ht="14.25" customHeight="1" x14ac:dyDescent="0.25">
      <c r="A776" s="204"/>
      <c r="J776" s="204"/>
      <c r="K776" s="204"/>
      <c r="N776" s="204"/>
      <c r="O776" s="204"/>
    </row>
    <row r="777" spans="1:15" ht="14.25" customHeight="1" x14ac:dyDescent="0.25">
      <c r="A777" s="204"/>
      <c r="J777" s="204"/>
      <c r="K777" s="204"/>
      <c r="N777" s="204"/>
      <c r="O777" s="204"/>
    </row>
    <row r="778" spans="1:15" ht="14.25" customHeight="1" x14ac:dyDescent="0.25">
      <c r="A778" s="204"/>
      <c r="J778" s="204"/>
      <c r="K778" s="204"/>
      <c r="N778" s="204"/>
      <c r="O778" s="204"/>
    </row>
    <row r="779" spans="1:15" ht="14.25" customHeight="1" x14ac:dyDescent="0.25">
      <c r="A779" s="204"/>
      <c r="J779" s="204"/>
      <c r="K779" s="204"/>
      <c r="N779" s="204"/>
      <c r="O779" s="204"/>
    </row>
    <row r="780" spans="1:15" ht="14.25" customHeight="1" x14ac:dyDescent="0.25">
      <c r="A780" s="204"/>
      <c r="J780" s="204"/>
      <c r="K780" s="204"/>
      <c r="N780" s="204"/>
      <c r="O780" s="204"/>
    </row>
    <row r="781" spans="1:15" ht="14.25" customHeight="1" x14ac:dyDescent="0.25">
      <c r="A781" s="204"/>
      <c r="J781" s="204"/>
      <c r="K781" s="204"/>
      <c r="N781" s="204"/>
      <c r="O781" s="204"/>
    </row>
    <row r="782" spans="1:15" ht="14.25" customHeight="1" x14ac:dyDescent="0.25">
      <c r="A782" s="204"/>
      <c r="J782" s="204"/>
      <c r="K782" s="204"/>
      <c r="N782" s="204"/>
      <c r="O782" s="204"/>
    </row>
    <row r="783" spans="1:15" ht="14.25" customHeight="1" x14ac:dyDescent="0.25">
      <c r="A783" s="204"/>
      <c r="J783" s="204"/>
      <c r="K783" s="204"/>
      <c r="N783" s="204"/>
      <c r="O783" s="204"/>
    </row>
    <row r="784" spans="1:15" ht="14.25" customHeight="1" x14ac:dyDescent="0.25">
      <c r="A784" s="204"/>
      <c r="J784" s="204"/>
      <c r="K784" s="204"/>
      <c r="N784" s="204"/>
      <c r="O784" s="204"/>
    </row>
    <row r="785" spans="1:15" ht="14.25" customHeight="1" x14ac:dyDescent="0.25">
      <c r="A785" s="204"/>
      <c r="J785" s="204"/>
      <c r="K785" s="204"/>
      <c r="N785" s="204"/>
      <c r="O785" s="204"/>
    </row>
    <row r="786" spans="1:15" ht="14.25" customHeight="1" x14ac:dyDescent="0.25">
      <c r="A786" s="204"/>
      <c r="J786" s="204"/>
      <c r="K786" s="204"/>
      <c r="N786" s="204"/>
      <c r="O786" s="204"/>
    </row>
    <row r="787" spans="1:15" ht="14.25" customHeight="1" x14ac:dyDescent="0.25">
      <c r="A787" s="204"/>
      <c r="J787" s="204"/>
      <c r="K787" s="204"/>
      <c r="N787" s="204"/>
      <c r="O787" s="204"/>
    </row>
    <row r="788" spans="1:15" ht="14.25" customHeight="1" x14ac:dyDescent="0.25">
      <c r="A788" s="204"/>
      <c r="J788" s="204"/>
      <c r="K788" s="204"/>
      <c r="N788" s="204"/>
      <c r="O788" s="204"/>
    </row>
    <row r="789" spans="1:15" ht="14.25" customHeight="1" x14ac:dyDescent="0.25">
      <c r="A789" s="204"/>
      <c r="J789" s="204"/>
      <c r="K789" s="204"/>
      <c r="N789" s="204"/>
      <c r="O789" s="204"/>
    </row>
    <row r="790" spans="1:15" ht="14.25" customHeight="1" x14ac:dyDescent="0.25">
      <c r="A790" s="204"/>
      <c r="J790" s="204"/>
      <c r="K790" s="204"/>
      <c r="N790" s="204"/>
      <c r="O790" s="204"/>
    </row>
    <row r="791" spans="1:15" ht="14.25" customHeight="1" x14ac:dyDescent="0.25">
      <c r="A791" s="204"/>
      <c r="J791" s="204"/>
      <c r="K791" s="204"/>
      <c r="N791" s="204"/>
      <c r="O791" s="204"/>
    </row>
    <row r="792" spans="1:15" ht="14.25" customHeight="1" x14ac:dyDescent="0.25">
      <c r="A792" s="204"/>
      <c r="J792" s="204"/>
      <c r="K792" s="204"/>
      <c r="N792" s="204"/>
      <c r="O792" s="204"/>
    </row>
    <row r="793" spans="1:15" ht="14.25" customHeight="1" x14ac:dyDescent="0.25">
      <c r="A793" s="204"/>
      <c r="J793" s="204"/>
      <c r="K793" s="204"/>
      <c r="N793" s="204"/>
      <c r="O793" s="204"/>
    </row>
    <row r="794" spans="1:15" ht="14.25" customHeight="1" x14ac:dyDescent="0.25">
      <c r="A794" s="204"/>
      <c r="J794" s="204"/>
      <c r="K794" s="204"/>
      <c r="N794" s="204"/>
      <c r="O794" s="204"/>
    </row>
    <row r="795" spans="1:15" ht="14.25" customHeight="1" x14ac:dyDescent="0.25">
      <c r="A795" s="204"/>
      <c r="J795" s="204"/>
      <c r="K795" s="204"/>
      <c r="N795" s="204"/>
      <c r="O795" s="204"/>
    </row>
    <row r="796" spans="1:15" ht="14.25" customHeight="1" x14ac:dyDescent="0.25">
      <c r="A796" s="204"/>
      <c r="J796" s="204"/>
      <c r="K796" s="204"/>
      <c r="N796" s="204"/>
      <c r="O796" s="204"/>
    </row>
    <row r="797" spans="1:15" ht="14.25" customHeight="1" x14ac:dyDescent="0.25">
      <c r="A797" s="204"/>
      <c r="J797" s="204"/>
      <c r="K797" s="204"/>
      <c r="N797" s="204"/>
      <c r="O797" s="204"/>
    </row>
    <row r="798" spans="1:15" ht="14.25" customHeight="1" x14ac:dyDescent="0.25">
      <c r="A798" s="204"/>
      <c r="J798" s="204"/>
      <c r="K798" s="204"/>
      <c r="N798" s="204"/>
      <c r="O798" s="204"/>
    </row>
    <row r="799" spans="1:15" ht="14.25" customHeight="1" x14ac:dyDescent="0.25">
      <c r="A799" s="204"/>
      <c r="J799" s="204"/>
      <c r="K799" s="204"/>
      <c r="N799" s="204"/>
      <c r="O799" s="204"/>
    </row>
    <row r="800" spans="1:15" ht="14.25" customHeight="1" x14ac:dyDescent="0.25">
      <c r="A800" s="204"/>
      <c r="J800" s="204"/>
      <c r="K800" s="204"/>
      <c r="N800" s="204"/>
      <c r="O800" s="204"/>
    </row>
    <row r="801" spans="1:15" ht="14.25" customHeight="1" x14ac:dyDescent="0.25">
      <c r="A801" s="204"/>
      <c r="J801" s="204"/>
      <c r="K801" s="204"/>
      <c r="N801" s="204"/>
      <c r="O801" s="204"/>
    </row>
    <row r="802" spans="1:15" ht="14.25" customHeight="1" x14ac:dyDescent="0.25">
      <c r="A802" s="204"/>
      <c r="J802" s="204"/>
      <c r="K802" s="204"/>
      <c r="N802" s="204"/>
      <c r="O802" s="204"/>
    </row>
    <row r="803" spans="1:15" ht="14.25" customHeight="1" x14ac:dyDescent="0.25">
      <c r="A803" s="204"/>
      <c r="J803" s="204"/>
      <c r="K803" s="204"/>
      <c r="N803" s="204"/>
      <c r="O803" s="204"/>
    </row>
    <row r="804" spans="1:15" ht="14.25" customHeight="1" x14ac:dyDescent="0.25">
      <c r="A804" s="204"/>
      <c r="J804" s="204"/>
      <c r="K804" s="204"/>
      <c r="N804" s="204"/>
      <c r="O804" s="204"/>
    </row>
    <row r="805" spans="1:15" ht="14.25" customHeight="1" x14ac:dyDescent="0.25">
      <c r="A805" s="204"/>
      <c r="J805" s="204"/>
      <c r="K805" s="204"/>
      <c r="N805" s="204"/>
      <c r="O805" s="204"/>
    </row>
    <row r="806" spans="1:15" ht="14.25" customHeight="1" x14ac:dyDescent="0.25">
      <c r="A806" s="204"/>
      <c r="J806" s="204"/>
      <c r="K806" s="204"/>
      <c r="N806" s="204"/>
      <c r="O806" s="204"/>
    </row>
    <row r="807" spans="1:15" ht="14.25" customHeight="1" x14ac:dyDescent="0.25">
      <c r="A807" s="204"/>
      <c r="J807" s="204"/>
      <c r="K807" s="204"/>
      <c r="N807" s="204"/>
      <c r="O807" s="204"/>
    </row>
    <row r="808" spans="1:15" ht="14.25" customHeight="1" x14ac:dyDescent="0.25">
      <c r="A808" s="204"/>
      <c r="J808" s="204"/>
      <c r="K808" s="204"/>
      <c r="N808" s="204"/>
      <c r="O808" s="204"/>
    </row>
    <row r="809" spans="1:15" ht="14.25" customHeight="1" x14ac:dyDescent="0.25">
      <c r="A809" s="204"/>
      <c r="J809" s="204"/>
      <c r="K809" s="204"/>
      <c r="N809" s="204"/>
      <c r="O809" s="204"/>
    </row>
    <row r="810" spans="1:15" ht="14.25" customHeight="1" x14ac:dyDescent="0.25">
      <c r="A810" s="204"/>
      <c r="J810" s="204"/>
      <c r="K810" s="204"/>
      <c r="N810" s="204"/>
      <c r="O810" s="204"/>
    </row>
    <row r="811" spans="1:15" ht="14.25" customHeight="1" x14ac:dyDescent="0.25">
      <c r="A811" s="204"/>
      <c r="J811" s="204"/>
      <c r="K811" s="204"/>
      <c r="N811" s="204"/>
      <c r="O811" s="204"/>
    </row>
    <row r="812" spans="1:15" ht="14.25" customHeight="1" x14ac:dyDescent="0.25">
      <c r="A812" s="204"/>
      <c r="J812" s="204"/>
      <c r="K812" s="204"/>
      <c r="N812" s="204"/>
      <c r="O812" s="204"/>
    </row>
    <row r="813" spans="1:15" ht="14.25" customHeight="1" x14ac:dyDescent="0.25">
      <c r="A813" s="204"/>
      <c r="J813" s="204"/>
      <c r="K813" s="204"/>
      <c r="N813" s="204"/>
      <c r="O813" s="204"/>
    </row>
    <row r="814" spans="1:15" ht="14.25" customHeight="1" x14ac:dyDescent="0.25">
      <c r="A814" s="204"/>
      <c r="J814" s="204"/>
      <c r="K814" s="204"/>
      <c r="N814" s="204"/>
      <c r="O814" s="204"/>
    </row>
    <row r="815" spans="1:15" ht="14.25" customHeight="1" x14ac:dyDescent="0.25">
      <c r="A815" s="204"/>
      <c r="J815" s="204"/>
      <c r="K815" s="204"/>
      <c r="N815" s="204"/>
      <c r="O815" s="204"/>
    </row>
    <row r="816" spans="1:15" ht="14.25" customHeight="1" x14ac:dyDescent="0.25">
      <c r="A816" s="204"/>
      <c r="J816" s="204"/>
      <c r="K816" s="204"/>
      <c r="N816" s="204"/>
      <c r="O816" s="204"/>
    </row>
    <row r="817" spans="1:15" ht="14.25" customHeight="1" x14ac:dyDescent="0.25">
      <c r="A817" s="204"/>
      <c r="J817" s="204"/>
      <c r="K817" s="204"/>
      <c r="N817" s="204"/>
      <c r="O817" s="204"/>
    </row>
    <row r="818" spans="1:15" ht="14.25" customHeight="1" x14ac:dyDescent="0.25">
      <c r="A818" s="204"/>
      <c r="J818" s="204"/>
      <c r="K818" s="204"/>
      <c r="N818" s="204"/>
      <c r="O818" s="204"/>
    </row>
    <row r="819" spans="1:15" ht="14.25" customHeight="1" x14ac:dyDescent="0.25">
      <c r="A819" s="204"/>
      <c r="J819" s="204"/>
      <c r="K819" s="204"/>
      <c r="N819" s="204"/>
      <c r="O819" s="204"/>
    </row>
    <row r="820" spans="1:15" ht="14.25" customHeight="1" x14ac:dyDescent="0.25">
      <c r="A820" s="204"/>
      <c r="J820" s="204"/>
      <c r="K820" s="204"/>
      <c r="N820" s="204"/>
      <c r="O820" s="204"/>
    </row>
    <row r="821" spans="1:15" ht="14.25" customHeight="1" x14ac:dyDescent="0.25">
      <c r="A821" s="204"/>
      <c r="J821" s="204"/>
      <c r="K821" s="204"/>
      <c r="N821" s="204"/>
      <c r="O821" s="204"/>
    </row>
    <row r="822" spans="1:15" ht="14.25" customHeight="1" x14ac:dyDescent="0.25">
      <c r="A822" s="204"/>
      <c r="J822" s="204"/>
      <c r="K822" s="204"/>
      <c r="N822" s="204"/>
      <c r="O822" s="204"/>
    </row>
    <row r="823" spans="1:15" ht="14.25" customHeight="1" x14ac:dyDescent="0.25">
      <c r="A823" s="204"/>
      <c r="J823" s="204"/>
      <c r="K823" s="204"/>
      <c r="N823" s="204"/>
      <c r="O823" s="204"/>
    </row>
    <row r="824" spans="1:15" ht="14.25" customHeight="1" x14ac:dyDescent="0.25">
      <c r="A824" s="204"/>
      <c r="J824" s="204"/>
      <c r="K824" s="204"/>
      <c r="N824" s="204"/>
      <c r="O824" s="204"/>
    </row>
    <row r="825" spans="1:15" ht="14.25" customHeight="1" x14ac:dyDescent="0.25">
      <c r="A825" s="204"/>
      <c r="J825" s="204"/>
      <c r="K825" s="204"/>
      <c r="N825" s="204"/>
      <c r="O825" s="204"/>
    </row>
    <row r="826" spans="1:15" ht="14.25" customHeight="1" x14ac:dyDescent="0.25">
      <c r="A826" s="204"/>
      <c r="J826" s="204"/>
      <c r="K826" s="204"/>
      <c r="N826" s="204"/>
      <c r="O826" s="204"/>
    </row>
    <row r="827" spans="1:15" ht="14.25" customHeight="1" x14ac:dyDescent="0.25">
      <c r="A827" s="204"/>
      <c r="J827" s="204"/>
      <c r="K827" s="204"/>
      <c r="N827" s="204"/>
      <c r="O827" s="204"/>
    </row>
    <row r="828" spans="1:15" ht="14.25" customHeight="1" x14ac:dyDescent="0.25">
      <c r="A828" s="204"/>
      <c r="J828" s="204"/>
      <c r="K828" s="204"/>
      <c r="N828" s="204"/>
      <c r="O828" s="204"/>
    </row>
    <row r="829" spans="1:15" ht="14.25" customHeight="1" x14ac:dyDescent="0.25">
      <c r="A829" s="204"/>
      <c r="J829" s="204"/>
      <c r="K829" s="204"/>
      <c r="N829" s="204"/>
      <c r="O829" s="204"/>
    </row>
    <row r="830" spans="1:15" ht="14.25" customHeight="1" x14ac:dyDescent="0.25">
      <c r="A830" s="204"/>
      <c r="J830" s="204"/>
      <c r="K830" s="204"/>
      <c r="N830" s="204"/>
      <c r="O830" s="204"/>
    </row>
    <row r="831" spans="1:15" ht="14.25" customHeight="1" x14ac:dyDescent="0.25">
      <c r="A831" s="204"/>
      <c r="J831" s="204"/>
      <c r="K831" s="204"/>
      <c r="N831" s="204"/>
      <c r="O831" s="204"/>
    </row>
    <row r="832" spans="1:15" ht="14.25" customHeight="1" x14ac:dyDescent="0.25">
      <c r="A832" s="204"/>
      <c r="J832" s="204"/>
      <c r="K832" s="204"/>
      <c r="N832" s="204"/>
      <c r="O832" s="204"/>
    </row>
    <row r="833" spans="1:15" ht="14.25" customHeight="1" x14ac:dyDescent="0.25">
      <c r="A833" s="204"/>
      <c r="J833" s="204"/>
      <c r="K833" s="204"/>
      <c r="N833" s="204"/>
      <c r="O833" s="204"/>
    </row>
    <row r="834" spans="1:15" ht="14.25" customHeight="1" x14ac:dyDescent="0.25">
      <c r="A834" s="204"/>
      <c r="J834" s="204"/>
      <c r="K834" s="204"/>
      <c r="N834" s="204"/>
      <c r="O834" s="204"/>
    </row>
    <row r="835" spans="1:15" ht="14.25" customHeight="1" x14ac:dyDescent="0.25">
      <c r="A835" s="204"/>
      <c r="J835" s="204"/>
      <c r="K835" s="204"/>
      <c r="N835" s="204"/>
      <c r="O835" s="204"/>
    </row>
    <row r="836" spans="1:15" ht="14.25" customHeight="1" x14ac:dyDescent="0.25">
      <c r="A836" s="204"/>
      <c r="J836" s="204"/>
      <c r="K836" s="204"/>
      <c r="N836" s="204"/>
      <c r="O836" s="204"/>
    </row>
    <row r="837" spans="1:15" ht="14.25" customHeight="1" x14ac:dyDescent="0.25">
      <c r="A837" s="204"/>
      <c r="J837" s="204"/>
      <c r="K837" s="204"/>
      <c r="N837" s="204"/>
      <c r="O837" s="204"/>
    </row>
    <row r="838" spans="1:15" ht="14.25" customHeight="1" x14ac:dyDescent="0.25">
      <c r="A838" s="204"/>
      <c r="J838" s="204"/>
      <c r="K838" s="204"/>
      <c r="N838" s="204"/>
      <c r="O838" s="204"/>
    </row>
    <row r="839" spans="1:15" ht="14.25" customHeight="1" x14ac:dyDescent="0.25">
      <c r="A839" s="204"/>
      <c r="J839" s="204"/>
      <c r="K839" s="204"/>
      <c r="N839" s="204"/>
      <c r="O839" s="204"/>
    </row>
    <row r="840" spans="1:15" ht="14.25" customHeight="1" x14ac:dyDescent="0.25">
      <c r="A840" s="204"/>
      <c r="J840" s="204"/>
      <c r="K840" s="204"/>
      <c r="N840" s="204"/>
      <c r="O840" s="204"/>
    </row>
    <row r="841" spans="1:15" ht="14.25" customHeight="1" x14ac:dyDescent="0.25">
      <c r="A841" s="204"/>
      <c r="J841" s="204"/>
      <c r="K841" s="204"/>
      <c r="N841" s="204"/>
      <c r="O841" s="204"/>
    </row>
    <row r="842" spans="1:15" ht="14.25" customHeight="1" x14ac:dyDescent="0.25">
      <c r="A842" s="204"/>
      <c r="J842" s="204"/>
      <c r="K842" s="204"/>
      <c r="N842" s="204"/>
      <c r="O842" s="204"/>
    </row>
    <row r="843" spans="1:15" ht="14.25" customHeight="1" x14ac:dyDescent="0.25">
      <c r="A843" s="204"/>
      <c r="J843" s="204"/>
      <c r="K843" s="204"/>
      <c r="N843" s="204"/>
      <c r="O843" s="204"/>
    </row>
    <row r="844" spans="1:15" ht="14.25" customHeight="1" x14ac:dyDescent="0.25">
      <c r="A844" s="204"/>
      <c r="J844" s="204"/>
      <c r="K844" s="204"/>
      <c r="N844" s="204"/>
      <c r="O844" s="204"/>
    </row>
    <row r="845" spans="1:15" ht="14.25" customHeight="1" x14ac:dyDescent="0.25">
      <c r="A845" s="204"/>
      <c r="J845" s="204"/>
      <c r="K845" s="204"/>
      <c r="N845" s="204"/>
      <c r="O845" s="204"/>
    </row>
    <row r="846" spans="1:15" ht="14.25" customHeight="1" x14ac:dyDescent="0.25">
      <c r="A846" s="204"/>
      <c r="J846" s="204"/>
      <c r="K846" s="204"/>
      <c r="N846" s="204"/>
      <c r="O846" s="204"/>
    </row>
    <row r="847" spans="1:15" ht="14.25" customHeight="1" x14ac:dyDescent="0.25">
      <c r="A847" s="204"/>
      <c r="J847" s="204"/>
      <c r="K847" s="204"/>
      <c r="N847" s="204"/>
      <c r="O847" s="204"/>
    </row>
    <row r="848" spans="1:15" ht="14.25" customHeight="1" x14ac:dyDescent="0.25">
      <c r="A848" s="204"/>
      <c r="J848" s="204"/>
      <c r="K848" s="204"/>
      <c r="N848" s="204"/>
      <c r="O848" s="204"/>
    </row>
    <row r="849" spans="1:15" ht="14.25" customHeight="1" x14ac:dyDescent="0.25">
      <c r="A849" s="204"/>
      <c r="J849" s="204"/>
      <c r="K849" s="204"/>
      <c r="N849" s="204"/>
      <c r="O849" s="204"/>
    </row>
    <row r="850" spans="1:15" ht="14.25" customHeight="1" x14ac:dyDescent="0.25">
      <c r="A850" s="204"/>
      <c r="J850" s="204"/>
      <c r="K850" s="204"/>
      <c r="N850" s="204"/>
      <c r="O850" s="204"/>
    </row>
    <row r="851" spans="1:15" ht="14.25" customHeight="1" x14ac:dyDescent="0.25">
      <c r="A851" s="204"/>
      <c r="J851" s="204"/>
      <c r="K851" s="204"/>
      <c r="N851" s="204"/>
      <c r="O851" s="204"/>
    </row>
    <row r="852" spans="1:15" ht="14.25" customHeight="1" x14ac:dyDescent="0.25">
      <c r="A852" s="204"/>
      <c r="J852" s="204"/>
      <c r="K852" s="204"/>
      <c r="N852" s="204"/>
      <c r="O852" s="204"/>
    </row>
    <row r="853" spans="1:15" ht="14.25" customHeight="1" x14ac:dyDescent="0.25">
      <c r="A853" s="204"/>
      <c r="J853" s="204"/>
      <c r="K853" s="204"/>
      <c r="N853" s="204"/>
      <c r="O853" s="204"/>
    </row>
    <row r="854" spans="1:15" ht="14.25" customHeight="1" x14ac:dyDescent="0.25">
      <c r="A854" s="204"/>
      <c r="J854" s="204"/>
      <c r="K854" s="204"/>
      <c r="N854" s="204"/>
      <c r="O854" s="204"/>
    </row>
    <row r="855" spans="1:15" ht="14.25" customHeight="1" x14ac:dyDescent="0.25">
      <c r="A855" s="204"/>
      <c r="J855" s="204"/>
      <c r="K855" s="204"/>
      <c r="N855" s="204"/>
      <c r="O855" s="204"/>
    </row>
    <row r="856" spans="1:15" ht="14.25" customHeight="1" x14ac:dyDescent="0.25">
      <c r="A856" s="204"/>
      <c r="J856" s="204"/>
      <c r="K856" s="204"/>
      <c r="N856" s="204"/>
      <c r="O856" s="204"/>
    </row>
    <row r="857" spans="1:15" ht="14.25" customHeight="1" x14ac:dyDescent="0.25">
      <c r="A857" s="204"/>
      <c r="J857" s="204"/>
      <c r="K857" s="204"/>
      <c r="N857" s="204"/>
      <c r="O857" s="204"/>
    </row>
    <row r="858" spans="1:15" ht="14.25" customHeight="1" x14ac:dyDescent="0.25">
      <c r="A858" s="204"/>
      <c r="J858" s="204"/>
      <c r="K858" s="204"/>
      <c r="N858" s="204"/>
      <c r="O858" s="204"/>
    </row>
    <row r="859" spans="1:15" ht="14.25" customHeight="1" x14ac:dyDescent="0.25">
      <c r="A859" s="204"/>
      <c r="J859" s="204"/>
      <c r="K859" s="204"/>
      <c r="N859" s="204"/>
      <c r="O859" s="204"/>
    </row>
    <row r="860" spans="1:15" ht="14.25" customHeight="1" x14ac:dyDescent="0.25">
      <c r="A860" s="204"/>
      <c r="J860" s="204"/>
      <c r="K860" s="204"/>
      <c r="N860" s="204"/>
      <c r="O860" s="204"/>
    </row>
    <row r="861" spans="1:15" ht="14.25" customHeight="1" x14ac:dyDescent="0.25">
      <c r="A861" s="204"/>
      <c r="J861" s="204"/>
      <c r="K861" s="204"/>
      <c r="N861" s="204"/>
      <c r="O861" s="204"/>
    </row>
    <row r="862" spans="1:15" ht="14.25" customHeight="1" x14ac:dyDescent="0.25">
      <c r="A862" s="204"/>
      <c r="J862" s="204"/>
      <c r="K862" s="204"/>
      <c r="N862" s="204"/>
      <c r="O862" s="204"/>
    </row>
    <row r="863" spans="1:15" ht="14.25" customHeight="1" x14ac:dyDescent="0.25">
      <c r="A863" s="204"/>
      <c r="J863" s="204"/>
      <c r="K863" s="204"/>
      <c r="N863" s="204"/>
      <c r="O863" s="204"/>
    </row>
    <row r="864" spans="1:15" ht="14.25" customHeight="1" x14ac:dyDescent="0.25">
      <c r="A864" s="204"/>
      <c r="J864" s="204"/>
      <c r="K864" s="204"/>
      <c r="N864" s="204"/>
      <c r="O864" s="204"/>
    </row>
    <row r="865" spans="1:15" ht="14.25" customHeight="1" x14ac:dyDescent="0.25">
      <c r="A865" s="204"/>
      <c r="J865" s="204"/>
      <c r="K865" s="204"/>
      <c r="N865" s="204"/>
      <c r="O865" s="204"/>
    </row>
    <row r="866" spans="1:15" ht="14.25" customHeight="1" x14ac:dyDescent="0.25">
      <c r="A866" s="204"/>
      <c r="J866" s="204"/>
      <c r="K866" s="204"/>
      <c r="N866" s="204"/>
      <c r="O866" s="204"/>
    </row>
    <row r="867" spans="1:15" ht="14.25" customHeight="1" x14ac:dyDescent="0.25">
      <c r="A867" s="204"/>
      <c r="J867" s="204"/>
      <c r="K867" s="204"/>
      <c r="N867" s="204"/>
      <c r="O867" s="204"/>
    </row>
    <row r="868" spans="1:15" ht="14.25" customHeight="1" x14ac:dyDescent="0.25">
      <c r="A868" s="204"/>
      <c r="J868" s="204"/>
      <c r="K868" s="204"/>
      <c r="N868" s="204"/>
      <c r="O868" s="204"/>
    </row>
    <row r="869" spans="1:15" ht="14.25" customHeight="1" x14ac:dyDescent="0.25">
      <c r="A869" s="204"/>
      <c r="J869" s="204"/>
      <c r="K869" s="204"/>
      <c r="N869" s="204"/>
      <c r="O869" s="204"/>
    </row>
    <row r="870" spans="1:15" ht="14.25" customHeight="1" x14ac:dyDescent="0.25">
      <c r="A870" s="204"/>
      <c r="J870" s="204"/>
      <c r="K870" s="204"/>
      <c r="N870" s="204"/>
      <c r="O870" s="204"/>
    </row>
    <row r="871" spans="1:15" ht="14.25" customHeight="1" x14ac:dyDescent="0.25">
      <c r="A871" s="204"/>
      <c r="J871" s="204"/>
      <c r="K871" s="204"/>
      <c r="N871" s="204"/>
      <c r="O871" s="204"/>
    </row>
    <row r="872" spans="1:15" ht="14.25" customHeight="1" x14ac:dyDescent="0.25">
      <c r="A872" s="204"/>
      <c r="J872" s="204"/>
      <c r="K872" s="204"/>
      <c r="N872" s="204"/>
      <c r="O872" s="204"/>
    </row>
    <row r="873" spans="1:15" ht="14.25" customHeight="1" x14ac:dyDescent="0.25">
      <c r="A873" s="204"/>
      <c r="J873" s="204"/>
      <c r="K873" s="204"/>
      <c r="N873" s="204"/>
      <c r="O873" s="204"/>
    </row>
    <row r="874" spans="1:15" ht="14.25" customHeight="1" x14ac:dyDescent="0.25">
      <c r="A874" s="204"/>
      <c r="J874" s="204"/>
      <c r="K874" s="204"/>
      <c r="N874" s="204"/>
      <c r="O874" s="204"/>
    </row>
    <row r="875" spans="1:15" ht="14.25" customHeight="1" x14ac:dyDescent="0.25">
      <c r="A875" s="204"/>
      <c r="J875" s="204"/>
      <c r="K875" s="204"/>
      <c r="N875" s="204"/>
      <c r="O875" s="204"/>
    </row>
    <row r="876" spans="1:15" ht="14.25" customHeight="1" x14ac:dyDescent="0.25">
      <c r="A876" s="204"/>
      <c r="J876" s="204"/>
      <c r="K876" s="204"/>
      <c r="N876" s="204"/>
      <c r="O876" s="204"/>
    </row>
    <row r="877" spans="1:15" ht="14.25" customHeight="1" x14ac:dyDescent="0.25">
      <c r="A877" s="204"/>
      <c r="J877" s="204"/>
      <c r="K877" s="204"/>
      <c r="N877" s="204"/>
      <c r="O877" s="204"/>
    </row>
    <row r="878" spans="1:15" ht="14.25" customHeight="1" x14ac:dyDescent="0.25">
      <c r="A878" s="204"/>
      <c r="J878" s="204"/>
      <c r="K878" s="204"/>
      <c r="N878" s="204"/>
      <c r="O878" s="204"/>
    </row>
    <row r="879" spans="1:15" ht="14.25" customHeight="1" x14ac:dyDescent="0.25">
      <c r="A879" s="204"/>
      <c r="J879" s="204"/>
      <c r="K879" s="204"/>
      <c r="N879" s="204"/>
      <c r="O879" s="204"/>
    </row>
    <row r="880" spans="1:15" ht="14.25" customHeight="1" x14ac:dyDescent="0.25">
      <c r="A880" s="204"/>
      <c r="J880" s="204"/>
      <c r="K880" s="204"/>
      <c r="N880" s="204"/>
      <c r="O880" s="204"/>
    </row>
    <row r="881" spans="1:15" ht="14.25" customHeight="1" x14ac:dyDescent="0.25">
      <c r="A881" s="204"/>
      <c r="J881" s="204"/>
      <c r="K881" s="204"/>
      <c r="N881" s="204"/>
      <c r="O881" s="204"/>
    </row>
    <row r="882" spans="1:15" ht="14.25" customHeight="1" x14ac:dyDescent="0.25">
      <c r="A882" s="204"/>
      <c r="J882" s="204"/>
      <c r="K882" s="204"/>
      <c r="N882" s="204"/>
      <c r="O882" s="204"/>
    </row>
    <row r="883" spans="1:15" ht="14.25" customHeight="1" x14ac:dyDescent="0.25">
      <c r="A883" s="204"/>
      <c r="J883" s="204"/>
      <c r="K883" s="204"/>
      <c r="N883" s="204"/>
      <c r="O883" s="204"/>
    </row>
    <row r="884" spans="1:15" ht="14.25" customHeight="1" x14ac:dyDescent="0.25">
      <c r="A884" s="204"/>
      <c r="J884" s="204"/>
      <c r="K884" s="204"/>
      <c r="N884" s="204"/>
      <c r="O884" s="204"/>
    </row>
    <row r="885" spans="1:15" ht="14.25" customHeight="1" x14ac:dyDescent="0.25">
      <c r="A885" s="204"/>
      <c r="J885" s="204"/>
      <c r="K885" s="204"/>
      <c r="N885" s="204"/>
      <c r="O885" s="204"/>
    </row>
    <row r="886" spans="1:15" ht="14.25" customHeight="1" x14ac:dyDescent="0.25">
      <c r="A886" s="204"/>
      <c r="J886" s="204"/>
      <c r="K886" s="204"/>
      <c r="N886" s="204"/>
      <c r="O886" s="204"/>
    </row>
    <row r="887" spans="1:15" ht="14.25" customHeight="1" x14ac:dyDescent="0.25">
      <c r="A887" s="204"/>
      <c r="J887" s="204"/>
      <c r="K887" s="204"/>
      <c r="N887" s="204"/>
      <c r="O887" s="204"/>
    </row>
    <row r="888" spans="1:15" ht="14.25" customHeight="1" x14ac:dyDescent="0.25">
      <c r="A888" s="204"/>
      <c r="J888" s="204"/>
      <c r="K888" s="204"/>
      <c r="N888" s="204"/>
      <c r="O888" s="204"/>
    </row>
    <row r="889" spans="1:15" ht="14.25" customHeight="1" x14ac:dyDescent="0.25">
      <c r="A889" s="204"/>
      <c r="J889" s="204"/>
      <c r="K889" s="204"/>
      <c r="N889" s="204"/>
      <c r="O889" s="204"/>
    </row>
    <row r="890" spans="1:15" ht="14.25" customHeight="1" x14ac:dyDescent="0.25">
      <c r="A890" s="204"/>
      <c r="J890" s="204"/>
      <c r="K890" s="204"/>
      <c r="N890" s="204"/>
      <c r="O890" s="204"/>
    </row>
    <row r="891" spans="1:15" ht="14.25" customHeight="1" x14ac:dyDescent="0.25">
      <c r="A891" s="204"/>
      <c r="J891" s="204"/>
      <c r="K891" s="204"/>
      <c r="N891" s="204"/>
      <c r="O891" s="204"/>
    </row>
    <row r="892" spans="1:15" ht="14.25" customHeight="1" x14ac:dyDescent="0.25">
      <c r="A892" s="204"/>
      <c r="J892" s="204"/>
      <c r="K892" s="204"/>
      <c r="N892" s="204"/>
      <c r="O892" s="204"/>
    </row>
    <row r="893" spans="1:15" ht="14.25" customHeight="1" x14ac:dyDescent="0.25">
      <c r="A893" s="204"/>
      <c r="J893" s="204"/>
      <c r="K893" s="204"/>
      <c r="N893" s="204"/>
      <c r="O893" s="204"/>
    </row>
    <row r="894" spans="1:15" ht="14.25" customHeight="1" x14ac:dyDescent="0.25">
      <c r="A894" s="204"/>
      <c r="J894" s="204"/>
      <c r="K894" s="204"/>
      <c r="N894" s="204"/>
      <c r="O894" s="204"/>
    </row>
    <row r="895" spans="1:15" ht="14.25" customHeight="1" x14ac:dyDescent="0.25">
      <c r="A895" s="204"/>
      <c r="J895" s="204"/>
      <c r="K895" s="204"/>
      <c r="N895" s="204"/>
      <c r="O895" s="204"/>
    </row>
    <row r="896" spans="1:15" ht="14.25" customHeight="1" x14ac:dyDescent="0.25">
      <c r="A896" s="204"/>
      <c r="J896" s="204"/>
      <c r="K896" s="204"/>
      <c r="N896" s="204"/>
      <c r="O896" s="204"/>
    </row>
    <row r="897" spans="1:15" ht="14.25" customHeight="1" x14ac:dyDescent="0.25">
      <c r="A897" s="204"/>
      <c r="J897" s="204"/>
      <c r="K897" s="204"/>
      <c r="N897" s="204"/>
      <c r="O897" s="204"/>
    </row>
    <row r="898" spans="1:15" ht="14.25" customHeight="1" x14ac:dyDescent="0.25">
      <c r="A898" s="204"/>
      <c r="J898" s="204"/>
      <c r="K898" s="204"/>
      <c r="N898" s="204"/>
      <c r="O898" s="204"/>
    </row>
    <row r="899" spans="1:15" ht="14.25" customHeight="1" x14ac:dyDescent="0.25">
      <c r="A899" s="204"/>
      <c r="J899" s="204"/>
      <c r="K899" s="204"/>
      <c r="N899" s="204"/>
      <c r="O899" s="204"/>
    </row>
    <row r="900" spans="1:15" ht="14.25" customHeight="1" x14ac:dyDescent="0.25">
      <c r="A900" s="204"/>
      <c r="J900" s="204"/>
      <c r="K900" s="204"/>
      <c r="N900" s="204"/>
      <c r="O900" s="204"/>
    </row>
    <row r="901" spans="1:15" ht="14.25" customHeight="1" x14ac:dyDescent="0.25">
      <c r="A901" s="204"/>
      <c r="J901" s="204"/>
      <c r="K901" s="204"/>
      <c r="N901" s="204"/>
      <c r="O901" s="204"/>
    </row>
    <row r="902" spans="1:15" ht="14.25" customHeight="1" x14ac:dyDescent="0.25">
      <c r="A902" s="204"/>
      <c r="J902" s="204"/>
      <c r="K902" s="204"/>
      <c r="N902" s="204"/>
      <c r="O902" s="204"/>
    </row>
    <row r="903" spans="1:15" ht="14.25" customHeight="1" x14ac:dyDescent="0.25">
      <c r="A903" s="204"/>
      <c r="J903" s="204"/>
      <c r="K903" s="204"/>
      <c r="N903" s="204"/>
      <c r="O903" s="204"/>
    </row>
    <row r="904" spans="1:15" ht="14.25" customHeight="1" x14ac:dyDescent="0.25">
      <c r="A904" s="204"/>
      <c r="J904" s="204"/>
      <c r="K904" s="204"/>
      <c r="N904" s="204"/>
      <c r="O904" s="204"/>
    </row>
    <row r="905" spans="1:15" ht="14.25" customHeight="1" x14ac:dyDescent="0.25">
      <c r="A905" s="204"/>
      <c r="J905" s="204"/>
      <c r="K905" s="204"/>
      <c r="N905" s="204"/>
      <c r="O905" s="204"/>
    </row>
    <row r="906" spans="1:15" ht="14.25" customHeight="1" x14ac:dyDescent="0.25">
      <c r="A906" s="204"/>
      <c r="J906" s="204"/>
      <c r="K906" s="204"/>
      <c r="N906" s="204"/>
      <c r="O906" s="204"/>
    </row>
    <row r="907" spans="1:15" ht="14.25" customHeight="1" x14ac:dyDescent="0.25">
      <c r="A907" s="204"/>
      <c r="J907" s="204"/>
      <c r="K907" s="204"/>
      <c r="N907" s="204"/>
      <c r="O907" s="204"/>
    </row>
    <row r="908" spans="1:15" ht="14.25" customHeight="1" x14ac:dyDescent="0.25">
      <c r="A908" s="204"/>
      <c r="J908" s="204"/>
      <c r="K908" s="204"/>
      <c r="N908" s="204"/>
      <c r="O908" s="204"/>
    </row>
    <row r="909" spans="1:15" ht="14.25" customHeight="1" x14ac:dyDescent="0.25">
      <c r="A909" s="204"/>
      <c r="J909" s="204"/>
      <c r="K909" s="204"/>
      <c r="N909" s="204"/>
      <c r="O909" s="204"/>
    </row>
    <row r="910" spans="1:15" ht="14.25" customHeight="1" x14ac:dyDescent="0.25">
      <c r="A910" s="204"/>
      <c r="J910" s="204"/>
      <c r="K910" s="204"/>
      <c r="N910" s="204"/>
      <c r="O910" s="204"/>
    </row>
    <row r="911" spans="1:15" ht="14.25" customHeight="1" x14ac:dyDescent="0.25">
      <c r="A911" s="204"/>
      <c r="J911" s="204"/>
      <c r="K911" s="204"/>
      <c r="N911" s="204"/>
      <c r="O911" s="204"/>
    </row>
    <row r="912" spans="1:15" ht="14.25" customHeight="1" x14ac:dyDescent="0.25">
      <c r="A912" s="204"/>
      <c r="J912" s="204"/>
      <c r="K912" s="204"/>
      <c r="N912" s="204"/>
      <c r="O912" s="204"/>
    </row>
    <row r="913" spans="1:15" ht="14.25" customHeight="1" x14ac:dyDescent="0.25">
      <c r="A913" s="204"/>
      <c r="J913" s="204"/>
      <c r="K913" s="204"/>
      <c r="N913" s="204"/>
      <c r="O913" s="204"/>
    </row>
    <row r="914" spans="1:15" ht="14.25" customHeight="1" x14ac:dyDescent="0.25">
      <c r="A914" s="204"/>
      <c r="J914" s="204"/>
      <c r="K914" s="204"/>
      <c r="N914" s="204"/>
      <c r="O914" s="204"/>
    </row>
    <row r="915" spans="1:15" ht="14.25" customHeight="1" x14ac:dyDescent="0.25">
      <c r="A915" s="204"/>
      <c r="J915" s="204"/>
      <c r="K915" s="204"/>
      <c r="N915" s="204"/>
      <c r="O915" s="204"/>
    </row>
    <row r="916" spans="1:15" ht="14.25" customHeight="1" x14ac:dyDescent="0.25">
      <c r="A916" s="204"/>
      <c r="J916" s="204"/>
      <c r="K916" s="204"/>
      <c r="N916" s="204"/>
      <c r="O916" s="204"/>
    </row>
    <row r="917" spans="1:15" ht="14.25" customHeight="1" x14ac:dyDescent="0.25">
      <c r="A917" s="204"/>
      <c r="J917" s="204"/>
      <c r="K917" s="204"/>
      <c r="N917" s="204"/>
      <c r="O917" s="204"/>
    </row>
    <row r="918" spans="1:15" ht="14.25" customHeight="1" x14ac:dyDescent="0.25">
      <c r="A918" s="204"/>
      <c r="J918" s="204"/>
      <c r="K918" s="204"/>
      <c r="N918" s="204"/>
      <c r="O918" s="204"/>
    </row>
    <row r="919" spans="1:15" ht="14.25" customHeight="1" x14ac:dyDescent="0.25">
      <c r="A919" s="204"/>
      <c r="J919" s="204"/>
      <c r="K919" s="204"/>
      <c r="N919" s="204"/>
      <c r="O919" s="204"/>
    </row>
    <row r="920" spans="1:15" ht="14.25" customHeight="1" x14ac:dyDescent="0.25">
      <c r="A920" s="204"/>
      <c r="J920" s="204"/>
      <c r="K920" s="204"/>
      <c r="N920" s="204"/>
      <c r="O920" s="204"/>
    </row>
    <row r="921" spans="1:15" ht="14.25" customHeight="1" x14ac:dyDescent="0.25">
      <c r="A921" s="204"/>
      <c r="J921" s="204"/>
      <c r="K921" s="204"/>
      <c r="N921" s="204"/>
      <c r="O921" s="204"/>
    </row>
    <row r="922" spans="1:15" ht="14.25" customHeight="1" x14ac:dyDescent="0.25">
      <c r="A922" s="204"/>
      <c r="J922" s="204"/>
      <c r="K922" s="204"/>
      <c r="N922" s="204"/>
      <c r="O922" s="204"/>
    </row>
    <row r="923" spans="1:15" ht="14.25" customHeight="1" x14ac:dyDescent="0.25">
      <c r="A923" s="204"/>
      <c r="J923" s="204"/>
      <c r="K923" s="204"/>
      <c r="N923" s="204"/>
      <c r="O923" s="204"/>
    </row>
    <row r="924" spans="1:15" ht="14.25" customHeight="1" x14ac:dyDescent="0.25">
      <c r="A924" s="204"/>
      <c r="J924" s="204"/>
      <c r="K924" s="204"/>
      <c r="N924" s="204"/>
      <c r="O924" s="204"/>
    </row>
    <row r="925" spans="1:15" ht="14.25" customHeight="1" x14ac:dyDescent="0.25">
      <c r="A925" s="204"/>
      <c r="J925" s="204"/>
      <c r="K925" s="204"/>
      <c r="N925" s="204"/>
      <c r="O925" s="204"/>
    </row>
    <row r="926" spans="1:15" ht="14.25" customHeight="1" x14ac:dyDescent="0.25">
      <c r="A926" s="204"/>
      <c r="J926" s="204"/>
      <c r="K926" s="204"/>
      <c r="N926" s="204"/>
      <c r="O926" s="204"/>
    </row>
    <row r="927" spans="1:15" ht="14.25" customHeight="1" x14ac:dyDescent="0.25">
      <c r="A927" s="204"/>
      <c r="J927" s="204"/>
      <c r="K927" s="204"/>
      <c r="N927" s="204"/>
      <c r="O927" s="204"/>
    </row>
    <row r="928" spans="1:15" ht="14.25" customHeight="1" x14ac:dyDescent="0.25">
      <c r="A928" s="204"/>
      <c r="J928" s="204"/>
      <c r="K928" s="204"/>
      <c r="N928" s="204"/>
      <c r="O928" s="204"/>
    </row>
    <row r="929" spans="1:15" ht="14.25" customHeight="1" x14ac:dyDescent="0.25">
      <c r="A929" s="204"/>
      <c r="J929" s="204"/>
      <c r="K929" s="204"/>
      <c r="N929" s="204"/>
      <c r="O929" s="204"/>
    </row>
    <row r="930" spans="1:15" ht="14.25" customHeight="1" x14ac:dyDescent="0.25">
      <c r="A930" s="204"/>
      <c r="J930" s="204"/>
      <c r="K930" s="204"/>
      <c r="N930" s="204"/>
      <c r="O930" s="204"/>
    </row>
    <row r="931" spans="1:15" ht="14.25" customHeight="1" x14ac:dyDescent="0.25">
      <c r="A931" s="204"/>
      <c r="J931" s="204"/>
      <c r="K931" s="204"/>
      <c r="N931" s="204"/>
      <c r="O931" s="204"/>
    </row>
    <row r="932" spans="1:15" ht="14.25" customHeight="1" x14ac:dyDescent="0.25">
      <c r="A932" s="204"/>
      <c r="J932" s="204"/>
      <c r="K932" s="204"/>
      <c r="N932" s="204"/>
      <c r="O932" s="204"/>
    </row>
    <row r="933" spans="1:15" ht="14.25" customHeight="1" x14ac:dyDescent="0.25">
      <c r="A933" s="204"/>
      <c r="J933" s="204"/>
      <c r="K933" s="204"/>
      <c r="N933" s="204"/>
      <c r="O933" s="204"/>
    </row>
    <row r="934" spans="1:15" ht="14.25" customHeight="1" x14ac:dyDescent="0.25">
      <c r="A934" s="204"/>
      <c r="J934" s="204"/>
      <c r="K934" s="204"/>
      <c r="N934" s="204"/>
      <c r="O934" s="204"/>
    </row>
    <row r="935" spans="1:15" ht="14.25" customHeight="1" x14ac:dyDescent="0.25">
      <c r="A935" s="204"/>
      <c r="J935" s="204"/>
      <c r="K935" s="204"/>
      <c r="N935" s="204"/>
      <c r="O935" s="204"/>
    </row>
    <row r="936" spans="1:15" ht="14.25" customHeight="1" x14ac:dyDescent="0.25">
      <c r="A936" s="204"/>
      <c r="J936" s="204"/>
      <c r="K936" s="204"/>
      <c r="N936" s="204"/>
      <c r="O936" s="204"/>
    </row>
    <row r="937" spans="1:15" ht="14.25" customHeight="1" x14ac:dyDescent="0.25">
      <c r="A937" s="204"/>
      <c r="J937" s="204"/>
      <c r="K937" s="204"/>
      <c r="N937" s="204"/>
      <c r="O937" s="204"/>
    </row>
    <row r="938" spans="1:15" ht="14.25" customHeight="1" x14ac:dyDescent="0.25">
      <c r="A938" s="204"/>
      <c r="J938" s="204"/>
      <c r="K938" s="204"/>
      <c r="N938" s="204"/>
      <c r="O938" s="204"/>
    </row>
    <row r="939" spans="1:15" ht="14.25" customHeight="1" x14ac:dyDescent="0.25">
      <c r="A939" s="204"/>
      <c r="J939" s="204"/>
      <c r="K939" s="204"/>
      <c r="N939" s="204"/>
      <c r="O939" s="204"/>
    </row>
    <row r="940" spans="1:15" ht="14.25" customHeight="1" x14ac:dyDescent="0.25">
      <c r="A940" s="204"/>
      <c r="J940" s="204"/>
      <c r="K940" s="204"/>
      <c r="N940" s="204"/>
      <c r="O940" s="204"/>
    </row>
    <row r="941" spans="1:15" ht="14.25" customHeight="1" x14ac:dyDescent="0.25">
      <c r="A941" s="204"/>
      <c r="J941" s="204"/>
      <c r="K941" s="204"/>
      <c r="N941" s="204"/>
      <c r="O941" s="204"/>
    </row>
    <row r="942" spans="1:15" ht="14.25" customHeight="1" x14ac:dyDescent="0.25">
      <c r="A942" s="204"/>
      <c r="J942" s="204"/>
      <c r="K942" s="204"/>
      <c r="N942" s="204"/>
      <c r="O942" s="204"/>
    </row>
    <row r="943" spans="1:15" ht="14.25" customHeight="1" x14ac:dyDescent="0.25">
      <c r="A943" s="204"/>
      <c r="J943" s="204"/>
      <c r="K943" s="204"/>
      <c r="N943" s="204"/>
      <c r="O943" s="204"/>
    </row>
    <row r="944" spans="1:15" ht="14.25" customHeight="1" x14ac:dyDescent="0.25">
      <c r="A944" s="204"/>
      <c r="J944" s="204"/>
      <c r="K944" s="204"/>
      <c r="N944" s="204"/>
      <c r="O944" s="204"/>
    </row>
    <row r="945" spans="1:15" ht="14.25" customHeight="1" x14ac:dyDescent="0.25">
      <c r="A945" s="204"/>
      <c r="J945" s="204"/>
      <c r="K945" s="204"/>
      <c r="N945" s="204"/>
      <c r="O945" s="204"/>
    </row>
    <row r="946" spans="1:15" ht="14.25" customHeight="1" x14ac:dyDescent="0.25">
      <c r="A946" s="204"/>
      <c r="J946" s="204"/>
      <c r="K946" s="204"/>
      <c r="N946" s="204"/>
      <c r="O946" s="204"/>
    </row>
    <row r="947" spans="1:15" ht="14.25" customHeight="1" x14ac:dyDescent="0.25">
      <c r="A947" s="204"/>
      <c r="J947" s="204"/>
      <c r="K947" s="204"/>
      <c r="N947" s="204"/>
      <c r="O947" s="204"/>
    </row>
    <row r="948" spans="1:15" ht="14.25" customHeight="1" x14ac:dyDescent="0.25">
      <c r="A948" s="204"/>
      <c r="J948" s="204"/>
      <c r="K948" s="204"/>
      <c r="N948" s="204"/>
      <c r="O948" s="204"/>
    </row>
    <row r="949" spans="1:15" ht="14.25" customHeight="1" x14ac:dyDescent="0.25">
      <c r="A949" s="204"/>
      <c r="J949" s="204"/>
      <c r="K949" s="204"/>
      <c r="N949" s="204"/>
      <c r="O949" s="204"/>
    </row>
    <row r="950" spans="1:15" ht="14.25" customHeight="1" x14ac:dyDescent="0.25">
      <c r="A950" s="204"/>
      <c r="J950" s="204"/>
      <c r="K950" s="204"/>
      <c r="N950" s="204"/>
      <c r="O950" s="204"/>
    </row>
    <row r="951" spans="1:15" ht="14.25" customHeight="1" x14ac:dyDescent="0.25">
      <c r="A951" s="204"/>
      <c r="J951" s="204"/>
      <c r="K951" s="204"/>
      <c r="N951" s="204"/>
      <c r="O951" s="204"/>
    </row>
    <row r="952" spans="1:15" ht="14.25" customHeight="1" x14ac:dyDescent="0.25">
      <c r="A952" s="204"/>
      <c r="J952" s="204"/>
      <c r="K952" s="204"/>
      <c r="N952" s="204"/>
      <c r="O952" s="204"/>
    </row>
    <row r="953" spans="1:15" ht="14.25" customHeight="1" x14ac:dyDescent="0.25">
      <c r="A953" s="204"/>
      <c r="J953" s="204"/>
      <c r="K953" s="204"/>
      <c r="N953" s="204"/>
      <c r="O953" s="204"/>
    </row>
    <row r="954" spans="1:15" ht="14.25" customHeight="1" x14ac:dyDescent="0.25">
      <c r="A954" s="204"/>
      <c r="J954" s="204"/>
      <c r="K954" s="204"/>
      <c r="N954" s="204"/>
      <c r="O954" s="204"/>
    </row>
    <row r="955" spans="1:15" ht="14.25" customHeight="1" x14ac:dyDescent="0.25">
      <c r="A955" s="204"/>
      <c r="J955" s="204"/>
      <c r="K955" s="204"/>
      <c r="N955" s="204"/>
      <c r="O955" s="204"/>
    </row>
    <row r="956" spans="1:15" ht="14.25" customHeight="1" x14ac:dyDescent="0.25">
      <c r="A956" s="204"/>
      <c r="J956" s="204"/>
      <c r="K956" s="204"/>
      <c r="N956" s="204"/>
      <c r="O956" s="204"/>
    </row>
    <row r="957" spans="1:15" ht="14.25" customHeight="1" x14ac:dyDescent="0.25">
      <c r="A957" s="204"/>
      <c r="J957" s="204"/>
      <c r="K957" s="204"/>
      <c r="N957" s="204"/>
      <c r="O957" s="204"/>
    </row>
    <row r="958" spans="1:15" ht="14.25" customHeight="1" x14ac:dyDescent="0.25">
      <c r="A958" s="204"/>
      <c r="J958" s="204"/>
      <c r="K958" s="204"/>
      <c r="N958" s="204"/>
      <c r="O958" s="204"/>
    </row>
    <row r="959" spans="1:15" ht="14.25" customHeight="1" x14ac:dyDescent="0.25">
      <c r="A959" s="204"/>
      <c r="J959" s="204"/>
      <c r="K959" s="204"/>
      <c r="N959" s="204"/>
      <c r="O959" s="204"/>
    </row>
    <row r="960" spans="1:15" ht="14.25" customHeight="1" x14ac:dyDescent="0.25">
      <c r="A960" s="204"/>
      <c r="J960" s="204"/>
      <c r="K960" s="204"/>
      <c r="N960" s="204"/>
      <c r="O960" s="204"/>
    </row>
    <row r="961" spans="1:15" ht="14.25" customHeight="1" x14ac:dyDescent="0.25">
      <c r="A961" s="204"/>
      <c r="J961" s="204"/>
      <c r="K961" s="204"/>
      <c r="N961" s="204"/>
      <c r="O961" s="204"/>
    </row>
    <row r="962" spans="1:15" ht="14.25" customHeight="1" x14ac:dyDescent="0.25">
      <c r="A962" s="204"/>
      <c r="J962" s="204"/>
      <c r="K962" s="204"/>
      <c r="N962" s="204"/>
      <c r="O962" s="204"/>
    </row>
    <row r="963" spans="1:15" ht="14.25" customHeight="1" x14ac:dyDescent="0.25">
      <c r="A963" s="204"/>
      <c r="J963" s="204"/>
      <c r="K963" s="204"/>
      <c r="N963" s="204"/>
      <c r="O963" s="204"/>
    </row>
    <row r="964" spans="1:15" ht="14.25" customHeight="1" x14ac:dyDescent="0.25">
      <c r="A964" s="204"/>
      <c r="J964" s="204"/>
      <c r="K964" s="204"/>
      <c r="N964" s="204"/>
      <c r="O964" s="204"/>
    </row>
    <row r="965" spans="1:15" ht="14.25" customHeight="1" x14ac:dyDescent="0.25">
      <c r="A965" s="204"/>
      <c r="J965" s="204"/>
      <c r="K965" s="204"/>
      <c r="N965" s="204"/>
      <c r="O965" s="204"/>
    </row>
    <row r="966" spans="1:15" ht="14.25" customHeight="1" x14ac:dyDescent="0.25">
      <c r="A966" s="204"/>
      <c r="J966" s="204"/>
      <c r="K966" s="204"/>
      <c r="N966" s="204"/>
      <c r="O966" s="204"/>
    </row>
    <row r="967" spans="1:15" ht="14.25" customHeight="1" x14ac:dyDescent="0.25">
      <c r="A967" s="204"/>
      <c r="J967" s="204"/>
      <c r="K967" s="204"/>
      <c r="N967" s="204"/>
      <c r="O967" s="204"/>
    </row>
    <row r="968" spans="1:15" ht="14.25" customHeight="1" x14ac:dyDescent="0.25">
      <c r="A968" s="204"/>
      <c r="J968" s="204"/>
      <c r="K968" s="204"/>
      <c r="N968" s="204"/>
      <c r="O968" s="204"/>
    </row>
    <row r="969" spans="1:15" ht="14.25" customHeight="1" x14ac:dyDescent="0.25">
      <c r="A969" s="204"/>
      <c r="J969" s="204"/>
      <c r="K969" s="204"/>
      <c r="N969" s="204"/>
      <c r="O969" s="204"/>
    </row>
    <row r="970" spans="1:15" ht="14.25" customHeight="1" x14ac:dyDescent="0.25">
      <c r="A970" s="204"/>
      <c r="J970" s="204"/>
      <c r="K970" s="204"/>
      <c r="N970" s="204"/>
      <c r="O970" s="204"/>
    </row>
    <row r="971" spans="1:15" ht="14.25" customHeight="1" x14ac:dyDescent="0.25">
      <c r="A971" s="204"/>
      <c r="J971" s="204"/>
      <c r="K971" s="204"/>
      <c r="N971" s="204"/>
      <c r="O971" s="204"/>
    </row>
    <row r="972" spans="1:15" ht="14.25" customHeight="1" x14ac:dyDescent="0.25">
      <c r="A972" s="204"/>
      <c r="J972" s="204"/>
      <c r="K972" s="204"/>
      <c r="N972" s="204"/>
      <c r="O972" s="204"/>
    </row>
    <row r="973" spans="1:15" ht="14.25" customHeight="1" x14ac:dyDescent="0.25">
      <c r="A973" s="204"/>
      <c r="J973" s="204"/>
      <c r="K973" s="204"/>
      <c r="N973" s="204"/>
      <c r="O973" s="204"/>
    </row>
    <row r="974" spans="1:15" ht="14.25" customHeight="1" x14ac:dyDescent="0.25">
      <c r="A974" s="204"/>
      <c r="J974" s="204"/>
      <c r="K974" s="204"/>
      <c r="N974" s="204"/>
      <c r="O974" s="204"/>
    </row>
    <row r="975" spans="1:15" ht="14.25" customHeight="1" x14ac:dyDescent="0.25">
      <c r="A975" s="204"/>
      <c r="J975" s="204"/>
      <c r="K975" s="204"/>
      <c r="N975" s="204"/>
      <c r="O975" s="204"/>
    </row>
    <row r="976" spans="1:15" ht="14.25" customHeight="1" x14ac:dyDescent="0.25">
      <c r="A976" s="204"/>
      <c r="J976" s="204"/>
      <c r="K976" s="204"/>
      <c r="N976" s="204"/>
      <c r="O976" s="204"/>
    </row>
    <row r="977" spans="1:15" ht="14.25" customHeight="1" x14ac:dyDescent="0.25">
      <c r="A977" s="204"/>
      <c r="J977" s="204"/>
      <c r="K977" s="204"/>
      <c r="N977" s="204"/>
      <c r="O977" s="204"/>
    </row>
    <row r="978" spans="1:15" ht="14.25" customHeight="1" x14ac:dyDescent="0.25">
      <c r="A978" s="204"/>
      <c r="J978" s="204"/>
      <c r="K978" s="204"/>
      <c r="N978" s="204"/>
      <c r="O978" s="204"/>
    </row>
    <row r="979" spans="1:15" ht="14.25" customHeight="1" x14ac:dyDescent="0.25">
      <c r="A979" s="204"/>
      <c r="J979" s="204"/>
      <c r="K979" s="204"/>
      <c r="N979" s="204"/>
      <c r="O979" s="204"/>
    </row>
    <row r="980" spans="1:15" ht="14.25" customHeight="1" x14ac:dyDescent="0.25">
      <c r="A980" s="204"/>
      <c r="J980" s="204"/>
      <c r="K980" s="204"/>
      <c r="N980" s="204"/>
      <c r="O980" s="204"/>
    </row>
    <row r="981" spans="1:15" ht="14.25" customHeight="1" x14ac:dyDescent="0.25">
      <c r="A981" s="204"/>
      <c r="J981" s="204"/>
      <c r="K981" s="204"/>
      <c r="N981" s="204"/>
      <c r="O981" s="204"/>
    </row>
    <row r="982" spans="1:15" ht="14.25" customHeight="1" x14ac:dyDescent="0.25">
      <c r="A982" s="204"/>
      <c r="J982" s="204"/>
      <c r="K982" s="204"/>
      <c r="N982" s="204"/>
      <c r="O982" s="204"/>
    </row>
    <row r="983" spans="1:15" ht="14.25" customHeight="1" x14ac:dyDescent="0.25">
      <c r="A983" s="204"/>
      <c r="J983" s="204"/>
      <c r="K983" s="204"/>
      <c r="N983" s="204"/>
      <c r="O983" s="204"/>
    </row>
    <row r="984" spans="1:15" ht="14.25" customHeight="1" x14ac:dyDescent="0.25">
      <c r="A984" s="204"/>
      <c r="J984" s="204"/>
      <c r="K984" s="204"/>
      <c r="N984" s="204"/>
      <c r="O984" s="204"/>
    </row>
    <row r="985" spans="1:15" ht="14.25" customHeight="1" x14ac:dyDescent="0.25">
      <c r="A985" s="204"/>
      <c r="J985" s="204"/>
      <c r="K985" s="204"/>
      <c r="N985" s="204"/>
      <c r="O985" s="204"/>
    </row>
    <row r="986" spans="1:15" ht="14.25" customHeight="1" x14ac:dyDescent="0.25">
      <c r="A986" s="204"/>
      <c r="J986" s="204"/>
      <c r="K986" s="204"/>
      <c r="N986" s="204"/>
      <c r="O986" s="204"/>
    </row>
    <row r="987" spans="1:15" ht="14.25" customHeight="1" x14ac:dyDescent="0.25">
      <c r="A987" s="204"/>
      <c r="J987" s="204"/>
      <c r="K987" s="204"/>
      <c r="N987" s="204"/>
      <c r="O987" s="204"/>
    </row>
  </sheetData>
  <mergeCells count="6">
    <mergeCell ref="A5:O5"/>
    <mergeCell ref="A7:O7"/>
    <mergeCell ref="B9:I9"/>
    <mergeCell ref="L9:M9"/>
    <mergeCell ref="L21:M21"/>
    <mergeCell ref="L13:M13"/>
  </mergeCells>
  <phoneticPr fontId="43" type="noConversion"/>
  <pageMargins left="0.511811024" right="0.511811024" top="0.78740157499999996" bottom="0.78740157499999996" header="0" footer="0"/>
  <pageSetup paperSize="9" orientation="portrait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A413-B84E-4F21-BDF8-BE523108E400}">
  <sheetPr>
    <tabColor rgb="FF92D050"/>
  </sheetPr>
  <dimension ref="A1:K28"/>
  <sheetViews>
    <sheetView showGridLines="0" topLeftCell="A7" zoomScale="87" zoomScaleNormal="87" zoomScaleSheetLayoutView="95" workbookViewId="0">
      <selection activeCell="H25" sqref="H25"/>
    </sheetView>
  </sheetViews>
  <sheetFormatPr defaultColWidth="9.140625" defaultRowHeight="12.75" x14ac:dyDescent="0.25"/>
  <cols>
    <col min="1" max="1" width="45" style="1" bestFit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5.140625" style="1" customWidth="1"/>
    <col min="7" max="7" width="17.7109375" style="1" customWidth="1"/>
    <col min="8" max="8" width="13.140625" style="1" bestFit="1" customWidth="1"/>
    <col min="9" max="9" width="12.140625" style="1" bestFit="1" customWidth="1"/>
    <col min="10" max="10" width="12.85546875" style="1" bestFit="1" customWidth="1"/>
    <col min="11" max="11" width="12" style="1" bestFit="1" customWidth="1"/>
    <col min="12" max="16384" width="9.140625" style="1"/>
  </cols>
  <sheetData>
    <row r="1" spans="1:10" x14ac:dyDescent="0.25">
      <c r="B1" s="2"/>
      <c r="C1" s="1"/>
      <c r="D1" s="1"/>
      <c r="G1" s="159"/>
      <c r="H1" s="159"/>
      <c r="I1" s="2"/>
    </row>
    <row r="2" spans="1:10" ht="12.75" customHeight="1" x14ac:dyDescent="0.25">
      <c r="A2" s="364" t="s">
        <v>187</v>
      </c>
      <c r="B2" s="2"/>
      <c r="C2" s="1"/>
      <c r="D2" s="1"/>
      <c r="G2" s="164"/>
      <c r="H2" s="164"/>
      <c r="I2" s="2"/>
    </row>
    <row r="3" spans="1:10" ht="12.75" customHeight="1" x14ac:dyDescent="0.25">
      <c r="A3" s="365"/>
      <c r="B3" s="2"/>
      <c r="C3" s="1"/>
      <c r="D3" s="1"/>
      <c r="G3" s="164"/>
      <c r="H3" s="164"/>
      <c r="I3" s="2"/>
    </row>
    <row r="4" spans="1:10" ht="12.75" customHeight="1" x14ac:dyDescent="0.25">
      <c r="A4" s="365"/>
      <c r="B4" s="2"/>
      <c r="C4" s="1"/>
      <c r="D4" s="1"/>
      <c r="G4" s="164"/>
      <c r="H4" s="164"/>
      <c r="I4" s="2"/>
    </row>
    <row r="5" spans="1:10" ht="13.5" thickBot="1" x14ac:dyDescent="0.3">
      <c r="A5" s="163"/>
      <c r="B5" s="162"/>
      <c r="C5" s="162"/>
      <c r="D5" s="162"/>
      <c r="E5" s="162"/>
      <c r="F5" s="162"/>
      <c r="G5" s="161"/>
      <c r="H5" s="161"/>
      <c r="I5" s="2"/>
    </row>
    <row r="6" spans="1:10" x14ac:dyDescent="0.25">
      <c r="A6" s="160"/>
      <c r="B6" s="2"/>
      <c r="C6" s="1"/>
      <c r="D6" s="1"/>
      <c r="G6" s="159"/>
      <c r="H6" s="159"/>
      <c r="I6" s="2"/>
    </row>
    <row r="7" spans="1:10" x14ac:dyDescent="0.25">
      <c r="A7" s="158" t="s">
        <v>186</v>
      </c>
      <c r="B7" s="157"/>
      <c r="C7" s="156"/>
      <c r="D7" s="156"/>
      <c r="E7" s="156"/>
      <c r="F7" s="156"/>
      <c r="G7" s="156"/>
      <c r="H7" s="155"/>
      <c r="I7" s="2"/>
    </row>
    <row r="8" spans="1:10" x14ac:dyDescent="0.25">
      <c r="A8" s="154" t="s">
        <v>0</v>
      </c>
      <c r="B8" s="153"/>
      <c r="C8" s="152"/>
      <c r="D8" s="152"/>
      <c r="E8" s="152"/>
      <c r="F8" s="152"/>
      <c r="G8" s="152"/>
      <c r="H8" s="151"/>
      <c r="I8" s="2"/>
    </row>
    <row r="9" spans="1:10" ht="15" customHeight="1" x14ac:dyDescent="0.25">
      <c r="A9" s="150" t="s">
        <v>185</v>
      </c>
      <c r="B9" s="149">
        <v>45471</v>
      </c>
      <c r="C9" s="148"/>
      <c r="D9" s="148"/>
      <c r="E9" s="148"/>
      <c r="F9" s="148"/>
      <c r="G9" s="148"/>
      <c r="H9" s="147"/>
    </row>
    <row r="10" spans="1:10" x14ac:dyDescent="0.25">
      <c r="A10" s="146" t="s">
        <v>1</v>
      </c>
      <c r="B10" s="145" t="s">
        <v>184</v>
      </c>
      <c r="C10" s="144"/>
      <c r="D10" s="144"/>
      <c r="E10" s="144"/>
      <c r="F10" s="144"/>
      <c r="G10" s="144"/>
      <c r="H10" s="143"/>
    </row>
    <row r="12" spans="1:10" x14ac:dyDescent="0.25">
      <c r="A12" s="142" t="s">
        <v>194</v>
      </c>
      <c r="B12" s="141"/>
      <c r="C12" s="140"/>
      <c r="D12" s="139"/>
      <c r="E12" s="138"/>
      <c r="F12" s="138"/>
      <c r="G12" s="138"/>
      <c r="H12" s="137"/>
    </row>
    <row r="13" spans="1:10" ht="15.95" customHeight="1" x14ac:dyDescent="0.25">
      <c r="A13" s="136"/>
      <c r="B13" s="135"/>
      <c r="C13" s="134"/>
      <c r="D13" s="133"/>
      <c r="E13" s="133"/>
      <c r="F13" s="133"/>
      <c r="H13" s="129"/>
      <c r="J13" s="115"/>
    </row>
    <row r="14" spans="1:10" ht="15.95" customHeight="1" x14ac:dyDescent="0.25">
      <c r="A14" s="132" t="s">
        <v>14</v>
      </c>
      <c r="B14" s="371" t="s">
        <v>18</v>
      </c>
      <c r="C14" s="372"/>
      <c r="D14" s="373" t="s">
        <v>5</v>
      </c>
      <c r="E14" s="374"/>
      <c r="F14" s="131" t="s">
        <v>182</v>
      </c>
      <c r="G14" s="130" t="s">
        <v>16</v>
      </c>
      <c r="H14" s="129"/>
      <c r="J14" s="115"/>
    </row>
    <row r="15" spans="1:10" ht="15.95" customHeight="1" x14ac:dyDescent="0.25">
      <c r="A15" s="170" t="s">
        <v>398</v>
      </c>
      <c r="B15" s="122">
        <f>'PISO E TETO'!M30</f>
        <v>1854.02</v>
      </c>
      <c r="C15" s="127" t="s">
        <v>2</v>
      </c>
      <c r="D15" s="126"/>
      <c r="E15" s="128" t="s">
        <v>170</v>
      </c>
      <c r="F15" s="124" t="s">
        <v>169</v>
      </c>
      <c r="G15" s="123">
        <f>D15*B15*1.1</f>
        <v>0</v>
      </c>
      <c r="H15" s="129">
        <f>G15/B15</f>
        <v>0</v>
      </c>
      <c r="I15" s="115">
        <f>172.7*B15</f>
        <v>320189.25399999996</v>
      </c>
    </row>
    <row r="16" spans="1:10" ht="15.95" customHeight="1" x14ac:dyDescent="0.25">
      <c r="A16" s="170" t="s">
        <v>323</v>
      </c>
      <c r="B16" s="122">
        <f>'PISO E TETO'!M28+'PISO E TETO'!M27+'PISO E TETO'!M29+'PISO E TETO'!M33</f>
        <v>1338.9961340000002</v>
      </c>
      <c r="C16" s="127" t="s">
        <v>2</v>
      </c>
      <c r="D16" s="126">
        <v>12</v>
      </c>
      <c r="E16" s="128" t="s">
        <v>170</v>
      </c>
      <c r="F16" s="124" t="s">
        <v>169</v>
      </c>
      <c r="G16" s="123">
        <f>D16*B16*1.1</f>
        <v>17674.748968800006</v>
      </c>
      <c r="H16" s="129"/>
    </row>
    <row r="17" spans="1:11" ht="15.95" customHeight="1" x14ac:dyDescent="0.25">
      <c r="A17" s="170" t="s">
        <v>343</v>
      </c>
      <c r="B17" s="122"/>
      <c r="C17" s="127" t="s">
        <v>2</v>
      </c>
      <c r="D17" s="126">
        <f>28</f>
        <v>28</v>
      </c>
      <c r="E17" s="128" t="s">
        <v>170</v>
      </c>
      <c r="F17" s="124" t="s">
        <v>169</v>
      </c>
      <c r="G17" s="123">
        <f>D17*B17*1.1</f>
        <v>0</v>
      </c>
      <c r="H17" s="129"/>
    </row>
    <row r="18" spans="1:11" ht="15.95" customHeight="1" x14ac:dyDescent="0.25">
      <c r="A18" s="168" t="s">
        <v>193</v>
      </c>
      <c r="B18" s="122">
        <f>'PISO E TETO'!M11</f>
        <v>7152.5749249999999</v>
      </c>
      <c r="C18" s="127" t="s">
        <v>2</v>
      </c>
      <c r="D18" s="126">
        <v>32</v>
      </c>
      <c r="E18" s="128" t="s">
        <v>189</v>
      </c>
      <c r="F18" s="124" t="s">
        <v>169</v>
      </c>
      <c r="G18" s="123">
        <f>B18*D18*1.1</f>
        <v>251770.63736000002</v>
      </c>
      <c r="H18" s="129"/>
    </row>
    <row r="19" spans="1:11" ht="15.95" customHeight="1" x14ac:dyDescent="0.25">
      <c r="A19" s="168" t="s">
        <v>192</v>
      </c>
      <c r="B19" s="122">
        <f>'PISO E TETO'!M12</f>
        <v>6627.424</v>
      </c>
      <c r="C19" s="127" t="s">
        <v>2</v>
      </c>
      <c r="D19" s="126">
        <v>26</v>
      </c>
      <c r="E19" s="128" t="s">
        <v>189</v>
      </c>
      <c r="F19" s="124" t="s">
        <v>169</v>
      </c>
      <c r="G19" s="123">
        <f>B19*D19*1.1</f>
        <v>189544.32640000002</v>
      </c>
      <c r="H19" s="129"/>
      <c r="J19" s="1">
        <f>G19/B19</f>
        <v>28.6</v>
      </c>
      <c r="K19" s="1">
        <f>G19/DADOS_INICIAIS!E9</f>
        <v>16.896159398263002</v>
      </c>
    </row>
    <row r="20" spans="1:11" ht="27" customHeight="1" x14ac:dyDescent="0.25">
      <c r="A20" s="168" t="s">
        <v>602</v>
      </c>
      <c r="B20" s="240"/>
      <c r="C20" s="167"/>
      <c r="D20" s="239"/>
      <c r="E20" s="125"/>
      <c r="F20" s="166"/>
      <c r="G20" s="123">
        <f>'Custos Serviços'!D69</f>
        <v>611015.48422418034</v>
      </c>
      <c r="H20" s="121"/>
    </row>
    <row r="21" spans="1:11" ht="27" customHeight="1" x14ac:dyDescent="0.25">
      <c r="A21" s="169" t="s">
        <v>191</v>
      </c>
      <c r="B21" s="240">
        <f>ALVENARIA!D13*2-'Rev. Fachada'!B15</f>
        <v>12432.6952</v>
      </c>
      <c r="C21" s="167" t="s">
        <v>2</v>
      </c>
      <c r="D21" s="239">
        <v>7.5</v>
      </c>
      <c r="E21" s="128" t="s">
        <v>170</v>
      </c>
      <c r="F21" s="166" t="s">
        <v>169</v>
      </c>
      <c r="G21" s="123">
        <f t="shared" ref="G21:G22" si="0">B21*D21*1.1</f>
        <v>102569.73540000002</v>
      </c>
      <c r="H21" s="121"/>
    </row>
    <row r="22" spans="1:11" ht="27" customHeight="1" x14ac:dyDescent="0.25">
      <c r="A22" s="168" t="s">
        <v>190</v>
      </c>
      <c r="B22" s="240">
        <f>B21</f>
        <v>12432.6952</v>
      </c>
      <c r="C22" s="167" t="s">
        <v>2</v>
      </c>
      <c r="D22" s="239">
        <v>16</v>
      </c>
      <c r="E22" s="128" t="s">
        <v>170</v>
      </c>
      <c r="F22" s="166" t="s">
        <v>169</v>
      </c>
      <c r="G22" s="123">
        <f t="shared" si="0"/>
        <v>218815.43552000003</v>
      </c>
      <c r="H22" s="121"/>
    </row>
    <row r="23" spans="1:11" ht="27" customHeight="1" x14ac:dyDescent="0.25">
      <c r="A23" s="168" t="s">
        <v>196</v>
      </c>
      <c r="B23" s="240">
        <f>0.15*DADOS_INICIAIS!E9</f>
        <v>1682.7284999999999</v>
      </c>
      <c r="C23" s="167" t="s">
        <v>2</v>
      </c>
      <c r="D23" s="239">
        <v>2.5</v>
      </c>
      <c r="E23" s="128" t="s">
        <v>170</v>
      </c>
      <c r="F23" s="166" t="s">
        <v>169</v>
      </c>
      <c r="G23" s="123">
        <f>B23*D23*1.1</f>
        <v>4627.5033750000002</v>
      </c>
      <c r="H23" s="121"/>
    </row>
    <row r="24" spans="1:11" ht="27" customHeight="1" x14ac:dyDescent="0.25">
      <c r="A24" s="168" t="s">
        <v>601</v>
      </c>
      <c r="B24" s="240"/>
      <c r="C24" s="167"/>
      <c r="D24" s="239"/>
      <c r="E24" s="125"/>
      <c r="F24" s="166"/>
      <c r="G24" s="123">
        <f>'Custos Serviços'!D35-'Custos Serviços'!D36+'Custos Serviços'!D47</f>
        <v>857051.05253845023</v>
      </c>
      <c r="H24" s="121">
        <f>G24/B22</f>
        <v>68.935258103846238</v>
      </c>
    </row>
    <row r="25" spans="1:11" ht="15.95" customHeight="1" x14ac:dyDescent="0.25">
      <c r="A25" s="369" t="s">
        <v>17</v>
      </c>
      <c r="B25" s="370"/>
      <c r="C25" s="370"/>
      <c r="D25" s="370"/>
      <c r="E25" s="370"/>
      <c r="F25" s="370"/>
      <c r="G25" s="120">
        <f>SUM(G15:G24)</f>
        <v>2253068.9237864311</v>
      </c>
      <c r="H25" s="119"/>
    </row>
    <row r="26" spans="1:11" ht="15.95" customHeight="1" x14ac:dyDescent="0.25">
      <c r="A26" s="367"/>
      <c r="B26" s="368"/>
      <c r="C26" s="368"/>
      <c r="D26" s="368"/>
      <c r="E26" s="368"/>
      <c r="F26" s="368"/>
      <c r="G26" s="165"/>
      <c r="H26" s="118"/>
    </row>
    <row r="28" spans="1:11" x14ac:dyDescent="0.25">
      <c r="A28" s="366" t="s">
        <v>188</v>
      </c>
      <c r="B28" s="366"/>
      <c r="C28" s="366"/>
      <c r="D28" s="366"/>
      <c r="E28" s="366"/>
      <c r="F28" s="366"/>
      <c r="G28" s="117">
        <f>G25</f>
        <v>2253068.9237864311</v>
      </c>
      <c r="H28" s="116">
        <f>G28/DADOS_INICIAIS!E9</f>
        <v>200.84068140996283</v>
      </c>
    </row>
  </sheetData>
  <mergeCells count="6">
    <mergeCell ref="A2:A4"/>
    <mergeCell ref="A28:F28"/>
    <mergeCell ref="A26:F26"/>
    <mergeCell ref="A25:F25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3BA5-59B3-4B37-8482-3A07D04C966C}">
  <sheetPr>
    <tabColor rgb="FF92D050"/>
  </sheetPr>
  <dimension ref="A1:L19"/>
  <sheetViews>
    <sheetView showGridLines="0" topLeftCell="A3" zoomScale="80" zoomScaleNormal="80" zoomScaleSheetLayoutView="95" workbookViewId="0">
      <selection activeCell="D11" sqref="D11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345" t="s">
        <v>316</v>
      </c>
      <c r="B3" s="353"/>
      <c r="C3" s="353"/>
      <c r="D3" s="346"/>
      <c r="E3" s="346"/>
      <c r="F3" s="346"/>
      <c r="G3" s="346"/>
      <c r="H3" s="347"/>
      <c r="J3" s="79"/>
    </row>
    <row r="4" spans="1:12" ht="19.5" x14ac:dyDescent="0.25">
      <c r="A4" s="182" t="s">
        <v>185</v>
      </c>
      <c r="B4" s="188">
        <v>45471</v>
      </c>
      <c r="C4" s="186"/>
      <c r="D4" s="186"/>
      <c r="E4" s="186"/>
      <c r="F4" s="186"/>
      <c r="G4" s="186"/>
      <c r="H4" s="187"/>
      <c r="J4" s="79"/>
    </row>
    <row r="5" spans="1:12" ht="19.5" x14ac:dyDescent="0.25">
      <c r="A5" s="182" t="s">
        <v>293</v>
      </c>
      <c r="B5" s="189" t="s">
        <v>210</v>
      </c>
      <c r="C5" s="184"/>
      <c r="D5" s="184"/>
      <c r="E5" s="184"/>
      <c r="F5" s="184"/>
      <c r="G5" s="184"/>
      <c r="H5" s="185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413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349" t="s">
        <v>5</v>
      </c>
      <c r="C9" s="350"/>
      <c r="D9" s="349" t="s">
        <v>18</v>
      </c>
      <c r="E9" s="350"/>
      <c r="F9" s="65" t="s">
        <v>118</v>
      </c>
      <c r="G9" s="71" t="s">
        <v>16</v>
      </c>
      <c r="H9" s="90" t="s">
        <v>295</v>
      </c>
    </row>
    <row r="10" spans="1:12" ht="21.75" x14ac:dyDescent="0.25">
      <c r="A10" s="66" t="s">
        <v>604</v>
      </c>
      <c r="B10" s="62">
        <f>D10/DADOS_INICIAIS!E9</f>
        <v>0.72761676348858406</v>
      </c>
      <c r="C10" s="62" t="s">
        <v>37</v>
      </c>
      <c r="D10" s="67">
        <f>'PISO E TETO'!M16+'PISO E TETO'!M17</f>
        <v>8162.543099999999</v>
      </c>
      <c r="E10" s="67" t="s">
        <v>2</v>
      </c>
      <c r="F10" s="88">
        <v>75</v>
      </c>
      <c r="G10" s="89">
        <f>F10*D10*1.1</f>
        <v>673409.80574999994</v>
      </c>
      <c r="H10" s="67"/>
    </row>
    <row r="11" spans="1:12" ht="21.75" x14ac:dyDescent="0.25">
      <c r="A11" s="78" t="s">
        <v>197</v>
      </c>
      <c r="B11" s="62">
        <v>1.2</v>
      </c>
      <c r="C11" s="62" t="s">
        <v>314</v>
      </c>
      <c r="D11" s="67">
        <f>(D10)*B11</f>
        <v>9795.0517199999977</v>
      </c>
      <c r="E11" s="67" t="s">
        <v>4</v>
      </c>
      <c r="F11" s="88"/>
      <c r="G11" s="89">
        <f>F11*D11*1.1</f>
        <v>0</v>
      </c>
      <c r="H11" s="67"/>
    </row>
    <row r="12" spans="1:12" ht="21.75" x14ac:dyDescent="0.25">
      <c r="A12" s="78" t="s">
        <v>196</v>
      </c>
      <c r="B12" s="62">
        <f>D12/DADOS_INICIAIS!E9</f>
        <v>0.28998941531566141</v>
      </c>
      <c r="C12" s="62" t="s">
        <v>37</v>
      </c>
      <c r="D12" s="67">
        <f>'PISO E TETO'!M15</f>
        <v>3253.1563589999996</v>
      </c>
      <c r="E12" s="67" t="s">
        <v>2</v>
      </c>
      <c r="F12" s="88">
        <v>7.5</v>
      </c>
      <c r="G12" s="89">
        <f>F12*D12*1.1</f>
        <v>26838.539961749997</v>
      </c>
      <c r="H12" s="67"/>
    </row>
    <row r="13" spans="1:12" ht="21.75" x14ac:dyDescent="0.25">
      <c r="A13" s="78" t="s">
        <v>603</v>
      </c>
      <c r="B13" s="62"/>
      <c r="C13" s="62"/>
      <c r="D13" s="67"/>
      <c r="E13" s="67"/>
      <c r="F13" s="88"/>
      <c r="G13" s="89">
        <f>'Custos Serviços'!D58</f>
        <v>125869.18975018115</v>
      </c>
      <c r="H13" s="67"/>
    </row>
    <row r="14" spans="1:12" ht="21.75" x14ac:dyDescent="0.25">
      <c r="A14" s="344" t="s">
        <v>17</v>
      </c>
      <c r="B14" s="344"/>
      <c r="C14" s="344"/>
      <c r="D14" s="344"/>
      <c r="E14" s="344"/>
      <c r="F14" s="344"/>
      <c r="G14" s="90">
        <f>SUM(G10:G13)</f>
        <v>826117.53546193114</v>
      </c>
      <c r="H14" s="90">
        <f>G14/DADOS_INICIAIS!$E$9</f>
        <v>73.640893536473456</v>
      </c>
      <c r="K14" s="55">
        <f>4160+1440+1120+2880+4800+91680+4000</f>
        <v>110080</v>
      </c>
      <c r="L14" s="55">
        <f>K14/21</f>
        <v>5241.9047619047615</v>
      </c>
    </row>
    <row r="16" spans="1:12" ht="21.75" x14ac:dyDescent="0.25">
      <c r="A16" s="354" t="s">
        <v>341</v>
      </c>
      <c r="B16" s="355"/>
      <c r="C16" s="355"/>
      <c r="D16" s="355"/>
      <c r="E16" s="355"/>
      <c r="F16" s="356"/>
      <c r="G16" s="91">
        <f>G14</f>
        <v>826117.53546193114</v>
      </c>
      <c r="H16" s="91">
        <f>G16/DADOS_INICIAIS!E9</f>
        <v>73.640893536473456</v>
      </c>
    </row>
    <row r="18" spans="7:8" x14ac:dyDescent="0.25">
      <c r="G18" s="55" t="e">
        <f>#REF!/DADOS_INICIAIS!E9</f>
        <v>#REF!</v>
      </c>
    </row>
    <row r="19" spans="7:8" x14ac:dyDescent="0.25">
      <c r="H19" s="191">
        <f>H16/1.1</f>
        <v>66.946266851339502</v>
      </c>
    </row>
  </sheetData>
  <mergeCells count="5">
    <mergeCell ref="A3:H3"/>
    <mergeCell ref="B9:C9"/>
    <mergeCell ref="D9:E9"/>
    <mergeCell ref="A14:F14"/>
    <mergeCell ref="A16:F1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6FD0-B245-4D99-99B5-C3B4613FC83E}">
  <sheetPr>
    <tabColor rgb="FF92D050"/>
  </sheetPr>
  <dimension ref="A1:K50"/>
  <sheetViews>
    <sheetView showGridLines="0" topLeftCell="A19" zoomScaleNormal="100" zoomScaleSheetLayoutView="95" workbookViewId="0">
      <selection activeCell="G36" sqref="G36"/>
    </sheetView>
  </sheetViews>
  <sheetFormatPr defaultColWidth="9.140625" defaultRowHeight="12.75" x14ac:dyDescent="0.25"/>
  <cols>
    <col min="1" max="1" width="47.42578125" style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2.85546875" style="1" customWidth="1"/>
    <col min="7" max="7" width="17" style="1" customWidth="1"/>
    <col min="8" max="8" width="11.85546875" style="1" customWidth="1"/>
    <col min="9" max="9" width="13.85546875" style="1" bestFit="1" customWidth="1"/>
    <col min="10" max="10" width="12.140625" style="1" bestFit="1" customWidth="1"/>
    <col min="11" max="11" width="13.85546875" style="1" bestFit="1" customWidth="1"/>
    <col min="12" max="16384" width="9.140625" style="1"/>
  </cols>
  <sheetData>
    <row r="1" spans="1:11" x14ac:dyDescent="0.25">
      <c r="B1" s="2"/>
      <c r="C1" s="1"/>
      <c r="D1" s="1"/>
      <c r="G1" s="159"/>
      <c r="H1" s="159"/>
      <c r="I1" s="2"/>
    </row>
    <row r="2" spans="1:11" ht="12.75" customHeight="1" x14ac:dyDescent="0.25">
      <c r="A2" s="364" t="s">
        <v>187</v>
      </c>
      <c r="B2" s="2"/>
      <c r="C2" s="1"/>
      <c r="D2" s="1"/>
      <c r="G2" s="164"/>
      <c r="H2" s="164"/>
      <c r="I2" s="2"/>
    </row>
    <row r="3" spans="1:11" ht="12.75" customHeight="1" x14ac:dyDescent="0.25">
      <c r="A3" s="365"/>
      <c r="B3" s="2"/>
      <c r="C3" s="1"/>
      <c r="D3" s="1"/>
      <c r="G3" s="164"/>
      <c r="H3" s="164"/>
      <c r="I3" s="2"/>
    </row>
    <row r="4" spans="1:11" ht="12.75" customHeight="1" x14ac:dyDescent="0.25">
      <c r="A4" s="365"/>
      <c r="B4" s="2"/>
      <c r="C4" s="1"/>
      <c r="D4" s="1"/>
      <c r="G4" s="164"/>
      <c r="H4" s="164"/>
      <c r="I4" s="2"/>
    </row>
    <row r="5" spans="1:11" ht="13.5" thickBot="1" x14ac:dyDescent="0.3">
      <c r="A5" s="163"/>
      <c r="B5" s="162"/>
      <c r="C5" s="162"/>
      <c r="D5" s="162"/>
      <c r="E5" s="162"/>
      <c r="F5" s="162"/>
      <c r="G5" s="161"/>
      <c r="H5" s="161"/>
      <c r="I5" s="2"/>
    </row>
    <row r="6" spans="1:11" x14ac:dyDescent="0.25">
      <c r="A6" s="160"/>
      <c r="B6" s="2"/>
      <c r="C6" s="1"/>
      <c r="D6" s="1"/>
      <c r="G6" s="159"/>
      <c r="H6" s="159"/>
      <c r="I6" s="2"/>
    </row>
    <row r="7" spans="1:11" x14ac:dyDescent="0.25">
      <c r="A7" s="158" t="s">
        <v>186</v>
      </c>
      <c r="B7" s="157"/>
      <c r="C7" s="156"/>
      <c r="D7" s="156"/>
      <c r="E7" s="156"/>
      <c r="F7" s="156"/>
      <c r="G7" s="156"/>
      <c r="H7" s="155"/>
      <c r="I7" s="2"/>
    </row>
    <row r="8" spans="1:11" x14ac:dyDescent="0.25">
      <c r="A8" s="154" t="s">
        <v>0</v>
      </c>
      <c r="B8" s="153"/>
      <c r="C8" s="152"/>
      <c r="D8" s="152"/>
      <c r="E8" s="152"/>
      <c r="F8" s="152"/>
      <c r="G8" s="152"/>
      <c r="H8" s="151"/>
      <c r="I8" s="2"/>
    </row>
    <row r="9" spans="1:11" ht="15" customHeight="1" x14ac:dyDescent="0.25">
      <c r="A9" s="150" t="s">
        <v>185</v>
      </c>
      <c r="B9" s="149">
        <v>45471</v>
      </c>
      <c r="C9" s="148"/>
      <c r="D9" s="148"/>
      <c r="E9" s="148"/>
      <c r="F9" s="148"/>
      <c r="G9" s="148"/>
      <c r="H9" s="147"/>
    </row>
    <row r="10" spans="1:11" x14ac:dyDescent="0.25">
      <c r="A10" s="146" t="s">
        <v>1</v>
      </c>
      <c r="B10" s="145" t="s">
        <v>184</v>
      </c>
      <c r="C10" s="144"/>
      <c r="D10" s="144"/>
      <c r="E10" s="144"/>
      <c r="F10" s="144"/>
      <c r="G10" s="144"/>
      <c r="H10" s="143"/>
    </row>
    <row r="12" spans="1:11" x14ac:dyDescent="0.25">
      <c r="A12" s="142" t="s">
        <v>605</v>
      </c>
      <c r="B12" s="141"/>
      <c r="C12" s="140"/>
      <c r="D12" s="139"/>
      <c r="E12" s="138"/>
      <c r="F12" s="138"/>
      <c r="G12" s="138"/>
      <c r="H12" s="137"/>
    </row>
    <row r="13" spans="1:11" ht="15.95" customHeight="1" x14ac:dyDescent="0.25">
      <c r="A13" s="136"/>
      <c r="B13" s="135"/>
      <c r="C13" s="134"/>
      <c r="D13" s="133"/>
      <c r="E13" s="133"/>
      <c r="F13" s="133"/>
      <c r="H13" s="129"/>
    </row>
    <row r="14" spans="1:11" ht="15.95" customHeight="1" x14ac:dyDescent="0.25">
      <c r="A14" s="132" t="s">
        <v>14</v>
      </c>
      <c r="B14" s="371" t="s">
        <v>18</v>
      </c>
      <c r="C14" s="372"/>
      <c r="D14" s="373" t="s">
        <v>5</v>
      </c>
      <c r="E14" s="374"/>
      <c r="F14" s="131" t="s">
        <v>182</v>
      </c>
      <c r="G14" s="130" t="s">
        <v>16</v>
      </c>
      <c r="H14" s="202"/>
      <c r="I14" s="2"/>
    </row>
    <row r="15" spans="1:11" ht="15.95" customHeight="1" x14ac:dyDescent="0.25">
      <c r="A15" s="168" t="s">
        <v>204</v>
      </c>
      <c r="B15" s="175">
        <f>'PISO E TETO'!M23</f>
        <v>723.204925</v>
      </c>
      <c r="C15" s="167" t="s">
        <v>202</v>
      </c>
      <c r="D15" s="173">
        <v>85</v>
      </c>
      <c r="E15" s="125" t="s">
        <v>170</v>
      </c>
      <c r="F15" s="166" t="s">
        <v>169</v>
      </c>
      <c r="G15" s="123">
        <f>+D15*B15*1.1</f>
        <v>67619.660487500005</v>
      </c>
      <c r="H15" s="129"/>
      <c r="J15" s="115"/>
      <c r="K15" s="115"/>
    </row>
    <row r="16" spans="1:11" ht="15.95" customHeight="1" x14ac:dyDescent="0.25">
      <c r="A16" s="168" t="s">
        <v>611</v>
      </c>
      <c r="B16" s="175">
        <f>'PISO E TETO'!M26</f>
        <v>513.39</v>
      </c>
      <c r="C16" s="167" t="s">
        <v>202</v>
      </c>
      <c r="D16" s="173">
        <v>150</v>
      </c>
      <c r="E16" s="125" t="s">
        <v>170</v>
      </c>
      <c r="F16" s="166" t="s">
        <v>169</v>
      </c>
      <c r="G16" s="123">
        <f>+D16*B16*1.1</f>
        <v>84709.35</v>
      </c>
      <c r="H16" s="129"/>
      <c r="J16" s="115"/>
      <c r="K16" s="115"/>
    </row>
    <row r="17" spans="1:11" ht="15.95" customHeight="1" x14ac:dyDescent="0.25">
      <c r="A17" s="168" t="s">
        <v>612</v>
      </c>
      <c r="B17" s="175">
        <f>'PISO E TETO'!M36</f>
        <v>4007.2999999999997</v>
      </c>
      <c r="C17" s="167" t="s">
        <v>202</v>
      </c>
      <c r="D17" s="173">
        <v>85</v>
      </c>
      <c r="E17" s="125" t="s">
        <v>170</v>
      </c>
      <c r="F17" s="166" t="s">
        <v>169</v>
      </c>
      <c r="G17" s="123">
        <f>+D17*B17*1.1</f>
        <v>374682.55000000005</v>
      </c>
      <c r="H17" s="129"/>
      <c r="J17" s="115"/>
      <c r="K17" s="115"/>
    </row>
    <row r="18" spans="1:11" ht="15.95" customHeight="1" x14ac:dyDescent="0.25">
      <c r="A18" s="168" t="s">
        <v>400</v>
      </c>
      <c r="B18" s="175">
        <f>'PISO E TETO'!M25</f>
        <v>5.07</v>
      </c>
      <c r="C18" s="167" t="s">
        <v>202</v>
      </c>
      <c r="D18" s="173">
        <v>60</v>
      </c>
      <c r="E18" s="125" t="s">
        <v>170</v>
      </c>
      <c r="F18" s="166" t="s">
        <v>169</v>
      </c>
      <c r="G18" s="123">
        <f>+D18*B18*1.1</f>
        <v>334.62000000000006</v>
      </c>
      <c r="H18" s="129"/>
      <c r="J18" s="115"/>
      <c r="K18" s="115"/>
    </row>
    <row r="19" spans="1:11" ht="15.95" customHeight="1" x14ac:dyDescent="0.25">
      <c r="A19" s="177" t="s">
        <v>203</v>
      </c>
      <c r="B19" s="175">
        <f>'PISO E TETO'!M32</f>
        <v>130.99</v>
      </c>
      <c r="C19" s="167" t="s">
        <v>202</v>
      </c>
      <c r="D19" s="173">
        <f>180+50</f>
        <v>230</v>
      </c>
      <c r="E19" s="125" t="s">
        <v>170</v>
      </c>
      <c r="F19" s="166" t="s">
        <v>169</v>
      </c>
      <c r="G19" s="123">
        <f t="shared" ref="G19:G22" si="0">+D19*B19*1.1</f>
        <v>33140.47</v>
      </c>
      <c r="H19" s="129"/>
      <c r="J19" s="115"/>
    </row>
    <row r="20" spans="1:11" ht="15.95" customHeight="1" x14ac:dyDescent="0.25">
      <c r="A20" s="168" t="s">
        <v>430</v>
      </c>
      <c r="B20" s="175">
        <f>'PISO E TETO'!M24</f>
        <v>229.38</v>
      </c>
      <c r="C20" s="167" t="s">
        <v>202</v>
      </c>
      <c r="D20" s="173">
        <v>150</v>
      </c>
      <c r="E20" s="125" t="s">
        <v>170</v>
      </c>
      <c r="F20" s="166" t="s">
        <v>169</v>
      </c>
      <c r="G20" s="123">
        <f t="shared" si="0"/>
        <v>37847.700000000004</v>
      </c>
      <c r="H20" s="129"/>
    </row>
    <row r="21" spans="1:11" ht="15.95" customHeight="1" x14ac:dyDescent="0.25">
      <c r="A21" s="168" t="s">
        <v>373</v>
      </c>
      <c r="B21" s="175">
        <f>'PISO E TETO'!M37</f>
        <v>1725.8799999999999</v>
      </c>
      <c r="C21" s="167" t="s">
        <v>202</v>
      </c>
      <c r="D21" s="173">
        <v>150</v>
      </c>
      <c r="E21" s="125" t="s">
        <v>170</v>
      </c>
      <c r="F21" s="166" t="s">
        <v>169</v>
      </c>
      <c r="G21" s="123">
        <f t="shared" si="0"/>
        <v>284770.2</v>
      </c>
      <c r="H21" s="129"/>
    </row>
    <row r="22" spans="1:11" ht="15.95" customHeight="1" x14ac:dyDescent="0.25">
      <c r="A22" s="168" t="s">
        <v>374</v>
      </c>
      <c r="B22" s="175">
        <f>'PISO E TETO'!M31</f>
        <v>32.630000000000003</v>
      </c>
      <c r="C22" s="167" t="s">
        <v>202</v>
      </c>
      <c r="D22" s="173">
        <v>350</v>
      </c>
      <c r="E22" s="125" t="s">
        <v>170</v>
      </c>
      <c r="F22" s="166" t="s">
        <v>169</v>
      </c>
      <c r="G22" s="123">
        <f t="shared" si="0"/>
        <v>12562.550000000001</v>
      </c>
      <c r="H22" s="129"/>
    </row>
    <row r="23" spans="1:11" ht="15.95" customHeight="1" x14ac:dyDescent="0.25">
      <c r="A23" s="168" t="s">
        <v>401</v>
      </c>
      <c r="B23" s="175"/>
      <c r="C23" s="167" t="s">
        <v>202</v>
      </c>
      <c r="D23" s="173">
        <f>768+40</f>
        <v>808</v>
      </c>
      <c r="E23" s="125" t="s">
        <v>170</v>
      </c>
      <c r="F23" s="166" t="s">
        <v>169</v>
      </c>
      <c r="G23" s="123">
        <f t="shared" ref="G23:G24" si="1">+D23*B23*1.1</f>
        <v>0</v>
      </c>
      <c r="H23" s="129"/>
      <c r="I23" s="115"/>
    </row>
    <row r="24" spans="1:11" ht="15.95" customHeight="1" x14ac:dyDescent="0.25">
      <c r="A24" s="168" t="s">
        <v>402</v>
      </c>
      <c r="B24" s="175">
        <f>'PISO E TETO'!M38</f>
        <v>7.87</v>
      </c>
      <c r="C24" s="167" t="s">
        <v>202</v>
      </c>
      <c r="D24" s="173">
        <f>985.2</f>
        <v>985.2</v>
      </c>
      <c r="E24" s="125" t="s">
        <v>170</v>
      </c>
      <c r="F24" s="166" t="s">
        <v>169</v>
      </c>
      <c r="G24" s="123">
        <f t="shared" si="1"/>
        <v>8528.876400000001</v>
      </c>
      <c r="H24" s="129"/>
    </row>
    <row r="25" spans="1:11" ht="15.95" customHeight="1" x14ac:dyDescent="0.25">
      <c r="A25" s="177" t="s">
        <v>201</v>
      </c>
      <c r="B25" s="241">
        <v>1</v>
      </c>
      <c r="C25" s="167" t="s">
        <v>27</v>
      </c>
      <c r="D25" s="173">
        <v>12</v>
      </c>
      <c r="E25" s="125" t="s">
        <v>6</v>
      </c>
      <c r="F25" s="166" t="s">
        <v>169</v>
      </c>
      <c r="G25" s="123">
        <f>D25*DADOS_INICIAIS!$E$9*1.1</f>
        <v>148080.10800000001</v>
      </c>
      <c r="H25" s="202"/>
    </row>
    <row r="26" spans="1:11" ht="15.95" customHeight="1" x14ac:dyDescent="0.25">
      <c r="A26" s="176" t="s">
        <v>613</v>
      </c>
      <c r="B26" s="241">
        <v>1</v>
      </c>
      <c r="C26" s="167" t="s">
        <v>27</v>
      </c>
      <c r="D26" s="173">
        <v>0.35</v>
      </c>
      <c r="E26" s="125" t="s">
        <v>6</v>
      </c>
      <c r="F26" s="166" t="s">
        <v>169</v>
      </c>
      <c r="G26" s="123">
        <f>D26*DADOS_INICIAIS!$E$9*1.1</f>
        <v>4319.0031500000005</v>
      </c>
      <c r="H26" s="129"/>
      <c r="J26" s="115"/>
    </row>
    <row r="27" spans="1:11" ht="15.95" customHeight="1" x14ac:dyDescent="0.25">
      <c r="A27" s="176" t="s">
        <v>614</v>
      </c>
      <c r="B27" s="241">
        <v>1</v>
      </c>
      <c r="C27" s="167" t="s">
        <v>27</v>
      </c>
      <c r="D27" s="173">
        <v>1.5</v>
      </c>
      <c r="E27" s="125" t="s">
        <v>6</v>
      </c>
      <c r="F27" s="166" t="s">
        <v>169</v>
      </c>
      <c r="G27" s="123">
        <f>D27*DADOS_INICIAIS!$E$9*1.1</f>
        <v>18510.013500000001</v>
      </c>
      <c r="H27" s="129"/>
      <c r="J27" s="115"/>
    </row>
    <row r="28" spans="1:11" ht="15.95" customHeight="1" x14ac:dyDescent="0.25">
      <c r="A28" s="174" t="s">
        <v>200</v>
      </c>
      <c r="B28" s="240">
        <f>0.15*DADOS_INICIAIS!E9*0.25</f>
        <v>420.68212499999998</v>
      </c>
      <c r="C28" s="167" t="s">
        <v>202</v>
      </c>
      <c r="D28" s="173">
        <v>62</v>
      </c>
      <c r="E28" s="125" t="s">
        <v>6</v>
      </c>
      <c r="F28" s="166" t="s">
        <v>169</v>
      </c>
      <c r="G28" s="123">
        <f>D28*B28*1.1</f>
        <v>28690.520925000004</v>
      </c>
      <c r="H28" s="121" t="s">
        <v>622</v>
      </c>
      <c r="J28" s="115"/>
    </row>
    <row r="29" spans="1:11" ht="15.95" customHeight="1" x14ac:dyDescent="0.25">
      <c r="A29" s="174" t="s">
        <v>606</v>
      </c>
      <c r="B29" s="240"/>
      <c r="C29" s="167"/>
      <c r="D29" s="173"/>
      <c r="E29" s="125"/>
      <c r="F29" s="166"/>
      <c r="G29" s="123">
        <f>'Custos Serviços'!D84</f>
        <v>1135647.3046214199</v>
      </c>
      <c r="H29" s="121"/>
      <c r="J29" s="115"/>
    </row>
    <row r="30" spans="1:11" ht="15.95" customHeight="1" x14ac:dyDescent="0.25">
      <c r="A30" s="377"/>
      <c r="B30" s="366"/>
      <c r="C30" s="366"/>
      <c r="D30" s="366"/>
      <c r="E30" s="366"/>
      <c r="F30" s="366"/>
      <c r="G30" s="172">
        <f>SUM(G15:G29)</f>
        <v>2239442.9270839198</v>
      </c>
      <c r="H30" s="119"/>
    </row>
    <row r="31" spans="1:11" ht="15.95" customHeight="1" x14ac:dyDescent="0.25">
      <c r="A31" s="375"/>
      <c r="B31" s="376"/>
      <c r="C31" s="376"/>
      <c r="D31" s="376"/>
      <c r="E31" s="376"/>
      <c r="F31" s="376"/>
      <c r="G31" s="165"/>
      <c r="H31" s="118"/>
    </row>
    <row r="32" spans="1:11" ht="15" x14ac:dyDescent="0.25">
      <c r="C32"/>
      <c r="D32"/>
      <c r="E32"/>
      <c r="F32"/>
      <c r="G32"/>
      <c r="H32"/>
    </row>
    <row r="33" spans="2:8" ht="15" x14ac:dyDescent="0.25">
      <c r="B33">
        <f>0.9*2+1.3</f>
        <v>3.1</v>
      </c>
      <c r="C33">
        <f>B33*3*2</f>
        <v>18.600000000000001</v>
      </c>
      <c r="D33" t="s">
        <v>620</v>
      </c>
      <c r="E33" s="336">
        <f>C33*(DADOS_INICIAIS!$E$16+DADOS_INICIAIS!$E$17)</f>
        <v>409.20000000000005</v>
      </c>
      <c r="F33"/>
      <c r="G33"/>
      <c r="H33"/>
    </row>
    <row r="34" spans="2:8" ht="15" x14ac:dyDescent="0.25">
      <c r="C34">
        <f>B33*2*2</f>
        <v>12.4</v>
      </c>
      <c r="D34" t="s">
        <v>621</v>
      </c>
      <c r="E34" s="336">
        <f>C34*(DADOS_INICIAIS!$E$16+DADOS_INICIAIS!$E$17)</f>
        <v>272.8</v>
      </c>
      <c r="F34"/>
      <c r="G34"/>
      <c r="H34"/>
    </row>
    <row r="35" spans="2:8" ht="15" x14ac:dyDescent="0.25">
      <c r="B35"/>
      <c r="C35"/>
      <c r="D35"/>
      <c r="E35"/>
      <c r="F35"/>
      <c r="G35"/>
      <c r="H35"/>
    </row>
    <row r="36" spans="2:8" ht="15" x14ac:dyDescent="0.25">
      <c r="C36"/>
      <c r="D36"/>
      <c r="E36"/>
      <c r="F36"/>
      <c r="G36"/>
      <c r="H36"/>
    </row>
    <row r="37" spans="2:8" ht="15" x14ac:dyDescent="0.25">
      <c r="C37"/>
      <c r="D37"/>
      <c r="E37"/>
      <c r="F37"/>
      <c r="G37"/>
      <c r="H37"/>
    </row>
    <row r="38" spans="2:8" ht="15" x14ac:dyDescent="0.25">
      <c r="C38"/>
      <c r="D38"/>
      <c r="E38"/>
      <c r="F38"/>
      <c r="G38"/>
      <c r="H38"/>
    </row>
    <row r="39" spans="2:8" ht="15" x14ac:dyDescent="0.25">
      <c r="C39"/>
      <c r="D39"/>
      <c r="E39"/>
      <c r="F39"/>
      <c r="G39"/>
      <c r="H39"/>
    </row>
    <row r="40" spans="2:8" ht="15" x14ac:dyDescent="0.25">
      <c r="B40"/>
      <c r="C40"/>
      <c r="D40"/>
      <c r="E40"/>
      <c r="F40"/>
      <c r="G40"/>
      <c r="H40"/>
    </row>
    <row r="41" spans="2:8" ht="15" x14ac:dyDescent="0.25">
      <c r="C41"/>
      <c r="D41"/>
      <c r="E41"/>
      <c r="F41"/>
      <c r="G41"/>
      <c r="H41"/>
    </row>
    <row r="42" spans="2:8" ht="15" x14ac:dyDescent="0.25">
      <c r="C42"/>
      <c r="D42"/>
      <c r="E42"/>
      <c r="F42"/>
      <c r="G42"/>
      <c r="H42"/>
    </row>
    <row r="43" spans="2:8" ht="15" x14ac:dyDescent="0.25">
      <c r="C43"/>
      <c r="D43"/>
      <c r="E43"/>
      <c r="F43"/>
      <c r="G43"/>
      <c r="H43"/>
    </row>
    <row r="44" spans="2:8" ht="15" x14ac:dyDescent="0.25">
      <c r="C44"/>
      <c r="D44"/>
      <c r="E44"/>
      <c r="F44"/>
      <c r="G44"/>
      <c r="H44"/>
    </row>
    <row r="45" spans="2:8" ht="15" x14ac:dyDescent="0.25">
      <c r="B45"/>
      <c r="C45"/>
      <c r="D45"/>
      <c r="E45"/>
      <c r="F45"/>
      <c r="G45"/>
      <c r="H45"/>
    </row>
    <row r="46" spans="2:8" ht="15" x14ac:dyDescent="0.25">
      <c r="C46"/>
      <c r="D46"/>
      <c r="E46"/>
      <c r="F46"/>
      <c r="G46"/>
      <c r="H46"/>
    </row>
    <row r="47" spans="2:8" ht="15" x14ac:dyDescent="0.25">
      <c r="C47"/>
      <c r="D47"/>
      <c r="E47"/>
      <c r="F47"/>
      <c r="G47"/>
      <c r="H47"/>
    </row>
    <row r="48" spans="2:8" ht="15" x14ac:dyDescent="0.25">
      <c r="C48"/>
      <c r="D48"/>
      <c r="E48"/>
      <c r="F48"/>
      <c r="G48"/>
      <c r="H48"/>
    </row>
    <row r="49" spans="3:8" ht="15" x14ac:dyDescent="0.25">
      <c r="C49"/>
      <c r="D49"/>
      <c r="E49"/>
      <c r="F49"/>
      <c r="G49"/>
      <c r="H49"/>
    </row>
    <row r="50" spans="3:8" ht="15" x14ac:dyDescent="0.25">
      <c r="C50"/>
      <c r="D50"/>
      <c r="E50"/>
      <c r="F50"/>
      <c r="G50"/>
      <c r="H50"/>
    </row>
  </sheetData>
  <mergeCells count="5">
    <mergeCell ref="A31:F31"/>
    <mergeCell ref="A30:F30"/>
    <mergeCell ref="A2:A4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F737-6C6E-4935-8874-7DD67B74A44A}">
  <sheetPr>
    <tabColor rgb="FF92D050"/>
  </sheetPr>
  <dimension ref="A1:L22"/>
  <sheetViews>
    <sheetView showGridLines="0" topLeftCell="A4" zoomScale="80" zoomScaleNormal="80" zoomScaleSheetLayoutView="95" workbookViewId="0">
      <selection activeCell="G18" sqref="G18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18" style="55" customWidth="1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345" t="s">
        <v>315</v>
      </c>
      <c r="B3" s="353"/>
      <c r="C3" s="353"/>
      <c r="D3" s="346"/>
      <c r="E3" s="346"/>
      <c r="F3" s="346"/>
      <c r="G3" s="346"/>
      <c r="H3" s="347"/>
      <c r="J3" s="79"/>
    </row>
    <row r="4" spans="1:10" ht="19.5" x14ac:dyDescent="0.25">
      <c r="A4" s="182" t="s">
        <v>185</v>
      </c>
      <c r="B4" s="188">
        <v>45457</v>
      </c>
      <c r="C4" s="186"/>
      <c r="D4" s="186"/>
      <c r="E4" s="186"/>
      <c r="F4" s="186"/>
      <c r="G4" s="186"/>
      <c r="H4" s="187"/>
      <c r="J4" s="79"/>
    </row>
    <row r="5" spans="1:10" ht="19.5" x14ac:dyDescent="0.25">
      <c r="A5" s="182" t="s">
        <v>293</v>
      </c>
      <c r="B5" s="189" t="s">
        <v>210</v>
      </c>
      <c r="C5" s="184"/>
      <c r="D5" s="184"/>
      <c r="E5" s="184"/>
      <c r="F5" s="184"/>
      <c r="G5" s="184"/>
      <c r="H5" s="185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315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349" t="s">
        <v>5</v>
      </c>
      <c r="C9" s="350"/>
      <c r="D9" s="349" t="s">
        <v>18</v>
      </c>
      <c r="E9" s="350"/>
      <c r="F9" s="65" t="s">
        <v>118</v>
      </c>
      <c r="G9" s="71" t="s">
        <v>16</v>
      </c>
      <c r="H9" s="90" t="s">
        <v>295</v>
      </c>
    </row>
    <row r="10" spans="1:10" ht="21.75" x14ac:dyDescent="0.25">
      <c r="A10" s="66" t="s">
        <v>208</v>
      </c>
      <c r="B10" s="62">
        <v>110</v>
      </c>
      <c r="C10" s="62" t="s">
        <v>170</v>
      </c>
      <c r="D10" s="67">
        <f>'PISO E TETO'!M30*0.1+'PISO E TETO'!M27</f>
        <v>191.64200000000002</v>
      </c>
      <c r="E10" s="67" t="s">
        <v>2</v>
      </c>
      <c r="F10" s="88">
        <f>80+30</f>
        <v>110</v>
      </c>
      <c r="G10" s="89">
        <f t="shared" ref="G10:G17" si="0">F10*D10*1.1</f>
        <v>23188.682000000004</v>
      </c>
      <c r="H10" s="67" t="s">
        <v>616</v>
      </c>
    </row>
    <row r="11" spans="1:10" ht="21.75" x14ac:dyDescent="0.25">
      <c r="A11" s="66" t="s">
        <v>615</v>
      </c>
      <c r="B11" s="62">
        <v>110</v>
      </c>
      <c r="C11" s="62" t="s">
        <v>170</v>
      </c>
      <c r="D11" s="67">
        <f>'PISO E TETO'!M29+'PISO E TETO'!M30</f>
        <v>3155.9914340000005</v>
      </c>
      <c r="E11" s="67" t="s">
        <v>2</v>
      </c>
      <c r="F11" s="88">
        <v>30</v>
      </c>
      <c r="G11" s="89">
        <f t="shared" ref="G11" si="1">F11*D11*1.1</f>
        <v>104147.71732200001</v>
      </c>
      <c r="H11" s="67"/>
    </row>
    <row r="12" spans="1:10" ht="21.75" x14ac:dyDescent="0.25">
      <c r="A12" s="78" t="s">
        <v>207</v>
      </c>
      <c r="B12" s="62">
        <v>65</v>
      </c>
      <c r="C12" s="62" t="s">
        <v>170</v>
      </c>
      <c r="D12" s="67"/>
      <c r="E12" s="67" t="s">
        <v>2</v>
      </c>
      <c r="F12" s="88"/>
      <c r="G12" s="89">
        <f t="shared" si="0"/>
        <v>0</v>
      </c>
      <c r="H12" s="67"/>
    </row>
    <row r="13" spans="1:10" ht="21.75" x14ac:dyDescent="0.25">
      <c r="A13" s="78" t="s">
        <v>206</v>
      </c>
      <c r="B13" s="62">
        <v>25</v>
      </c>
      <c r="C13" s="62" t="s">
        <v>6</v>
      </c>
      <c r="D13" s="67">
        <f>0.45*DADOS_INICIAIS!$E$9</f>
        <v>5048.1855000000005</v>
      </c>
      <c r="E13" s="67" t="s">
        <v>2</v>
      </c>
      <c r="F13" s="88">
        <f>6+28</f>
        <v>34</v>
      </c>
      <c r="G13" s="89">
        <f t="shared" si="0"/>
        <v>188802.13770000005</v>
      </c>
      <c r="H13" s="67" t="e">
        <f>H10*0.2+TETO!D12</f>
        <v>#VALUE!</v>
      </c>
      <c r="J13" s="191"/>
    </row>
    <row r="14" spans="1:10" ht="21.75" x14ac:dyDescent="0.25">
      <c r="A14" s="78" t="s">
        <v>416</v>
      </c>
      <c r="B14" s="62">
        <v>25</v>
      </c>
      <c r="C14" s="62" t="s">
        <v>6</v>
      </c>
      <c r="D14" s="67">
        <f>TETO!D12</f>
        <v>3253.1563589999996</v>
      </c>
      <c r="E14" s="67" t="s">
        <v>2</v>
      </c>
      <c r="F14" s="88">
        <f>F13</f>
        <v>34</v>
      </c>
      <c r="G14" s="89">
        <f t="shared" ref="G14" si="2">F14*D14*1.1</f>
        <v>121668.0478266</v>
      </c>
      <c r="H14" s="67">
        <f>H12*0.2+TETO!D14</f>
        <v>0</v>
      </c>
      <c r="J14" s="191"/>
    </row>
    <row r="15" spans="1:10" ht="21.75" x14ac:dyDescent="0.25">
      <c r="A15" s="66" t="s">
        <v>415</v>
      </c>
      <c r="B15" s="62">
        <f>90*0.9</f>
        <v>81</v>
      </c>
      <c r="C15" s="62" t="s">
        <v>6</v>
      </c>
      <c r="D15" s="67">
        <f>TETO!D10</f>
        <v>8162.543099999999</v>
      </c>
      <c r="E15" s="67" t="s">
        <v>2</v>
      </c>
      <c r="F15" s="88">
        <f>21+28</f>
        <v>49</v>
      </c>
      <c r="G15" s="89">
        <f t="shared" ref="G15:G16" si="3">F15*D15*1.1</f>
        <v>439961.07309000002</v>
      </c>
      <c r="H15" s="67"/>
      <c r="J15" s="191"/>
    </row>
    <row r="16" spans="1:10" ht="21.75" x14ac:dyDescent="0.25">
      <c r="A16" s="66" t="s">
        <v>623</v>
      </c>
      <c r="B16" s="62">
        <f>90*0.9</f>
        <v>81</v>
      </c>
      <c r="C16" s="62" t="s">
        <v>6</v>
      </c>
      <c r="D16" s="67">
        <f>0.15*DADOS_INICIAIS!E9-'Acabamentos de Piso e Parede'!B28</f>
        <v>1262.0463749999999</v>
      </c>
      <c r="E16" s="67" t="s">
        <v>2</v>
      </c>
      <c r="F16" s="88">
        <f>49+2</f>
        <v>51</v>
      </c>
      <c r="G16" s="89">
        <f t="shared" si="3"/>
        <v>70800.801637500001</v>
      </c>
      <c r="H16" s="67"/>
      <c r="J16" s="191"/>
    </row>
    <row r="17" spans="1:12" ht="21.75" x14ac:dyDescent="0.25">
      <c r="A17" s="66" t="s">
        <v>205</v>
      </c>
      <c r="B17" s="62">
        <f>90*0.9</f>
        <v>81</v>
      </c>
      <c r="C17" s="62" t="s">
        <v>6</v>
      </c>
      <c r="D17" s="67">
        <f>1.61*DADOS_INICIAIS!$E$9</f>
        <v>18061.285900000003</v>
      </c>
      <c r="E17" s="67" t="s">
        <v>2</v>
      </c>
      <c r="F17" s="88">
        <f>F15</f>
        <v>49</v>
      </c>
      <c r="G17" s="89">
        <f t="shared" si="0"/>
        <v>973503.31001000025</v>
      </c>
      <c r="H17" s="67"/>
      <c r="J17" s="191"/>
    </row>
    <row r="18" spans="1:12" ht="21.75" x14ac:dyDescent="0.25">
      <c r="A18" s="344" t="s">
        <v>17</v>
      </c>
      <c r="B18" s="344"/>
      <c r="C18" s="344"/>
      <c r="D18" s="344"/>
      <c r="E18" s="344"/>
      <c r="F18" s="344"/>
      <c r="G18" s="90">
        <f>SUM(G10:G17)</f>
        <v>1922071.7695861002</v>
      </c>
      <c r="H18" s="90"/>
      <c r="J18" s="191"/>
      <c r="K18" s="55">
        <f>4160+1440+1120+2880+4800+91680+4000</f>
        <v>110080</v>
      </c>
      <c r="L18" s="55">
        <f>K18/21</f>
        <v>5241.9047619047615</v>
      </c>
    </row>
    <row r="20" spans="1:12" ht="21.75" x14ac:dyDescent="0.25">
      <c r="A20" s="354" t="s">
        <v>315</v>
      </c>
      <c r="B20" s="355"/>
      <c r="C20" s="355"/>
      <c r="D20" s="355"/>
      <c r="E20" s="355"/>
      <c r="F20" s="356"/>
      <c r="G20" s="91">
        <f>G18</f>
        <v>1922071.7695861002</v>
      </c>
      <c r="H20" s="91">
        <f>G20/DADOS_INICIAIS!E9</f>
        <v>171.33528399733825</v>
      </c>
    </row>
    <row r="22" spans="1:12" x14ac:dyDescent="0.25">
      <c r="H22" s="191">
        <f>H20/1.1</f>
        <v>155.7593490884893</v>
      </c>
    </row>
  </sheetData>
  <mergeCells count="5">
    <mergeCell ref="A3:H3"/>
    <mergeCell ref="B9:C9"/>
    <mergeCell ref="D9:E9"/>
    <mergeCell ref="A18:F18"/>
    <mergeCell ref="A20:F20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B461-4C5C-413C-82B5-048D21A64C5E}">
  <sheetPr>
    <tabColor rgb="FF92D050"/>
  </sheetPr>
  <dimension ref="A1:J16"/>
  <sheetViews>
    <sheetView showGridLines="0" zoomScale="85" zoomScaleNormal="85" zoomScaleSheetLayoutView="95" workbookViewId="0">
      <selection activeCell="D10" sqref="D10"/>
    </sheetView>
  </sheetViews>
  <sheetFormatPr defaultColWidth="9.140625" defaultRowHeight="19.5" x14ac:dyDescent="0.25"/>
  <cols>
    <col min="1" max="1" width="53" style="45" bestFit="1" customWidth="1"/>
    <col min="2" max="7" width="27" style="45" customWidth="1"/>
    <col min="8" max="8" width="14" style="45" customWidth="1"/>
    <col min="9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H1" s="48"/>
      <c r="J1" s="2"/>
    </row>
    <row r="2" spans="1:10" ht="28.5" x14ac:dyDescent="0.25">
      <c r="A2" s="345" t="s">
        <v>198</v>
      </c>
      <c r="B2" s="346"/>
      <c r="C2" s="346"/>
      <c r="D2" s="346"/>
      <c r="E2" s="346"/>
      <c r="F2" s="346"/>
      <c r="G2" s="346"/>
      <c r="H2" s="347"/>
      <c r="J2" s="2"/>
    </row>
    <row r="3" spans="1:10" s="55" customFormat="1" x14ac:dyDescent="0.25">
      <c r="A3" s="182" t="s">
        <v>185</v>
      </c>
      <c r="B3" s="188">
        <v>45543</v>
      </c>
      <c r="C3" s="186"/>
      <c r="D3" s="186"/>
      <c r="E3" s="186"/>
      <c r="F3" s="186"/>
      <c r="G3" s="186"/>
      <c r="H3" s="187"/>
      <c r="J3" s="79"/>
    </row>
    <row r="4" spans="1:10" s="55" customFormat="1" x14ac:dyDescent="0.25">
      <c r="A4" s="182" t="s">
        <v>293</v>
      </c>
      <c r="B4" s="189" t="s">
        <v>210</v>
      </c>
      <c r="C4" s="184"/>
      <c r="D4" s="184"/>
      <c r="E4" s="184"/>
      <c r="F4" s="184"/>
      <c r="G4" s="184"/>
      <c r="H4" s="185"/>
      <c r="J4" s="79"/>
    </row>
    <row r="5" spans="1:10" x14ac:dyDescent="0.25">
      <c r="A5" s="50"/>
      <c r="B5" s="50"/>
      <c r="C5" s="50"/>
      <c r="D5" s="50"/>
      <c r="E5" s="50"/>
      <c r="F5" s="50"/>
      <c r="G5" s="48"/>
      <c r="H5" s="48"/>
      <c r="J5" s="2"/>
    </row>
    <row r="6" spans="1:10" s="55" customFormat="1" ht="21.75" x14ac:dyDescent="0.25">
      <c r="A6" s="52" t="s">
        <v>321</v>
      </c>
      <c r="B6" s="53"/>
      <c r="C6" s="53"/>
      <c r="D6" s="53"/>
      <c r="E6" s="53"/>
      <c r="F6" s="53"/>
      <c r="G6" s="53"/>
      <c r="H6" s="53"/>
    </row>
    <row r="7" spans="1:10" s="55" customFormat="1" ht="21.75" x14ac:dyDescent="0.25">
      <c r="A7" s="56"/>
      <c r="B7" s="57"/>
      <c r="C7" s="57"/>
      <c r="D7" s="57"/>
      <c r="E7" s="57"/>
      <c r="F7" s="57"/>
      <c r="G7" s="59"/>
      <c r="H7" s="59"/>
    </row>
    <row r="8" spans="1:10" s="55" customFormat="1" ht="42" customHeight="1" x14ac:dyDescent="0.25">
      <c r="A8" s="63" t="s">
        <v>14</v>
      </c>
      <c r="B8" s="349" t="s">
        <v>5</v>
      </c>
      <c r="C8" s="350"/>
      <c r="D8" s="349" t="s">
        <v>18</v>
      </c>
      <c r="E8" s="350"/>
      <c r="F8" s="65" t="s">
        <v>118</v>
      </c>
      <c r="G8" s="71" t="s">
        <v>16</v>
      </c>
      <c r="H8" s="90" t="s">
        <v>295</v>
      </c>
    </row>
    <row r="9" spans="1:10" s="55" customFormat="1" ht="21.75" x14ac:dyDescent="0.25">
      <c r="A9" s="66" t="s">
        <v>318</v>
      </c>
      <c r="B9" s="62"/>
      <c r="C9" s="62"/>
      <c r="D9" s="67">
        <f>'PISO E TETO'!M35+'PISO E TETO'!M39</f>
        <v>801.26839999999993</v>
      </c>
      <c r="E9" s="67" t="s">
        <v>2</v>
      </c>
      <c r="F9" s="88">
        <v>160</v>
      </c>
      <c r="G9" s="89">
        <f>F9*D9*1.1</f>
        <v>141023.2384</v>
      </c>
      <c r="H9" s="67"/>
    </row>
    <row r="10" spans="1:10" s="55" customFormat="1" ht="21.75" x14ac:dyDescent="0.25">
      <c r="A10" s="66" t="s">
        <v>609</v>
      </c>
      <c r="B10" s="62"/>
      <c r="C10" s="62"/>
      <c r="D10" s="67">
        <v>1</v>
      </c>
      <c r="E10" s="67" t="s">
        <v>27</v>
      </c>
      <c r="F10" s="88">
        <f>'Custos Serviços'!D82</f>
        <v>83777.260176989992</v>
      </c>
      <c r="G10" s="89">
        <f>F10*D10</f>
        <v>83777.260176989992</v>
      </c>
      <c r="H10" s="67"/>
    </row>
    <row r="11" spans="1:10" s="55" customFormat="1" ht="21.75" x14ac:dyDescent="0.25">
      <c r="A11" s="66" t="s">
        <v>171</v>
      </c>
      <c r="B11" s="62"/>
      <c r="C11" s="62"/>
      <c r="D11" s="67">
        <f>D9</f>
        <v>801.26839999999993</v>
      </c>
      <c r="E11" s="67" t="s">
        <v>2</v>
      </c>
      <c r="F11" s="181">
        <v>30</v>
      </c>
      <c r="G11" s="89">
        <f>F11*D11*1.1</f>
        <v>26441.857199999999</v>
      </c>
      <c r="H11" s="67"/>
    </row>
    <row r="12" spans="1:10" s="55" customFormat="1" ht="21.75" x14ac:dyDescent="0.25">
      <c r="A12" s="66" t="s">
        <v>319</v>
      </c>
      <c r="B12" s="62"/>
      <c r="C12" s="62"/>
      <c r="D12" s="67">
        <f>7.33*(3+0.15+0.65)*2</f>
        <v>55.707999999999998</v>
      </c>
      <c r="E12" s="67" t="s">
        <v>2</v>
      </c>
      <c r="F12" s="181">
        <v>450</v>
      </c>
      <c r="G12" s="89">
        <f>F12*D12*1.1</f>
        <v>27575.46</v>
      </c>
      <c r="H12" s="67"/>
    </row>
    <row r="13" spans="1:10" s="55" customFormat="1" ht="21.75" x14ac:dyDescent="0.25">
      <c r="A13" s="66" t="s">
        <v>320</v>
      </c>
      <c r="B13" s="62"/>
      <c r="C13" s="62"/>
      <c r="D13" s="67"/>
      <c r="E13" s="67"/>
      <c r="F13" s="67"/>
      <c r="G13" s="89">
        <f t="shared" ref="G13" si="0">F13*D13*1.1</f>
        <v>0</v>
      </c>
      <c r="H13" s="67"/>
    </row>
    <row r="14" spans="1:10" s="55" customFormat="1" ht="21.75" x14ac:dyDescent="0.25">
      <c r="A14" s="344" t="s">
        <v>17</v>
      </c>
      <c r="B14" s="344"/>
      <c r="C14" s="344"/>
      <c r="D14" s="110"/>
      <c r="E14" s="110"/>
      <c r="F14" s="110"/>
      <c r="G14" s="90">
        <f>SUM(G9:G13)</f>
        <v>278817.81577698997</v>
      </c>
      <c r="H14" s="90"/>
    </row>
    <row r="15" spans="1:10" s="55" customFormat="1" ht="21.75" x14ac:dyDescent="0.25">
      <c r="A15" s="348"/>
      <c r="B15" s="348"/>
      <c r="C15" s="348"/>
      <c r="D15" s="111"/>
      <c r="E15" s="111"/>
      <c r="F15" s="111"/>
      <c r="G15" s="59"/>
      <c r="H15" s="59"/>
    </row>
    <row r="16" spans="1:10" ht="23.25" customHeight="1" x14ac:dyDescent="0.25">
      <c r="A16" s="341" t="s">
        <v>274</v>
      </c>
      <c r="B16" s="342"/>
      <c r="C16" s="343"/>
      <c r="D16" s="109"/>
      <c r="E16" s="109"/>
      <c r="F16" s="109"/>
      <c r="G16" s="108">
        <f>G14</f>
        <v>278817.81577698997</v>
      </c>
      <c r="H16" s="108">
        <f>G16/DADOS_INICIAIS!$E$9</f>
        <v>24.854082144890572</v>
      </c>
    </row>
  </sheetData>
  <mergeCells count="6">
    <mergeCell ref="A16:C16"/>
    <mergeCell ref="A2:H2"/>
    <mergeCell ref="B8:C8"/>
    <mergeCell ref="D8:E8"/>
    <mergeCell ref="A14:C14"/>
    <mergeCell ref="A15:C15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C23D-4848-47C0-9462-ED4026A4C01F}">
  <sheetPr>
    <tabColor rgb="FF92D050"/>
  </sheetPr>
  <dimension ref="A1:L37"/>
  <sheetViews>
    <sheetView showGridLines="0" topLeftCell="C20" zoomScaleNormal="100" zoomScaleSheetLayoutView="95" workbookViewId="0">
      <selection activeCell="F11" sqref="F11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345" t="s">
        <v>233</v>
      </c>
      <c r="B3" s="353"/>
      <c r="C3" s="353"/>
      <c r="D3" s="346"/>
      <c r="E3" s="346"/>
      <c r="F3" s="346"/>
      <c r="G3" s="346"/>
      <c r="H3" s="347"/>
      <c r="J3" s="79"/>
    </row>
    <row r="4" spans="1:10" ht="19.5" x14ac:dyDescent="0.25">
      <c r="A4" s="182" t="s">
        <v>185</v>
      </c>
      <c r="B4" s="188">
        <v>45460</v>
      </c>
      <c r="C4" s="186"/>
      <c r="D4" s="186"/>
      <c r="E4" s="186"/>
      <c r="F4" s="186"/>
      <c r="G4" s="186"/>
      <c r="H4" s="187"/>
      <c r="J4" s="79"/>
    </row>
    <row r="5" spans="1:10" ht="19.5" x14ac:dyDescent="0.25">
      <c r="A5" s="182" t="s">
        <v>293</v>
      </c>
      <c r="B5" s="189" t="s">
        <v>210</v>
      </c>
      <c r="C5" s="184"/>
      <c r="D5" s="184"/>
      <c r="E5" s="184"/>
      <c r="F5" s="184"/>
      <c r="G5" s="184"/>
      <c r="H5" s="185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233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349" t="s">
        <v>5</v>
      </c>
      <c r="C9" s="350"/>
      <c r="D9" s="349" t="s">
        <v>18</v>
      </c>
      <c r="E9" s="350"/>
      <c r="F9" s="65"/>
      <c r="G9" s="71" t="s">
        <v>16</v>
      </c>
      <c r="H9" s="90" t="s">
        <v>295</v>
      </c>
    </row>
    <row r="10" spans="1:10" ht="21.75" x14ac:dyDescent="0.25">
      <c r="A10" s="66" t="s">
        <v>232</v>
      </c>
      <c r="B10" s="62">
        <v>0.16</v>
      </c>
      <c r="C10" s="62" t="s">
        <v>317</v>
      </c>
      <c r="D10" s="193">
        <f>B10*DADOS_INICIAIS!E9</f>
        <v>1794.9104000000002</v>
      </c>
      <c r="E10" s="67" t="s">
        <v>2</v>
      </c>
      <c r="F10" s="199">
        <v>1100</v>
      </c>
      <c r="G10" s="89">
        <f>F10*D10*1.1</f>
        <v>2171841.5840000003</v>
      </c>
      <c r="H10" s="67" t="s">
        <v>399</v>
      </c>
      <c r="I10" s="55">
        <f>G10/D10</f>
        <v>1210</v>
      </c>
    </row>
    <row r="11" spans="1:10" ht="21.75" x14ac:dyDescent="0.25">
      <c r="A11" s="194" t="s">
        <v>344</v>
      </c>
      <c r="B11" s="62">
        <v>0.08</v>
      </c>
      <c r="C11" s="62" t="s">
        <v>317</v>
      </c>
      <c r="D11" s="193">
        <f>B11*DADOS_INICIAIS!E9</f>
        <v>897.4552000000001</v>
      </c>
      <c r="E11" s="67" t="s">
        <v>2</v>
      </c>
      <c r="F11" s="88">
        <v>950</v>
      </c>
      <c r="G11" s="89">
        <f>F11*D11*1.1</f>
        <v>937840.68400000012</v>
      </c>
      <c r="H11" s="67"/>
    </row>
    <row r="12" spans="1:10" ht="21.75" x14ac:dyDescent="0.25">
      <c r="A12" s="194" t="s">
        <v>345</v>
      </c>
      <c r="B12" s="62"/>
      <c r="C12" s="62"/>
      <c r="D12" s="198">
        <f>37*(14-3.92)</f>
        <v>372.96</v>
      </c>
      <c r="E12" s="67" t="s">
        <v>2</v>
      </c>
      <c r="F12" s="88">
        <f>1350</f>
        <v>1350</v>
      </c>
      <c r="G12" s="89">
        <f t="shared" ref="G12:G13" si="0">F12*D12*1.1</f>
        <v>553845.60000000009</v>
      </c>
      <c r="H12" s="67"/>
    </row>
    <row r="13" spans="1:10" ht="21.75" x14ac:dyDescent="0.25">
      <c r="A13" s="78" t="s">
        <v>227</v>
      </c>
      <c r="B13" s="62"/>
      <c r="C13" s="62"/>
      <c r="D13" s="234">
        <v>1</v>
      </c>
      <c r="E13" s="67" t="s">
        <v>3</v>
      </c>
      <c r="F13" s="88">
        <v>18000</v>
      </c>
      <c r="G13" s="89">
        <f t="shared" si="0"/>
        <v>19800</v>
      </c>
      <c r="H13" s="67"/>
    </row>
    <row r="14" spans="1:10" ht="21.75" x14ac:dyDescent="0.25">
      <c r="A14" s="78" t="s">
        <v>229</v>
      </c>
      <c r="B14" s="62"/>
      <c r="C14" s="62"/>
      <c r="D14" s="198">
        <f>H30*1.1</f>
        <v>382.07400000000007</v>
      </c>
      <c r="E14" s="67" t="s">
        <v>2</v>
      </c>
      <c r="F14" s="88">
        <f>850/1.1</f>
        <v>772.72727272727263</v>
      </c>
      <c r="G14" s="89">
        <f t="shared" ref="G14" si="1">F14*D14*1.1</f>
        <v>324762.90000000002</v>
      </c>
      <c r="H14" s="67"/>
    </row>
    <row r="15" spans="1:10" ht="21.75" x14ac:dyDescent="0.25">
      <c r="A15" s="78" t="s">
        <v>404</v>
      </c>
      <c r="B15" s="62"/>
      <c r="C15" s="62"/>
      <c r="D15" s="198">
        <f>H29*1.1</f>
        <v>33.451000000000008</v>
      </c>
      <c r="E15" s="67" t="s">
        <v>2</v>
      </c>
      <c r="F15" s="88">
        <f>810/1.1</f>
        <v>736.36363636363626</v>
      </c>
      <c r="G15" s="89">
        <f>F15*D15*1.1</f>
        <v>27095.310000000005</v>
      </c>
      <c r="H15" s="67"/>
    </row>
    <row r="16" spans="1:10" ht="21.75" x14ac:dyDescent="0.25">
      <c r="A16" s="78" t="s">
        <v>230</v>
      </c>
      <c r="B16" s="62">
        <v>2</v>
      </c>
      <c r="C16" s="62" t="s">
        <v>6</v>
      </c>
      <c r="D16" s="234">
        <v>1</v>
      </c>
      <c r="E16" s="67" t="s">
        <v>27</v>
      </c>
      <c r="F16" s="88">
        <f>B16*DADOS_INICIAIS!$E$9</f>
        <v>22436.38</v>
      </c>
      <c r="G16" s="89">
        <f t="shared" ref="G16:G21" si="2">F16*D16*1.1</f>
        <v>24680.018000000004</v>
      </c>
      <c r="H16" s="67"/>
    </row>
    <row r="17" spans="1:12" ht="28.5" customHeight="1" x14ac:dyDescent="0.25">
      <c r="A17" s="78" t="s">
        <v>231</v>
      </c>
      <c r="B17" s="62"/>
      <c r="C17" s="62"/>
      <c r="D17" s="193">
        <f>60+2</f>
        <v>62</v>
      </c>
      <c r="E17" s="67" t="s">
        <v>3</v>
      </c>
      <c r="F17" s="88">
        <f>1060+140</f>
        <v>1200</v>
      </c>
      <c r="G17" s="89">
        <f t="shared" si="2"/>
        <v>81840</v>
      </c>
      <c r="H17" s="67"/>
    </row>
    <row r="18" spans="1:12" ht="21.75" x14ac:dyDescent="0.25">
      <c r="A18" s="78" t="s">
        <v>228</v>
      </c>
      <c r="B18" s="62"/>
      <c r="C18" s="62"/>
      <c r="D18" s="193">
        <f>(2.95*2+3.75)*1.2*DADOS_INICIAIS!E15+((5.35-1.2)*2+(2.05+0.9)*2)*1.2*4</f>
        <v>380.82000000000005</v>
      </c>
      <c r="E18" s="67" t="s">
        <v>4</v>
      </c>
      <c r="F18" s="88">
        <v>85</v>
      </c>
      <c r="G18" s="89">
        <f t="shared" si="2"/>
        <v>35606.670000000006</v>
      </c>
      <c r="H18" s="67"/>
    </row>
    <row r="19" spans="1:12" ht="21.75" x14ac:dyDescent="0.25">
      <c r="A19" s="78" t="s">
        <v>405</v>
      </c>
      <c r="B19" s="62"/>
      <c r="C19" s="62"/>
      <c r="D19" s="193"/>
      <c r="E19" s="67" t="s">
        <v>4</v>
      </c>
      <c r="F19" s="88">
        <v>650</v>
      </c>
      <c r="G19" s="89">
        <f t="shared" ref="G19" si="3">F19*D19*1.1</f>
        <v>0</v>
      </c>
      <c r="H19" s="67"/>
    </row>
    <row r="20" spans="1:12" ht="21.75" x14ac:dyDescent="0.25">
      <c r="A20" s="78" t="s">
        <v>342</v>
      </c>
      <c r="B20" s="62"/>
      <c r="C20" s="62"/>
      <c r="D20" s="193">
        <f>DADOS_INICIAIS!E10</f>
        <v>44</v>
      </c>
      <c r="E20" s="67" t="s">
        <v>3</v>
      </c>
      <c r="F20" s="88">
        <v>1250</v>
      </c>
      <c r="G20" s="89">
        <f t="shared" si="2"/>
        <v>60500.000000000007</v>
      </c>
      <c r="H20" s="67"/>
    </row>
    <row r="21" spans="1:12" ht="21.75" x14ac:dyDescent="0.25">
      <c r="A21" s="66" t="s">
        <v>226</v>
      </c>
      <c r="B21" s="62"/>
      <c r="C21" s="62"/>
      <c r="D21" s="198">
        <f>46+186+135+42</f>
        <v>409</v>
      </c>
      <c r="E21" s="67" t="s">
        <v>3</v>
      </c>
      <c r="F21" s="88">
        <f>850+120</f>
        <v>970</v>
      </c>
      <c r="G21" s="89">
        <f t="shared" si="2"/>
        <v>436403.00000000006</v>
      </c>
      <c r="H21" s="67"/>
    </row>
    <row r="22" spans="1:12" ht="21.75" x14ac:dyDescent="0.25">
      <c r="A22" s="344" t="s">
        <v>17</v>
      </c>
      <c r="B22" s="344"/>
      <c r="C22" s="344"/>
      <c r="D22" s="344"/>
      <c r="E22" s="344"/>
      <c r="F22" s="344"/>
      <c r="G22" s="90">
        <f>SUM(G10:G21)</f>
        <v>4674215.7660000008</v>
      </c>
      <c r="H22" s="90"/>
      <c r="K22" s="55">
        <f>4160+1440+1120+2880+4800+91680+4000</f>
        <v>110080</v>
      </c>
      <c r="L22" s="55">
        <f>K22/21</f>
        <v>5241.9047619047615</v>
      </c>
    </row>
    <row r="24" spans="1:12" ht="21.75" x14ac:dyDescent="0.25">
      <c r="A24" s="354" t="s">
        <v>324</v>
      </c>
      <c r="B24" s="355"/>
      <c r="C24" s="355"/>
      <c r="D24" s="355"/>
      <c r="E24" s="355"/>
      <c r="F24" s="356"/>
      <c r="G24" s="91">
        <f>G22</f>
        <v>4674215.7660000008</v>
      </c>
      <c r="H24" s="91">
        <f>G24/DADOS_INICIAIS!E9</f>
        <v>416.66398643631464</v>
      </c>
    </row>
    <row r="28" spans="1:12" x14ac:dyDescent="0.25">
      <c r="B28" s="55" t="s">
        <v>451</v>
      </c>
      <c r="C28" s="55" t="s">
        <v>452</v>
      </c>
      <c r="D28" s="55" t="s">
        <v>471</v>
      </c>
      <c r="E28" s="249" t="s">
        <v>589</v>
      </c>
      <c r="F28" s="82" t="s">
        <v>485</v>
      </c>
      <c r="G28" s="55" t="s">
        <v>486</v>
      </c>
    </row>
    <row r="29" spans="1:12" x14ac:dyDescent="0.25">
      <c r="A29" s="55" t="s">
        <v>617</v>
      </c>
      <c r="D29" s="55"/>
      <c r="E29" s="248">
        <f>2.5+(2.5+0.65)</f>
        <v>5.65</v>
      </c>
      <c r="F29" s="82"/>
      <c r="G29" s="55">
        <f>22.16+1.25+1.35</f>
        <v>24.76</v>
      </c>
      <c r="H29" s="55">
        <f>SUM(B29:G29)</f>
        <v>30.410000000000004</v>
      </c>
    </row>
    <row r="30" spans="1:12" x14ac:dyDescent="0.25">
      <c r="A30" s="55" t="s">
        <v>403</v>
      </c>
      <c r="B30" s="55">
        <v>12.52</v>
      </c>
      <c r="C30" s="55">
        <v>12.52</v>
      </c>
      <c r="D30" s="55">
        <f>10.19</f>
        <v>10.19</v>
      </c>
      <c r="E30" s="248">
        <f>7.33+6.24</f>
        <v>13.57</v>
      </c>
      <c r="F30" s="82">
        <f>E30*21</f>
        <v>284.97000000000003</v>
      </c>
      <c r="G30" s="247">
        <f>E30</f>
        <v>13.57</v>
      </c>
      <c r="H30" s="55">
        <f>SUM(B30:G30)</f>
        <v>347.34000000000003</v>
      </c>
    </row>
    <row r="36" spans="4:5" x14ac:dyDescent="0.25">
      <c r="D36" s="81" t="s">
        <v>625</v>
      </c>
      <c r="E36" s="82">
        <f>[7]ESQUADRIAS!$G$10</f>
        <v>2468001.8000000007</v>
      </c>
    </row>
    <row r="37" spans="4:5" x14ac:dyDescent="0.25">
      <c r="D37" s="81" t="s">
        <v>624</v>
      </c>
      <c r="E37" s="82">
        <f>G10</f>
        <v>2171841.5840000003</v>
      </c>
    </row>
  </sheetData>
  <mergeCells count="5">
    <mergeCell ref="A3:H3"/>
    <mergeCell ref="B9:C9"/>
    <mergeCell ref="D9:E9"/>
    <mergeCell ref="A22:F22"/>
    <mergeCell ref="A24:F2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37A4-6D6F-45D4-B218-2ECBFC9788BF}">
  <sheetPr>
    <tabColor rgb="FF92D050"/>
  </sheetPr>
  <dimension ref="A1:O43"/>
  <sheetViews>
    <sheetView showGridLines="0" topLeftCell="A21" zoomScale="92" zoomScaleNormal="92" zoomScaleSheetLayoutView="95" workbookViewId="0">
      <selection activeCell="G31" sqref="G31"/>
    </sheetView>
  </sheetViews>
  <sheetFormatPr defaultColWidth="9.140625" defaultRowHeight="12.75" x14ac:dyDescent="0.25"/>
  <cols>
    <col min="1" max="1" width="48.7109375" style="1" customWidth="1"/>
    <col min="2" max="2" width="15.85546875" style="114" customWidth="1"/>
    <col min="3" max="3" width="7.5703125" style="113" customWidth="1"/>
    <col min="4" max="4" width="11.5703125" style="112" customWidth="1"/>
    <col min="5" max="5" width="15.85546875" style="1" customWidth="1"/>
    <col min="6" max="6" width="12.85546875" style="1" customWidth="1"/>
    <col min="7" max="7" width="19.140625" style="1" customWidth="1"/>
    <col min="8" max="8" width="15.140625" style="1" customWidth="1"/>
    <col min="9" max="9" width="13.5703125" style="1" bestFit="1" customWidth="1"/>
    <col min="10" max="10" width="12" style="1" bestFit="1" customWidth="1"/>
    <col min="11" max="11" width="9.140625" style="1"/>
    <col min="12" max="12" width="12" style="1" bestFit="1" customWidth="1"/>
    <col min="13" max="16384" width="9.140625" style="1"/>
  </cols>
  <sheetData>
    <row r="1" spans="1:12" x14ac:dyDescent="0.25">
      <c r="B1" s="2"/>
      <c r="C1" s="1"/>
      <c r="D1" s="1"/>
      <c r="G1" s="159"/>
      <c r="H1" s="159"/>
      <c r="I1" s="2"/>
    </row>
    <row r="2" spans="1:12" ht="12.75" customHeight="1" x14ac:dyDescent="0.25">
      <c r="A2" s="364" t="s">
        <v>187</v>
      </c>
      <c r="B2" s="2"/>
      <c r="C2" s="1"/>
      <c r="D2" s="1"/>
      <c r="G2" s="164"/>
      <c r="H2" s="164"/>
      <c r="I2" s="2"/>
    </row>
    <row r="3" spans="1:12" ht="12.75" customHeight="1" x14ac:dyDescent="0.25">
      <c r="A3" s="365"/>
      <c r="B3" s="2"/>
      <c r="C3" s="1"/>
      <c r="D3" s="1"/>
      <c r="G3" s="164"/>
      <c r="H3" s="164"/>
      <c r="I3" s="2"/>
    </row>
    <row r="4" spans="1:12" ht="12.75" customHeight="1" x14ac:dyDescent="0.25">
      <c r="A4" s="365"/>
      <c r="B4" s="2"/>
      <c r="C4" s="1"/>
      <c r="D4" s="1"/>
      <c r="G4" s="164"/>
      <c r="H4" s="164"/>
      <c r="I4" s="2"/>
    </row>
    <row r="5" spans="1:12" ht="13.5" thickBot="1" x14ac:dyDescent="0.3">
      <c r="A5" s="163"/>
      <c r="B5" s="162"/>
      <c r="C5" s="162"/>
      <c r="D5" s="162"/>
      <c r="E5" s="162"/>
      <c r="F5" s="162"/>
      <c r="G5" s="161"/>
      <c r="H5" s="161"/>
      <c r="I5" s="2"/>
    </row>
    <row r="6" spans="1:12" x14ac:dyDescent="0.25">
      <c r="A6" s="160"/>
      <c r="B6" s="2"/>
      <c r="C6" s="1"/>
      <c r="D6" s="1"/>
      <c r="G6" s="159"/>
      <c r="H6" s="159"/>
      <c r="I6" s="2"/>
    </row>
    <row r="7" spans="1:12" x14ac:dyDescent="0.25">
      <c r="A7" s="158" t="s">
        <v>186</v>
      </c>
      <c r="B7" s="157"/>
      <c r="C7" s="156"/>
      <c r="D7" s="156"/>
      <c r="E7" s="156"/>
      <c r="F7" s="156"/>
      <c r="G7" s="156"/>
      <c r="H7" s="155"/>
      <c r="I7" s="2"/>
    </row>
    <row r="8" spans="1:12" x14ac:dyDescent="0.25">
      <c r="A8" s="154" t="s">
        <v>0</v>
      </c>
      <c r="B8" s="153"/>
      <c r="C8" s="152"/>
      <c r="D8" s="152"/>
      <c r="E8" s="152"/>
      <c r="F8" s="152"/>
      <c r="G8" s="152"/>
      <c r="H8" s="151"/>
      <c r="I8" s="2"/>
    </row>
    <row r="9" spans="1:12" ht="15" customHeight="1" x14ac:dyDescent="0.25">
      <c r="A9" s="150" t="s">
        <v>185</v>
      </c>
      <c r="B9" s="149">
        <v>45543</v>
      </c>
      <c r="C9" s="148"/>
      <c r="D9" s="148"/>
      <c r="E9" s="148"/>
      <c r="F9" s="148"/>
      <c r="G9" s="148"/>
      <c r="H9" s="147"/>
    </row>
    <row r="10" spans="1:12" x14ac:dyDescent="0.25">
      <c r="A10" s="146" t="s">
        <v>1</v>
      </c>
      <c r="B10" s="145" t="s">
        <v>184</v>
      </c>
      <c r="C10" s="144"/>
      <c r="D10" s="144"/>
      <c r="E10" s="144"/>
      <c r="F10" s="144"/>
      <c r="G10" s="144"/>
      <c r="H10" s="143"/>
    </row>
    <row r="12" spans="1:12" ht="15.75" customHeight="1" x14ac:dyDescent="0.25">
      <c r="A12" s="142" t="s">
        <v>215</v>
      </c>
      <c r="B12" s="141"/>
      <c r="C12" s="140"/>
      <c r="D12" s="139"/>
      <c r="E12" s="138"/>
      <c r="F12" s="138"/>
      <c r="G12" s="138"/>
      <c r="H12" s="137"/>
    </row>
    <row r="13" spans="1:12" ht="15.75" customHeight="1" x14ac:dyDescent="0.25">
      <c r="A13" s="136"/>
      <c r="B13" s="135"/>
      <c r="C13" s="134"/>
      <c r="D13" s="133"/>
      <c r="E13" s="133"/>
      <c r="F13" s="133"/>
      <c r="H13" s="129"/>
      <c r="I13" s="115"/>
    </row>
    <row r="14" spans="1:12" ht="15.75" customHeight="1" x14ac:dyDescent="0.25">
      <c r="A14" s="132" t="s">
        <v>14</v>
      </c>
      <c r="B14" s="371" t="s">
        <v>18</v>
      </c>
      <c r="C14" s="372"/>
      <c r="D14" s="373" t="s">
        <v>5</v>
      </c>
      <c r="E14" s="374"/>
      <c r="F14" s="131" t="s">
        <v>182</v>
      </c>
      <c r="G14" s="130" t="s">
        <v>16</v>
      </c>
      <c r="H14" s="129"/>
      <c r="J14" s="115"/>
      <c r="L14" s="115"/>
    </row>
    <row r="15" spans="1:12" x14ac:dyDescent="0.25">
      <c r="A15" s="168" t="s">
        <v>195</v>
      </c>
      <c r="B15" s="171">
        <f>L25</f>
        <v>8208.7744000000002</v>
      </c>
      <c r="C15" s="127" t="s">
        <v>2</v>
      </c>
      <c r="D15" s="122">
        <v>36</v>
      </c>
      <c r="E15" s="128" t="s">
        <v>170</v>
      </c>
      <c r="F15" s="124" t="s">
        <v>210</v>
      </c>
      <c r="G15" s="123">
        <f>B15*D15*1.1</f>
        <v>325067.46624000004</v>
      </c>
      <c r="H15" s="129"/>
      <c r="I15" s="115"/>
      <c r="K15" s="180"/>
      <c r="L15" s="115"/>
    </row>
    <row r="16" spans="1:12" x14ac:dyDescent="0.25">
      <c r="A16" s="168" t="s">
        <v>597</v>
      </c>
      <c r="B16" s="171">
        <f>K22*(DADOS_INICIAIS!E15-DADOS_INICIAIS!E27)+K20*DADOS_INICIAIS!E27</f>
        <v>2415.7599999999998</v>
      </c>
      <c r="C16" s="127" t="s">
        <v>4</v>
      </c>
      <c r="D16" s="122">
        <v>2.5</v>
      </c>
      <c r="E16" s="128" t="s">
        <v>170</v>
      </c>
      <c r="F16" s="124" t="s">
        <v>210</v>
      </c>
      <c r="G16" s="123">
        <f>B16*D16*1.1</f>
        <v>6643.34</v>
      </c>
      <c r="H16" s="129"/>
      <c r="I16" s="115"/>
      <c r="K16" s="180"/>
      <c r="L16" s="115"/>
    </row>
    <row r="17" spans="1:15" x14ac:dyDescent="0.25">
      <c r="A17" s="200" t="s">
        <v>25</v>
      </c>
      <c r="B17" s="201">
        <f>B15</f>
        <v>8208.7744000000002</v>
      </c>
      <c r="C17" s="127" t="s">
        <v>2</v>
      </c>
      <c r="D17" s="246"/>
      <c r="E17" s="128" t="s">
        <v>170</v>
      </c>
      <c r="F17" s="124" t="s">
        <v>210</v>
      </c>
      <c r="G17" s="123">
        <f>'Custos Serviços'!D80</f>
        <v>698143.83480824996</v>
      </c>
      <c r="H17" s="129"/>
      <c r="I17" s="115"/>
      <c r="K17" s="179"/>
      <c r="L17" s="115"/>
    </row>
    <row r="18" spans="1:15" x14ac:dyDescent="0.25">
      <c r="A18" s="369" t="s">
        <v>17</v>
      </c>
      <c r="B18" s="370"/>
      <c r="C18" s="370"/>
      <c r="D18" s="370"/>
      <c r="E18" s="370"/>
      <c r="F18" s="370"/>
      <c r="G18" s="120">
        <f>SUM(G15:G17)</f>
        <v>1029854.64104825</v>
      </c>
      <c r="H18" s="119"/>
      <c r="K18" s="179"/>
    </row>
    <row r="19" spans="1:15" ht="15.75" customHeight="1" x14ac:dyDescent="0.25">
      <c r="A19" s="367"/>
      <c r="B19" s="368"/>
      <c r="C19" s="368"/>
      <c r="D19" s="368"/>
      <c r="E19" s="368"/>
      <c r="F19" s="368"/>
      <c r="G19" s="165"/>
      <c r="H19" s="118"/>
    </row>
    <row r="20" spans="1:15" ht="15.75" customHeight="1" x14ac:dyDescent="0.25">
      <c r="A20" s="142" t="s">
        <v>214</v>
      </c>
      <c r="B20" s="141"/>
      <c r="C20" s="140"/>
      <c r="D20" s="139"/>
      <c r="E20" s="138"/>
      <c r="F20" s="138"/>
      <c r="G20" s="138"/>
      <c r="H20" s="137"/>
      <c r="J20" s="1" t="s">
        <v>213</v>
      </c>
      <c r="K20" s="115">
        <f>DADOS_INICIAIS!E26</f>
        <v>161.88</v>
      </c>
      <c r="L20" s="1">
        <f>14+1.1</f>
        <v>15.1</v>
      </c>
      <c r="M20" s="115"/>
    </row>
    <row r="21" spans="1:15" ht="15.75" customHeight="1" x14ac:dyDescent="0.25">
      <c r="A21" s="136"/>
      <c r="B21" s="178"/>
      <c r="C21" s="134"/>
      <c r="D21" s="133"/>
      <c r="E21" s="133"/>
      <c r="F21" s="133"/>
      <c r="H21" s="129"/>
    </row>
    <row r="22" spans="1:15" ht="15.75" customHeight="1" x14ac:dyDescent="0.25">
      <c r="A22" s="132" t="s">
        <v>14</v>
      </c>
      <c r="B22" s="371" t="s">
        <v>18</v>
      </c>
      <c r="C22" s="372"/>
      <c r="D22" s="373" t="s">
        <v>5</v>
      </c>
      <c r="E22" s="374"/>
      <c r="F22" s="131" t="s">
        <v>182</v>
      </c>
      <c r="G22" s="130" t="s">
        <v>16</v>
      </c>
      <c r="H22" s="129"/>
      <c r="J22" s="1" t="s">
        <v>322</v>
      </c>
      <c r="K22" s="115">
        <f>DADOS_INICIAIS!E20</f>
        <v>76.88</v>
      </c>
      <c r="L22" s="1">
        <f>85.28-14</f>
        <v>71.28</v>
      </c>
      <c r="M22" s="115"/>
      <c r="O22" s="115"/>
    </row>
    <row r="23" spans="1:15" ht="15.75" customHeight="1" x14ac:dyDescent="0.25">
      <c r="A23" s="168" t="s">
        <v>600</v>
      </c>
      <c r="B23" s="171">
        <f>B15</f>
        <v>8208.7744000000002</v>
      </c>
      <c r="C23" s="127" t="s">
        <v>2</v>
      </c>
      <c r="D23" s="122">
        <v>28</v>
      </c>
      <c r="E23" s="128" t="s">
        <v>170</v>
      </c>
      <c r="F23" s="124" t="s">
        <v>210</v>
      </c>
      <c r="G23" s="123">
        <f>B23*D23*1.1</f>
        <v>252830.25152000002</v>
      </c>
      <c r="H23" s="202">
        <f>G23/B23</f>
        <v>30.8</v>
      </c>
      <c r="I23" s="115"/>
      <c r="J23" s="1" t="s">
        <v>212</v>
      </c>
      <c r="K23" s="1">
        <f>5.35*2+9.4*2</f>
        <v>29.5</v>
      </c>
      <c r="L23" s="1">
        <f>94.92-85.28</f>
        <v>9.64</v>
      </c>
      <c r="M23" s="115"/>
      <c r="O23" s="115"/>
    </row>
    <row r="24" spans="1:15" ht="15.75" customHeight="1" x14ac:dyDescent="0.25">
      <c r="A24" s="168" t="s">
        <v>599</v>
      </c>
      <c r="B24" s="171">
        <f>B23</f>
        <v>8208.7744000000002</v>
      </c>
      <c r="C24" s="127"/>
      <c r="D24" s="122">
        <v>42</v>
      </c>
      <c r="E24" s="128"/>
      <c r="F24" s="124" t="s">
        <v>210</v>
      </c>
      <c r="G24" s="123">
        <f>B24*D24*1.1</f>
        <v>379245.37728000007</v>
      </c>
      <c r="H24" s="202">
        <f>G24/B24</f>
        <v>46.20000000000001</v>
      </c>
      <c r="I24" s="115"/>
      <c r="M24" s="115"/>
      <c r="O24" s="115"/>
    </row>
    <row r="25" spans="1:15" x14ac:dyDescent="0.25">
      <c r="A25" s="369" t="s">
        <v>17</v>
      </c>
      <c r="B25" s="370"/>
      <c r="C25" s="370"/>
      <c r="D25" s="370"/>
      <c r="E25" s="370"/>
      <c r="F25" s="370"/>
      <c r="G25" s="120">
        <f>SUM(G23:G24)</f>
        <v>632075.62880000006</v>
      </c>
      <c r="H25" s="119"/>
      <c r="L25" s="115">
        <f>K20*L20+K22*L22+K23*L23+K21*L21</f>
        <v>8208.7744000000002</v>
      </c>
      <c r="O25" s="115"/>
    </row>
    <row r="26" spans="1:15" x14ac:dyDescent="0.25">
      <c r="A26" s="378"/>
      <c r="B26" s="379"/>
      <c r="C26" s="379"/>
      <c r="D26" s="379"/>
      <c r="E26" s="379"/>
      <c r="F26" s="379"/>
      <c r="G26" s="165"/>
      <c r="H26" s="118"/>
      <c r="L26" s="115"/>
    </row>
    <row r="27" spans="1:15" ht="15.75" customHeight="1" x14ac:dyDescent="0.25">
      <c r="A27" s="142" t="s">
        <v>211</v>
      </c>
      <c r="B27" s="141"/>
      <c r="C27" s="140"/>
      <c r="D27" s="139"/>
      <c r="E27" s="138"/>
      <c r="F27" s="138"/>
      <c r="G27" s="138"/>
      <c r="H27" s="137"/>
      <c r="L27" s="115">
        <f>L25*0.95</f>
        <v>7798.3356800000001</v>
      </c>
      <c r="O27" s="115"/>
    </row>
    <row r="28" spans="1:15" ht="15.75" customHeight="1" x14ac:dyDescent="0.25">
      <c r="A28" s="136"/>
      <c r="B28" s="135"/>
      <c r="C28" s="134"/>
      <c r="D28" s="133"/>
      <c r="E28" s="133"/>
      <c r="F28" s="133"/>
      <c r="H28" s="129"/>
    </row>
    <row r="29" spans="1:15" ht="15.75" customHeight="1" x14ac:dyDescent="0.25">
      <c r="A29" s="132" t="s">
        <v>14</v>
      </c>
      <c r="B29" s="371" t="s">
        <v>18</v>
      </c>
      <c r="C29" s="372"/>
      <c r="D29" s="373" t="s">
        <v>5</v>
      </c>
      <c r="E29" s="374"/>
      <c r="F29" s="131" t="s">
        <v>182</v>
      </c>
      <c r="G29" s="130" t="s">
        <v>16</v>
      </c>
      <c r="H29" s="129"/>
      <c r="L29" s="1">
        <f>L25/DADOS_INICIAIS!E9</f>
        <v>0.73173786502100602</v>
      </c>
    </row>
    <row r="30" spans="1:15" ht="15.75" customHeight="1" x14ac:dyDescent="0.25">
      <c r="A30" s="168" t="s">
        <v>596</v>
      </c>
      <c r="B30" s="171">
        <v>1</v>
      </c>
      <c r="C30" s="127" t="s">
        <v>27</v>
      </c>
      <c r="D30" s="122">
        <v>5</v>
      </c>
      <c r="E30" s="128" t="s">
        <v>170</v>
      </c>
      <c r="F30" s="124" t="s">
        <v>210</v>
      </c>
      <c r="G30" s="123">
        <f>D30*DADOS_INICIAIS!E9*1.1</f>
        <v>61700.045000000013</v>
      </c>
      <c r="H30" s="129"/>
      <c r="L30" s="1">
        <f>L27/DADOS_INICIAIS!E9</f>
        <v>0.69515097176995577</v>
      </c>
    </row>
    <row r="31" spans="1:15" ht="15.75" customHeight="1" x14ac:dyDescent="0.25">
      <c r="A31" s="200" t="s">
        <v>598</v>
      </c>
      <c r="B31" s="201"/>
      <c r="C31" s="127" t="s">
        <v>325</v>
      </c>
      <c r="D31" s="122">
        <v>600</v>
      </c>
      <c r="E31" s="128" t="s">
        <v>170</v>
      </c>
      <c r="F31" s="124" t="s">
        <v>210</v>
      </c>
      <c r="G31" s="123"/>
      <c r="H31" s="129"/>
    </row>
    <row r="32" spans="1:15" ht="15.75" customHeight="1" x14ac:dyDescent="0.25">
      <c r="A32" s="369"/>
      <c r="B32" s="370"/>
      <c r="C32" s="370"/>
      <c r="D32" s="370"/>
      <c r="E32" s="370"/>
      <c r="F32" s="370"/>
      <c r="G32" s="120">
        <f>SUM(G30:G31)</f>
        <v>61700.045000000013</v>
      </c>
      <c r="H32" s="119"/>
    </row>
    <row r="33" spans="1:10" x14ac:dyDescent="0.25">
      <c r="A33" s="367"/>
      <c r="B33" s="368"/>
      <c r="C33" s="368"/>
      <c r="D33" s="368"/>
      <c r="E33" s="368"/>
      <c r="F33" s="368"/>
      <c r="G33" s="165"/>
      <c r="H33" s="118"/>
      <c r="J33" s="1">
        <f>25.78*2</f>
        <v>51.56</v>
      </c>
    </row>
    <row r="34" spans="1:10" ht="15.75" customHeight="1" x14ac:dyDescent="0.25">
      <c r="G34" s="115"/>
    </row>
    <row r="35" spans="1:10" ht="15.75" customHeight="1" x14ac:dyDescent="0.25">
      <c r="A35" s="366" t="s">
        <v>209</v>
      </c>
      <c r="B35" s="366"/>
      <c r="C35" s="366"/>
      <c r="D35" s="366"/>
      <c r="E35" s="366"/>
      <c r="F35" s="366"/>
      <c r="G35" s="117">
        <f>G25+G18+G32</f>
        <v>1723630.31484825</v>
      </c>
      <c r="H35" s="116">
        <f>G35/DADOS_INICIAIS!E9</f>
        <v>153.64602621708582</v>
      </c>
    </row>
    <row r="36" spans="1:10" ht="15.75" customHeight="1" x14ac:dyDescent="0.25">
      <c r="B36" s="114">
        <f>0.07*DADOS_INICIAIS!$E$9</f>
        <v>785.27330000000006</v>
      </c>
      <c r="H36" s="115">
        <f>H35/1.1</f>
        <v>139.67820565189618</v>
      </c>
    </row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>
      <c r="C42"/>
    </row>
    <row r="43" spans="1:10" ht="15.75" customHeight="1" x14ac:dyDescent="0.25"/>
  </sheetData>
  <mergeCells count="14">
    <mergeCell ref="B22:C22"/>
    <mergeCell ref="D22:E22"/>
    <mergeCell ref="A35:F35"/>
    <mergeCell ref="A25:F25"/>
    <mergeCell ref="A26:F26"/>
    <mergeCell ref="A33:F33"/>
    <mergeCell ref="B29:C29"/>
    <mergeCell ref="D29:E29"/>
    <mergeCell ref="A32:F32"/>
    <mergeCell ref="B14:C14"/>
    <mergeCell ref="D14:E14"/>
    <mergeCell ref="A2:A4"/>
    <mergeCell ref="A18:F18"/>
    <mergeCell ref="A19:F1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F773-AC4A-4F21-B2EF-C9876C500E18}">
  <sheetPr>
    <tabColor rgb="FF92D050"/>
  </sheetPr>
  <dimension ref="A1:J18"/>
  <sheetViews>
    <sheetView showGridLines="0" topLeftCell="A6" zoomScale="85" zoomScaleNormal="85" zoomScaleSheetLayoutView="95" workbookViewId="0">
      <selection activeCell="F23" sqref="F23"/>
    </sheetView>
  </sheetViews>
  <sheetFormatPr defaultColWidth="9.140625" defaultRowHeight="19.5" x14ac:dyDescent="0.25"/>
  <cols>
    <col min="1" max="1" width="53" style="45" bestFit="1" customWidth="1"/>
    <col min="2" max="6" width="27" style="45" customWidth="1"/>
    <col min="7" max="7" width="14" style="45" customWidth="1"/>
    <col min="8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I1" s="2"/>
    </row>
    <row r="2" spans="1:10" ht="28.5" x14ac:dyDescent="0.25">
      <c r="A2" s="345" t="s">
        <v>283</v>
      </c>
      <c r="B2" s="346"/>
      <c r="C2" s="346"/>
      <c r="D2" s="346"/>
      <c r="E2" s="346"/>
      <c r="F2" s="346"/>
      <c r="G2" s="347"/>
      <c r="I2" s="2"/>
    </row>
    <row r="3" spans="1:10" s="55" customFormat="1" x14ac:dyDescent="0.25">
      <c r="A3" s="182" t="s">
        <v>185</v>
      </c>
      <c r="B3" s="188">
        <v>45460</v>
      </c>
      <c r="C3" s="186"/>
      <c r="D3" s="186"/>
      <c r="E3" s="186"/>
      <c r="F3" s="186"/>
      <c r="G3" s="186"/>
      <c r="H3" s="187"/>
      <c r="J3" s="79"/>
    </row>
    <row r="4" spans="1:10" s="55" customFormat="1" x14ac:dyDescent="0.25">
      <c r="A4" s="182" t="s">
        <v>293</v>
      </c>
      <c r="B4" s="189" t="s">
        <v>210</v>
      </c>
      <c r="C4" s="184"/>
      <c r="D4" s="184"/>
      <c r="E4" s="184"/>
      <c r="F4" s="184"/>
      <c r="G4" s="184"/>
      <c r="H4" s="185"/>
      <c r="J4" s="79"/>
    </row>
    <row r="5" spans="1:10" x14ac:dyDescent="0.25">
      <c r="A5" s="50"/>
      <c r="B5" s="50"/>
      <c r="C5" s="50"/>
      <c r="D5" s="50"/>
      <c r="E5" s="50"/>
      <c r="F5" s="48"/>
      <c r="G5" s="48"/>
      <c r="I5" s="2"/>
    </row>
    <row r="6" spans="1:10" s="55" customFormat="1" ht="21.75" x14ac:dyDescent="0.25">
      <c r="A6" s="52" t="s">
        <v>282</v>
      </c>
      <c r="B6" s="53"/>
      <c r="C6" s="53"/>
      <c r="D6" s="53"/>
      <c r="E6" s="53"/>
      <c r="F6" s="53"/>
      <c r="G6" s="53"/>
    </row>
    <row r="7" spans="1:10" s="55" customFormat="1" ht="21.75" x14ac:dyDescent="0.25">
      <c r="A7" s="56"/>
      <c r="B7" s="57"/>
      <c r="C7" s="57"/>
      <c r="D7" s="57"/>
      <c r="E7" s="57"/>
      <c r="F7" s="59"/>
      <c r="G7" s="59"/>
    </row>
    <row r="8" spans="1:10" s="55" customFormat="1" ht="42" customHeight="1" x14ac:dyDescent="0.25">
      <c r="A8" s="63" t="s">
        <v>14</v>
      </c>
      <c r="B8" s="349" t="s">
        <v>5</v>
      </c>
      <c r="C8" s="350"/>
      <c r="D8" s="349" t="s">
        <v>18</v>
      </c>
      <c r="E8" s="350"/>
      <c r="F8" s="71" t="s">
        <v>16</v>
      </c>
      <c r="G8" s="59"/>
    </row>
    <row r="9" spans="1:10" s="55" customFormat="1" ht="21.75" x14ac:dyDescent="0.25">
      <c r="A9" s="66" t="s">
        <v>281</v>
      </c>
      <c r="B9" s="62">
        <v>1500</v>
      </c>
      <c r="C9" s="62" t="s">
        <v>280</v>
      </c>
      <c r="D9" s="67">
        <f>DADOS_INICIAIS!E21</f>
        <v>730.76470000000029</v>
      </c>
      <c r="E9" s="67" t="s">
        <v>2</v>
      </c>
      <c r="F9" s="89">
        <f>D9*B9*1.1</f>
        <v>1205761.7550000006</v>
      </c>
      <c r="G9" s="57"/>
    </row>
    <row r="10" spans="1:10" s="55" customFormat="1" ht="21.75" x14ac:dyDescent="0.25">
      <c r="A10" s="66" t="s">
        <v>279</v>
      </c>
      <c r="B10" s="62">
        <v>10</v>
      </c>
      <c r="C10" s="62" t="s">
        <v>6</v>
      </c>
      <c r="D10" s="67">
        <f>B10*DADOS_INICIAIS!$E$9</f>
        <v>112181.90000000001</v>
      </c>
      <c r="E10" s="67" t="s">
        <v>27</v>
      </c>
      <c r="F10" s="89">
        <f>D10*1.1</f>
        <v>123400.09000000003</v>
      </c>
      <c r="G10" s="57"/>
    </row>
    <row r="11" spans="1:10" s="55" customFormat="1" ht="21.75" x14ac:dyDescent="0.25">
      <c r="A11" s="66" t="s">
        <v>278</v>
      </c>
      <c r="B11" s="62">
        <v>20</v>
      </c>
      <c r="C11" s="62" t="s">
        <v>6</v>
      </c>
      <c r="D11" s="67">
        <f>B11*DADOS_INICIAIS!$E$9</f>
        <v>224363.80000000002</v>
      </c>
      <c r="E11" s="67" t="s">
        <v>27</v>
      </c>
      <c r="F11" s="89">
        <f>D11*1.1</f>
        <v>246800.18000000005</v>
      </c>
      <c r="G11" s="57"/>
    </row>
    <row r="12" spans="1:10" s="55" customFormat="1" ht="21.75" x14ac:dyDescent="0.25">
      <c r="A12" s="66" t="s">
        <v>277</v>
      </c>
      <c r="B12" s="62">
        <v>4</v>
      </c>
      <c r="C12" s="62" t="s">
        <v>6</v>
      </c>
      <c r="D12" s="67">
        <f>B12*DADOS_INICIAIS!$E$9</f>
        <v>44872.76</v>
      </c>
      <c r="E12" s="67" t="s">
        <v>27</v>
      </c>
      <c r="F12" s="89">
        <f t="shared" ref="F12" si="0">D12*1.1</f>
        <v>49360.036000000007</v>
      </c>
      <c r="G12" s="57"/>
    </row>
    <row r="13" spans="1:10" s="55" customFormat="1" ht="21.75" x14ac:dyDescent="0.25">
      <c r="A13" s="66" t="s">
        <v>276</v>
      </c>
      <c r="B13" s="62"/>
      <c r="C13" s="62" t="s">
        <v>6</v>
      </c>
      <c r="D13" s="67">
        <f>'Custos Serviços'!D144</f>
        <v>74468.675712880009</v>
      </c>
      <c r="E13" s="67" t="s">
        <v>27</v>
      </c>
      <c r="F13" s="89">
        <f>D13</f>
        <v>74468.675712880009</v>
      </c>
      <c r="G13" s="57"/>
    </row>
    <row r="14" spans="1:10" s="55" customFormat="1" ht="21.75" x14ac:dyDescent="0.25">
      <c r="A14" s="66" t="s">
        <v>610</v>
      </c>
      <c r="B14" s="62"/>
      <c r="C14" s="62" t="s">
        <v>6</v>
      </c>
      <c r="D14" s="67">
        <f>'Custos Serviços'!D145</f>
        <v>139628.76696164999</v>
      </c>
      <c r="E14" s="67" t="s">
        <v>27</v>
      </c>
      <c r="F14" s="89">
        <f>D14</f>
        <v>139628.76696164999</v>
      </c>
      <c r="G14" s="57"/>
    </row>
    <row r="15" spans="1:10" s="55" customFormat="1" ht="21.75" x14ac:dyDescent="0.25">
      <c r="A15" s="66" t="s">
        <v>275</v>
      </c>
      <c r="B15" s="62">
        <v>18</v>
      </c>
      <c r="C15" s="62" t="s">
        <v>6</v>
      </c>
      <c r="D15" s="67">
        <f>B15*DADOS_INICIAIS!$E$9</f>
        <v>201927.42</v>
      </c>
      <c r="E15" s="67" t="s">
        <v>27</v>
      </c>
      <c r="F15" s="89">
        <f>D15*1.1</f>
        <v>222120.16200000004</v>
      </c>
      <c r="G15" s="57"/>
    </row>
    <row r="16" spans="1:10" s="55" customFormat="1" ht="21.75" x14ac:dyDescent="0.25">
      <c r="A16" s="344" t="s">
        <v>17</v>
      </c>
      <c r="B16" s="344"/>
      <c r="C16" s="344"/>
      <c r="D16" s="110"/>
      <c r="E16" s="110"/>
      <c r="F16" s="90">
        <f>SUM(F9:F15)</f>
        <v>2061539.6656745309</v>
      </c>
      <c r="G16" s="60"/>
    </row>
    <row r="17" spans="1:7" s="55" customFormat="1" ht="21.75" x14ac:dyDescent="0.25">
      <c r="A17" s="348"/>
      <c r="B17" s="348"/>
      <c r="C17" s="348"/>
      <c r="D17" s="111"/>
      <c r="E17" s="111"/>
      <c r="F17" s="59"/>
      <c r="G17" s="59"/>
    </row>
    <row r="18" spans="1:7" ht="23.25" customHeight="1" x14ac:dyDescent="0.25">
      <c r="A18" s="341" t="s">
        <v>274</v>
      </c>
      <c r="B18" s="342"/>
      <c r="C18" s="343"/>
      <c r="D18" s="109"/>
      <c r="E18" s="109"/>
      <c r="F18" s="108">
        <f>F16</f>
        <v>2061539.6656745309</v>
      </c>
      <c r="G18" s="108">
        <f>F18/DADOS_INICIAIS!$E$9</f>
        <v>183.76758333336579</v>
      </c>
    </row>
  </sheetData>
  <mergeCells count="6">
    <mergeCell ref="A18:C18"/>
    <mergeCell ref="B8:C8"/>
    <mergeCell ref="D8:E8"/>
    <mergeCell ref="A2:G2"/>
    <mergeCell ref="A16:C16"/>
    <mergeCell ref="A17:C1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B2D4-1510-4D4F-9933-056D8A08AC12}">
  <sheetPr>
    <tabColor rgb="FF003C66"/>
  </sheetPr>
  <dimension ref="A2:H68"/>
  <sheetViews>
    <sheetView zoomScaleNormal="100" workbookViewId="0">
      <selection activeCell="H12" sqref="H12"/>
    </sheetView>
  </sheetViews>
  <sheetFormatPr defaultRowHeight="15" x14ac:dyDescent="0.25"/>
  <cols>
    <col min="1" max="1" width="106.5703125" bestFit="1" customWidth="1"/>
    <col min="3" max="3" width="15.7109375" bestFit="1" customWidth="1"/>
    <col min="4" max="4" width="8.85546875" style="3"/>
    <col min="7" max="7" width="14.85546875" bestFit="1" customWidth="1"/>
    <col min="8" max="8" width="9.28515625" style="3" bestFit="1" customWidth="1"/>
  </cols>
  <sheetData>
    <row r="2" spans="1:8" x14ac:dyDescent="0.25">
      <c r="A2" t="s">
        <v>42</v>
      </c>
      <c r="B2">
        <v>2</v>
      </c>
      <c r="C2" t="s">
        <v>89</v>
      </c>
      <c r="D2" s="3">
        <v>18.399999999999999</v>
      </c>
    </row>
    <row r="3" spans="1:8" x14ac:dyDescent="0.25">
      <c r="A3" t="s">
        <v>43</v>
      </c>
      <c r="B3">
        <v>2</v>
      </c>
      <c r="C3" t="s">
        <v>90</v>
      </c>
    </row>
    <row r="4" spans="1:8" x14ac:dyDescent="0.25">
      <c r="A4" t="s">
        <v>44</v>
      </c>
      <c r="B4">
        <v>1</v>
      </c>
      <c r="C4" t="s">
        <v>91</v>
      </c>
      <c r="D4" s="3">
        <v>3.4649999999999999</v>
      </c>
    </row>
    <row r="5" spans="1:8" x14ac:dyDescent="0.25">
      <c r="A5" t="s">
        <v>45</v>
      </c>
      <c r="B5">
        <v>1</v>
      </c>
      <c r="C5" t="s">
        <v>91</v>
      </c>
      <c r="D5" s="3">
        <v>1.7324999999999999</v>
      </c>
      <c r="G5" t="s">
        <v>95</v>
      </c>
      <c r="H5" s="3">
        <f>SUMIF(C:C,G5,D:D)</f>
        <v>400.52209999999991</v>
      </c>
    </row>
    <row r="6" spans="1:8" x14ac:dyDescent="0.25">
      <c r="A6" t="s">
        <v>46</v>
      </c>
      <c r="B6">
        <v>2</v>
      </c>
      <c r="C6" t="s">
        <v>91</v>
      </c>
      <c r="D6" s="3">
        <v>5.2751999999999999</v>
      </c>
      <c r="G6" t="s">
        <v>96</v>
      </c>
      <c r="H6" s="3">
        <f>SUMIF(C:C,G6,D:D)</f>
        <v>1895.0600000000002</v>
      </c>
    </row>
    <row r="7" spans="1:8" x14ac:dyDescent="0.25">
      <c r="A7" t="s">
        <v>47</v>
      </c>
      <c r="B7">
        <v>1</v>
      </c>
      <c r="C7" t="s">
        <v>91</v>
      </c>
      <c r="D7" s="3">
        <v>4.1916000000000002</v>
      </c>
      <c r="G7" t="s">
        <v>93</v>
      </c>
      <c r="H7" s="3">
        <f>SUMIF(C:C,G7,B:B)</f>
        <v>218</v>
      </c>
    </row>
    <row r="8" spans="1:8" x14ac:dyDescent="0.25">
      <c r="A8" t="s">
        <v>48</v>
      </c>
      <c r="B8">
        <v>1</v>
      </c>
      <c r="C8" t="s">
        <v>94</v>
      </c>
      <c r="G8" t="s">
        <v>90</v>
      </c>
      <c r="H8" s="3">
        <f>SUMIF(C:C,G8,B:B)</f>
        <v>60</v>
      </c>
    </row>
    <row r="9" spans="1:8" x14ac:dyDescent="0.25">
      <c r="A9" t="s">
        <v>49</v>
      </c>
      <c r="B9">
        <v>19</v>
      </c>
      <c r="C9" t="s">
        <v>93</v>
      </c>
      <c r="G9" t="s">
        <v>94</v>
      </c>
      <c r="H9" s="3">
        <f>SUMIF(C:C,G9,B:B)</f>
        <v>1</v>
      </c>
    </row>
    <row r="10" spans="1:8" x14ac:dyDescent="0.25">
      <c r="A10" t="s">
        <v>50</v>
      </c>
      <c r="B10">
        <v>3</v>
      </c>
      <c r="C10" t="s">
        <v>91</v>
      </c>
      <c r="D10" s="3">
        <v>6.3</v>
      </c>
      <c r="G10" t="s">
        <v>92</v>
      </c>
      <c r="H10" s="3">
        <f>SUMIF(C:C,G10,D:D)</f>
        <v>46.62</v>
      </c>
    </row>
    <row r="11" spans="1:8" x14ac:dyDescent="0.25">
      <c r="A11" t="s">
        <v>51</v>
      </c>
      <c r="B11">
        <v>2</v>
      </c>
      <c r="C11" t="s">
        <v>91</v>
      </c>
      <c r="D11" s="3">
        <v>3.78</v>
      </c>
      <c r="G11" t="s">
        <v>89</v>
      </c>
      <c r="H11" s="3">
        <f>SUMIF(C:C,G11,B:B)</f>
        <v>2</v>
      </c>
    </row>
    <row r="12" spans="1:8" x14ac:dyDescent="0.25">
      <c r="A12" t="s">
        <v>52</v>
      </c>
      <c r="B12">
        <v>1</v>
      </c>
      <c r="C12" t="s">
        <v>91</v>
      </c>
      <c r="D12" s="3">
        <v>2.0076000000000001</v>
      </c>
      <c r="G12" t="s">
        <v>97</v>
      </c>
      <c r="H12" s="3">
        <f>SUMIF(C:C,G12,D:D)</f>
        <v>113.88000000000002</v>
      </c>
    </row>
    <row r="13" spans="1:8" x14ac:dyDescent="0.25">
      <c r="A13" t="s">
        <v>53</v>
      </c>
      <c r="C13" t="s">
        <v>96</v>
      </c>
      <c r="D13" s="3">
        <v>23.4526</v>
      </c>
      <c r="G13" t="s">
        <v>98</v>
      </c>
      <c r="H13" s="3">
        <v>109.3146</v>
      </c>
    </row>
    <row r="14" spans="1:8" x14ac:dyDescent="0.25">
      <c r="A14" t="s">
        <v>54</v>
      </c>
      <c r="C14" t="s">
        <v>95</v>
      </c>
      <c r="D14" s="3">
        <v>20.8062</v>
      </c>
    </row>
    <row r="15" spans="1:8" x14ac:dyDescent="0.25">
      <c r="A15" t="s">
        <v>55</v>
      </c>
      <c r="B15">
        <v>8</v>
      </c>
      <c r="C15" t="s">
        <v>90</v>
      </c>
    </row>
    <row r="16" spans="1:8" x14ac:dyDescent="0.25">
      <c r="A16" t="s">
        <v>56</v>
      </c>
      <c r="C16" t="s">
        <v>96</v>
      </c>
      <c r="D16" s="3">
        <v>124.1564</v>
      </c>
    </row>
    <row r="17" spans="1:4" x14ac:dyDescent="0.25">
      <c r="A17" t="s">
        <v>57</v>
      </c>
      <c r="B17">
        <v>2</v>
      </c>
      <c r="C17" t="s">
        <v>90</v>
      </c>
    </row>
    <row r="18" spans="1:4" x14ac:dyDescent="0.25">
      <c r="A18" t="s">
        <v>58</v>
      </c>
      <c r="B18">
        <v>2</v>
      </c>
      <c r="C18" t="s">
        <v>92</v>
      </c>
      <c r="D18" s="3">
        <v>2.94</v>
      </c>
    </row>
    <row r="19" spans="1:4" x14ac:dyDescent="0.25">
      <c r="A19" t="s">
        <v>59</v>
      </c>
      <c r="B19">
        <v>2</v>
      </c>
      <c r="C19" t="s">
        <v>92</v>
      </c>
      <c r="D19" s="3">
        <v>3.78</v>
      </c>
    </row>
    <row r="20" spans="1:4" x14ac:dyDescent="0.25">
      <c r="A20" t="s">
        <v>60</v>
      </c>
      <c r="B20">
        <v>5</v>
      </c>
      <c r="C20" t="s">
        <v>93</v>
      </c>
    </row>
    <row r="21" spans="1:4" x14ac:dyDescent="0.25">
      <c r="A21" t="s">
        <v>61</v>
      </c>
      <c r="B21">
        <v>1</v>
      </c>
      <c r="C21" t="s">
        <v>96</v>
      </c>
      <c r="D21" s="3">
        <v>14.7348</v>
      </c>
    </row>
    <row r="22" spans="1:4" x14ac:dyDescent="0.25">
      <c r="A22" t="s">
        <v>62</v>
      </c>
      <c r="C22" t="s">
        <v>96</v>
      </c>
      <c r="D22" s="3">
        <v>45.024799999999999</v>
      </c>
    </row>
    <row r="23" spans="1:4" x14ac:dyDescent="0.25">
      <c r="A23" t="s">
        <v>63</v>
      </c>
      <c r="C23" t="s">
        <v>95</v>
      </c>
      <c r="D23" s="3">
        <v>19.8809</v>
      </c>
    </row>
    <row r="24" spans="1:4" x14ac:dyDescent="0.25">
      <c r="A24" t="s">
        <v>64</v>
      </c>
      <c r="B24">
        <v>38</v>
      </c>
      <c r="C24" t="s">
        <v>90</v>
      </c>
    </row>
    <row r="25" spans="1:4" x14ac:dyDescent="0.25">
      <c r="A25" t="s">
        <v>65</v>
      </c>
      <c r="B25">
        <v>171</v>
      </c>
      <c r="C25" t="s">
        <v>93</v>
      </c>
    </row>
    <row r="26" spans="1:4" x14ac:dyDescent="0.25">
      <c r="A26" t="s">
        <v>66</v>
      </c>
      <c r="B26">
        <v>19</v>
      </c>
      <c r="C26" t="s">
        <v>92</v>
      </c>
      <c r="D26" s="3">
        <v>23.94</v>
      </c>
    </row>
    <row r="27" spans="1:4" x14ac:dyDescent="0.25">
      <c r="A27" t="s">
        <v>67</v>
      </c>
      <c r="B27">
        <v>19</v>
      </c>
      <c r="C27" t="s">
        <v>96</v>
      </c>
      <c r="D27" s="3">
        <v>482.98950000000002</v>
      </c>
    </row>
    <row r="28" spans="1:4" x14ac:dyDescent="0.25">
      <c r="A28" t="s">
        <v>68</v>
      </c>
      <c r="B28">
        <v>19</v>
      </c>
      <c r="C28" t="s">
        <v>96</v>
      </c>
      <c r="D28" s="3">
        <v>338.7396</v>
      </c>
    </row>
    <row r="29" spans="1:4" x14ac:dyDescent="0.25">
      <c r="A29" t="s">
        <v>69</v>
      </c>
      <c r="C29" t="s">
        <v>96</v>
      </c>
      <c r="D29" s="3">
        <v>530.63199999999995</v>
      </c>
    </row>
    <row r="30" spans="1:4" x14ac:dyDescent="0.25">
      <c r="A30" t="s">
        <v>70</v>
      </c>
      <c r="C30" t="s">
        <v>97</v>
      </c>
      <c r="D30" s="3">
        <v>90.155000000000001</v>
      </c>
    </row>
    <row r="31" spans="1:4" x14ac:dyDescent="0.25">
      <c r="A31" t="s">
        <v>71</v>
      </c>
      <c r="C31" t="s">
        <v>95</v>
      </c>
      <c r="D31" s="3">
        <v>297.255</v>
      </c>
    </row>
    <row r="32" spans="1:4" x14ac:dyDescent="0.25">
      <c r="A32" t="s">
        <v>57</v>
      </c>
      <c r="B32">
        <v>2</v>
      </c>
      <c r="C32" t="s">
        <v>90</v>
      </c>
    </row>
    <row r="33" spans="1:4" x14ac:dyDescent="0.25">
      <c r="A33" t="s">
        <v>72</v>
      </c>
      <c r="B33">
        <v>2</v>
      </c>
      <c r="C33" t="s">
        <v>93</v>
      </c>
    </row>
    <row r="34" spans="1:4" x14ac:dyDescent="0.25">
      <c r="A34" t="s">
        <v>73</v>
      </c>
      <c r="B34">
        <v>1</v>
      </c>
      <c r="C34" t="s">
        <v>92</v>
      </c>
      <c r="D34" s="3">
        <v>1.26</v>
      </c>
    </row>
    <row r="35" spans="1:4" x14ac:dyDescent="0.25">
      <c r="A35" t="s">
        <v>74</v>
      </c>
      <c r="B35">
        <v>1</v>
      </c>
      <c r="C35" t="s">
        <v>96</v>
      </c>
      <c r="D35" s="3">
        <v>15.21</v>
      </c>
    </row>
    <row r="36" spans="1:4" x14ac:dyDescent="0.25">
      <c r="A36" t="s">
        <v>75</v>
      </c>
      <c r="B36">
        <v>1</v>
      </c>
      <c r="C36" t="s">
        <v>96</v>
      </c>
      <c r="D36" s="3">
        <v>25.420500000000001</v>
      </c>
    </row>
    <row r="37" spans="1:4" x14ac:dyDescent="0.25">
      <c r="A37" t="s">
        <v>76</v>
      </c>
      <c r="B37">
        <v>1</v>
      </c>
      <c r="C37" t="s">
        <v>96</v>
      </c>
      <c r="D37" s="3">
        <v>17.828399999999998</v>
      </c>
    </row>
    <row r="38" spans="1:4" x14ac:dyDescent="0.25">
      <c r="A38" t="s">
        <v>77</v>
      </c>
      <c r="C38" t="s">
        <v>96</v>
      </c>
      <c r="D38" s="3">
        <v>27.928000000000001</v>
      </c>
    </row>
    <row r="39" spans="1:4" x14ac:dyDescent="0.25">
      <c r="A39" t="s">
        <v>78</v>
      </c>
      <c r="C39" t="s">
        <v>97</v>
      </c>
      <c r="D39" s="3">
        <v>4.7450000000000001</v>
      </c>
    </row>
    <row r="40" spans="1:4" x14ac:dyDescent="0.25">
      <c r="A40" t="s">
        <v>79</v>
      </c>
      <c r="C40" t="s">
        <v>95</v>
      </c>
      <c r="D40" s="3">
        <v>15.645</v>
      </c>
    </row>
    <row r="41" spans="1:4" x14ac:dyDescent="0.25">
      <c r="A41" t="s">
        <v>57</v>
      </c>
      <c r="B41">
        <v>2</v>
      </c>
      <c r="C41" t="s">
        <v>90</v>
      </c>
    </row>
    <row r="42" spans="1:4" x14ac:dyDescent="0.25">
      <c r="A42" t="s">
        <v>80</v>
      </c>
      <c r="B42">
        <v>7</v>
      </c>
      <c r="C42" t="s">
        <v>93</v>
      </c>
    </row>
    <row r="43" spans="1:4" x14ac:dyDescent="0.25">
      <c r="A43" t="s">
        <v>81</v>
      </c>
      <c r="B43">
        <v>2</v>
      </c>
      <c r="C43" t="s">
        <v>93</v>
      </c>
    </row>
    <row r="44" spans="1:4" x14ac:dyDescent="0.25">
      <c r="A44" t="s">
        <v>75</v>
      </c>
      <c r="B44">
        <v>1</v>
      </c>
      <c r="C44" t="s">
        <v>96</v>
      </c>
      <c r="D44" s="3">
        <v>25.420500000000001</v>
      </c>
    </row>
    <row r="45" spans="1:4" x14ac:dyDescent="0.25">
      <c r="A45" t="s">
        <v>76</v>
      </c>
      <c r="B45">
        <v>1</v>
      </c>
      <c r="C45" t="s">
        <v>96</v>
      </c>
      <c r="D45" s="3">
        <v>17.828399999999998</v>
      </c>
    </row>
    <row r="46" spans="1:4" x14ac:dyDescent="0.25">
      <c r="A46" t="s">
        <v>82</v>
      </c>
      <c r="C46" t="s">
        <v>96</v>
      </c>
      <c r="D46" s="3">
        <v>26.827999999999999</v>
      </c>
    </row>
    <row r="47" spans="1:4" x14ac:dyDescent="0.25">
      <c r="A47" t="s">
        <v>78</v>
      </c>
      <c r="C47" t="s">
        <v>97</v>
      </c>
      <c r="D47" s="3">
        <v>4.7450000000000001</v>
      </c>
    </row>
    <row r="48" spans="1:4" x14ac:dyDescent="0.25">
      <c r="A48" t="s">
        <v>79</v>
      </c>
      <c r="C48" t="s">
        <v>95</v>
      </c>
      <c r="D48" s="3">
        <v>15.645</v>
      </c>
    </row>
    <row r="49" spans="1:4" x14ac:dyDescent="0.25">
      <c r="A49" t="s">
        <v>57</v>
      </c>
      <c r="B49">
        <v>2</v>
      </c>
      <c r="C49" t="s">
        <v>90</v>
      </c>
    </row>
    <row r="50" spans="1:4" x14ac:dyDescent="0.25">
      <c r="A50" t="s">
        <v>83</v>
      </c>
      <c r="B50">
        <v>4</v>
      </c>
      <c r="C50" t="s">
        <v>93</v>
      </c>
    </row>
    <row r="51" spans="1:4" x14ac:dyDescent="0.25">
      <c r="A51" t="s">
        <v>73</v>
      </c>
      <c r="B51">
        <v>1</v>
      </c>
      <c r="C51" t="s">
        <v>92</v>
      </c>
      <c r="D51" s="3">
        <v>1.26</v>
      </c>
    </row>
    <row r="52" spans="1:4" x14ac:dyDescent="0.25">
      <c r="A52" t="s">
        <v>84</v>
      </c>
      <c r="B52">
        <v>1</v>
      </c>
      <c r="C52" t="s">
        <v>93</v>
      </c>
    </row>
    <row r="53" spans="1:4" x14ac:dyDescent="0.25">
      <c r="A53" t="s">
        <v>85</v>
      </c>
      <c r="B53">
        <v>1</v>
      </c>
      <c r="C53" t="s">
        <v>92</v>
      </c>
      <c r="D53" s="3">
        <v>10.5</v>
      </c>
    </row>
    <row r="54" spans="1:4" x14ac:dyDescent="0.25">
      <c r="A54" t="s">
        <v>75</v>
      </c>
      <c r="B54">
        <v>1</v>
      </c>
      <c r="C54" t="s">
        <v>96</v>
      </c>
      <c r="D54" s="3">
        <v>25.420500000000001</v>
      </c>
    </row>
    <row r="55" spans="1:4" x14ac:dyDescent="0.25">
      <c r="A55" t="s">
        <v>76</v>
      </c>
      <c r="B55">
        <v>1</v>
      </c>
      <c r="C55" t="s">
        <v>96</v>
      </c>
      <c r="D55" s="3">
        <v>17.828399999999998</v>
      </c>
    </row>
    <row r="56" spans="1:4" x14ac:dyDescent="0.25">
      <c r="A56" t="s">
        <v>77</v>
      </c>
      <c r="C56" t="s">
        <v>96</v>
      </c>
      <c r="D56" s="3">
        <v>27.928000000000001</v>
      </c>
    </row>
    <row r="57" spans="1:4" x14ac:dyDescent="0.25">
      <c r="A57" t="s">
        <v>78</v>
      </c>
      <c r="C57" t="s">
        <v>97</v>
      </c>
      <c r="D57" s="3">
        <v>4.7450000000000001</v>
      </c>
    </row>
    <row r="58" spans="1:4" x14ac:dyDescent="0.25">
      <c r="A58" t="s">
        <v>79</v>
      </c>
      <c r="C58" t="s">
        <v>95</v>
      </c>
      <c r="D58" s="3">
        <v>15.645</v>
      </c>
    </row>
    <row r="59" spans="1:4" x14ac:dyDescent="0.25">
      <c r="A59" t="s">
        <v>57</v>
      </c>
      <c r="B59">
        <v>2</v>
      </c>
      <c r="C59" t="s">
        <v>90</v>
      </c>
    </row>
    <row r="60" spans="1:4" x14ac:dyDescent="0.25">
      <c r="A60" t="s">
        <v>80</v>
      </c>
      <c r="B60">
        <v>7</v>
      </c>
      <c r="C60" t="s">
        <v>93</v>
      </c>
    </row>
    <row r="61" spans="1:4" x14ac:dyDescent="0.25">
      <c r="A61" t="s">
        <v>86</v>
      </c>
      <c r="B61">
        <v>1</v>
      </c>
      <c r="C61" t="s">
        <v>96</v>
      </c>
      <c r="D61" s="3">
        <v>5.61</v>
      </c>
    </row>
    <row r="62" spans="1:4" x14ac:dyDescent="0.25">
      <c r="A62" t="s">
        <v>87</v>
      </c>
      <c r="C62" t="s">
        <v>96</v>
      </c>
      <c r="D62" s="3">
        <v>69.707599999999999</v>
      </c>
    </row>
    <row r="63" spans="1:4" x14ac:dyDescent="0.25">
      <c r="A63" t="s">
        <v>78</v>
      </c>
      <c r="C63" t="s">
        <v>97</v>
      </c>
      <c r="D63" s="3">
        <v>4.7450000000000001</v>
      </c>
    </row>
    <row r="64" spans="1:4" x14ac:dyDescent="0.25">
      <c r="A64" t="s">
        <v>79</v>
      </c>
      <c r="C64" t="s">
        <v>95</v>
      </c>
      <c r="D64" s="3">
        <v>15.645</v>
      </c>
    </row>
    <row r="65" spans="1:4" x14ac:dyDescent="0.25">
      <c r="A65" t="s">
        <v>57</v>
      </c>
      <c r="B65">
        <v>2</v>
      </c>
      <c r="C65" t="s">
        <v>90</v>
      </c>
    </row>
    <row r="66" spans="1:4" x14ac:dyDescent="0.25">
      <c r="A66" t="s">
        <v>58</v>
      </c>
      <c r="B66">
        <v>2</v>
      </c>
      <c r="C66" t="s">
        <v>92</v>
      </c>
      <c r="D66" s="3">
        <v>2.94</v>
      </c>
    </row>
    <row r="67" spans="1:4" x14ac:dyDescent="0.25">
      <c r="A67" t="s">
        <v>88</v>
      </c>
      <c r="C67" t="s">
        <v>96</v>
      </c>
      <c r="D67" s="3">
        <v>32.372</v>
      </c>
    </row>
    <row r="68" spans="1:4" x14ac:dyDescent="0.25">
      <c r="A68" t="s">
        <v>78</v>
      </c>
      <c r="C68" t="s">
        <v>97</v>
      </c>
      <c r="D68" s="3">
        <v>4.7450000000000001</v>
      </c>
    </row>
  </sheetData>
  <autoFilter ref="A1:D68" xr:uid="{0567B2D4-1510-4D4F-9933-056D8A08AC1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21</vt:i4>
      </vt:variant>
      <vt:variant>
        <vt:lpstr>Intervalos Nomeados</vt:lpstr>
      </vt:variant>
      <vt:variant>
        <vt:i4>31</vt:i4>
      </vt:variant>
    </vt:vector>
  </HeadingPairs>
  <TitlesOfParts>
    <vt:vector size="52" baseType="lpstr">
      <vt:lpstr>DADOS_INICIAIS</vt:lpstr>
      <vt:lpstr>Custos Serviços</vt:lpstr>
      <vt:lpstr>MOVIMENTAÇÃO_DE_TERRA</vt:lpstr>
      <vt:lpstr>CONTENÇÕES</vt:lpstr>
      <vt:lpstr>INFRAESTRUTURA</vt:lpstr>
      <vt:lpstr>CONTENÇÃO</vt:lpstr>
      <vt:lpstr>SUPRAESTRUTURA</vt:lpstr>
      <vt:lpstr>ALVENARIA</vt:lpstr>
      <vt:lpstr>INSTALAÇÕES</vt:lpstr>
      <vt:lpstr>SISTEMAS ESPECIAIS</vt:lpstr>
      <vt:lpstr>IMPERMEABILIZAÇÃO</vt:lpstr>
      <vt:lpstr>PISO E TETO</vt:lpstr>
      <vt:lpstr>Rev. Internos Piso e Parede</vt:lpstr>
      <vt:lpstr>TETO</vt:lpstr>
      <vt:lpstr>Acabamentos de Piso e Parede</vt:lpstr>
      <vt:lpstr>PINTURA INTERNA</vt:lpstr>
      <vt:lpstr>COBERTURA</vt:lpstr>
      <vt:lpstr>ESQUADRIAS</vt:lpstr>
      <vt:lpstr>Rev. Fachada</vt:lpstr>
      <vt:lpstr>COMPLEMENTARES</vt:lpstr>
      <vt:lpstr>Auxiliar</vt:lpstr>
      <vt:lpstr>'Acabamentos de Piso e Parede'!Area_de_impressao</vt:lpstr>
      <vt:lpstr>ALVENARIA!Area_de_impressao</vt:lpstr>
      <vt:lpstr>COBERTURA!Area_de_impressao</vt:lpstr>
      <vt:lpstr>COMPLEMENTARES!Area_de_impressao</vt:lpstr>
      <vt:lpstr>CONTENÇÃO!Area_de_impressao</vt:lpstr>
      <vt:lpstr>CONTENÇÕES!Area_de_impressao</vt:lpstr>
      <vt:lpstr>DADOS_INICIAIS!Area_de_impressao</vt:lpstr>
      <vt:lpstr>ESQUADRIAS!Area_de_impressao</vt:lpstr>
      <vt:lpstr>IMPERMEABILIZAÇÃO!Area_de_impressao</vt:lpstr>
      <vt:lpstr>INFRAESTRUTURA!Area_de_impressao</vt:lpstr>
      <vt:lpstr>INSTALAÇÕES!Area_de_impressao</vt:lpstr>
      <vt:lpstr>MOVIMENTAÇÃO_DE_TERRA!Area_de_impressao</vt:lpstr>
      <vt:lpstr>'PINTURA INTERNA'!Area_de_impressao</vt:lpstr>
      <vt:lpstr>'Rev. Fachada'!Area_de_impressao</vt:lpstr>
      <vt:lpstr>'Rev. Internos Piso e Parede'!Area_de_impressao</vt:lpstr>
      <vt:lpstr>'SISTEMAS ESPECIAIS'!Area_de_impressao</vt:lpstr>
      <vt:lpstr>SUPRAESTRUTURA!Area_de_impressao</vt:lpstr>
      <vt:lpstr>TETO!Area_de_impressao</vt:lpstr>
      <vt:lpstr>'Acabamentos de Piso e Parede'!Titulos_de_impressao</vt:lpstr>
      <vt:lpstr>ALVENARIA!Titulos_de_impressao</vt:lpstr>
      <vt:lpstr>CONTENÇÃO!Titulos_de_impressao</vt:lpstr>
      <vt:lpstr>CONTENÇÕES!Titulos_de_impressao</vt:lpstr>
      <vt:lpstr>DADOS_INICIAIS!Titulos_de_impressao</vt:lpstr>
      <vt:lpstr>ESQUADRIAS!Titulos_de_impressao</vt:lpstr>
      <vt:lpstr>IMPERMEABILIZAÇÃO!Titulos_de_impressao</vt:lpstr>
      <vt:lpstr>INFRAESTRUTURA!Titulos_de_impressao</vt:lpstr>
      <vt:lpstr>'PINTURA INTERNA'!Titulos_de_impressao</vt:lpstr>
      <vt:lpstr>'Rev. Fachada'!Titulos_de_impressao</vt:lpstr>
      <vt:lpstr>'Rev. Internos Piso e Parede'!Titulos_de_impressao</vt:lpstr>
      <vt:lpstr>SUPRAESTRUTURA!Titulos_de_impressao</vt:lpstr>
      <vt:lpstr>TETO!Titulos_de_impressao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valquiria vansquelhe de oliveira</cp:lastModifiedBy>
  <cp:lastPrinted>2020-09-28T02:21:03Z</cp:lastPrinted>
  <dcterms:created xsi:type="dcterms:W3CDTF">2013-07-31T19:52:57Z</dcterms:created>
  <dcterms:modified xsi:type="dcterms:W3CDTF">2026-02-25T16:54:13Z</dcterms:modified>
</cp:coreProperties>
</file>