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3.xml" ContentType="application/vnd.openxmlformats-officedocument.spreadsheetml.comments+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G:\.shortcut-targets-by-id\16oaQUYgx8kiowDwLhg-oO1zGZ777DJUb\2. Projetos em Andamento\H Living\Atlantia\04. Custo\03.5 Custo - Determinação do orçamento\R03\"/>
    </mc:Choice>
  </mc:AlternateContent>
  <xr:revisionPtr revIDLastSave="0" documentId="13_ncr:1_{B9ADC0B5-12A2-488C-8E94-6179423E4BB1}" xr6:coauthVersionLast="47" xr6:coauthVersionMax="47" xr10:uidLastSave="{00000000-0000-0000-0000-000000000000}"/>
  <bookViews>
    <workbookView xWindow="6120" yWindow="510" windowWidth="26730" windowHeight="14385" tabRatio="775" activeTab="2" xr2:uid="{00000000-000D-0000-FFFF-FFFF00000000}"/>
  </bookViews>
  <sheets>
    <sheet name="Obra" sheetId="21" r:id="rId1"/>
    <sheet name="Ger_Administrativo" sheetId="5" r:id="rId2"/>
    <sheet name="Ger_Executivo" sheetId="36" r:id="rId3"/>
    <sheet name="Custos Serviços" sheetId="44" r:id="rId4"/>
    <sheet name="EPCs" sheetId="4" r:id="rId5"/>
    <sheet name="CANTEIRO" sheetId="2" r:id="rId6"/>
    <sheet name="ARQ. RES" sheetId="49" r:id="rId7"/>
    <sheet name="ARQ. PAV" sheetId="48" r:id="rId8"/>
    <sheet name="ESQUADRIAS" sheetId="33" r:id="rId9"/>
    <sheet name="LOUÇAS E METAIS" sheetId="34" r:id="rId10"/>
    <sheet name="Fundação Profunda" sheetId="38" r:id="rId11"/>
    <sheet name="Fundação Rasa" sheetId="39" r:id="rId12"/>
    <sheet name="SUPRAESTRUTURA" sheetId="37" r:id="rId13"/>
    <sheet name="MOBILIÁRIO" sheetId="35" r:id="rId14"/>
    <sheet name="INST. ELETRICA" sheetId="50" r:id="rId15"/>
    <sheet name="INST. HIDROSSANITARIO" sheetId="51" r:id="rId16"/>
  </sheets>
  <externalReferences>
    <externalReference r:id="rId17"/>
    <externalReference r:id="rId18"/>
    <externalReference r:id="rId19"/>
  </externalReferences>
  <definedNames>
    <definedName name="\0" localSheetId="3">#REF!</definedName>
    <definedName name="\0" localSheetId="8">#REF!</definedName>
    <definedName name="\0" localSheetId="2">#REF!</definedName>
    <definedName name="\0" localSheetId="9">#REF!</definedName>
    <definedName name="\0" localSheetId="13">#REF!</definedName>
    <definedName name="\0" localSheetId="0">#REF!</definedName>
    <definedName name="\0">#REF!</definedName>
    <definedName name="\1" localSheetId="2">#REF!</definedName>
    <definedName name="\1">#REF!</definedName>
    <definedName name="\a" localSheetId="2">#REF!</definedName>
    <definedName name="\a" localSheetId="13">#REF!</definedName>
    <definedName name="\a" localSheetId="0">#REF!</definedName>
    <definedName name="\a">#REF!</definedName>
    <definedName name="\b" localSheetId="2">#REF!</definedName>
    <definedName name="\b">#REF!</definedName>
    <definedName name="\c" localSheetId="2">#REF!</definedName>
    <definedName name="\c">#REF!</definedName>
    <definedName name="\d" localSheetId="2">#REF!</definedName>
    <definedName name="\d">#REF!</definedName>
    <definedName name="\e" localSheetId="2">#REF!</definedName>
    <definedName name="\e">#REF!</definedName>
    <definedName name="\i" localSheetId="2">#REF!</definedName>
    <definedName name="\i">#REF!</definedName>
    <definedName name="\J" localSheetId="2">#REF!</definedName>
    <definedName name="\J">#REF!</definedName>
    <definedName name="\k" localSheetId="2">#REF!</definedName>
    <definedName name="\k">#REF!</definedName>
    <definedName name="\l">#N/A</definedName>
    <definedName name="\m" localSheetId="3">#REF!</definedName>
    <definedName name="\m" localSheetId="8">#REF!</definedName>
    <definedName name="\m" localSheetId="2">#REF!</definedName>
    <definedName name="\m" localSheetId="9">#REF!</definedName>
    <definedName name="\m" localSheetId="13">#REF!</definedName>
    <definedName name="\m" localSheetId="0">#REF!</definedName>
    <definedName name="\m">#REF!</definedName>
    <definedName name="\o" localSheetId="2">#REF!</definedName>
    <definedName name="\o">#REF!</definedName>
    <definedName name="\p" localSheetId="2">#REF!</definedName>
    <definedName name="\p">#REF!</definedName>
    <definedName name="\r" localSheetId="2">#REF!</definedName>
    <definedName name="\r">#REF!</definedName>
    <definedName name="\T" localSheetId="2">#REF!</definedName>
    <definedName name="\T">#REF!</definedName>
    <definedName name="\xasd" localSheetId="3" hidden="1">{#N/A,#N/A,FALSE,"Plan1";#N/A,#N/A,FALSE,"Plan2"}</definedName>
    <definedName name="\xasd" localSheetId="8" hidden="1">{#N/A,#N/A,FALSE,"Plan1";#N/A,#N/A,FALSE,"Plan2"}</definedName>
    <definedName name="\xasd" localSheetId="2" hidden="1">{#N/A,#N/A,FALSE,"Plan1";#N/A,#N/A,FALSE,"Plan2"}</definedName>
    <definedName name="\xasd" localSheetId="9" hidden="1">{#N/A,#N/A,FALSE,"Plan1";#N/A,#N/A,FALSE,"Plan2"}</definedName>
    <definedName name="\xasd" localSheetId="13" hidden="1">{#N/A,#N/A,FALSE,"Plan1";#N/A,#N/A,FALSE,"Plan2"}</definedName>
    <definedName name="\xasd" localSheetId="0" hidden="1">{#N/A,#N/A,FALSE,"Plan1";#N/A,#N/A,FALSE,"Plan2"}</definedName>
    <definedName name="\xasd" hidden="1">{#N/A,#N/A,FALSE,"Plan1";#N/A,#N/A,FALSE,"Plan2"}</definedName>
    <definedName name="\z" localSheetId="3">#REF!</definedName>
    <definedName name="\z" localSheetId="2">#REF!</definedName>
    <definedName name="\z">#REF!</definedName>
    <definedName name="_" localSheetId="3" hidden="1">#REF!</definedName>
    <definedName name="_" localSheetId="8" hidden="1">#REF!</definedName>
    <definedName name="_" localSheetId="9" hidden="1">#REF!</definedName>
    <definedName name="_" localSheetId="13" hidden="1">#REF!</definedName>
    <definedName name="_" localSheetId="0" hidden="1">#REF!</definedName>
    <definedName name="_" hidden="1">#REF!</definedName>
    <definedName name="__" localSheetId="0" hidden="1">#REF!</definedName>
    <definedName name="__" hidden="1">#REF!</definedName>
    <definedName name="________________r1" localSheetId="3" hidden="1">{#N/A,#N/A,FALSE,"GERAL";#N/A,#N/A,FALSE,"012-96";#N/A,#N/A,FALSE,"018-96";#N/A,#N/A,FALSE,"027-96";#N/A,#N/A,FALSE,"059-96";#N/A,#N/A,FALSE,"076-96";#N/A,#N/A,FALSE,"019-97";#N/A,#N/A,FALSE,"021-97";#N/A,#N/A,FALSE,"022-97";#N/A,#N/A,FALSE,"028-97"}</definedName>
    <definedName name="________________r1" localSheetId="8" hidden="1">{#N/A,#N/A,FALSE,"GERAL";#N/A,#N/A,FALSE,"012-96";#N/A,#N/A,FALSE,"018-96";#N/A,#N/A,FALSE,"027-96";#N/A,#N/A,FALSE,"059-96";#N/A,#N/A,FALSE,"076-96";#N/A,#N/A,FALSE,"019-97";#N/A,#N/A,FALSE,"021-97";#N/A,#N/A,FALSE,"022-97";#N/A,#N/A,FALSE,"028-97"}</definedName>
    <definedName name="________________r1" localSheetId="2" hidden="1">{#N/A,#N/A,FALSE,"GERAL";#N/A,#N/A,FALSE,"012-96";#N/A,#N/A,FALSE,"018-96";#N/A,#N/A,FALSE,"027-96";#N/A,#N/A,FALSE,"059-96";#N/A,#N/A,FALSE,"076-96";#N/A,#N/A,FALSE,"019-97";#N/A,#N/A,FALSE,"021-97";#N/A,#N/A,FALSE,"022-97";#N/A,#N/A,FALSE,"028-97"}</definedName>
    <definedName name="________________r1" localSheetId="9" hidden="1">{#N/A,#N/A,FALSE,"GERAL";#N/A,#N/A,FALSE,"012-96";#N/A,#N/A,FALSE,"018-96";#N/A,#N/A,FALSE,"027-96";#N/A,#N/A,FALSE,"059-96";#N/A,#N/A,FALSE,"076-96";#N/A,#N/A,FALSE,"019-97";#N/A,#N/A,FALSE,"021-97";#N/A,#N/A,FALSE,"022-97";#N/A,#N/A,FALSE,"028-97"}</definedName>
    <definedName name="________________r1" localSheetId="13" hidden="1">{#N/A,#N/A,FALSE,"GERAL";#N/A,#N/A,FALSE,"012-96";#N/A,#N/A,FALSE,"018-96";#N/A,#N/A,FALSE,"027-96";#N/A,#N/A,FALSE,"059-96";#N/A,#N/A,FALSE,"076-96";#N/A,#N/A,FALSE,"019-97";#N/A,#N/A,FALSE,"021-97";#N/A,#N/A,FALSE,"022-97";#N/A,#N/A,FALSE,"028-97"}</definedName>
    <definedName name="________________r1" localSheetId="0" hidden="1">{#N/A,#N/A,FALSE,"GERAL";#N/A,#N/A,FALSE,"012-96";#N/A,#N/A,FALSE,"018-96";#N/A,#N/A,FALSE,"027-96";#N/A,#N/A,FALSE,"059-96";#N/A,#N/A,FALSE,"076-96";#N/A,#N/A,FALSE,"019-97";#N/A,#N/A,FALSE,"021-97";#N/A,#N/A,FALSE,"022-97";#N/A,#N/A,FALSE,"028-97"}</definedName>
    <definedName name="________________r1" hidden="1">{#N/A,#N/A,FALSE,"GERAL";#N/A,#N/A,FALSE,"012-96";#N/A,#N/A,FALSE,"018-96";#N/A,#N/A,FALSE,"027-96";#N/A,#N/A,FALSE,"059-96";#N/A,#N/A,FALSE,"076-96";#N/A,#N/A,FALSE,"019-97";#N/A,#N/A,FALSE,"021-97";#N/A,#N/A,FALSE,"022-97";#N/A,#N/A,FALSE,"028-97"}</definedName>
    <definedName name="______________r1" localSheetId="3" hidden="1">{#N/A,#N/A,FALSE,"GERAL";#N/A,#N/A,FALSE,"012-96";#N/A,#N/A,FALSE,"018-96";#N/A,#N/A,FALSE,"027-96";#N/A,#N/A,FALSE,"059-96";#N/A,#N/A,FALSE,"076-96";#N/A,#N/A,FALSE,"019-97";#N/A,#N/A,FALSE,"021-97";#N/A,#N/A,FALSE,"022-97";#N/A,#N/A,FALSE,"028-97"}</definedName>
    <definedName name="______________r1" localSheetId="8" hidden="1">{#N/A,#N/A,FALSE,"GERAL";#N/A,#N/A,FALSE,"012-96";#N/A,#N/A,FALSE,"018-96";#N/A,#N/A,FALSE,"027-96";#N/A,#N/A,FALSE,"059-96";#N/A,#N/A,FALSE,"076-96";#N/A,#N/A,FALSE,"019-97";#N/A,#N/A,FALSE,"021-97";#N/A,#N/A,FALSE,"022-97";#N/A,#N/A,FALSE,"028-97"}</definedName>
    <definedName name="______________r1" localSheetId="2" hidden="1">{#N/A,#N/A,FALSE,"GERAL";#N/A,#N/A,FALSE,"012-96";#N/A,#N/A,FALSE,"018-96";#N/A,#N/A,FALSE,"027-96";#N/A,#N/A,FALSE,"059-96";#N/A,#N/A,FALSE,"076-96";#N/A,#N/A,FALSE,"019-97";#N/A,#N/A,FALSE,"021-97";#N/A,#N/A,FALSE,"022-97";#N/A,#N/A,FALSE,"028-97"}</definedName>
    <definedName name="______________r1" localSheetId="9" hidden="1">{#N/A,#N/A,FALSE,"GERAL";#N/A,#N/A,FALSE,"012-96";#N/A,#N/A,FALSE,"018-96";#N/A,#N/A,FALSE,"027-96";#N/A,#N/A,FALSE,"059-96";#N/A,#N/A,FALSE,"076-96";#N/A,#N/A,FALSE,"019-97";#N/A,#N/A,FALSE,"021-97";#N/A,#N/A,FALSE,"022-97";#N/A,#N/A,FALSE,"028-97"}</definedName>
    <definedName name="______________r1" localSheetId="13" hidden="1">{#N/A,#N/A,FALSE,"GERAL";#N/A,#N/A,FALSE,"012-96";#N/A,#N/A,FALSE,"018-96";#N/A,#N/A,FALSE,"027-96";#N/A,#N/A,FALSE,"059-96";#N/A,#N/A,FALSE,"076-96";#N/A,#N/A,FALSE,"019-97";#N/A,#N/A,FALSE,"021-97";#N/A,#N/A,FALSE,"022-97";#N/A,#N/A,FALSE,"028-97"}</definedName>
    <definedName name="______________r1" localSheetId="0" hidden="1">{#N/A,#N/A,FALSE,"GERAL";#N/A,#N/A,FALSE,"012-96";#N/A,#N/A,FALSE,"018-96";#N/A,#N/A,FALSE,"027-96";#N/A,#N/A,FALSE,"059-96";#N/A,#N/A,FALSE,"076-96";#N/A,#N/A,FALSE,"019-97";#N/A,#N/A,FALSE,"021-97";#N/A,#N/A,FALSE,"022-97";#N/A,#N/A,FALSE,"028-97"}</definedName>
    <definedName name="______________r1" hidden="1">{#N/A,#N/A,FALSE,"GERAL";#N/A,#N/A,FALSE,"012-96";#N/A,#N/A,FALSE,"018-96";#N/A,#N/A,FALSE,"027-96";#N/A,#N/A,FALSE,"059-96";#N/A,#N/A,FALSE,"076-96";#N/A,#N/A,FALSE,"019-97";#N/A,#N/A,FALSE,"021-97";#N/A,#N/A,FALSE,"022-97";#N/A,#N/A,FALSE,"028-97"}</definedName>
    <definedName name="_____________r1" localSheetId="3" hidden="1">{#N/A,#N/A,FALSE,"GERAL";#N/A,#N/A,FALSE,"012-96";#N/A,#N/A,FALSE,"018-96";#N/A,#N/A,FALSE,"027-96";#N/A,#N/A,FALSE,"059-96";#N/A,#N/A,FALSE,"076-96";#N/A,#N/A,FALSE,"019-97";#N/A,#N/A,FALSE,"021-97";#N/A,#N/A,FALSE,"022-97";#N/A,#N/A,FALSE,"028-97"}</definedName>
    <definedName name="_____________r1" localSheetId="8" hidden="1">{#N/A,#N/A,FALSE,"GERAL";#N/A,#N/A,FALSE,"012-96";#N/A,#N/A,FALSE,"018-96";#N/A,#N/A,FALSE,"027-96";#N/A,#N/A,FALSE,"059-96";#N/A,#N/A,FALSE,"076-96";#N/A,#N/A,FALSE,"019-97";#N/A,#N/A,FALSE,"021-97";#N/A,#N/A,FALSE,"022-97";#N/A,#N/A,FALSE,"028-97"}</definedName>
    <definedName name="_____________r1" localSheetId="2" hidden="1">{#N/A,#N/A,FALSE,"GERAL";#N/A,#N/A,FALSE,"012-96";#N/A,#N/A,FALSE,"018-96";#N/A,#N/A,FALSE,"027-96";#N/A,#N/A,FALSE,"059-96";#N/A,#N/A,FALSE,"076-96";#N/A,#N/A,FALSE,"019-97";#N/A,#N/A,FALSE,"021-97";#N/A,#N/A,FALSE,"022-97";#N/A,#N/A,FALSE,"028-97"}</definedName>
    <definedName name="_____________r1" localSheetId="9" hidden="1">{#N/A,#N/A,FALSE,"GERAL";#N/A,#N/A,FALSE,"012-96";#N/A,#N/A,FALSE,"018-96";#N/A,#N/A,FALSE,"027-96";#N/A,#N/A,FALSE,"059-96";#N/A,#N/A,FALSE,"076-96";#N/A,#N/A,FALSE,"019-97";#N/A,#N/A,FALSE,"021-97";#N/A,#N/A,FALSE,"022-97";#N/A,#N/A,FALSE,"028-97"}</definedName>
    <definedName name="_____________r1" localSheetId="13" hidden="1">{#N/A,#N/A,FALSE,"GERAL";#N/A,#N/A,FALSE,"012-96";#N/A,#N/A,FALSE,"018-96";#N/A,#N/A,FALSE,"027-96";#N/A,#N/A,FALSE,"059-96";#N/A,#N/A,FALSE,"076-96";#N/A,#N/A,FALSE,"019-97";#N/A,#N/A,FALSE,"021-97";#N/A,#N/A,FALSE,"022-97";#N/A,#N/A,FALSE,"028-97"}</definedName>
    <definedName name="_____________r1" localSheetId="0" hidden="1">{#N/A,#N/A,FALSE,"GERAL";#N/A,#N/A,FALSE,"012-96";#N/A,#N/A,FALSE,"018-96";#N/A,#N/A,FALSE,"027-96";#N/A,#N/A,FALSE,"059-96";#N/A,#N/A,FALSE,"076-96";#N/A,#N/A,FALSE,"019-97";#N/A,#N/A,FALSE,"021-97";#N/A,#N/A,FALSE,"022-97";#N/A,#N/A,FALSE,"028-97"}</definedName>
    <definedName name="_____________r1" hidden="1">{#N/A,#N/A,FALSE,"GERAL";#N/A,#N/A,FALSE,"012-96";#N/A,#N/A,FALSE,"018-96";#N/A,#N/A,FALSE,"027-96";#N/A,#N/A,FALSE,"059-96";#N/A,#N/A,FALSE,"076-96";#N/A,#N/A,FALSE,"019-97";#N/A,#N/A,FALSE,"021-97";#N/A,#N/A,FALSE,"022-97";#N/A,#N/A,FALSE,"028-97"}</definedName>
    <definedName name="____________r1" localSheetId="3" hidden="1">{#N/A,#N/A,FALSE,"GERAL";#N/A,#N/A,FALSE,"012-96";#N/A,#N/A,FALSE,"018-96";#N/A,#N/A,FALSE,"027-96";#N/A,#N/A,FALSE,"059-96";#N/A,#N/A,FALSE,"076-96";#N/A,#N/A,FALSE,"019-97";#N/A,#N/A,FALSE,"021-97";#N/A,#N/A,FALSE,"022-97";#N/A,#N/A,FALSE,"028-97"}</definedName>
    <definedName name="____________r1" localSheetId="8" hidden="1">{#N/A,#N/A,FALSE,"GERAL";#N/A,#N/A,FALSE,"012-96";#N/A,#N/A,FALSE,"018-96";#N/A,#N/A,FALSE,"027-96";#N/A,#N/A,FALSE,"059-96";#N/A,#N/A,FALSE,"076-96";#N/A,#N/A,FALSE,"019-97";#N/A,#N/A,FALSE,"021-97";#N/A,#N/A,FALSE,"022-97";#N/A,#N/A,FALSE,"028-97"}</definedName>
    <definedName name="____________r1" localSheetId="2" hidden="1">{#N/A,#N/A,FALSE,"GERAL";#N/A,#N/A,FALSE,"012-96";#N/A,#N/A,FALSE,"018-96";#N/A,#N/A,FALSE,"027-96";#N/A,#N/A,FALSE,"059-96";#N/A,#N/A,FALSE,"076-96";#N/A,#N/A,FALSE,"019-97";#N/A,#N/A,FALSE,"021-97";#N/A,#N/A,FALSE,"022-97";#N/A,#N/A,FALSE,"028-97"}</definedName>
    <definedName name="____________r1" localSheetId="9" hidden="1">{#N/A,#N/A,FALSE,"GERAL";#N/A,#N/A,FALSE,"012-96";#N/A,#N/A,FALSE,"018-96";#N/A,#N/A,FALSE,"027-96";#N/A,#N/A,FALSE,"059-96";#N/A,#N/A,FALSE,"076-96";#N/A,#N/A,FALSE,"019-97";#N/A,#N/A,FALSE,"021-97";#N/A,#N/A,FALSE,"022-97";#N/A,#N/A,FALSE,"028-97"}</definedName>
    <definedName name="____________r1" localSheetId="13" hidden="1">{#N/A,#N/A,FALSE,"GERAL";#N/A,#N/A,FALSE,"012-96";#N/A,#N/A,FALSE,"018-96";#N/A,#N/A,FALSE,"027-96";#N/A,#N/A,FALSE,"059-96";#N/A,#N/A,FALSE,"076-96";#N/A,#N/A,FALSE,"019-97";#N/A,#N/A,FALSE,"021-97";#N/A,#N/A,FALSE,"022-97";#N/A,#N/A,FALSE,"028-97"}</definedName>
    <definedName name="____________r1" localSheetId="0" hidden="1">{#N/A,#N/A,FALSE,"GERAL";#N/A,#N/A,FALSE,"012-96";#N/A,#N/A,FALSE,"018-96";#N/A,#N/A,FALSE,"027-96";#N/A,#N/A,FALSE,"059-96";#N/A,#N/A,FALSE,"076-96";#N/A,#N/A,FALSE,"019-97";#N/A,#N/A,FALSE,"021-97";#N/A,#N/A,FALSE,"022-97";#N/A,#N/A,FALSE,"028-97"}</definedName>
    <definedName name="____________r1" hidden="1">{#N/A,#N/A,FALSE,"GERAL";#N/A,#N/A,FALSE,"012-96";#N/A,#N/A,FALSE,"018-96";#N/A,#N/A,FALSE,"027-96";#N/A,#N/A,FALSE,"059-96";#N/A,#N/A,FALSE,"076-96";#N/A,#N/A,FALSE,"019-97";#N/A,#N/A,FALSE,"021-97";#N/A,#N/A,FALSE,"022-97";#N/A,#N/A,FALSE,"028-97"}</definedName>
    <definedName name="___________r1" localSheetId="3" hidden="1">{#N/A,#N/A,FALSE,"GERAL";#N/A,#N/A,FALSE,"012-96";#N/A,#N/A,FALSE,"018-96";#N/A,#N/A,FALSE,"027-96";#N/A,#N/A,FALSE,"059-96";#N/A,#N/A,FALSE,"076-96";#N/A,#N/A,FALSE,"019-97";#N/A,#N/A,FALSE,"021-97";#N/A,#N/A,FALSE,"022-97";#N/A,#N/A,FALSE,"028-97"}</definedName>
    <definedName name="___________r1" localSheetId="8" hidden="1">{#N/A,#N/A,FALSE,"GERAL";#N/A,#N/A,FALSE,"012-96";#N/A,#N/A,FALSE,"018-96";#N/A,#N/A,FALSE,"027-96";#N/A,#N/A,FALSE,"059-96";#N/A,#N/A,FALSE,"076-96";#N/A,#N/A,FALSE,"019-97";#N/A,#N/A,FALSE,"021-97";#N/A,#N/A,FALSE,"022-97";#N/A,#N/A,FALSE,"028-97"}</definedName>
    <definedName name="___________r1" localSheetId="2" hidden="1">{#N/A,#N/A,FALSE,"GERAL";#N/A,#N/A,FALSE,"012-96";#N/A,#N/A,FALSE,"018-96";#N/A,#N/A,FALSE,"027-96";#N/A,#N/A,FALSE,"059-96";#N/A,#N/A,FALSE,"076-96";#N/A,#N/A,FALSE,"019-97";#N/A,#N/A,FALSE,"021-97";#N/A,#N/A,FALSE,"022-97";#N/A,#N/A,FALSE,"028-97"}</definedName>
    <definedName name="___________r1" localSheetId="9" hidden="1">{#N/A,#N/A,FALSE,"GERAL";#N/A,#N/A,FALSE,"012-96";#N/A,#N/A,FALSE,"018-96";#N/A,#N/A,FALSE,"027-96";#N/A,#N/A,FALSE,"059-96";#N/A,#N/A,FALSE,"076-96";#N/A,#N/A,FALSE,"019-97";#N/A,#N/A,FALSE,"021-97";#N/A,#N/A,FALSE,"022-97";#N/A,#N/A,FALSE,"028-97"}</definedName>
    <definedName name="___________r1" localSheetId="13" hidden="1">{#N/A,#N/A,FALSE,"GERAL";#N/A,#N/A,FALSE,"012-96";#N/A,#N/A,FALSE,"018-96";#N/A,#N/A,FALSE,"027-96";#N/A,#N/A,FALSE,"059-96";#N/A,#N/A,FALSE,"076-96";#N/A,#N/A,FALSE,"019-97";#N/A,#N/A,FALSE,"021-97";#N/A,#N/A,FALSE,"022-97";#N/A,#N/A,FALSE,"028-97"}</definedName>
    <definedName name="___________r1" localSheetId="0" hidden="1">{#N/A,#N/A,FALSE,"GERAL";#N/A,#N/A,FALSE,"012-96";#N/A,#N/A,FALSE,"018-96";#N/A,#N/A,FALSE,"027-96";#N/A,#N/A,FALSE,"059-96";#N/A,#N/A,FALSE,"076-96";#N/A,#N/A,FALSE,"019-97";#N/A,#N/A,FALSE,"021-97";#N/A,#N/A,FALSE,"022-97";#N/A,#N/A,FALSE,"028-97"}</definedName>
    <definedName name="___________r1" hidden="1">{#N/A,#N/A,FALSE,"GERAL";#N/A,#N/A,FALSE,"012-96";#N/A,#N/A,FALSE,"018-96";#N/A,#N/A,FALSE,"027-96";#N/A,#N/A,FALSE,"059-96";#N/A,#N/A,FALSE,"076-96";#N/A,#N/A,FALSE,"019-97";#N/A,#N/A,FALSE,"021-97";#N/A,#N/A,FALSE,"022-97";#N/A,#N/A,FALSE,"028-97"}</definedName>
    <definedName name="_________r1" localSheetId="3" hidden="1">{#N/A,#N/A,FALSE,"GERAL";#N/A,#N/A,FALSE,"012-96";#N/A,#N/A,FALSE,"018-96";#N/A,#N/A,FALSE,"027-96";#N/A,#N/A,FALSE,"059-96";#N/A,#N/A,FALSE,"076-96";#N/A,#N/A,FALSE,"019-97";#N/A,#N/A,FALSE,"021-97";#N/A,#N/A,FALSE,"022-97";#N/A,#N/A,FALSE,"028-97"}</definedName>
    <definedName name="_________r1" localSheetId="8" hidden="1">{#N/A,#N/A,FALSE,"GERAL";#N/A,#N/A,FALSE,"012-96";#N/A,#N/A,FALSE,"018-96";#N/A,#N/A,FALSE,"027-96";#N/A,#N/A,FALSE,"059-96";#N/A,#N/A,FALSE,"076-96";#N/A,#N/A,FALSE,"019-97";#N/A,#N/A,FALSE,"021-97";#N/A,#N/A,FALSE,"022-97";#N/A,#N/A,FALSE,"028-97"}</definedName>
    <definedName name="_________r1" localSheetId="2" hidden="1">{#N/A,#N/A,FALSE,"GERAL";#N/A,#N/A,FALSE,"012-96";#N/A,#N/A,FALSE,"018-96";#N/A,#N/A,FALSE,"027-96";#N/A,#N/A,FALSE,"059-96";#N/A,#N/A,FALSE,"076-96";#N/A,#N/A,FALSE,"019-97";#N/A,#N/A,FALSE,"021-97";#N/A,#N/A,FALSE,"022-97";#N/A,#N/A,FALSE,"028-97"}</definedName>
    <definedName name="_________r1" localSheetId="9" hidden="1">{#N/A,#N/A,FALSE,"GERAL";#N/A,#N/A,FALSE,"012-96";#N/A,#N/A,FALSE,"018-96";#N/A,#N/A,FALSE,"027-96";#N/A,#N/A,FALSE,"059-96";#N/A,#N/A,FALSE,"076-96";#N/A,#N/A,FALSE,"019-97";#N/A,#N/A,FALSE,"021-97";#N/A,#N/A,FALSE,"022-97";#N/A,#N/A,FALSE,"028-97"}</definedName>
    <definedName name="_________r1" localSheetId="13" hidden="1">{#N/A,#N/A,FALSE,"GERAL";#N/A,#N/A,FALSE,"012-96";#N/A,#N/A,FALSE,"018-96";#N/A,#N/A,FALSE,"027-96";#N/A,#N/A,FALSE,"059-96";#N/A,#N/A,FALSE,"076-96";#N/A,#N/A,FALSE,"019-97";#N/A,#N/A,FALSE,"021-97";#N/A,#N/A,FALSE,"022-97";#N/A,#N/A,FALSE,"028-97"}</definedName>
    <definedName name="_________r1" localSheetId="0" hidden="1">{#N/A,#N/A,FALSE,"GERAL";#N/A,#N/A,FALSE,"012-96";#N/A,#N/A,FALSE,"018-96";#N/A,#N/A,FALSE,"027-96";#N/A,#N/A,FALSE,"059-96";#N/A,#N/A,FALSE,"076-96";#N/A,#N/A,FALSE,"019-97";#N/A,#N/A,FALSE,"021-97";#N/A,#N/A,FALSE,"022-97";#N/A,#N/A,FALSE,"028-97"}</definedName>
    <definedName name="_________r1" hidden="1">{#N/A,#N/A,FALSE,"GERAL";#N/A,#N/A,FALSE,"012-96";#N/A,#N/A,FALSE,"018-96";#N/A,#N/A,FALSE,"027-96";#N/A,#N/A,FALSE,"059-96";#N/A,#N/A,FALSE,"076-96";#N/A,#N/A,FALSE,"019-97";#N/A,#N/A,FALSE,"021-97";#N/A,#N/A,FALSE,"022-97";#N/A,#N/A,FALSE,"028-97"}</definedName>
    <definedName name="________r1" localSheetId="3" hidden="1">{#N/A,#N/A,FALSE,"GERAL";#N/A,#N/A,FALSE,"012-96";#N/A,#N/A,FALSE,"018-96";#N/A,#N/A,FALSE,"027-96";#N/A,#N/A,FALSE,"059-96";#N/A,#N/A,FALSE,"076-96";#N/A,#N/A,FALSE,"019-97";#N/A,#N/A,FALSE,"021-97";#N/A,#N/A,FALSE,"022-97";#N/A,#N/A,FALSE,"028-97"}</definedName>
    <definedName name="________r1" localSheetId="8" hidden="1">{#N/A,#N/A,FALSE,"GERAL";#N/A,#N/A,FALSE,"012-96";#N/A,#N/A,FALSE,"018-96";#N/A,#N/A,FALSE,"027-96";#N/A,#N/A,FALSE,"059-96";#N/A,#N/A,FALSE,"076-96";#N/A,#N/A,FALSE,"019-97";#N/A,#N/A,FALSE,"021-97";#N/A,#N/A,FALSE,"022-97";#N/A,#N/A,FALSE,"028-97"}</definedName>
    <definedName name="________r1" localSheetId="2" hidden="1">{#N/A,#N/A,FALSE,"GERAL";#N/A,#N/A,FALSE,"012-96";#N/A,#N/A,FALSE,"018-96";#N/A,#N/A,FALSE,"027-96";#N/A,#N/A,FALSE,"059-96";#N/A,#N/A,FALSE,"076-96";#N/A,#N/A,FALSE,"019-97";#N/A,#N/A,FALSE,"021-97";#N/A,#N/A,FALSE,"022-97";#N/A,#N/A,FALSE,"028-97"}</definedName>
    <definedName name="________r1" localSheetId="9" hidden="1">{#N/A,#N/A,FALSE,"GERAL";#N/A,#N/A,FALSE,"012-96";#N/A,#N/A,FALSE,"018-96";#N/A,#N/A,FALSE,"027-96";#N/A,#N/A,FALSE,"059-96";#N/A,#N/A,FALSE,"076-96";#N/A,#N/A,FALSE,"019-97";#N/A,#N/A,FALSE,"021-97";#N/A,#N/A,FALSE,"022-97";#N/A,#N/A,FALSE,"028-97"}</definedName>
    <definedName name="________r1" localSheetId="13" hidden="1">{#N/A,#N/A,FALSE,"GERAL";#N/A,#N/A,FALSE,"012-96";#N/A,#N/A,FALSE,"018-96";#N/A,#N/A,FALSE,"027-96";#N/A,#N/A,FALSE,"059-96";#N/A,#N/A,FALSE,"076-96";#N/A,#N/A,FALSE,"019-97";#N/A,#N/A,FALSE,"021-97";#N/A,#N/A,FALSE,"022-97";#N/A,#N/A,FALSE,"028-97"}</definedName>
    <definedName name="________r1" localSheetId="0" hidden="1">{#N/A,#N/A,FALSE,"GERAL";#N/A,#N/A,FALSE,"012-96";#N/A,#N/A,FALSE,"018-96";#N/A,#N/A,FALSE,"027-96";#N/A,#N/A,FALSE,"059-96";#N/A,#N/A,FALSE,"076-96";#N/A,#N/A,FALSE,"019-97";#N/A,#N/A,FALSE,"021-97";#N/A,#N/A,FALSE,"022-97";#N/A,#N/A,FALSE,"028-97"}</definedName>
    <definedName name="________r1" hidden="1">{#N/A,#N/A,FALSE,"GERAL";#N/A,#N/A,FALSE,"012-96";#N/A,#N/A,FALSE,"018-96";#N/A,#N/A,FALSE,"027-96";#N/A,#N/A,FALSE,"059-96";#N/A,#N/A,FALSE,"076-96";#N/A,#N/A,FALSE,"019-97";#N/A,#N/A,FALSE,"021-97";#N/A,#N/A,FALSE,"022-97";#N/A,#N/A,FALSE,"028-97"}</definedName>
    <definedName name="_______r1" localSheetId="3" hidden="1">{#N/A,#N/A,FALSE,"GERAL";#N/A,#N/A,FALSE,"012-96";#N/A,#N/A,FALSE,"018-96";#N/A,#N/A,FALSE,"027-96";#N/A,#N/A,FALSE,"059-96";#N/A,#N/A,FALSE,"076-96";#N/A,#N/A,FALSE,"019-97";#N/A,#N/A,FALSE,"021-97";#N/A,#N/A,FALSE,"022-97";#N/A,#N/A,FALSE,"028-97"}</definedName>
    <definedName name="_______r1" localSheetId="8" hidden="1">{#N/A,#N/A,FALSE,"GERAL";#N/A,#N/A,FALSE,"012-96";#N/A,#N/A,FALSE,"018-96";#N/A,#N/A,FALSE,"027-96";#N/A,#N/A,FALSE,"059-96";#N/A,#N/A,FALSE,"076-96";#N/A,#N/A,FALSE,"019-97";#N/A,#N/A,FALSE,"021-97";#N/A,#N/A,FALSE,"022-97";#N/A,#N/A,FALSE,"028-97"}</definedName>
    <definedName name="_______r1" localSheetId="2" hidden="1">{#N/A,#N/A,FALSE,"GERAL";#N/A,#N/A,FALSE,"012-96";#N/A,#N/A,FALSE,"018-96";#N/A,#N/A,FALSE,"027-96";#N/A,#N/A,FALSE,"059-96";#N/A,#N/A,FALSE,"076-96";#N/A,#N/A,FALSE,"019-97";#N/A,#N/A,FALSE,"021-97";#N/A,#N/A,FALSE,"022-97";#N/A,#N/A,FALSE,"028-97"}</definedName>
    <definedName name="_______r1" localSheetId="9" hidden="1">{#N/A,#N/A,FALSE,"GERAL";#N/A,#N/A,FALSE,"012-96";#N/A,#N/A,FALSE,"018-96";#N/A,#N/A,FALSE,"027-96";#N/A,#N/A,FALSE,"059-96";#N/A,#N/A,FALSE,"076-96";#N/A,#N/A,FALSE,"019-97";#N/A,#N/A,FALSE,"021-97";#N/A,#N/A,FALSE,"022-97";#N/A,#N/A,FALSE,"028-97"}</definedName>
    <definedName name="_______r1" localSheetId="13" hidden="1">{#N/A,#N/A,FALSE,"GERAL";#N/A,#N/A,FALSE,"012-96";#N/A,#N/A,FALSE,"018-96";#N/A,#N/A,FALSE,"027-96";#N/A,#N/A,FALSE,"059-96";#N/A,#N/A,FALSE,"076-96";#N/A,#N/A,FALSE,"019-97";#N/A,#N/A,FALSE,"021-97";#N/A,#N/A,FALSE,"022-97";#N/A,#N/A,FALSE,"028-97"}</definedName>
    <definedName name="_______r1" localSheetId="0" hidden="1">{#N/A,#N/A,FALSE,"GERAL";#N/A,#N/A,FALSE,"012-96";#N/A,#N/A,FALSE,"018-96";#N/A,#N/A,FALSE,"027-96";#N/A,#N/A,FALSE,"059-96";#N/A,#N/A,FALSE,"076-96";#N/A,#N/A,FALSE,"019-97";#N/A,#N/A,FALSE,"021-97";#N/A,#N/A,FALSE,"022-97";#N/A,#N/A,FALSE,"028-97"}</definedName>
    <definedName name="_______r1" hidden="1">{#N/A,#N/A,FALSE,"GERAL";#N/A,#N/A,FALSE,"012-96";#N/A,#N/A,FALSE,"018-96";#N/A,#N/A,FALSE,"027-96";#N/A,#N/A,FALSE,"059-96";#N/A,#N/A,FALSE,"076-96";#N/A,#N/A,FALSE,"019-97";#N/A,#N/A,FALSE,"021-97";#N/A,#N/A,FALSE,"022-97";#N/A,#N/A,FALSE,"028-97"}</definedName>
    <definedName name="______ACR10" localSheetId="3">#REF!</definedName>
    <definedName name="______ACR10" localSheetId="2">#REF!</definedName>
    <definedName name="______ACR10">#REF!</definedName>
    <definedName name="______ACR15" localSheetId="3">#REF!</definedName>
    <definedName name="______ACR15" localSheetId="2">#REF!</definedName>
    <definedName name="______ACR15">#REF!</definedName>
    <definedName name="______acr20" localSheetId="3">#REF!</definedName>
    <definedName name="______acr20" localSheetId="2">#REF!</definedName>
    <definedName name="______acr20">#REF!</definedName>
    <definedName name="______acr5" localSheetId="2">#REF!</definedName>
    <definedName name="______acr5">#REF!</definedName>
    <definedName name="______ARQ1" localSheetId="2">#REF!</definedName>
    <definedName name="______ARQ1">#REF!</definedName>
    <definedName name="______QT100" localSheetId="2">#REF!</definedName>
    <definedName name="______QT100">#REF!</definedName>
    <definedName name="______QT2" localSheetId="2">#REF!</definedName>
    <definedName name="______QT2">#REF!</definedName>
    <definedName name="______QT3" localSheetId="2">#REF!</definedName>
    <definedName name="______QT3">#REF!</definedName>
    <definedName name="______QT4" localSheetId="2">#REF!</definedName>
    <definedName name="______QT4">#REF!</definedName>
    <definedName name="______QT50" localSheetId="2">#REF!</definedName>
    <definedName name="______QT50">#REF!</definedName>
    <definedName name="______QT75" localSheetId="2">#REF!</definedName>
    <definedName name="______QT75">#REF!</definedName>
    <definedName name="______r1" localSheetId="3" hidden="1">{#N/A,#N/A,FALSE,"GERAL";#N/A,#N/A,FALSE,"012-96";#N/A,#N/A,FALSE,"018-96";#N/A,#N/A,FALSE,"027-96";#N/A,#N/A,FALSE,"059-96";#N/A,#N/A,FALSE,"076-96";#N/A,#N/A,FALSE,"019-97";#N/A,#N/A,FALSE,"021-97";#N/A,#N/A,FALSE,"022-97";#N/A,#N/A,FALSE,"028-97"}</definedName>
    <definedName name="______r1" localSheetId="8" hidden="1">{#N/A,#N/A,FALSE,"GERAL";#N/A,#N/A,FALSE,"012-96";#N/A,#N/A,FALSE,"018-96";#N/A,#N/A,FALSE,"027-96";#N/A,#N/A,FALSE,"059-96";#N/A,#N/A,FALSE,"076-96";#N/A,#N/A,FALSE,"019-97";#N/A,#N/A,FALSE,"021-97";#N/A,#N/A,FALSE,"022-97";#N/A,#N/A,FALSE,"028-97"}</definedName>
    <definedName name="______r1" localSheetId="2" hidden="1">{#N/A,#N/A,FALSE,"GERAL";#N/A,#N/A,FALSE,"012-96";#N/A,#N/A,FALSE,"018-96";#N/A,#N/A,FALSE,"027-96";#N/A,#N/A,FALSE,"059-96";#N/A,#N/A,FALSE,"076-96";#N/A,#N/A,FALSE,"019-97";#N/A,#N/A,FALSE,"021-97";#N/A,#N/A,FALSE,"022-97";#N/A,#N/A,FALSE,"028-97"}</definedName>
    <definedName name="______r1" localSheetId="9" hidden="1">{#N/A,#N/A,FALSE,"GERAL";#N/A,#N/A,FALSE,"012-96";#N/A,#N/A,FALSE,"018-96";#N/A,#N/A,FALSE,"027-96";#N/A,#N/A,FALSE,"059-96";#N/A,#N/A,FALSE,"076-96";#N/A,#N/A,FALSE,"019-97";#N/A,#N/A,FALSE,"021-97";#N/A,#N/A,FALSE,"022-97";#N/A,#N/A,FALSE,"028-97"}</definedName>
    <definedName name="______r1" localSheetId="13" hidden="1">{#N/A,#N/A,FALSE,"GERAL";#N/A,#N/A,FALSE,"012-96";#N/A,#N/A,FALSE,"018-96";#N/A,#N/A,FALSE,"027-96";#N/A,#N/A,FALSE,"059-96";#N/A,#N/A,FALSE,"076-96";#N/A,#N/A,FALSE,"019-97";#N/A,#N/A,FALSE,"021-97";#N/A,#N/A,FALSE,"022-97";#N/A,#N/A,FALSE,"028-97"}</definedName>
    <definedName name="______r1" localSheetId="0" hidden="1">{#N/A,#N/A,FALSE,"GERAL";#N/A,#N/A,FALSE,"012-96";#N/A,#N/A,FALSE,"018-96";#N/A,#N/A,FALSE,"027-96";#N/A,#N/A,FALSE,"059-96";#N/A,#N/A,FALSE,"076-96";#N/A,#N/A,FALSE,"019-97";#N/A,#N/A,FALSE,"021-97";#N/A,#N/A,FALSE,"022-97";#N/A,#N/A,FALSE,"028-97"}</definedName>
    <definedName name="______r1" hidden="1">{#N/A,#N/A,FALSE,"GERAL";#N/A,#N/A,FALSE,"012-96";#N/A,#N/A,FALSE,"018-96";#N/A,#N/A,FALSE,"027-96";#N/A,#N/A,FALSE,"059-96";#N/A,#N/A,FALSE,"076-96";#N/A,#N/A,FALSE,"019-97";#N/A,#N/A,FALSE,"021-97";#N/A,#N/A,FALSE,"022-97";#N/A,#N/A,FALSE,"028-97"}</definedName>
    <definedName name="_____ACR10" localSheetId="3">#REF!</definedName>
    <definedName name="_____ACR10" localSheetId="2">#REF!</definedName>
    <definedName name="_____ACR10">#REF!</definedName>
    <definedName name="_____ACR15" localSheetId="3">#REF!</definedName>
    <definedName name="_____ACR15" localSheetId="2">#REF!</definedName>
    <definedName name="_____ACR15">#REF!</definedName>
    <definedName name="_____acr20" localSheetId="3">#REF!</definedName>
    <definedName name="_____acr20" localSheetId="2">#REF!</definedName>
    <definedName name="_____acr20">#REF!</definedName>
    <definedName name="_____acr5" localSheetId="2">#REF!</definedName>
    <definedName name="_____acr5">#REF!</definedName>
    <definedName name="_____ARQ1" localSheetId="2">#REF!</definedName>
    <definedName name="_____ARQ1">#REF!</definedName>
    <definedName name="_____key2" localSheetId="0" hidden="1">#REF!</definedName>
    <definedName name="_____key2" hidden="1">#REF!</definedName>
    <definedName name="_____QT100" localSheetId="2">#REF!</definedName>
    <definedName name="_____QT100">#REF!</definedName>
    <definedName name="_____QT2" localSheetId="2">#REF!</definedName>
    <definedName name="_____QT2">#REF!</definedName>
    <definedName name="_____QT3" localSheetId="2">#REF!</definedName>
    <definedName name="_____QT3">#REF!</definedName>
    <definedName name="_____QT4" localSheetId="2">#REF!</definedName>
    <definedName name="_____QT4">#REF!</definedName>
    <definedName name="_____QT50" localSheetId="2">#REF!</definedName>
    <definedName name="_____QT50">#REF!</definedName>
    <definedName name="_____QT75" localSheetId="2">#REF!</definedName>
    <definedName name="_____QT75">#REF!</definedName>
    <definedName name="_____r1" localSheetId="3" hidden="1">{#N/A,#N/A,FALSE,"GERAL";#N/A,#N/A,FALSE,"012-96";#N/A,#N/A,FALSE,"018-96";#N/A,#N/A,FALSE,"027-96";#N/A,#N/A,FALSE,"059-96";#N/A,#N/A,FALSE,"076-96";#N/A,#N/A,FALSE,"019-97";#N/A,#N/A,FALSE,"021-97";#N/A,#N/A,FALSE,"022-97";#N/A,#N/A,FALSE,"028-97"}</definedName>
    <definedName name="_____r1" localSheetId="8" hidden="1">{#N/A,#N/A,FALSE,"GERAL";#N/A,#N/A,FALSE,"012-96";#N/A,#N/A,FALSE,"018-96";#N/A,#N/A,FALSE,"027-96";#N/A,#N/A,FALSE,"059-96";#N/A,#N/A,FALSE,"076-96";#N/A,#N/A,FALSE,"019-97";#N/A,#N/A,FALSE,"021-97";#N/A,#N/A,FALSE,"022-97";#N/A,#N/A,FALSE,"028-97"}</definedName>
    <definedName name="_____r1" localSheetId="2" hidden="1">{#N/A,#N/A,FALSE,"GERAL";#N/A,#N/A,FALSE,"012-96";#N/A,#N/A,FALSE,"018-96";#N/A,#N/A,FALSE,"027-96";#N/A,#N/A,FALSE,"059-96";#N/A,#N/A,FALSE,"076-96";#N/A,#N/A,FALSE,"019-97";#N/A,#N/A,FALSE,"021-97";#N/A,#N/A,FALSE,"022-97";#N/A,#N/A,FALSE,"028-97"}</definedName>
    <definedName name="_____r1" localSheetId="9" hidden="1">{#N/A,#N/A,FALSE,"GERAL";#N/A,#N/A,FALSE,"012-96";#N/A,#N/A,FALSE,"018-96";#N/A,#N/A,FALSE,"027-96";#N/A,#N/A,FALSE,"059-96";#N/A,#N/A,FALSE,"076-96";#N/A,#N/A,FALSE,"019-97";#N/A,#N/A,FALSE,"021-97";#N/A,#N/A,FALSE,"022-97";#N/A,#N/A,FALSE,"028-97"}</definedName>
    <definedName name="_____r1" localSheetId="13" hidden="1">{#N/A,#N/A,FALSE,"GERAL";#N/A,#N/A,FALSE,"012-96";#N/A,#N/A,FALSE,"018-96";#N/A,#N/A,FALSE,"027-96";#N/A,#N/A,FALSE,"059-96";#N/A,#N/A,FALSE,"076-96";#N/A,#N/A,FALSE,"019-97";#N/A,#N/A,FALSE,"021-97";#N/A,#N/A,FALSE,"022-97";#N/A,#N/A,FALSE,"028-97"}</definedName>
    <definedName name="_____r1" localSheetId="0" hidden="1">{#N/A,#N/A,FALSE,"GERAL";#N/A,#N/A,FALSE,"012-96";#N/A,#N/A,FALSE,"018-96";#N/A,#N/A,FALSE,"027-96";#N/A,#N/A,FALSE,"059-96";#N/A,#N/A,FALSE,"076-96";#N/A,#N/A,FALSE,"019-97";#N/A,#N/A,FALSE,"021-97";#N/A,#N/A,FALSE,"022-97";#N/A,#N/A,FALSE,"028-97"}</definedName>
    <definedName name="_____r1" hidden="1">{#N/A,#N/A,FALSE,"GERAL";#N/A,#N/A,FALSE,"012-96";#N/A,#N/A,FALSE,"018-96";#N/A,#N/A,FALSE,"027-96";#N/A,#N/A,FALSE,"059-96";#N/A,#N/A,FALSE,"076-96";#N/A,#N/A,FALSE,"019-97";#N/A,#N/A,FALSE,"021-97";#N/A,#N/A,FALSE,"022-97";#N/A,#N/A,FALSE,"028-97"}</definedName>
    <definedName name="____key2" localSheetId="3" hidden="1">#REF!</definedName>
    <definedName name="____key2" localSheetId="8" hidden="1">#REF!</definedName>
    <definedName name="____key2" localSheetId="2" hidden="1">#REF!</definedName>
    <definedName name="____key2" localSheetId="9" hidden="1">#REF!</definedName>
    <definedName name="____key2" localSheetId="13" hidden="1">#REF!</definedName>
    <definedName name="____key2" localSheetId="0" hidden="1">#REF!</definedName>
    <definedName name="____key2" hidden="1">#REF!</definedName>
    <definedName name="____la29" localSheetId="0" hidden="1">#REF!</definedName>
    <definedName name="____la29" hidden="1">#REF!</definedName>
    <definedName name="____la3" localSheetId="0" hidden="1">#REF!</definedName>
    <definedName name="____la3" hidden="1">#REF!</definedName>
    <definedName name="____la31" hidden="1">#REF!</definedName>
    <definedName name="____la32" hidden="1">#REF!</definedName>
    <definedName name="____la4" hidden="1">#REF!</definedName>
    <definedName name="____la5" hidden="1">#REF!</definedName>
    <definedName name="____la6" hidden="1">#REF!</definedName>
    <definedName name="____la7" hidden="1">#REF!</definedName>
    <definedName name="____la8" hidden="1">#REF!</definedName>
    <definedName name="____la9" hidden="1">#REF!</definedName>
    <definedName name="____lb1" hidden="1">#REF!</definedName>
    <definedName name="____lb10" hidden="1">#REF!</definedName>
    <definedName name="____lb11" hidden="1">#REF!</definedName>
    <definedName name="____lb12" hidden="1">#REF!</definedName>
    <definedName name="____lb13" hidden="1">#REF!</definedName>
    <definedName name="____lb14" hidden="1">#REF!</definedName>
    <definedName name="____lb15" hidden="1">#REF!</definedName>
    <definedName name="____lb16" hidden="1">#REF!</definedName>
    <definedName name="____lb17" hidden="1">#REF!</definedName>
    <definedName name="____lb18" hidden="1">#REF!</definedName>
    <definedName name="____lb19" hidden="1">#REF!</definedName>
    <definedName name="____lb2" hidden="1">#REF!</definedName>
    <definedName name="____lb20" hidden="1">#REF!</definedName>
    <definedName name="____lb21" hidden="1">#REF!</definedName>
    <definedName name="____lb22" hidden="1">#REF!</definedName>
    <definedName name="____lb23" hidden="1">#REF!</definedName>
    <definedName name="____lb24" hidden="1">#REF!</definedName>
    <definedName name="____lb25" hidden="1">#REF!</definedName>
    <definedName name="____lb27" hidden="1">#REF!</definedName>
    <definedName name="____lb28" hidden="1">#REF!</definedName>
    <definedName name="____lb29" hidden="1">#REF!</definedName>
    <definedName name="____lb3" hidden="1">#REF!</definedName>
    <definedName name="____lb30" hidden="1">#REF!</definedName>
    <definedName name="____lb31" hidden="1">#REF!</definedName>
    <definedName name="____lb32" hidden="1">#REF!</definedName>
    <definedName name="____lb4" hidden="1">#REF!</definedName>
    <definedName name="____lb5" hidden="1">#REF!</definedName>
    <definedName name="____lb6" hidden="1">#REF!</definedName>
    <definedName name="____lb7" hidden="1">#REF!</definedName>
    <definedName name="____lb8" hidden="1">#REF!</definedName>
    <definedName name="____lb9" hidden="1">#REF!</definedName>
    <definedName name="____lbc1" hidden="1">#REF!</definedName>
    <definedName name="____lbc10" hidden="1">#REF!</definedName>
    <definedName name="____lbc11" hidden="1">#REF!</definedName>
    <definedName name="____lbc12" hidden="1">#REF!</definedName>
    <definedName name="____lbc13" hidden="1">#REF!</definedName>
    <definedName name="____lbc14" hidden="1">#REF!</definedName>
    <definedName name="____lbc15" hidden="1">#REF!</definedName>
    <definedName name="____lbc16" hidden="1">#REF!</definedName>
    <definedName name="____lbc17" hidden="1">#REF!</definedName>
    <definedName name="____lbc18" hidden="1">#REF!</definedName>
    <definedName name="____lbc19" hidden="1">#REF!</definedName>
    <definedName name="____lbc2" hidden="1">#REF!</definedName>
    <definedName name="____lbc20" hidden="1">#REF!</definedName>
    <definedName name="____lbc21" hidden="1">#REF!</definedName>
    <definedName name="____lbc22" hidden="1">#REF!</definedName>
    <definedName name="____lbc23" hidden="1">#REF!</definedName>
    <definedName name="____lbc24" hidden="1">#REF!</definedName>
    <definedName name="____lbc25" hidden="1">#REF!</definedName>
    <definedName name="____lbc26" hidden="1">#REF!</definedName>
    <definedName name="____lbc27" hidden="1">#REF!</definedName>
    <definedName name="____lbc28" hidden="1">#REF!</definedName>
    <definedName name="____lbc29" hidden="1">#REF!</definedName>
    <definedName name="____lbc3" hidden="1">#REF!</definedName>
    <definedName name="____lbc31" hidden="1">#REF!</definedName>
    <definedName name="____lbc32" hidden="1">#REF!</definedName>
    <definedName name="____lbc4" hidden="1">#REF!</definedName>
    <definedName name="____lbc5" hidden="1">#REF!</definedName>
    <definedName name="____lbc6" hidden="1">#REF!</definedName>
    <definedName name="____lbc7" hidden="1">#REF!</definedName>
    <definedName name="____lbc8" hidden="1">#REF!</definedName>
    <definedName name="____lbc9" hidden="1">#REF!</definedName>
    <definedName name="____ld26" hidden="1">#REF!</definedName>
    <definedName name="____ld31" hidden="1">#REF!</definedName>
    <definedName name="____le31" hidden="1">#REF!</definedName>
    <definedName name="____lf31" hidden="1">#REF!</definedName>
    <definedName name="____PK2" localSheetId="3" hidden="1">{"'장비'!$A$3:$M$12"}</definedName>
    <definedName name="____PK2" localSheetId="8" hidden="1">{"'장비'!$A$3:$M$12"}</definedName>
    <definedName name="____PK2" localSheetId="2" hidden="1">{"'장비'!$A$3:$M$12"}</definedName>
    <definedName name="____PK2" localSheetId="9" hidden="1">{"'장비'!$A$3:$M$12"}</definedName>
    <definedName name="____PK2" localSheetId="13" hidden="1">{"'장비'!$A$3:$M$12"}</definedName>
    <definedName name="____PK2" localSheetId="0" hidden="1">{"'장비'!$A$3:$M$12"}</definedName>
    <definedName name="____PK2" hidden="1">{"'장비'!$A$3:$M$12"}</definedName>
    <definedName name="____PKG3" localSheetId="3" hidden="1">{"'장비'!$A$3:$M$12"}</definedName>
    <definedName name="____PKG3" localSheetId="8" hidden="1">{"'장비'!$A$3:$M$12"}</definedName>
    <definedName name="____PKG3" localSheetId="2" hidden="1">{"'장비'!$A$3:$M$12"}</definedName>
    <definedName name="____PKG3" localSheetId="9" hidden="1">{"'장비'!$A$3:$M$12"}</definedName>
    <definedName name="____PKG3" localSheetId="13" hidden="1">{"'장비'!$A$3:$M$12"}</definedName>
    <definedName name="____PKG3" localSheetId="0" hidden="1">{"'장비'!$A$3:$M$12"}</definedName>
    <definedName name="____PKG3" hidden="1">{"'장비'!$A$3:$M$12"}</definedName>
    <definedName name="____qqq222" localSheetId="3" hidden="1">{"'장비'!$A$3:$M$12"}</definedName>
    <definedName name="____qqq222" localSheetId="8" hidden="1">{"'장비'!$A$3:$M$12"}</definedName>
    <definedName name="____qqq222" localSheetId="2" hidden="1">{"'장비'!$A$3:$M$12"}</definedName>
    <definedName name="____qqq222" localSheetId="9" hidden="1">{"'장비'!$A$3:$M$12"}</definedName>
    <definedName name="____qqq222" localSheetId="13" hidden="1">{"'장비'!$A$3:$M$12"}</definedName>
    <definedName name="____qqq222" localSheetId="0" hidden="1">{"'장비'!$A$3:$M$12"}</definedName>
    <definedName name="____qqq222" hidden="1">{"'장비'!$A$3:$M$12"}</definedName>
    <definedName name="____r1" localSheetId="3" hidden="1">{#N/A,#N/A,FALSE,"GERAL";#N/A,#N/A,FALSE,"012-96";#N/A,#N/A,FALSE,"018-96";#N/A,#N/A,FALSE,"027-96";#N/A,#N/A,FALSE,"059-96";#N/A,#N/A,FALSE,"076-96";#N/A,#N/A,FALSE,"019-97";#N/A,#N/A,FALSE,"021-97";#N/A,#N/A,FALSE,"022-97";#N/A,#N/A,FALSE,"028-97"}</definedName>
    <definedName name="____r1" localSheetId="8" hidden="1">{#N/A,#N/A,FALSE,"GERAL";#N/A,#N/A,FALSE,"012-96";#N/A,#N/A,FALSE,"018-96";#N/A,#N/A,FALSE,"027-96";#N/A,#N/A,FALSE,"059-96";#N/A,#N/A,FALSE,"076-96";#N/A,#N/A,FALSE,"019-97";#N/A,#N/A,FALSE,"021-97";#N/A,#N/A,FALSE,"022-97";#N/A,#N/A,FALSE,"028-97"}</definedName>
    <definedName name="____r1" localSheetId="2" hidden="1">{#N/A,#N/A,FALSE,"GERAL";#N/A,#N/A,FALSE,"012-96";#N/A,#N/A,FALSE,"018-96";#N/A,#N/A,FALSE,"027-96";#N/A,#N/A,FALSE,"059-96";#N/A,#N/A,FALSE,"076-96";#N/A,#N/A,FALSE,"019-97";#N/A,#N/A,FALSE,"021-97";#N/A,#N/A,FALSE,"022-97";#N/A,#N/A,FALSE,"028-97"}</definedName>
    <definedName name="____r1" localSheetId="9" hidden="1">{#N/A,#N/A,FALSE,"GERAL";#N/A,#N/A,FALSE,"012-96";#N/A,#N/A,FALSE,"018-96";#N/A,#N/A,FALSE,"027-96";#N/A,#N/A,FALSE,"059-96";#N/A,#N/A,FALSE,"076-96";#N/A,#N/A,FALSE,"019-97";#N/A,#N/A,FALSE,"021-97";#N/A,#N/A,FALSE,"022-97";#N/A,#N/A,FALSE,"028-97"}</definedName>
    <definedName name="____r1" localSheetId="13" hidden="1">{#N/A,#N/A,FALSE,"GERAL";#N/A,#N/A,FALSE,"012-96";#N/A,#N/A,FALSE,"018-96";#N/A,#N/A,FALSE,"027-96";#N/A,#N/A,FALSE,"059-96";#N/A,#N/A,FALSE,"076-96";#N/A,#N/A,FALSE,"019-97";#N/A,#N/A,FALSE,"021-97";#N/A,#N/A,FALSE,"022-97";#N/A,#N/A,FALSE,"028-97"}</definedName>
    <definedName name="____r1" localSheetId="0" hidden="1">{#N/A,#N/A,FALSE,"GERAL";#N/A,#N/A,FALSE,"012-96";#N/A,#N/A,FALSE,"018-96";#N/A,#N/A,FALSE,"027-96";#N/A,#N/A,FALSE,"059-96";#N/A,#N/A,FALSE,"076-96";#N/A,#N/A,FALSE,"019-97";#N/A,#N/A,FALSE,"021-97";#N/A,#N/A,FALSE,"022-97";#N/A,#N/A,FALSE,"028-97"}</definedName>
    <definedName name="____r1" hidden="1">{#N/A,#N/A,FALSE,"GERAL";#N/A,#N/A,FALSE,"012-96";#N/A,#N/A,FALSE,"018-96";#N/A,#N/A,FALSE,"027-96";#N/A,#N/A,FALSE,"059-96";#N/A,#N/A,FALSE,"076-96";#N/A,#N/A,FALSE,"019-97";#N/A,#N/A,FALSE,"021-97";#N/A,#N/A,FALSE,"022-97";#N/A,#N/A,FALSE,"028-97"}</definedName>
    <definedName name="____x10" hidden="1">#REF!</definedName>
    <definedName name="____x11" hidden="1">#REF!</definedName>
    <definedName name="____x12" hidden="1">#REF!</definedName>
    <definedName name="____x13" hidden="1">#REF!</definedName>
    <definedName name="____x14" hidden="1">#REF!</definedName>
    <definedName name="____x15" hidden="1">#REF!</definedName>
    <definedName name="____x16" hidden="1">#REF!</definedName>
    <definedName name="____x17" hidden="1">#REF!</definedName>
    <definedName name="____x18" hidden="1">#REF!</definedName>
    <definedName name="____x19" hidden="1">#REF!</definedName>
    <definedName name="____x20" hidden="1">#REF!</definedName>
    <definedName name="____x21" hidden="1">#REF!</definedName>
    <definedName name="____x22" hidden="1">#REF!</definedName>
    <definedName name="____x23" hidden="1">#REF!</definedName>
    <definedName name="____x24" hidden="1">#REF!</definedName>
    <definedName name="____x25" hidden="1">#REF!</definedName>
    <definedName name="____x28" hidden="1">#REF!</definedName>
    <definedName name="____x29" hidden="1">#REF!</definedName>
    <definedName name="____x32" hidden="1">#REF!</definedName>
    <definedName name="____x4" hidden="1">#REF!</definedName>
    <definedName name="____x5" hidden="1">#REF!</definedName>
    <definedName name="____x6" hidden="1">#REF!</definedName>
    <definedName name="____x7" hidden="1">#REF!</definedName>
    <definedName name="____x8" hidden="1">#REF!</definedName>
    <definedName name="____x9" hidden="1">#REF!</definedName>
    <definedName name="___ACR10" localSheetId="2">#REF!</definedName>
    <definedName name="___ACR10">#REF!</definedName>
    <definedName name="___ACR15" localSheetId="2">#REF!</definedName>
    <definedName name="___ACR15">#REF!</definedName>
    <definedName name="___acr20" localSheetId="2">#REF!</definedName>
    <definedName name="___acr20">#REF!</definedName>
    <definedName name="___acr5" localSheetId="2">#REF!</definedName>
    <definedName name="___acr5">#REF!</definedName>
    <definedName name="___ARQ1" localSheetId="2">#REF!</definedName>
    <definedName name="___ARQ1">#REF!</definedName>
    <definedName name="___CO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 localSheetId="3" hidden="1">#REF!</definedName>
    <definedName name="___key2" localSheetId="8" hidden="1">#REF!</definedName>
    <definedName name="___key2" localSheetId="2" hidden="1">#REF!</definedName>
    <definedName name="___key2" localSheetId="9" hidden="1">#REF!</definedName>
    <definedName name="___key2" localSheetId="13" hidden="1">#REF!</definedName>
    <definedName name="___key2" localSheetId="0" hidden="1">#REF!</definedName>
    <definedName name="___key2" hidden="1">#REF!</definedName>
    <definedName name="___la29" localSheetId="0" hidden="1">#REF!</definedName>
    <definedName name="___la29" hidden="1">#REF!</definedName>
    <definedName name="___la3" localSheetId="0" hidden="1">#REF!</definedName>
    <definedName name="___la3" hidden="1">#REF!</definedName>
    <definedName name="___la31" hidden="1">#REF!</definedName>
    <definedName name="___la32" hidden="1">#REF!</definedName>
    <definedName name="___la4" hidden="1">#REF!</definedName>
    <definedName name="___la5" hidden="1">#REF!</definedName>
    <definedName name="___la6" hidden="1">#REF!</definedName>
    <definedName name="___la7" hidden="1">#REF!</definedName>
    <definedName name="___la8" hidden="1">#REF!</definedName>
    <definedName name="___la9" hidden="1">#REF!</definedName>
    <definedName name="___lb1" hidden="1">#REF!</definedName>
    <definedName name="___lb10" hidden="1">#REF!</definedName>
    <definedName name="___lb11" hidden="1">#REF!</definedName>
    <definedName name="___lb12" hidden="1">#REF!</definedName>
    <definedName name="___lb13" hidden="1">#REF!</definedName>
    <definedName name="___lb14" hidden="1">#REF!</definedName>
    <definedName name="___lb15" hidden="1">#REF!</definedName>
    <definedName name="___lb16" hidden="1">#REF!</definedName>
    <definedName name="___lb17" hidden="1">#REF!</definedName>
    <definedName name="___lb18" hidden="1">#REF!</definedName>
    <definedName name="___lb19" hidden="1">#REF!</definedName>
    <definedName name="___lb2" hidden="1">#REF!</definedName>
    <definedName name="___lb20" hidden="1">#REF!</definedName>
    <definedName name="___lb21" hidden="1">#REF!</definedName>
    <definedName name="___lb22" hidden="1">#REF!</definedName>
    <definedName name="___lb23" hidden="1">#REF!</definedName>
    <definedName name="___lb24" hidden="1">#REF!</definedName>
    <definedName name="___lb25" hidden="1">#REF!</definedName>
    <definedName name="___lb27" hidden="1">#REF!</definedName>
    <definedName name="___lb28" hidden="1">#REF!</definedName>
    <definedName name="___lb29" hidden="1">#REF!</definedName>
    <definedName name="___lb3" hidden="1">#REF!</definedName>
    <definedName name="___lb30" hidden="1">#REF!</definedName>
    <definedName name="___lb31" hidden="1">#REF!</definedName>
    <definedName name="___lb32" hidden="1">#REF!</definedName>
    <definedName name="___lb4" hidden="1">#REF!</definedName>
    <definedName name="___lb5" hidden="1">#REF!</definedName>
    <definedName name="___lb6" hidden="1">#REF!</definedName>
    <definedName name="___lb7" hidden="1">#REF!</definedName>
    <definedName name="___lb8" hidden="1">#REF!</definedName>
    <definedName name="___lb9" hidden="1">#REF!</definedName>
    <definedName name="___lbc1" hidden="1">#REF!</definedName>
    <definedName name="___lbc10" hidden="1">#REF!</definedName>
    <definedName name="___lbc11" hidden="1">#REF!</definedName>
    <definedName name="___lbc12" hidden="1">#REF!</definedName>
    <definedName name="___lbc13" hidden="1">#REF!</definedName>
    <definedName name="___lbc14" hidden="1">#REF!</definedName>
    <definedName name="___lbc15" hidden="1">#REF!</definedName>
    <definedName name="___lbc16" hidden="1">#REF!</definedName>
    <definedName name="___lbc17" hidden="1">#REF!</definedName>
    <definedName name="___lbc18" hidden="1">#REF!</definedName>
    <definedName name="___lbc19" hidden="1">#REF!</definedName>
    <definedName name="___lbc2" hidden="1">#REF!</definedName>
    <definedName name="___lbc20" hidden="1">#REF!</definedName>
    <definedName name="___lbc21" hidden="1">#REF!</definedName>
    <definedName name="___lbc22" hidden="1">#REF!</definedName>
    <definedName name="___lbc23" hidden="1">#REF!</definedName>
    <definedName name="___lbc24" hidden="1">#REF!</definedName>
    <definedName name="___lbc25" hidden="1">#REF!</definedName>
    <definedName name="___lbc26" hidden="1">#REF!</definedName>
    <definedName name="___lbc27" hidden="1">#REF!</definedName>
    <definedName name="___lbc28" hidden="1">#REF!</definedName>
    <definedName name="___lbc29" hidden="1">#REF!</definedName>
    <definedName name="___lbc3" hidden="1">#REF!</definedName>
    <definedName name="___lbc31" hidden="1">#REF!</definedName>
    <definedName name="___lbc32" hidden="1">#REF!</definedName>
    <definedName name="___lbc4" hidden="1">#REF!</definedName>
    <definedName name="___lbc5" hidden="1">#REF!</definedName>
    <definedName name="___lbc6" hidden="1">#REF!</definedName>
    <definedName name="___lbc7" hidden="1">#REF!</definedName>
    <definedName name="___lbc8" hidden="1">#REF!</definedName>
    <definedName name="___lbc9" hidden="1">#REF!</definedName>
    <definedName name="___ld26" hidden="1">#REF!</definedName>
    <definedName name="___ld31" hidden="1">#REF!</definedName>
    <definedName name="___le31" hidden="1">#REF!</definedName>
    <definedName name="___lf31" hidden="1">#REF!</definedName>
    <definedName name="___PK2" localSheetId="3" hidden="1">{"'장비'!$A$3:$M$12"}</definedName>
    <definedName name="___PK2" localSheetId="8" hidden="1">{"'장비'!$A$3:$M$12"}</definedName>
    <definedName name="___PK2" localSheetId="2" hidden="1">{"'장비'!$A$3:$M$12"}</definedName>
    <definedName name="___PK2" localSheetId="9" hidden="1">{"'장비'!$A$3:$M$12"}</definedName>
    <definedName name="___PK2" localSheetId="13" hidden="1">{"'장비'!$A$3:$M$12"}</definedName>
    <definedName name="___PK2" localSheetId="0" hidden="1">{"'장비'!$A$3:$M$12"}</definedName>
    <definedName name="___PK2" hidden="1">{"'장비'!$A$3:$M$12"}</definedName>
    <definedName name="___PKG3" localSheetId="3" hidden="1">{"'장비'!$A$3:$M$12"}</definedName>
    <definedName name="___PKG3" localSheetId="8" hidden="1">{"'장비'!$A$3:$M$12"}</definedName>
    <definedName name="___PKG3" localSheetId="2" hidden="1">{"'장비'!$A$3:$M$12"}</definedName>
    <definedName name="___PKG3" localSheetId="9" hidden="1">{"'장비'!$A$3:$M$12"}</definedName>
    <definedName name="___PKG3" localSheetId="13" hidden="1">{"'장비'!$A$3:$M$12"}</definedName>
    <definedName name="___PKG3" localSheetId="0" hidden="1">{"'장비'!$A$3:$M$12"}</definedName>
    <definedName name="___PKG3" hidden="1">{"'장비'!$A$3:$M$12"}</definedName>
    <definedName name="___qqq222" localSheetId="3" hidden="1">{"'장비'!$A$3:$M$12"}</definedName>
    <definedName name="___qqq222" localSheetId="8" hidden="1">{"'장비'!$A$3:$M$12"}</definedName>
    <definedName name="___qqq222" localSheetId="2" hidden="1">{"'장비'!$A$3:$M$12"}</definedName>
    <definedName name="___qqq222" localSheetId="9" hidden="1">{"'장비'!$A$3:$M$12"}</definedName>
    <definedName name="___qqq222" localSheetId="13" hidden="1">{"'장비'!$A$3:$M$12"}</definedName>
    <definedName name="___qqq222" localSheetId="0" hidden="1">{"'장비'!$A$3:$M$12"}</definedName>
    <definedName name="___qqq222" hidden="1">{"'장비'!$A$3:$M$12"}</definedName>
    <definedName name="___QT100" localSheetId="2">#REF!</definedName>
    <definedName name="___QT100">#REF!</definedName>
    <definedName name="___QT2" localSheetId="2">#REF!</definedName>
    <definedName name="___QT2">#REF!</definedName>
    <definedName name="___QT3" localSheetId="2">#REF!</definedName>
    <definedName name="___QT3">#REF!</definedName>
    <definedName name="___QT4" localSheetId="2">#REF!</definedName>
    <definedName name="___QT4">#REF!</definedName>
    <definedName name="___QT50" localSheetId="2">#REF!</definedName>
    <definedName name="___QT50">#REF!</definedName>
    <definedName name="___QT75" localSheetId="2">#REF!</definedName>
    <definedName name="___QT75">#REF!</definedName>
    <definedName name="___r1" localSheetId="3" hidden="1">{#N/A,#N/A,FALSE,"GERAL";#N/A,#N/A,FALSE,"012-96";#N/A,#N/A,FALSE,"018-96";#N/A,#N/A,FALSE,"027-96";#N/A,#N/A,FALSE,"059-96";#N/A,#N/A,FALSE,"076-96";#N/A,#N/A,FALSE,"019-97";#N/A,#N/A,FALSE,"021-97";#N/A,#N/A,FALSE,"022-97";#N/A,#N/A,FALSE,"028-97"}</definedName>
    <definedName name="___r1" localSheetId="8" hidden="1">{#N/A,#N/A,FALSE,"GERAL";#N/A,#N/A,FALSE,"012-96";#N/A,#N/A,FALSE,"018-96";#N/A,#N/A,FALSE,"027-96";#N/A,#N/A,FALSE,"059-96";#N/A,#N/A,FALSE,"076-96";#N/A,#N/A,FALSE,"019-97";#N/A,#N/A,FALSE,"021-97";#N/A,#N/A,FALSE,"022-97";#N/A,#N/A,FALSE,"028-97"}</definedName>
    <definedName name="___r1" localSheetId="2" hidden="1">{#N/A,#N/A,FALSE,"GERAL";#N/A,#N/A,FALSE,"012-96";#N/A,#N/A,FALSE,"018-96";#N/A,#N/A,FALSE,"027-96";#N/A,#N/A,FALSE,"059-96";#N/A,#N/A,FALSE,"076-96";#N/A,#N/A,FALSE,"019-97";#N/A,#N/A,FALSE,"021-97";#N/A,#N/A,FALSE,"022-97";#N/A,#N/A,FALSE,"028-97"}</definedName>
    <definedName name="___r1" localSheetId="9" hidden="1">{#N/A,#N/A,FALSE,"GERAL";#N/A,#N/A,FALSE,"012-96";#N/A,#N/A,FALSE,"018-96";#N/A,#N/A,FALSE,"027-96";#N/A,#N/A,FALSE,"059-96";#N/A,#N/A,FALSE,"076-96";#N/A,#N/A,FALSE,"019-97";#N/A,#N/A,FALSE,"021-97";#N/A,#N/A,FALSE,"022-97";#N/A,#N/A,FALSE,"028-97"}</definedName>
    <definedName name="___r1" localSheetId="13" hidden="1">{#N/A,#N/A,FALSE,"GERAL";#N/A,#N/A,FALSE,"012-96";#N/A,#N/A,FALSE,"018-96";#N/A,#N/A,FALSE,"027-96";#N/A,#N/A,FALSE,"059-96";#N/A,#N/A,FALSE,"076-96";#N/A,#N/A,FALSE,"019-97";#N/A,#N/A,FALSE,"021-97";#N/A,#N/A,FALSE,"022-97";#N/A,#N/A,FALSE,"028-97"}</definedName>
    <definedName name="___r1" localSheetId="0" hidden="1">{#N/A,#N/A,FALSE,"GERAL";#N/A,#N/A,FALSE,"012-96";#N/A,#N/A,FALSE,"018-96";#N/A,#N/A,FALSE,"027-96";#N/A,#N/A,FALSE,"059-96";#N/A,#N/A,FALSE,"076-96";#N/A,#N/A,FALSE,"019-97";#N/A,#N/A,FALSE,"021-97";#N/A,#N/A,FALSE,"022-97";#N/A,#N/A,FALSE,"028-97"}</definedName>
    <definedName name="___r1" hidden="1">{#N/A,#N/A,FALSE,"GERAL";#N/A,#N/A,FALSE,"012-96";#N/A,#N/A,FALSE,"018-96";#N/A,#N/A,FALSE,"027-96";#N/A,#N/A,FALSE,"059-96";#N/A,#N/A,FALSE,"076-96";#N/A,#N/A,FALSE,"019-97";#N/A,#N/A,FALSE,"021-97";#N/A,#N/A,FALSE,"022-97";#N/A,#N/A,FALSE,"028-97"}</definedName>
    <definedName name="___x10" hidden="1">#REF!</definedName>
    <definedName name="___x11" hidden="1">#REF!</definedName>
    <definedName name="___x12" hidden="1">#REF!</definedName>
    <definedName name="___x13" hidden="1">#REF!</definedName>
    <definedName name="___x14" hidden="1">#REF!</definedName>
    <definedName name="___x15" hidden="1">#REF!</definedName>
    <definedName name="___x16" hidden="1">#REF!</definedName>
    <definedName name="___x17" hidden="1">#REF!</definedName>
    <definedName name="___x18" hidden="1">#REF!</definedName>
    <definedName name="___x19" hidden="1">#REF!</definedName>
    <definedName name="___x20" hidden="1">#REF!</definedName>
    <definedName name="___x21" hidden="1">#REF!</definedName>
    <definedName name="___x22" hidden="1">#REF!</definedName>
    <definedName name="___x23" hidden="1">#REF!</definedName>
    <definedName name="___x24" hidden="1">#REF!</definedName>
    <definedName name="___x25" hidden="1">#REF!</definedName>
    <definedName name="___x28" hidden="1">#REF!</definedName>
    <definedName name="___x29" hidden="1">#REF!</definedName>
    <definedName name="___x32" hidden="1">#REF!</definedName>
    <definedName name="___x4" hidden="1">#REF!</definedName>
    <definedName name="___x5" hidden="1">#REF!</definedName>
    <definedName name="___x6" hidden="1">#REF!</definedName>
    <definedName name="___x7" hidden="1">#REF!</definedName>
    <definedName name="___x8" hidden="1">#REF!</definedName>
    <definedName name="___x9" hidden="1">#REF!</definedName>
    <definedName name="__123Graph_A" hidden="1">#REF!</definedName>
    <definedName name="__123Graph_AChart1" localSheetId="2" hidden="1">#REF!</definedName>
    <definedName name="__123Graph_AChart1" localSheetId="0" hidden="1">#REF!</definedName>
    <definedName name="__123Graph_AChart1" hidden="1">#REF!</definedName>
    <definedName name="__123Graph_ACurrent" hidden="1">#REF!</definedName>
    <definedName name="__123Graph_ACUSTO" hidden="1">#REF!</definedName>
    <definedName name="__123Graph_AFAT" hidden="1">#REF!</definedName>
    <definedName name="__123Graph_AGRA1" localSheetId="2" hidden="1">#REF!</definedName>
    <definedName name="__123Graph_AGRA1" localSheetId="0" hidden="1">#REF!</definedName>
    <definedName name="__123Graph_AGRA1" hidden="1">#REF!</definedName>
    <definedName name="__123Graph_ARES" localSheetId="2" hidden="1">#REF!</definedName>
    <definedName name="__123Graph_ARES" localSheetId="0" hidden="1">#REF!</definedName>
    <definedName name="__123Graph_ARES" hidden="1">#REF!</definedName>
    <definedName name="__123Graph_B" localSheetId="2" hidden="1">#REF!</definedName>
    <definedName name="__123Graph_B" localSheetId="0" hidden="1">#REF!</definedName>
    <definedName name="__123Graph_B" hidden="1">#REF!</definedName>
    <definedName name="__123Graph_BChart1" localSheetId="2" hidden="1">#REF!</definedName>
    <definedName name="__123Graph_BChart1" localSheetId="0" hidden="1">#REF!</definedName>
    <definedName name="__123Graph_BChart1" hidden="1">#REF!</definedName>
    <definedName name="__123Graph_BCurrent" hidden="1">#REF!</definedName>
    <definedName name="__123Graph_BCUSTO" hidden="1">#REF!</definedName>
    <definedName name="__123Graph_BFAT" hidden="1">#REF!</definedName>
    <definedName name="__123Graph_BPERFORMANCE" hidden="1">#REF!</definedName>
    <definedName name="__123Graph_BRES" hidden="1">#REF!</definedName>
    <definedName name="__123Graph_C" localSheetId="2" hidden="1">#REF!</definedName>
    <definedName name="__123Graph_C" localSheetId="0" hidden="1">#REF!</definedName>
    <definedName name="__123Graph_C" hidden="1">#REF!</definedName>
    <definedName name="__123Graph_D" localSheetId="2" hidden="1">#REF!</definedName>
    <definedName name="__123Graph_D" localSheetId="0"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X" localSheetId="2" hidden="1">#REF!</definedName>
    <definedName name="__123Graph_X" localSheetId="0" hidden="1">#REF!</definedName>
    <definedName name="__123Graph_X" hidden="1">#REF!</definedName>
    <definedName name="__123Graph_XChart1" localSheetId="2" hidden="1">#REF!</definedName>
    <definedName name="__123Graph_XChart1" localSheetId="0" hidden="1">#REF!</definedName>
    <definedName name="__123Graph_XChart1" hidden="1">#REF!</definedName>
    <definedName name="__123Graph_XCurrent" hidden="1">#REF!</definedName>
    <definedName name="__123Graph_XCUSTO" hidden="1">#REF!</definedName>
    <definedName name="__123Graph_XFAT" hidden="1">#REF!</definedName>
    <definedName name="__123Graph_XGRA1" localSheetId="2" hidden="1">#REF!</definedName>
    <definedName name="__123Graph_XGRA1" localSheetId="0" hidden="1">#REF!</definedName>
    <definedName name="__123Graph_XGRA1" hidden="1">#REF!</definedName>
    <definedName name="__123Graph_XRES" localSheetId="2" hidden="1">#REF!</definedName>
    <definedName name="__123Graph_XRES" localSheetId="0" hidden="1">#REF!</definedName>
    <definedName name="__123Graph_XRES" hidden="1">#REF!</definedName>
    <definedName name="__ACR10" localSheetId="2">#REF!</definedName>
    <definedName name="__ACR10">#REF!</definedName>
    <definedName name="__ACR15" localSheetId="2">#REF!</definedName>
    <definedName name="__ACR15">#REF!</definedName>
    <definedName name="__acr20" localSheetId="2">#REF!</definedName>
    <definedName name="__acr20">#REF!</definedName>
    <definedName name="__acr5" localSheetId="2">#REF!</definedName>
    <definedName name="__acr5">#REF!</definedName>
    <definedName name="__ARQ1" localSheetId="2">#REF!</definedName>
    <definedName name="__ARQ1">#REF!</definedName>
    <definedName name="__Axe3" localSheetId="2">#REF!</definedName>
    <definedName name="__Axe3">#REF!</definedName>
    <definedName name="__Axe4" localSheetId="2">#REF!</definedName>
    <definedName name="__Axe4">#REF!</definedName>
    <definedName name="__CO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 localSheetId="3">#REF!</definedName>
    <definedName name="__htm2" localSheetId="2">#REF!</definedName>
    <definedName name="__htm2">#REF!</definedName>
    <definedName name="__htn2" localSheetId="3">#REF!</definedName>
    <definedName name="__htn2" localSheetId="2">#REF!</definedName>
    <definedName name="__htn2">#REF!</definedName>
    <definedName name="__iss2" localSheetId="3">#REF!</definedName>
    <definedName name="__iss2" localSheetId="2">#REF!</definedName>
    <definedName name="__iss2">#REF!</definedName>
    <definedName name="__key2" localSheetId="0" hidden="1">#REF!</definedName>
    <definedName name="__key2" hidden="1">#REF!</definedName>
    <definedName name="__la29" localSheetId="0" hidden="1">#REF!</definedName>
    <definedName name="__la29" hidden="1">#REF!</definedName>
    <definedName name="__la3" localSheetId="0" hidden="1">#REF!</definedName>
    <definedName name="__la3" hidden="1">#REF!</definedName>
    <definedName name="__la31" hidden="1">#REF!</definedName>
    <definedName name="__la32" hidden="1">#REF!</definedName>
    <definedName name="__la4" hidden="1">#REF!</definedName>
    <definedName name="__la5" hidden="1">#REF!</definedName>
    <definedName name="__la6" hidden="1">#REF!</definedName>
    <definedName name="__la7" hidden="1">#REF!</definedName>
    <definedName name="__la8" hidden="1">#REF!</definedName>
    <definedName name="__la9" hidden="1">#REF!</definedName>
    <definedName name="__lb1" hidden="1">#REF!</definedName>
    <definedName name="__lb10" hidden="1">#REF!</definedName>
    <definedName name="__lb11" hidden="1">#REF!</definedName>
    <definedName name="__lb12" hidden="1">#REF!</definedName>
    <definedName name="__lb13" hidden="1">#REF!</definedName>
    <definedName name="__lb14" hidden="1">#REF!</definedName>
    <definedName name="__lb15" hidden="1">#REF!</definedName>
    <definedName name="__lb16" hidden="1">#REF!</definedName>
    <definedName name="__lb17" hidden="1">#REF!</definedName>
    <definedName name="__lb18" hidden="1">#REF!</definedName>
    <definedName name="__lb19" hidden="1">#REF!</definedName>
    <definedName name="__lb2" hidden="1">#REF!</definedName>
    <definedName name="__lb20" hidden="1">#REF!</definedName>
    <definedName name="__lb21" hidden="1">#REF!</definedName>
    <definedName name="__lb22" hidden="1">#REF!</definedName>
    <definedName name="__lb23" hidden="1">#REF!</definedName>
    <definedName name="__lb24" hidden="1">#REF!</definedName>
    <definedName name="__lb25" hidden="1">#REF!</definedName>
    <definedName name="__lb27" hidden="1">#REF!</definedName>
    <definedName name="__lb28" hidden="1">#REF!</definedName>
    <definedName name="__lb29" hidden="1">#REF!</definedName>
    <definedName name="__lb3" hidden="1">#REF!</definedName>
    <definedName name="__lb30" hidden="1">#REF!</definedName>
    <definedName name="__lb31" hidden="1">#REF!</definedName>
    <definedName name="__lb32" hidden="1">#REF!</definedName>
    <definedName name="__lb4" hidden="1">#REF!</definedName>
    <definedName name="__lb5" hidden="1">#REF!</definedName>
    <definedName name="__lb6" hidden="1">#REF!</definedName>
    <definedName name="__lb7" hidden="1">#REF!</definedName>
    <definedName name="__lb8" hidden="1">#REF!</definedName>
    <definedName name="__lb9" hidden="1">#REF!</definedName>
    <definedName name="__lbc1" hidden="1">#REF!</definedName>
    <definedName name="__lbc10" hidden="1">#REF!</definedName>
    <definedName name="__lbc11" hidden="1">#REF!</definedName>
    <definedName name="__lbc12" hidden="1">#REF!</definedName>
    <definedName name="__lbc13" hidden="1">#REF!</definedName>
    <definedName name="__lbc14" hidden="1">#REF!</definedName>
    <definedName name="__lbc15" hidden="1">#REF!</definedName>
    <definedName name="__lbc16" hidden="1">#REF!</definedName>
    <definedName name="__lbc17" hidden="1">#REF!</definedName>
    <definedName name="__lbc18" hidden="1">#REF!</definedName>
    <definedName name="__lbc19" hidden="1">#REF!</definedName>
    <definedName name="__lbc2" hidden="1">#REF!</definedName>
    <definedName name="__lbc20" hidden="1">#REF!</definedName>
    <definedName name="__lbc21" hidden="1">#REF!</definedName>
    <definedName name="__lbc22" hidden="1">#REF!</definedName>
    <definedName name="__lbc23" hidden="1">#REF!</definedName>
    <definedName name="__lbc24" hidden="1">#REF!</definedName>
    <definedName name="__lbc25" hidden="1">#REF!</definedName>
    <definedName name="__lbc26" hidden="1">#REF!</definedName>
    <definedName name="__lbc27" hidden="1">#REF!</definedName>
    <definedName name="__lbc28" hidden="1">#REF!</definedName>
    <definedName name="__lbc29" hidden="1">#REF!</definedName>
    <definedName name="__lbc3" hidden="1">#REF!</definedName>
    <definedName name="__lbc31" hidden="1">#REF!</definedName>
    <definedName name="__lbc32" hidden="1">#REF!</definedName>
    <definedName name="__lbc4" hidden="1">#REF!</definedName>
    <definedName name="__lbc5" hidden="1">#REF!</definedName>
    <definedName name="__lbc6" hidden="1">#REF!</definedName>
    <definedName name="__lbc7" hidden="1">#REF!</definedName>
    <definedName name="__lbc8" hidden="1">#REF!</definedName>
    <definedName name="__lbc9" hidden="1">#REF!</definedName>
    <definedName name="__ld26" hidden="1">#REF!</definedName>
    <definedName name="__ld31" hidden="1">#REF!</definedName>
    <definedName name="__le31" hidden="1">#REF!</definedName>
    <definedName name="__lf31" hidden="1">#REF!</definedName>
    <definedName name="__PK2" localSheetId="3" hidden="1">{"'장비'!$A$3:$M$12"}</definedName>
    <definedName name="__PK2" localSheetId="8" hidden="1">{"'장비'!$A$3:$M$12"}</definedName>
    <definedName name="__PK2" localSheetId="2" hidden="1">{"'장비'!$A$3:$M$12"}</definedName>
    <definedName name="__PK2" localSheetId="9" hidden="1">{"'장비'!$A$3:$M$12"}</definedName>
    <definedName name="__PK2" localSheetId="13" hidden="1">{"'장비'!$A$3:$M$12"}</definedName>
    <definedName name="__PK2" localSheetId="0" hidden="1">{"'장비'!$A$3:$M$12"}</definedName>
    <definedName name="__PK2" hidden="1">{"'장비'!$A$3:$M$12"}</definedName>
    <definedName name="__PKG3" localSheetId="3" hidden="1">{"'장비'!$A$3:$M$12"}</definedName>
    <definedName name="__PKG3" localSheetId="8" hidden="1">{"'장비'!$A$3:$M$12"}</definedName>
    <definedName name="__PKG3" localSheetId="2" hidden="1">{"'장비'!$A$3:$M$12"}</definedName>
    <definedName name="__PKG3" localSheetId="9" hidden="1">{"'장비'!$A$3:$M$12"}</definedName>
    <definedName name="__PKG3" localSheetId="13" hidden="1">{"'장비'!$A$3:$M$12"}</definedName>
    <definedName name="__PKG3" localSheetId="0" hidden="1">{"'장비'!$A$3:$M$12"}</definedName>
    <definedName name="__PKG3" hidden="1">{"'장비'!$A$3:$M$12"}</definedName>
    <definedName name="__qqq222" localSheetId="3" hidden="1">{"'장비'!$A$3:$M$12"}</definedName>
    <definedName name="__qqq222" localSheetId="8" hidden="1">{"'장비'!$A$3:$M$12"}</definedName>
    <definedName name="__qqq222" localSheetId="2" hidden="1">{"'장비'!$A$3:$M$12"}</definedName>
    <definedName name="__qqq222" localSheetId="9" hidden="1">{"'장비'!$A$3:$M$12"}</definedName>
    <definedName name="__qqq222" localSheetId="13" hidden="1">{"'장비'!$A$3:$M$12"}</definedName>
    <definedName name="__qqq222" localSheetId="0" hidden="1">{"'장비'!$A$3:$M$12"}</definedName>
    <definedName name="__qqq222" hidden="1">{"'장비'!$A$3:$M$12"}</definedName>
    <definedName name="__QT100" localSheetId="2">#REF!</definedName>
    <definedName name="__QT100">#REF!</definedName>
    <definedName name="__QT2" localSheetId="2">#REF!</definedName>
    <definedName name="__QT2">#REF!</definedName>
    <definedName name="__QT3" localSheetId="2">#REF!</definedName>
    <definedName name="__QT3">#REF!</definedName>
    <definedName name="__QT4" localSheetId="2">#REF!</definedName>
    <definedName name="__QT4">#REF!</definedName>
    <definedName name="__QT50" localSheetId="2">#REF!</definedName>
    <definedName name="__QT50">#REF!</definedName>
    <definedName name="__QT75" localSheetId="2">#REF!</definedName>
    <definedName name="__QT75">#REF!</definedName>
    <definedName name="__r1" localSheetId="3" hidden="1">{#N/A,#N/A,FALSE,"GERAL";#N/A,#N/A,FALSE,"012-96";#N/A,#N/A,FALSE,"018-96";#N/A,#N/A,FALSE,"027-96";#N/A,#N/A,FALSE,"059-96";#N/A,#N/A,FALSE,"076-96";#N/A,#N/A,FALSE,"019-97";#N/A,#N/A,FALSE,"021-97";#N/A,#N/A,FALSE,"022-97";#N/A,#N/A,FALSE,"028-97"}</definedName>
    <definedName name="__r1" localSheetId="8" hidden="1">{#N/A,#N/A,FALSE,"GERAL";#N/A,#N/A,FALSE,"012-96";#N/A,#N/A,FALSE,"018-96";#N/A,#N/A,FALSE,"027-96";#N/A,#N/A,FALSE,"059-96";#N/A,#N/A,FALSE,"076-96";#N/A,#N/A,FALSE,"019-97";#N/A,#N/A,FALSE,"021-97";#N/A,#N/A,FALSE,"022-97";#N/A,#N/A,FALSE,"028-97"}</definedName>
    <definedName name="__r1" localSheetId="2" hidden="1">{#N/A,#N/A,FALSE,"GERAL";#N/A,#N/A,FALSE,"012-96";#N/A,#N/A,FALSE,"018-96";#N/A,#N/A,FALSE,"027-96";#N/A,#N/A,FALSE,"059-96";#N/A,#N/A,FALSE,"076-96";#N/A,#N/A,FALSE,"019-97";#N/A,#N/A,FALSE,"021-97";#N/A,#N/A,FALSE,"022-97";#N/A,#N/A,FALSE,"028-97"}</definedName>
    <definedName name="__r1" localSheetId="9" hidden="1">{#N/A,#N/A,FALSE,"GERAL";#N/A,#N/A,FALSE,"012-96";#N/A,#N/A,FALSE,"018-96";#N/A,#N/A,FALSE,"027-96";#N/A,#N/A,FALSE,"059-96";#N/A,#N/A,FALSE,"076-96";#N/A,#N/A,FALSE,"019-97";#N/A,#N/A,FALSE,"021-97";#N/A,#N/A,FALSE,"022-97";#N/A,#N/A,FALSE,"028-97"}</definedName>
    <definedName name="__r1" localSheetId="13" hidden="1">{#N/A,#N/A,FALSE,"GERAL";#N/A,#N/A,FALSE,"012-96";#N/A,#N/A,FALSE,"018-96";#N/A,#N/A,FALSE,"027-96";#N/A,#N/A,FALSE,"059-96";#N/A,#N/A,FALSE,"076-96";#N/A,#N/A,FALSE,"019-97";#N/A,#N/A,FALSE,"021-97";#N/A,#N/A,FALSE,"022-97";#N/A,#N/A,FALSE,"028-97"}</definedName>
    <definedName name="__r1" localSheetId="0" hidden="1">{#N/A,#N/A,FALSE,"GERAL";#N/A,#N/A,FALSE,"012-96";#N/A,#N/A,FALSE,"018-96";#N/A,#N/A,FALSE,"027-96";#N/A,#N/A,FALSE,"059-96";#N/A,#N/A,FALSE,"076-96";#N/A,#N/A,FALSE,"019-97";#N/A,#N/A,FALSE,"021-97";#N/A,#N/A,FALSE,"022-97";#N/A,#N/A,FALSE,"028-97"}</definedName>
    <definedName name="__r1" hidden="1">{#N/A,#N/A,FALSE,"GERAL";#N/A,#N/A,FALSE,"012-96";#N/A,#N/A,FALSE,"018-96";#N/A,#N/A,FALSE,"027-96";#N/A,#N/A,FALSE,"059-96";#N/A,#N/A,FALSE,"076-96";#N/A,#N/A,FALSE,"019-97";#N/A,#N/A,FALSE,"021-97";#N/A,#N/A,FALSE,"022-97";#N/A,#N/A,FALSE,"028-97"}</definedName>
    <definedName name="__r2" localSheetId="3" hidden="1">{#N/A,#N/A,FALSE,"GERAL";#N/A,#N/A,FALSE,"012-96";#N/A,#N/A,FALSE,"018-96";#N/A,#N/A,FALSE,"027-96";#N/A,#N/A,FALSE,"059-96";#N/A,#N/A,FALSE,"076-96";#N/A,#N/A,FALSE,"019-97";#N/A,#N/A,FALSE,"021-97";#N/A,#N/A,FALSE,"022-97";#N/A,#N/A,FALSE,"028-97"}</definedName>
    <definedName name="__r2" localSheetId="8" hidden="1">{#N/A,#N/A,FALSE,"GERAL";#N/A,#N/A,FALSE,"012-96";#N/A,#N/A,FALSE,"018-96";#N/A,#N/A,FALSE,"027-96";#N/A,#N/A,FALSE,"059-96";#N/A,#N/A,FALSE,"076-96";#N/A,#N/A,FALSE,"019-97";#N/A,#N/A,FALSE,"021-97";#N/A,#N/A,FALSE,"022-97";#N/A,#N/A,FALSE,"028-97"}</definedName>
    <definedName name="__r2" localSheetId="2" hidden="1">{#N/A,#N/A,FALSE,"GERAL";#N/A,#N/A,FALSE,"012-96";#N/A,#N/A,FALSE,"018-96";#N/A,#N/A,FALSE,"027-96";#N/A,#N/A,FALSE,"059-96";#N/A,#N/A,FALSE,"076-96";#N/A,#N/A,FALSE,"019-97";#N/A,#N/A,FALSE,"021-97";#N/A,#N/A,FALSE,"022-97";#N/A,#N/A,FALSE,"028-97"}</definedName>
    <definedName name="__r2" localSheetId="9" hidden="1">{#N/A,#N/A,FALSE,"GERAL";#N/A,#N/A,FALSE,"012-96";#N/A,#N/A,FALSE,"018-96";#N/A,#N/A,FALSE,"027-96";#N/A,#N/A,FALSE,"059-96";#N/A,#N/A,FALSE,"076-96";#N/A,#N/A,FALSE,"019-97";#N/A,#N/A,FALSE,"021-97";#N/A,#N/A,FALSE,"022-97";#N/A,#N/A,FALSE,"028-97"}</definedName>
    <definedName name="__r2" localSheetId="13" hidden="1">{#N/A,#N/A,FALSE,"GERAL";#N/A,#N/A,FALSE,"012-96";#N/A,#N/A,FALSE,"018-96";#N/A,#N/A,FALSE,"027-96";#N/A,#N/A,FALSE,"059-96";#N/A,#N/A,FALSE,"076-96";#N/A,#N/A,FALSE,"019-97";#N/A,#N/A,FALSE,"021-97";#N/A,#N/A,FALSE,"022-97";#N/A,#N/A,FALSE,"028-97"}</definedName>
    <definedName name="__r2" localSheetId="0" hidden="1">{#N/A,#N/A,FALSE,"GERAL";#N/A,#N/A,FALSE,"012-96";#N/A,#N/A,FALSE,"018-96";#N/A,#N/A,FALSE,"027-96";#N/A,#N/A,FALSE,"059-96";#N/A,#N/A,FALSE,"076-96";#N/A,#N/A,FALSE,"019-97";#N/A,#N/A,FALSE,"021-97";#N/A,#N/A,FALSE,"022-97";#N/A,#N/A,FALSE,"028-97"}</definedName>
    <definedName name="__r2" hidden="1">{#N/A,#N/A,FALSE,"GERAL";#N/A,#N/A,FALSE,"012-96";#N/A,#N/A,FALSE,"018-96";#N/A,#N/A,FALSE,"027-96";#N/A,#N/A,FALSE,"059-96";#N/A,#N/A,FALSE,"076-96";#N/A,#N/A,FALSE,"019-97";#N/A,#N/A,FALSE,"021-97";#N/A,#N/A,FALSE,"022-97";#N/A,#N/A,FALSE,"028-97"}</definedName>
    <definedName name="__x10" hidden="1">#REF!</definedName>
    <definedName name="__x11" hidden="1">#REF!</definedName>
    <definedName name="__x12" hidden="1">#REF!</definedName>
    <definedName name="__x13" hidden="1">#REF!</definedName>
    <definedName name="__x14" hidden="1">#REF!</definedName>
    <definedName name="__x15" hidden="1">#REF!</definedName>
    <definedName name="__x16" hidden="1">#REF!</definedName>
    <definedName name="__x17" hidden="1">#REF!</definedName>
    <definedName name="__x18" hidden="1">#REF!</definedName>
    <definedName name="__x19" hidden="1">#REF!</definedName>
    <definedName name="__x20" hidden="1">#REF!</definedName>
    <definedName name="__x21" hidden="1">#REF!</definedName>
    <definedName name="__x22" hidden="1">#REF!</definedName>
    <definedName name="__x23" hidden="1">#REF!</definedName>
    <definedName name="__x24" hidden="1">#REF!</definedName>
    <definedName name="__x25" hidden="1">#REF!</definedName>
    <definedName name="__x28" hidden="1">#REF!</definedName>
    <definedName name="__x29" hidden="1">#REF!</definedName>
    <definedName name="__x32" hidden="1">#REF!</definedName>
    <definedName name="__x4" hidden="1">#REF!</definedName>
    <definedName name="__x5" hidden="1">#REF!</definedName>
    <definedName name="__x6" hidden="1">#REF!</definedName>
    <definedName name="__x7" hidden="1">#REF!</definedName>
    <definedName name="__x8" hidden="1">#REF!</definedName>
    <definedName name="__x9" hidden="1">#REF!</definedName>
    <definedName name="_0.CURVA_OBRA" localSheetId="2">#REF!</definedName>
    <definedName name="_0.CURVA_OBRA">#REF!</definedName>
    <definedName name="_00.VAR._GASTO" localSheetId="2">#REF!</definedName>
    <definedName name="_00.VAR._GASTO">#REF!</definedName>
    <definedName name="_000.CURVA_FINA" localSheetId="2">#REF!</definedName>
    <definedName name="_000.CURVA_FINA">#REF!</definedName>
    <definedName name="_1" localSheetId="2">#REF!</definedName>
    <definedName name="_1">#REF!</definedName>
    <definedName name="_1__123Graph_ACHART_1" localSheetId="2" hidden="1">#REF!</definedName>
    <definedName name="_1__123Graph_ACHART_1" localSheetId="0" hidden="1">#REF!</definedName>
    <definedName name="_1__123Graph_ACHART_1" hidden="1">#REF!</definedName>
    <definedName name="_10__123Graph_CCHART_1" localSheetId="2" hidden="1">#REF!</definedName>
    <definedName name="_10__123Graph_CCHART_1" localSheetId="0" hidden="1">#REF!</definedName>
    <definedName name="_10__123Graph_CCHART_1" hidden="1">#REF!</definedName>
    <definedName name="_11.SERV.TECNIC" localSheetId="2">#REF!</definedName>
    <definedName name="_11.SERV.TECNIC">#REF!</definedName>
    <definedName name="_11__123Graph_DCHART_1" localSheetId="2" hidden="1">#REF!</definedName>
    <definedName name="_11__123Graph_DCHART_1" localSheetId="0" hidden="1">#REF!</definedName>
    <definedName name="_11__123Graph_DCHART_1" hidden="1">#REF!</definedName>
    <definedName name="_12.GAST_GERAIS" localSheetId="2">#REF!</definedName>
    <definedName name="_12.GAST_GERAIS">#REF!</definedName>
    <definedName name="_12__123Graph_XChart_1A" hidden="1">#REF!</definedName>
    <definedName name="_13.P._PERMAN." localSheetId="2">#REF!</definedName>
    <definedName name="_13.P._PERMAN.">#REF!</definedName>
    <definedName name="_15.IMPL._CANT" localSheetId="2">#REF!</definedName>
    <definedName name="_15.IMPL._CANT">#REF!</definedName>
    <definedName name="_16.EQUIPAM." localSheetId="2">#REF!</definedName>
    <definedName name="_16.EQUIPAM.">#REF!</definedName>
    <definedName name="_17.OPER._CANT." localSheetId="2">#REF!</definedName>
    <definedName name="_17.OPER._CANT.">#REF!</definedName>
    <definedName name="_19.TRANC_LIMP." localSheetId="2">#REF!</definedName>
    <definedName name="_19.TRANC_LIMP.">#REF!</definedName>
    <definedName name="_1Dist_Val" hidden="1">#REF!</definedName>
    <definedName name="_2" localSheetId="2">#REF!</definedName>
    <definedName name="_2">#REF!</definedName>
    <definedName name="_2__123Graph_BCHART_1" localSheetId="2" hidden="1">#REF!</definedName>
    <definedName name="_2__123Graph_BCHART_1" localSheetId="0" hidden="1">#REF!</definedName>
    <definedName name="_2__123Graph_BCHART_1" hidden="1">#REF!</definedName>
    <definedName name="_25.PREP.TERREN" localSheetId="2">#REF!</definedName>
    <definedName name="_25.PREP.TERREN">#REF!</definedName>
    <definedName name="_27.FUND._ESCOR" localSheetId="2">#REF!</definedName>
    <definedName name="_27.FUND._ESCOR">#REF!</definedName>
    <definedName name="_2F" hidden="1">#REF!</definedName>
    <definedName name="_3__123Graph_XCHART_1" localSheetId="2" hidden="1">#REF!</definedName>
    <definedName name="_3__123Graph_XCHART_1" localSheetId="0" hidden="1">#REF!</definedName>
    <definedName name="_3__123Graph_XCHART_1" hidden="1">#REF!</definedName>
    <definedName name="_31_32_33.C_A" localSheetId="2">#REF!</definedName>
    <definedName name="_31_32_33.C_A">#REF!</definedName>
    <definedName name="_41.ALVENARIA" localSheetId="2">#REF!</definedName>
    <definedName name="_41.ALVENARIA">#REF!</definedName>
    <definedName name="_47.IMP._ISOLA." localSheetId="2">#REF!</definedName>
    <definedName name="_47.IMP._ISOLA.">#REF!</definedName>
    <definedName name="_5__123Graph_ACHART_1" localSheetId="2" hidden="1">#REF!</definedName>
    <definedName name="_5__123Graph_ACHART_1" localSheetId="0" hidden="1">#REF!</definedName>
    <definedName name="_5__123Graph_ACHART_1" hidden="1">#REF!</definedName>
    <definedName name="_51.REV.ARGAMAS" localSheetId="2">#REF!</definedName>
    <definedName name="_51.REV.ARGAMAS">#REF!</definedName>
    <definedName name="_52.REV.CERAM.I" localSheetId="2">#REF!</definedName>
    <definedName name="_52.REV.CERAM.I">#REF!</definedName>
    <definedName name="_53.REV.CERAM.E" localSheetId="2">#REF!</definedName>
    <definedName name="_53.REV.CERAM.E">#REF!</definedName>
    <definedName name="_54.TACOS_E_ASS" localSheetId="2">#REF!</definedName>
    <definedName name="_54.TACOS_E_ASS">#REF!</definedName>
    <definedName name="_55.MARM._E_GRA" localSheetId="2">#REF!</definedName>
    <definedName name="_55.MARM._E_GRA">#REF!</definedName>
    <definedName name="_56.MARMORITE" localSheetId="2">#REF!</definedName>
    <definedName name="_56.MARMORITE">#REF!</definedName>
    <definedName name="_59.OUTRS_REVES" localSheetId="2">#REF!</definedName>
    <definedName name="_59.OUTRS_REVES">#REF!</definedName>
    <definedName name="_6__123Graph_AChart_1A" hidden="1">#REF!</definedName>
    <definedName name="_61.ESQUAD._MAD" localSheetId="2">#REF!</definedName>
    <definedName name="_61.ESQUAD._MAD">#REF!</definedName>
    <definedName name="_63.ESQUAD._ALU" localSheetId="2">#REF!</definedName>
    <definedName name="_63.ESQUAD._ALU">#REF!</definedName>
    <definedName name="_65.ESQUAD._FER" localSheetId="2">#REF!</definedName>
    <definedName name="_65.ESQUAD._FER">#REF!</definedName>
    <definedName name="_67.VIDROS" localSheetId="2">#REF!</definedName>
    <definedName name="_67.VIDROS">#REF!</definedName>
    <definedName name="_7__123Graph_ACHART_2" localSheetId="2" hidden="1">#REF!</definedName>
    <definedName name="_7__123Graph_ACHART_2" localSheetId="0" hidden="1">#REF!</definedName>
    <definedName name="_7__123Graph_ACHART_2" hidden="1">#REF!</definedName>
    <definedName name="_71_73.I.ELET_H" localSheetId="2">#REF!</definedName>
    <definedName name="_71_73.I.ELET_H">#REF!</definedName>
    <definedName name="_77.OUTRAS_INST." localSheetId="2">#REF!</definedName>
    <definedName name="_77.OUTRAS_INST.">#REF!</definedName>
    <definedName name="_78.ELEVADORES" localSheetId="2">#REF!</definedName>
    <definedName name="_78.ELEVADORES">#REF!</definedName>
    <definedName name="_8__123Graph_BChart_1A" hidden="1">#REF!</definedName>
    <definedName name="_81.APAR._SANIT" localSheetId="2">#REF!</definedName>
    <definedName name="_81.APAR._SANIT">#REF!</definedName>
    <definedName name="_83_85.PINT_LIM" localSheetId="2">#REF!</definedName>
    <definedName name="_83_85.PINT_LIM">#REF!</definedName>
    <definedName name="_9__123Graph_BCHART_2" localSheetId="2" hidden="1">#REF!</definedName>
    <definedName name="_9__123Graph_BCHART_2" localSheetId="0" hidden="1">#REF!</definedName>
    <definedName name="_9__123Graph_BCHART_2" hidden="1">#REF!</definedName>
    <definedName name="_ACR10" localSheetId="2">#REF!</definedName>
    <definedName name="_ACR10">#REF!</definedName>
    <definedName name="_ACR15" localSheetId="2">#REF!</definedName>
    <definedName name="_ACR15">#REF!</definedName>
    <definedName name="_acr20" localSheetId="2">#REF!</definedName>
    <definedName name="_acr20">#REF!</definedName>
    <definedName name="_acr5" localSheetId="2">#REF!</definedName>
    <definedName name="_acr5">#REF!</definedName>
    <definedName name="_akhnsdkjsdb" localSheetId="2">#REF!</definedName>
    <definedName name="_akhnsdkjsdb">#REF!</definedName>
    <definedName name="_AMO_UniqueIdentifier" hidden="1">"'54256040-62ff-475a-9348-dbdfce08df30'"</definedName>
    <definedName name="_ARQ1" localSheetId="3">#REF!</definedName>
    <definedName name="_ARQ1" localSheetId="2">#REF!</definedName>
    <definedName name="_ARQ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xe3" localSheetId="2">#REF!</definedName>
    <definedName name="_Axe3">#REF!</definedName>
    <definedName name="_Axe4" localSheetId="2">#REF!</definedName>
    <definedName name="_Axe4">#REF!</definedName>
    <definedName name="_Builtin13" localSheetId="2" hidden="1">#REF!</definedName>
    <definedName name="_Builtin13" localSheetId="0" hidden="1">#REF!</definedName>
    <definedName name="_Builtin13" hidden="1">#REF!</definedName>
    <definedName name="_CAB1" localSheetId="2">#REF!</definedName>
    <definedName name="_CAB1">#REF!</definedName>
    <definedName name="_CAB2" localSheetId="2">#REF!</definedName>
    <definedName name="_CAB2">#REF!</definedName>
    <definedName name="_CO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CO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 localSheetId="3" hidden="1">#REF!</definedName>
    <definedName name="_Dist_Bin" localSheetId="8" hidden="1">#REF!</definedName>
    <definedName name="_Dist_Bin" localSheetId="2" hidden="1">#REF!</definedName>
    <definedName name="_Dist_Bin" localSheetId="9" hidden="1">#REF!</definedName>
    <definedName name="_Dist_Bin" localSheetId="13" hidden="1">#REF!</definedName>
    <definedName name="_Dist_Bin" localSheetId="0" hidden="1">#REF!</definedName>
    <definedName name="_Dist_Bin" hidden="1">#REF!</definedName>
    <definedName name="_Dist_Values" localSheetId="2" hidden="1">#REF!</definedName>
    <definedName name="_Dist_Values" localSheetId="0" hidden="1">#REF!</definedName>
    <definedName name="_Dist_Values" hidden="1">#REF!</definedName>
    <definedName name="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 localSheetId="3" hidden="1">#REF!</definedName>
    <definedName name="_Fill" localSheetId="8" hidden="1">#REF!</definedName>
    <definedName name="_Fill" localSheetId="9" hidden="1">#REF!</definedName>
    <definedName name="_Fill" localSheetId="13" hidden="1">#REF!</definedName>
    <definedName name="_Fill" localSheetId="0" hidden="1">#REF!</definedName>
    <definedName name="_Fill" hidden="1">#REF!</definedName>
    <definedName name="_fill1" localSheetId="0" hidden="1">#REF!</definedName>
    <definedName name="_fill1" hidden="1">#REF!</definedName>
    <definedName name="_FilterDatabase" localSheetId="13" hidden="1">MOBILIÁRIO!$E$11:$G$155</definedName>
    <definedName name="_FiltrarBancoDados2" localSheetId="3" hidden="1">#REF!</definedName>
    <definedName name="_FiltrarBancoDados2" localSheetId="8" hidden="1">#REF!</definedName>
    <definedName name="_FiltrarBancoDados2" localSheetId="9" hidden="1">#REF!</definedName>
    <definedName name="_FiltrarBancoDados2" localSheetId="13" hidden="1">#REF!</definedName>
    <definedName name="_FiltrarBancoDados2" hidden="1">#REF!</definedName>
    <definedName name="_xlnm._FilterDatabase" localSheetId="7" hidden="1">'ARQ. PAV'!$A$10:$D$2113</definedName>
    <definedName name="_xlnm._FilterDatabase" localSheetId="6" hidden="1">'ARQ. RES'!$A$10:$D$228</definedName>
    <definedName name="_xlnm._FilterDatabase" localSheetId="3" hidden="1">'Custos Serviços'!$A$2:$E$146</definedName>
    <definedName name="_xlnm._FilterDatabase" localSheetId="8" hidden="1">ESQUADRIAS!$C$5:$I$117</definedName>
    <definedName name="_xlnm._FilterDatabase" localSheetId="11" hidden="1">'Fundação Rasa'!$A$9:$Y$267</definedName>
    <definedName name="_xlnm._FilterDatabase" localSheetId="1" hidden="1">Ger_Administrativo!$A$7:$P$754</definedName>
    <definedName name="_xlnm._FilterDatabase" localSheetId="2" hidden="1">Ger_Executivo!$G$7:$P$400</definedName>
    <definedName name="_xlnm._FilterDatabase" localSheetId="9" hidden="1">'LOUÇAS E METAIS'!$C$5:$F$49</definedName>
    <definedName name="_xlnm._FilterDatabase" localSheetId="13" hidden="1">MOBILIÁRIO!$B$11:$H$149</definedName>
    <definedName name="_xlnm._FilterDatabase" localSheetId="0" hidden="1">#REF!</definedName>
    <definedName name="_xlnm._FilterDatabase" hidden="1">#REF!</definedName>
    <definedName name="_htm2" localSheetId="3">#REF!</definedName>
    <definedName name="_htm2" localSheetId="8">#REF!</definedName>
    <definedName name="_htm2" localSheetId="2">#REF!</definedName>
    <definedName name="_htm2" localSheetId="9">#REF!</definedName>
    <definedName name="_htm2" localSheetId="13">#REF!</definedName>
    <definedName name="_htm2">#REF!</definedName>
    <definedName name="_htn2" localSheetId="3">#REF!</definedName>
    <definedName name="_htn2" localSheetId="8">#REF!</definedName>
    <definedName name="_htn2" localSheetId="2">#REF!</definedName>
    <definedName name="_htn2" localSheetId="9">#REF!</definedName>
    <definedName name="_htn2" localSheetId="13">#REF!</definedName>
    <definedName name="_htn2">#REF!</definedName>
    <definedName name="_IA0542" localSheetId="3" hidden="1">{#N/A,#N/A,FALSE,"Plan1";#N/A,#N/A,FALSE,"Plan2"}</definedName>
    <definedName name="_IA0542" localSheetId="8" hidden="1">{#N/A,#N/A,FALSE,"Plan1";#N/A,#N/A,FALSE,"Plan2"}</definedName>
    <definedName name="_IA0542" localSheetId="2" hidden="1">{#N/A,#N/A,FALSE,"Plan1";#N/A,#N/A,FALSE,"Plan2"}</definedName>
    <definedName name="_IA0542" localSheetId="9" hidden="1">{#N/A,#N/A,FALSE,"Plan1";#N/A,#N/A,FALSE,"Plan2"}</definedName>
    <definedName name="_IA0542" localSheetId="13" hidden="1">{#N/A,#N/A,FALSE,"Plan1";#N/A,#N/A,FALSE,"Plan2"}</definedName>
    <definedName name="_IA0542" localSheetId="0" hidden="1">{#N/A,#N/A,FALSE,"Plan1";#N/A,#N/A,FALSE,"Plan2"}</definedName>
    <definedName name="_IA0542" hidden="1">{#N/A,#N/A,FALSE,"Plan1";#N/A,#N/A,FALSE,"Plan2"}</definedName>
    <definedName name="_iss2" localSheetId="3">#REF!</definedName>
    <definedName name="_iss2" localSheetId="2">#REF!</definedName>
    <definedName name="_iss2">#REF!</definedName>
    <definedName name="_IV65617" localSheetId="3">#REF!</definedName>
    <definedName name="_IV65617" localSheetId="2">#REF!</definedName>
    <definedName name="_IV65617">#REF!</definedName>
    <definedName name="_IV65999" localSheetId="3">#REF!</definedName>
    <definedName name="_IV65999" localSheetId="2">#REF!</definedName>
    <definedName name="_IV65999">#REF!</definedName>
    <definedName name="_IV66000" localSheetId="2">#REF!</definedName>
    <definedName name="_IV66000">#REF!</definedName>
    <definedName name="_IV67021" localSheetId="2">#REF!</definedName>
    <definedName name="_IV67021">#REF!</definedName>
    <definedName name="_IV67022" localSheetId="2">#REF!</definedName>
    <definedName name="_IV67022">#REF!</definedName>
    <definedName name="_Key1" localSheetId="2" hidden="1">#REF!</definedName>
    <definedName name="_Key1" localSheetId="0" hidden="1">#REF!</definedName>
    <definedName name="_Key1" hidden="1">#REF!</definedName>
    <definedName name="_Key2" localSheetId="0" hidden="1">#REF!</definedName>
    <definedName name="_Key2" hidden="1">#REF!</definedName>
    <definedName name="_KEY3" hidden="1">#REF!</definedName>
    <definedName name="_key4" hidden="1">#REF!</definedName>
    <definedName name="_l" localSheetId="2">#REF!</definedName>
    <definedName name="_l">#REF!</definedName>
    <definedName name="_la29" localSheetId="2" hidden="1">#REF!</definedName>
    <definedName name="_la29" localSheetId="0" hidden="1">#REF!</definedName>
    <definedName name="_la29" hidden="1">#REF!</definedName>
    <definedName name="_la3" localSheetId="2" hidden="1">#REF!</definedName>
    <definedName name="_la3" localSheetId="0" hidden="1">#REF!</definedName>
    <definedName name="_la3" hidden="1">#REF!</definedName>
    <definedName name="_la31" hidden="1">#REF!</definedName>
    <definedName name="_la32" hidden="1">#REF!</definedName>
    <definedName name="_la4" hidden="1">#REF!</definedName>
    <definedName name="_la5" hidden="1">#REF!</definedName>
    <definedName name="_la6" hidden="1">#REF!</definedName>
    <definedName name="_la7" hidden="1">#REF!</definedName>
    <definedName name="_la8" hidden="1">#REF!</definedName>
    <definedName name="_la9" hidden="1">#REF!</definedName>
    <definedName name="_lb1" hidden="1">#REF!</definedName>
    <definedName name="_lb10" hidden="1">#REF!</definedName>
    <definedName name="_lb11" hidden="1">#REF!</definedName>
    <definedName name="_lb12" hidden="1">#REF!</definedName>
    <definedName name="_lb13" hidden="1">#REF!</definedName>
    <definedName name="_lb14" hidden="1">#REF!</definedName>
    <definedName name="_lb15" hidden="1">#REF!</definedName>
    <definedName name="_lb16" hidden="1">#REF!</definedName>
    <definedName name="_lb17" hidden="1">#REF!</definedName>
    <definedName name="_lb18" hidden="1">#REF!</definedName>
    <definedName name="_lb19" hidden="1">#REF!</definedName>
    <definedName name="_lb2" hidden="1">#REF!</definedName>
    <definedName name="_lb20" hidden="1">#REF!</definedName>
    <definedName name="_lb21" hidden="1">#REF!</definedName>
    <definedName name="_lb22" hidden="1">#REF!</definedName>
    <definedName name="_lb23" hidden="1">#REF!</definedName>
    <definedName name="_lb24" hidden="1">#REF!</definedName>
    <definedName name="_lb25" hidden="1">#REF!</definedName>
    <definedName name="_lb27" hidden="1">#REF!</definedName>
    <definedName name="_lb28" hidden="1">#REF!</definedName>
    <definedName name="_lb29" hidden="1">#REF!</definedName>
    <definedName name="_lb3" hidden="1">#REF!</definedName>
    <definedName name="_lb30" hidden="1">#REF!</definedName>
    <definedName name="_lb31" hidden="1">#REF!</definedName>
    <definedName name="_lb32" hidden="1">#REF!</definedName>
    <definedName name="_lb4" hidden="1">#REF!</definedName>
    <definedName name="_lb5" hidden="1">#REF!</definedName>
    <definedName name="_lb6" hidden="1">#REF!</definedName>
    <definedName name="_lb7" hidden="1">#REF!</definedName>
    <definedName name="_lb8" hidden="1">#REF!</definedName>
    <definedName name="_lb9" hidden="1">#REF!</definedName>
    <definedName name="_lbc1" hidden="1">#REF!</definedName>
    <definedName name="_lbc10" hidden="1">#REF!</definedName>
    <definedName name="_lbc11" hidden="1">#REF!</definedName>
    <definedName name="_lbc12" hidden="1">#REF!</definedName>
    <definedName name="_lbc13" hidden="1">#REF!</definedName>
    <definedName name="_lbc14" hidden="1">#REF!</definedName>
    <definedName name="_lbc15" hidden="1">#REF!</definedName>
    <definedName name="_lbc16" hidden="1">#REF!</definedName>
    <definedName name="_lbc17" hidden="1">#REF!</definedName>
    <definedName name="_lbc18" hidden="1">#REF!</definedName>
    <definedName name="_lbc19" hidden="1">#REF!</definedName>
    <definedName name="_lbc2" hidden="1">#REF!</definedName>
    <definedName name="_lbc20" hidden="1">#REF!</definedName>
    <definedName name="_lbc21" hidden="1">#REF!</definedName>
    <definedName name="_lbc22" hidden="1">#REF!</definedName>
    <definedName name="_lbc23" hidden="1">#REF!</definedName>
    <definedName name="_lbc24" hidden="1">#REF!</definedName>
    <definedName name="_lbc25" hidden="1">#REF!</definedName>
    <definedName name="_lbc26" hidden="1">#REF!</definedName>
    <definedName name="_lbc27" hidden="1">#REF!</definedName>
    <definedName name="_lbc28" hidden="1">#REF!</definedName>
    <definedName name="_lbc29" hidden="1">#REF!</definedName>
    <definedName name="_lbc3" hidden="1">#REF!</definedName>
    <definedName name="_lbc31" hidden="1">#REF!</definedName>
    <definedName name="_lbc32" hidden="1">#REF!</definedName>
    <definedName name="_lbc4" hidden="1">#REF!</definedName>
    <definedName name="_lbc5" hidden="1">#REF!</definedName>
    <definedName name="_lbc6" hidden="1">#REF!</definedName>
    <definedName name="_lbc7" hidden="1">#REF!</definedName>
    <definedName name="_lbc8" hidden="1">#REF!</definedName>
    <definedName name="_lbc9" hidden="1">#REF!</definedName>
    <definedName name="_ld26" hidden="1">#REF!</definedName>
    <definedName name="_ld31" hidden="1">#REF!</definedName>
    <definedName name="_le31" hidden="1">#REF!</definedName>
    <definedName name="_lf31" hidden="1">#REF!</definedName>
    <definedName name="_MatInverse_In" hidden="1">#REF!</definedName>
    <definedName name="_MatMult_A" localSheetId="2" hidden="1">#REF!</definedName>
    <definedName name="_MatMult_A" localSheetId="0" hidden="1">#REF!</definedName>
    <definedName name="_MatMult_A" hidden="1">#REF!</definedName>
    <definedName name="_MatMult_AxB" hidden="1">#REF!</definedName>
    <definedName name="_MatMult_B" hidden="1">#REF!</definedName>
    <definedName name="_new11" localSheetId="3"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2"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0"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Order1" hidden="1">0</definedName>
    <definedName name="_Order2" localSheetId="2" hidden="1">255</definedName>
    <definedName name="_Order2" localSheetId="0" hidden="1">255</definedName>
    <definedName name="_Order2" hidden="1">0</definedName>
    <definedName name="_Parse_Out" localSheetId="3" hidden="1">#REF!</definedName>
    <definedName name="_Parse_Out" localSheetId="8" hidden="1">#REF!</definedName>
    <definedName name="_Parse_Out" localSheetId="9" hidden="1">#REF!</definedName>
    <definedName name="_Parse_Out" localSheetId="13" hidden="1">#REF!</definedName>
    <definedName name="_Parse_Out" localSheetId="0" hidden="1">#REF!</definedName>
    <definedName name="_Parse_Out" hidden="1">#REF!</definedName>
    <definedName name="_PAV01" localSheetId="2">#REF!</definedName>
    <definedName name="_PAV01">#REF!</definedName>
    <definedName name="_PAV02" localSheetId="2">#REF!</definedName>
    <definedName name="_PAV02">#REF!</definedName>
    <definedName name="_PAV03" localSheetId="2">#REF!</definedName>
    <definedName name="_PAV03">#REF!</definedName>
    <definedName name="_PAV04" localSheetId="2">#REF!</definedName>
    <definedName name="_PAV04">#REF!</definedName>
    <definedName name="_PAV05" localSheetId="2">#REF!</definedName>
    <definedName name="_PAV05">#REF!</definedName>
    <definedName name="_PAV06" localSheetId="2">#REF!</definedName>
    <definedName name="_PAV06">#REF!</definedName>
    <definedName name="_PAV07" localSheetId="2">#REF!</definedName>
    <definedName name="_PAV07">#REF!</definedName>
    <definedName name="_PAV08" localSheetId="2">#REF!</definedName>
    <definedName name="_PAV08">#REF!</definedName>
    <definedName name="_PAV09" localSheetId="2">#REF!</definedName>
    <definedName name="_PAV09">#REF!</definedName>
    <definedName name="_PAV10" localSheetId="2">#REF!</definedName>
    <definedName name="_PAV10">#REF!</definedName>
    <definedName name="_PAV11" localSheetId="2">#REF!</definedName>
    <definedName name="_PAV11">#REF!</definedName>
    <definedName name="_PK2" localSheetId="3" hidden="1">{"'장비'!$A$3:$M$12"}</definedName>
    <definedName name="_PK2" localSheetId="8" hidden="1">{"'장비'!$A$3:$M$12"}</definedName>
    <definedName name="_PK2" localSheetId="2" hidden="1">{"'장비'!$A$3:$M$12"}</definedName>
    <definedName name="_PK2" localSheetId="9" hidden="1">{"'장비'!$A$3:$M$12"}</definedName>
    <definedName name="_PK2" localSheetId="13" hidden="1">{"'장비'!$A$3:$M$12"}</definedName>
    <definedName name="_PK2" localSheetId="0" hidden="1">{"'장비'!$A$3:$M$12"}</definedName>
    <definedName name="_PK2" hidden="1">{"'장비'!$A$3:$M$12"}</definedName>
    <definedName name="_PKG3" localSheetId="3" hidden="1">{"'장비'!$A$3:$M$12"}</definedName>
    <definedName name="_PKG3" localSheetId="8" hidden="1">{"'장비'!$A$3:$M$12"}</definedName>
    <definedName name="_PKG3" localSheetId="2" hidden="1">{"'장비'!$A$3:$M$12"}</definedName>
    <definedName name="_PKG3" localSheetId="9" hidden="1">{"'장비'!$A$3:$M$12"}</definedName>
    <definedName name="_PKG3" localSheetId="13" hidden="1">{"'장비'!$A$3:$M$12"}</definedName>
    <definedName name="_PKG3" localSheetId="0" hidden="1">{"'장비'!$A$3:$M$12"}</definedName>
    <definedName name="_PKG3" hidden="1">{"'장비'!$A$3:$M$12"}</definedName>
    <definedName name="_qqq222" localSheetId="3" hidden="1">{"'장비'!$A$3:$M$12"}</definedName>
    <definedName name="_qqq222" localSheetId="8" hidden="1">{"'장비'!$A$3:$M$12"}</definedName>
    <definedName name="_qqq222" localSheetId="2" hidden="1">{"'장비'!$A$3:$M$12"}</definedName>
    <definedName name="_qqq222" localSheetId="9" hidden="1">{"'장비'!$A$3:$M$12"}</definedName>
    <definedName name="_qqq222" localSheetId="13" hidden="1">{"'장비'!$A$3:$M$12"}</definedName>
    <definedName name="_qqq222" localSheetId="0" hidden="1">{"'장비'!$A$3:$M$12"}</definedName>
    <definedName name="_qqq222" hidden="1">{"'장비'!$A$3:$M$12"}</definedName>
    <definedName name="_QT100" localSheetId="2">#REF!</definedName>
    <definedName name="_QT100">#REF!</definedName>
    <definedName name="_QT2" localSheetId="2">#REF!</definedName>
    <definedName name="_QT2">#REF!</definedName>
    <definedName name="_QT3" localSheetId="2">#REF!</definedName>
    <definedName name="_QT3">#REF!</definedName>
    <definedName name="_QT4" localSheetId="2">#REF!</definedName>
    <definedName name="_QT4">#REF!</definedName>
    <definedName name="_QT50" localSheetId="2">#REF!</definedName>
    <definedName name="_QT50">#REF!</definedName>
    <definedName name="_QT75" localSheetId="2">#REF!</definedName>
    <definedName name="_QT75">#REF!</definedName>
    <definedName name="_r1" localSheetId="3" hidden="1">{#N/A,#N/A,FALSE,"GERAL";#N/A,#N/A,FALSE,"012-96";#N/A,#N/A,FALSE,"018-96";#N/A,#N/A,FALSE,"027-96";#N/A,#N/A,FALSE,"059-96";#N/A,#N/A,FALSE,"076-96";#N/A,#N/A,FALSE,"019-97";#N/A,#N/A,FALSE,"021-97";#N/A,#N/A,FALSE,"022-97";#N/A,#N/A,FALSE,"028-97"}</definedName>
    <definedName name="_r1" localSheetId="8" hidden="1">{#N/A,#N/A,FALSE,"GERAL";#N/A,#N/A,FALSE,"012-96";#N/A,#N/A,FALSE,"018-96";#N/A,#N/A,FALSE,"027-96";#N/A,#N/A,FALSE,"059-96";#N/A,#N/A,FALSE,"076-96";#N/A,#N/A,FALSE,"019-97";#N/A,#N/A,FALSE,"021-97";#N/A,#N/A,FALSE,"022-97";#N/A,#N/A,FALSE,"028-97"}</definedName>
    <definedName name="_r1" localSheetId="2" hidden="1">{#N/A,#N/A,FALSE,"GERAL";#N/A,#N/A,FALSE,"012-96";#N/A,#N/A,FALSE,"018-96";#N/A,#N/A,FALSE,"027-96";#N/A,#N/A,FALSE,"059-96";#N/A,#N/A,FALSE,"076-96";#N/A,#N/A,FALSE,"019-97";#N/A,#N/A,FALSE,"021-97";#N/A,#N/A,FALSE,"022-97";#N/A,#N/A,FALSE,"028-97"}</definedName>
    <definedName name="_r1" localSheetId="9" hidden="1">{#N/A,#N/A,FALSE,"GERAL";#N/A,#N/A,FALSE,"012-96";#N/A,#N/A,FALSE,"018-96";#N/A,#N/A,FALSE,"027-96";#N/A,#N/A,FALSE,"059-96";#N/A,#N/A,FALSE,"076-96";#N/A,#N/A,FALSE,"019-97";#N/A,#N/A,FALSE,"021-97";#N/A,#N/A,FALSE,"022-97";#N/A,#N/A,FALSE,"028-97"}</definedName>
    <definedName name="_r1" localSheetId="13" hidden="1">{#N/A,#N/A,FALSE,"GERAL";#N/A,#N/A,FALSE,"012-96";#N/A,#N/A,FALSE,"018-96";#N/A,#N/A,FALSE,"027-96";#N/A,#N/A,FALSE,"059-96";#N/A,#N/A,FALSE,"076-96";#N/A,#N/A,FALSE,"019-97";#N/A,#N/A,FALSE,"021-97";#N/A,#N/A,FALSE,"022-97";#N/A,#N/A,FALSE,"028-97"}</definedName>
    <definedName name="_r1" localSheetId="0" hidden="1">{#N/A,#N/A,FALSE,"GERAL";#N/A,#N/A,FALSE,"012-96";#N/A,#N/A,FALSE,"018-96";#N/A,#N/A,FALSE,"027-96";#N/A,#N/A,FALSE,"059-96";#N/A,#N/A,FALSE,"076-96";#N/A,#N/A,FALSE,"019-97";#N/A,#N/A,FALSE,"021-97";#N/A,#N/A,FALSE,"022-97";#N/A,#N/A,FALSE,"028-97"}</definedName>
    <definedName name="_r1" hidden="1">{#N/A,#N/A,FALSE,"GERAL";#N/A,#N/A,FALSE,"012-96";#N/A,#N/A,FALSE,"018-96";#N/A,#N/A,FALSE,"027-96";#N/A,#N/A,FALSE,"059-96";#N/A,#N/A,FALSE,"076-96";#N/A,#N/A,FALSE,"019-97";#N/A,#N/A,FALSE,"021-97";#N/A,#N/A,FALSE,"022-97";#N/A,#N/A,FALSE,"028-97"}</definedName>
    <definedName name="_R2" localSheetId="3" hidden="1">{#N/A,#N/A,FALSE,"GERAL";#N/A,#N/A,FALSE,"012-96";#N/A,#N/A,FALSE,"018-96";#N/A,#N/A,FALSE,"027-96";#N/A,#N/A,FALSE,"059-96";#N/A,#N/A,FALSE,"076-96";#N/A,#N/A,FALSE,"019-97";#N/A,#N/A,FALSE,"021-97";#N/A,#N/A,FALSE,"022-97";#N/A,#N/A,FALSE,"028-97"}</definedName>
    <definedName name="_R2" localSheetId="8" hidden="1">{#N/A,#N/A,FALSE,"GERAL";#N/A,#N/A,FALSE,"012-96";#N/A,#N/A,FALSE,"018-96";#N/A,#N/A,FALSE,"027-96";#N/A,#N/A,FALSE,"059-96";#N/A,#N/A,FALSE,"076-96";#N/A,#N/A,FALSE,"019-97";#N/A,#N/A,FALSE,"021-97";#N/A,#N/A,FALSE,"022-97";#N/A,#N/A,FALSE,"028-97"}</definedName>
    <definedName name="_R2" localSheetId="2" hidden="1">{#N/A,#N/A,FALSE,"GERAL";#N/A,#N/A,FALSE,"012-96";#N/A,#N/A,FALSE,"018-96";#N/A,#N/A,FALSE,"027-96";#N/A,#N/A,FALSE,"059-96";#N/A,#N/A,FALSE,"076-96";#N/A,#N/A,FALSE,"019-97";#N/A,#N/A,FALSE,"021-97";#N/A,#N/A,FALSE,"022-97";#N/A,#N/A,FALSE,"028-97"}</definedName>
    <definedName name="_R2" localSheetId="9" hidden="1">{#N/A,#N/A,FALSE,"GERAL";#N/A,#N/A,FALSE,"012-96";#N/A,#N/A,FALSE,"018-96";#N/A,#N/A,FALSE,"027-96";#N/A,#N/A,FALSE,"059-96";#N/A,#N/A,FALSE,"076-96";#N/A,#N/A,FALSE,"019-97";#N/A,#N/A,FALSE,"021-97";#N/A,#N/A,FALSE,"022-97";#N/A,#N/A,FALSE,"028-97"}</definedName>
    <definedName name="_R2" localSheetId="13" hidden="1">{#N/A,#N/A,FALSE,"GERAL";#N/A,#N/A,FALSE,"012-96";#N/A,#N/A,FALSE,"018-96";#N/A,#N/A,FALSE,"027-96";#N/A,#N/A,FALSE,"059-96";#N/A,#N/A,FALSE,"076-96";#N/A,#N/A,FALSE,"019-97";#N/A,#N/A,FALSE,"021-97";#N/A,#N/A,FALSE,"022-97";#N/A,#N/A,FALSE,"028-97"}</definedName>
    <definedName name="_R2" localSheetId="0" hidden="1">{#N/A,#N/A,FALSE,"GERAL";#N/A,#N/A,FALSE,"012-96";#N/A,#N/A,FALSE,"018-96";#N/A,#N/A,FALSE,"027-96";#N/A,#N/A,FALSE,"059-96";#N/A,#N/A,FALSE,"076-96";#N/A,#N/A,FALSE,"019-97";#N/A,#N/A,FALSE,"021-97";#N/A,#N/A,FALSE,"022-97";#N/A,#N/A,FALSE,"028-97"}</definedName>
    <definedName name="_R2" hidden="1">{#N/A,#N/A,FALSE,"GERAL";#N/A,#N/A,FALSE,"012-96";#N/A,#N/A,FALSE,"018-96";#N/A,#N/A,FALSE,"027-96";#N/A,#N/A,FALSE,"059-96";#N/A,#N/A,FALSE,"076-96";#N/A,#N/A,FALSE,"019-97";#N/A,#N/A,FALSE,"021-97";#N/A,#N/A,FALSE,"022-97";#N/A,#N/A,FALSE,"028-97"}</definedName>
    <definedName name="_Regression_Int" hidden="1">1</definedName>
    <definedName name="_Regression_Out" localSheetId="3" hidden="1">#REF!</definedName>
    <definedName name="_Regression_Out" localSheetId="8" hidden="1">#REF!</definedName>
    <definedName name="_Regression_Out" localSheetId="2" hidden="1">#REF!</definedName>
    <definedName name="_Regression_Out" localSheetId="9" hidden="1">#REF!</definedName>
    <definedName name="_Regression_Out" localSheetId="13" hidden="1">#REF!</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sfe5"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_sfe5" hidden="1">{TRUE,TRUE,-1.25,-15.5,604.5,366.75,FALSE,FALSE,TRUE,TRUE,0,1,#N/A,1,#N/A,9.0125,24.4117647058824,1,FALSE,FALSE,3,TRUE,1,FALSE,100,"Swvu.PLANILHA2.","ACwvu.PLANILHA2.",#N/A,FALSE,FALSE,0.787401575,0.34,0.46,0.5,1,"","",FALSE,FALSE,FALSE,FALSE,1,#N/A,1,1,FALSE,FALSE,#N/A,#N/A,FALSE,FALSE,FALSE,9,65532,65532,FALSE,FALSE,TRUE,TRUE,TRUE}</definedName>
    <definedName name="_Sort" localSheetId="3" hidden="1">#REF!</definedName>
    <definedName name="_Sort" localSheetId="8" hidden="1">#REF!</definedName>
    <definedName name="_Sort" localSheetId="2" hidden="1">#REF!</definedName>
    <definedName name="_Sort" localSheetId="9" hidden="1">#REF!</definedName>
    <definedName name="_Sort" localSheetId="13" hidden="1">#REF!</definedName>
    <definedName name="_Sort" localSheetId="0" hidden="1">#REF!</definedName>
    <definedName name="_Sort" hidden="1">#REF!</definedName>
    <definedName name="_T" localSheetId="3">#REF!</definedName>
    <definedName name="_T" localSheetId="8">#REF!</definedName>
    <definedName name="_T" localSheetId="2">#REF!</definedName>
    <definedName name="_T" localSheetId="9">#REF!</definedName>
    <definedName name="_T" localSheetId="13">#REF!</definedName>
    <definedName name="_T">#REF!</definedName>
    <definedName name="_Table1_In1" localSheetId="0" hidden="1">#REF!</definedName>
    <definedName name="_Table1_In1" hidden="1">#REF!</definedName>
    <definedName name="_Table1_Out" hidden="1">#REF!</definedName>
    <definedName name="_wer3" localSheetId="3" hidden="1">{#N/A,#N/A,FALSE,"Plan1";#N/A,#N/A,FALSE,"Plan2"}</definedName>
    <definedName name="_wer3" localSheetId="8" hidden="1">{#N/A,#N/A,FALSE,"Plan1";#N/A,#N/A,FALSE,"Plan2"}</definedName>
    <definedName name="_wer3" localSheetId="2" hidden="1">{#N/A,#N/A,FALSE,"Plan1";#N/A,#N/A,FALSE,"Plan2"}</definedName>
    <definedName name="_wer3" localSheetId="9" hidden="1">{#N/A,#N/A,FALSE,"Plan1";#N/A,#N/A,FALSE,"Plan2"}</definedName>
    <definedName name="_wer3" localSheetId="13" hidden="1">{#N/A,#N/A,FALSE,"Plan1";#N/A,#N/A,FALSE,"Plan2"}</definedName>
    <definedName name="_wer3" localSheetId="0" hidden="1">{#N/A,#N/A,FALSE,"Plan1";#N/A,#N/A,FALSE,"Plan2"}</definedName>
    <definedName name="_wer3" hidden="1">{#N/A,#N/A,FALSE,"Plan1";#N/A,#N/A,FALSE,"Plan2"}</definedName>
    <definedName name="_wrn.pendencias" localSheetId="3" hidden="1">{#N/A,#N/A,FALSE,"GERAL";#N/A,#N/A,FALSE,"012-96";#N/A,#N/A,FALSE,"018-96";#N/A,#N/A,FALSE,"027-96";#N/A,#N/A,FALSE,"059-96";#N/A,#N/A,FALSE,"076-96";#N/A,#N/A,FALSE,"019-97";#N/A,#N/A,FALSE,"021-97";#N/A,#N/A,FALSE,"022-97";#N/A,#N/A,FALSE,"028-97"}</definedName>
    <definedName name="_wrn.pendencias" localSheetId="8" hidden="1">{#N/A,#N/A,FALSE,"GERAL";#N/A,#N/A,FALSE,"012-96";#N/A,#N/A,FALSE,"018-96";#N/A,#N/A,FALSE,"027-96";#N/A,#N/A,FALSE,"059-96";#N/A,#N/A,FALSE,"076-96";#N/A,#N/A,FALSE,"019-97";#N/A,#N/A,FALSE,"021-97";#N/A,#N/A,FALSE,"022-97";#N/A,#N/A,FALSE,"028-97"}</definedName>
    <definedName name="_wrn.pendencias" localSheetId="2" hidden="1">{#N/A,#N/A,FALSE,"GERAL";#N/A,#N/A,FALSE,"012-96";#N/A,#N/A,FALSE,"018-96";#N/A,#N/A,FALSE,"027-96";#N/A,#N/A,FALSE,"059-96";#N/A,#N/A,FALSE,"076-96";#N/A,#N/A,FALSE,"019-97";#N/A,#N/A,FALSE,"021-97";#N/A,#N/A,FALSE,"022-97";#N/A,#N/A,FALSE,"028-97"}</definedName>
    <definedName name="_wrn.pendencias" localSheetId="9" hidden="1">{#N/A,#N/A,FALSE,"GERAL";#N/A,#N/A,FALSE,"012-96";#N/A,#N/A,FALSE,"018-96";#N/A,#N/A,FALSE,"027-96";#N/A,#N/A,FALSE,"059-96";#N/A,#N/A,FALSE,"076-96";#N/A,#N/A,FALSE,"019-97";#N/A,#N/A,FALSE,"021-97";#N/A,#N/A,FALSE,"022-97";#N/A,#N/A,FALSE,"028-97"}</definedName>
    <definedName name="_wrn.pendencias" localSheetId="13" hidden="1">{#N/A,#N/A,FALSE,"GERAL";#N/A,#N/A,FALSE,"012-96";#N/A,#N/A,FALSE,"018-96";#N/A,#N/A,FALSE,"027-96";#N/A,#N/A,FALSE,"059-96";#N/A,#N/A,FALSE,"076-96";#N/A,#N/A,FALSE,"019-97";#N/A,#N/A,FALSE,"021-97";#N/A,#N/A,FALSE,"022-97";#N/A,#N/A,FALSE,"028-97"}</definedName>
    <definedName name="_wrn.pendencias" localSheetId="0"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_x10" localSheetId="3" hidden="1">#REF!</definedName>
    <definedName name="_x10" localSheetId="8" hidden="1">#REF!</definedName>
    <definedName name="_x10" localSheetId="2" hidden="1">#REF!</definedName>
    <definedName name="_x10" localSheetId="9" hidden="1">#REF!</definedName>
    <definedName name="_x10" localSheetId="13" hidden="1">#REF!</definedName>
    <definedName name="_x10" localSheetId="0" hidden="1">#REF!</definedName>
    <definedName name="_x10" hidden="1">#REF!</definedName>
    <definedName name="_x11" localSheetId="2" hidden="1">#REF!</definedName>
    <definedName name="_x11" localSheetId="0" hidden="1">#REF!</definedName>
    <definedName name="_x11" hidden="1">#REF!</definedName>
    <definedName name="_x12" localSheetId="2" hidden="1">#REF!</definedName>
    <definedName name="_x12" localSheetId="0" hidden="1">#REF!</definedName>
    <definedName name="_x12" hidden="1">#REF!</definedName>
    <definedName name="_x13" hidden="1">#REF!</definedName>
    <definedName name="_x14" hidden="1">#REF!</definedName>
    <definedName name="_x15" hidden="1">#REF!</definedName>
    <definedName name="_x16" hidden="1">#REF!</definedName>
    <definedName name="_x17" hidden="1">#REF!</definedName>
    <definedName name="_x18" hidden="1">#REF!</definedName>
    <definedName name="_x19" hidden="1">#REF!</definedName>
    <definedName name="_x20" hidden="1">#REF!</definedName>
    <definedName name="_x21" hidden="1">#REF!</definedName>
    <definedName name="_x22" hidden="1">#REF!</definedName>
    <definedName name="_x23" hidden="1">#REF!</definedName>
    <definedName name="_x24" hidden="1">#REF!</definedName>
    <definedName name="_x25" hidden="1">#REF!</definedName>
    <definedName name="_x28" hidden="1">#REF!</definedName>
    <definedName name="_x29" hidden="1">#REF!</definedName>
    <definedName name="_x32" hidden="1">#REF!</definedName>
    <definedName name="_x4" hidden="1">#REF!</definedName>
    <definedName name="_x5" hidden="1">#REF!</definedName>
    <definedName name="_x6" hidden="1">#REF!</definedName>
    <definedName name="_x7" hidden="1">#REF!</definedName>
    <definedName name="_x8" hidden="1">#REF!</definedName>
    <definedName name="_x9" hidden="1">#REF!</definedName>
    <definedName name="_xlcn.WorksheetConnection_2018_03ResumoRGOObrasRJ.xlsbTabela1" localSheetId="2" hidden="1">#REF!</definedName>
    <definedName name="_xlcn.WorksheetConnection_2018_03ResumoRGOObrasRJ.xlsbTabela1" localSheetId="0" hidden="1">#REF!</definedName>
    <definedName name="_xlcn.WorksheetConnection_2018_03ResumoRGOObrasRJ.xlsbTabela1" hidden="1">#REF!</definedName>
    <definedName name="_xlcn.WorksheetConnection_ProjetocontrolefisicoefinanceiroRJ.xlsxTabela31" localSheetId="2" hidden="1">#REF!</definedName>
    <definedName name="_xlcn.WorksheetConnection_ProjetocontrolefisicoefinanceiroRJ.xlsxTabela31" localSheetId="0" hidden="1">#REF!</definedName>
    <definedName name="_xlcn.WorksheetConnection_ProjetocontrolefisicoefinanceiroRJ.xlsxTabela31" hidden="1">#REF!</definedName>
    <definedName name="´cAE°eE¹" localSheetId="2" hidden="1">#REF!</definedName>
    <definedName name="´cAE°eE¹" localSheetId="0" hidden="1">#REF!</definedName>
    <definedName name="´cAE°eE¹" hidden="1">#REF!</definedName>
    <definedName name="￠￥cAE¡ÆeEⓒo" hidden="1">#REF!</definedName>
    <definedName name="a" localSheetId="2">#REF!</definedName>
    <definedName name="a" localSheetId="0" hidden="1">#REF!</definedName>
    <definedName name="a" hidden="1">#REF!</definedName>
    <definedName name="a\sgt" localSheetId="3" hidden="1">{#N/A,#N/A,FALSE,"Plan1";#N/A,#N/A,FALSE,"Plan2"}</definedName>
    <definedName name="a\sgt" localSheetId="8" hidden="1">{#N/A,#N/A,FALSE,"Plan1";#N/A,#N/A,FALSE,"Plan2"}</definedName>
    <definedName name="a\sgt" localSheetId="2" hidden="1">{#N/A,#N/A,FALSE,"Plan1";#N/A,#N/A,FALSE,"Plan2"}</definedName>
    <definedName name="a\sgt" localSheetId="9" hidden="1">{#N/A,#N/A,FALSE,"Plan1";#N/A,#N/A,FALSE,"Plan2"}</definedName>
    <definedName name="a\sgt" localSheetId="13" hidden="1">{#N/A,#N/A,FALSE,"Plan1";#N/A,#N/A,FALSE,"Plan2"}</definedName>
    <definedName name="a\sgt" localSheetId="0" hidden="1">{#N/A,#N/A,FALSE,"Plan1";#N/A,#N/A,FALSE,"Plan2"}</definedName>
    <definedName name="a\sgt" hidden="1">{#N/A,#N/A,FALSE,"Plan1";#N/A,#N/A,FALSE,"Plan2"}</definedName>
    <definedName name="aa" localSheetId="5">#REF!</definedName>
    <definedName name="aa" localSheetId="3">#REF!</definedName>
    <definedName name="aa" localSheetId="4">#REF!</definedName>
    <definedName name="aa" localSheetId="8">#REF!</definedName>
    <definedName name="aa" localSheetId="2">#REF!</definedName>
    <definedName name="aa" localSheetId="9">#REF!</definedName>
    <definedName name="aa" localSheetId="13">#REF!</definedName>
    <definedName name="aa" localSheetId="0">#REF!</definedName>
    <definedName name="aa">#REF!</definedName>
    <definedName name="aaa" localSheetId="2">#REF!</definedName>
    <definedName name="aaa">#REF!</definedName>
    <definedName name="aaaa" localSheetId="5">'[1]M.O.'!#REF!</definedName>
    <definedName name="aaaa" localSheetId="4">'[1]M.O.'!#REF!</definedName>
    <definedName name="AAAA"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aaa" localSheetId="13">'[1]M.O.'!#REF!</definedName>
    <definedName name="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'[1]M.O.'!#REF!</definedName>
    <definedName name="aaaaaaaaa"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aaaaaaaa" hidden="1">{TRUE,TRUE,-1.25,-15.5,604.5,366.75,FALSE,FALSE,TRUE,TRUE,0,1,#N/A,1,#N/A,9.0125,24.4117647058824,1,FALSE,FALSE,3,TRUE,1,FALSE,100,"Swvu.PLANILHA2.","ACwvu.PLANILHA2.",#N/A,FALSE,FALSE,0.787401575,0.34,0.46,0.5,1,"","",FALSE,FALSE,FALSE,FALSE,1,#N/A,1,1,FALSE,FALSE,#N/A,#N/A,FALSE,FALSE,FALSE,9,65532,65532,FALSE,FALSE,TRUE,TRUE,TRUE}</definedName>
    <definedName name="aaaadc" localSheetId="3">#REF!</definedName>
    <definedName name="aaaadc" localSheetId="2">#REF!</definedName>
    <definedName name="aaaadc">#REF!</definedName>
    <definedName name="aaacccc" localSheetId="3" hidden="1">{#N/A,#N/A,FALSE,"Plan1";#N/A,#N/A,FALSE,"Plan2"}</definedName>
    <definedName name="aaacccc" localSheetId="8" hidden="1">{#N/A,#N/A,FALSE,"Plan1";#N/A,#N/A,FALSE,"Plan2"}</definedName>
    <definedName name="aaacccc" localSheetId="2" hidden="1">{#N/A,#N/A,FALSE,"Plan1";#N/A,#N/A,FALSE,"Plan2"}</definedName>
    <definedName name="aaacccc" localSheetId="9" hidden="1">{#N/A,#N/A,FALSE,"Plan1";#N/A,#N/A,FALSE,"Plan2"}</definedName>
    <definedName name="aaacccc" localSheetId="13" hidden="1">{#N/A,#N/A,FALSE,"Plan1";#N/A,#N/A,FALSE,"Plan2"}</definedName>
    <definedName name="aaacccc" localSheetId="0" hidden="1">{#N/A,#N/A,FALSE,"Plan1";#N/A,#N/A,FALSE,"Plan2"}</definedName>
    <definedName name="aaacccc" hidden="1">{#N/A,#N/A,FALSE,"Plan1";#N/A,#N/A,FALSE,"Plan2"}</definedName>
    <definedName name="aaas" localSheetId="3">#REF!</definedName>
    <definedName name="aaas" localSheetId="2">#REF!</definedName>
    <definedName name="aaas">#REF!</definedName>
    <definedName name="AB"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2">#REF!</definedName>
    <definedName name="AB"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at_ISS" localSheetId="3">#REF!</definedName>
    <definedName name="Abat_ISS" localSheetId="2">#REF!</definedName>
    <definedName name="Abat_ISS">#REF!</definedName>
    <definedName name="abc"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 localSheetId="3" hidden="1">#REF!</definedName>
    <definedName name="ABCD" localSheetId="8" hidden="1">#REF!</definedName>
    <definedName name="ABCD" localSheetId="9" hidden="1">#REF!</definedName>
    <definedName name="ABCD" localSheetId="13" hidden="1">#REF!</definedName>
    <definedName name="ABCD" localSheetId="0" hidden="1">#REF!</definedName>
    <definedName name="ABCD" hidden="1">#REF!</definedName>
    <definedName name="abebqt" localSheetId="3">#REF!</definedName>
    <definedName name="abebqt" localSheetId="8">#REF!</definedName>
    <definedName name="abebqt" localSheetId="2">#REF!</definedName>
    <definedName name="abebqt" localSheetId="9">#REF!</definedName>
    <definedName name="abebqt" localSheetId="13">#REF!</definedName>
    <definedName name="abebqt">#REF!</definedName>
    <definedName name="abr17RJ" localSheetId="2">#REF!</definedName>
    <definedName name="abr17RJ">#REF!</definedName>
    <definedName name="ABRIL" localSheetId="2">#REF!</definedName>
    <definedName name="ABRIL">#REF!</definedName>
    <definedName name="ABRIL2001" localSheetId="2">#REF!</definedName>
    <definedName name="ABRIL2001">#REF!</definedName>
    <definedName name="ac" localSheetId="0" hidden="1">#REF!</definedName>
    <definedName name="ac" hidden="1">#REF!</definedName>
    <definedName name="Acabam." localSheetId="2">#REF!</definedName>
    <definedName name="Acabam.">#REF!</definedName>
    <definedName name="ACADUC" localSheetId="2">#REF!</definedName>
    <definedName name="ACADUC">#REF!</definedName>
    <definedName name="ACBEB" localSheetId="2">#REF!</definedName>
    <definedName name="ACBEB">#REF!</definedName>
    <definedName name="ACBOMB" localSheetId="2">#REF!</definedName>
    <definedName name="ACBOMB">#REF!</definedName>
    <definedName name="AccessDatabase" hidden="1">"C:\posec\DATABASE\vlv_list\vlvlist1.mdb"</definedName>
    <definedName name="ACCHAF" localSheetId="3">#REF!</definedName>
    <definedName name="ACCHAF" localSheetId="2">#REF!</definedName>
    <definedName name="ACCHAF">#REF!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b" localSheetId="3" hidden="1">#REF!</definedName>
    <definedName name="acdb" localSheetId="8" hidden="1">#REF!</definedName>
    <definedName name="acdb" localSheetId="2" hidden="1">#REF!</definedName>
    <definedName name="acdb" localSheetId="9" hidden="1">#REF!</definedName>
    <definedName name="acdb" localSheetId="13" hidden="1">#REF!</definedName>
    <definedName name="acdb" localSheetId="0" hidden="1">#REF!</definedName>
    <definedName name="acdb" hidden="1">#REF!</definedName>
    <definedName name="ACDER" localSheetId="3">#REF!</definedName>
    <definedName name="ACDER" localSheetId="8">#REF!</definedName>
    <definedName name="ACDER" localSheetId="2">#REF!</definedName>
    <definedName name="ACDER" localSheetId="9">#REF!</definedName>
    <definedName name="ACDER" localSheetId="13">#REF!</definedName>
    <definedName name="ACDER">#REF!</definedName>
    <definedName name="ACDIV" localSheetId="2">#REF!</definedName>
    <definedName name="ACDIV">#REF!</definedName>
    <definedName name="ACDS" localSheetId="0" hidden="1">#REF!</definedName>
    <definedName name="ACDS" hidden="1">#REF!</definedName>
    <definedName name="ACEQP" localSheetId="2">#REF!</definedName>
    <definedName name="ACEQP">#REF!</definedName>
    <definedName name="ACHAFQT" localSheetId="2">#REF!</definedName>
    <definedName name="ACHAFQT">#REF!</definedName>
    <definedName name="achar18" localSheetId="0" hidden="1">#REF!</definedName>
    <definedName name="achar18" hidden="1">#REF!</definedName>
    <definedName name="achar19" hidden="1">#REF!</definedName>
    <definedName name="achart1" hidden="1">#REF!</definedName>
    <definedName name="achart10" hidden="1">#REF!</definedName>
    <definedName name="achart11" hidden="1">#REF!</definedName>
    <definedName name="achart12" hidden="1">#REF!</definedName>
    <definedName name="achart13" hidden="1">#REF!</definedName>
    <definedName name="achart14" hidden="1">#REF!</definedName>
    <definedName name="achart15" hidden="1">#REF!</definedName>
    <definedName name="achart16" hidden="1">#REF!</definedName>
    <definedName name="achart17" hidden="1">#REF!</definedName>
    <definedName name="achart2" hidden="1">#REF!</definedName>
    <definedName name="achart20" hidden="1">#REF!</definedName>
    <definedName name="achart21" hidden="1">#REF!</definedName>
    <definedName name="achart22" hidden="1">#REF!</definedName>
    <definedName name="achart23" hidden="1">#REF!</definedName>
    <definedName name="achart24" hidden="1">#REF!</definedName>
    <definedName name="achart25" hidden="1">#REF!</definedName>
    <definedName name="achart26" hidden="1">#REF!</definedName>
    <definedName name="achart27" hidden="1">#REF!</definedName>
    <definedName name="achart28" hidden="1">#REF!</definedName>
    <definedName name="achart29" hidden="1">#REF!</definedName>
    <definedName name="achart3" hidden="1">#REF!</definedName>
    <definedName name="achart30" hidden="1">#REF!</definedName>
    <definedName name="achart31" hidden="1">#REF!</definedName>
    <definedName name="achart32" hidden="1">#REF!</definedName>
    <definedName name="achart4" hidden="1">#REF!</definedName>
    <definedName name="achart5" hidden="1">#REF!</definedName>
    <definedName name="achart6" hidden="1">#REF!</definedName>
    <definedName name="achart7" hidden="1">#REF!</definedName>
    <definedName name="achart8" hidden="1">#REF!</definedName>
    <definedName name="achart9" hidden="1">#REF!</definedName>
    <definedName name="ACMUR" localSheetId="2">#REF!</definedName>
    <definedName name="ACMUR">#REF!</definedName>
    <definedName name="açoeeer" localSheetId="3" hidden="1">{#N/A,#N/A,FALSE,"Plan1";#N/A,#N/A,FALSE,"Plan2"}</definedName>
    <definedName name="açoeeer" localSheetId="8" hidden="1">{#N/A,#N/A,FALSE,"Plan1";#N/A,#N/A,FALSE,"Plan2"}</definedName>
    <definedName name="açoeeer" localSheetId="2" hidden="1">{#N/A,#N/A,FALSE,"Plan1";#N/A,#N/A,FALSE,"Plan2"}</definedName>
    <definedName name="açoeeer" localSheetId="9" hidden="1">{#N/A,#N/A,FALSE,"Plan1";#N/A,#N/A,FALSE,"Plan2"}</definedName>
    <definedName name="açoeeer" localSheetId="13" hidden="1">{#N/A,#N/A,FALSE,"Plan1";#N/A,#N/A,FALSE,"Plan2"}</definedName>
    <definedName name="açoeeer" localSheetId="0" hidden="1">{#N/A,#N/A,FALSE,"Plan1";#N/A,#N/A,FALSE,"Plan2"}</definedName>
    <definedName name="açoeeer" hidden="1">{#N/A,#N/A,FALSE,"Plan1";#N/A,#N/A,FALSE,"Plan2"}</definedName>
    <definedName name="ACOMP" localSheetId="3">#REF!</definedName>
    <definedName name="ACOMP" localSheetId="2">#REF!</definedName>
    <definedName name="ACOMP">#REF!</definedName>
    <definedName name="ACONT2" localSheetId="3">#REF!</definedName>
    <definedName name="ACONT2" localSheetId="2">#REF!</definedName>
    <definedName name="ACONT2">#REF!</definedName>
    <definedName name="ACPIPA" localSheetId="3">#REF!</definedName>
    <definedName name="ACPIPA" localSheetId="2">#REF!</definedName>
    <definedName name="ACPIPA">#REF!</definedName>
    <definedName name="ACTRANSP" localSheetId="2">#REF!</definedName>
    <definedName name="ACTRANSP">#REF!</definedName>
    <definedName name="ACwvu.Características." localSheetId="0" hidden="1">#REF!</definedName>
    <definedName name="ACwvu.Características." hidden="1">#REF!</definedName>
    <definedName name="ACwvu.Ciclos." localSheetId="0" hidden="1">#REF!</definedName>
    <definedName name="ACwvu.Ciclos." hidden="1">#REF!</definedName>
    <definedName name="ACwvu.Custos." localSheetId="0" hidden="1">#REF!</definedName>
    <definedName name="ACwvu.Custos." hidden="1">#REF!</definedName>
    <definedName name="ACwvu.PLANILHA2." localSheetId="2" hidden="1">#REF!</definedName>
    <definedName name="ACwvu.PLANILHA2." localSheetId="0" hidden="1">#REF!</definedName>
    <definedName name="ACwvu.PLANILHA2." hidden="1">#REF!</definedName>
    <definedName name="ACwvu.Recursos." hidden="1">#REF!</definedName>
    <definedName name="ad" localSheetId="3" hidden="1">{#N/A,#N/A,FALSE,"Plan1";#N/A,#N/A,FALSE,"Plan2"}</definedName>
    <definedName name="ad" localSheetId="8" hidden="1">{#N/A,#N/A,FALSE,"Plan1";#N/A,#N/A,FALSE,"Plan2"}</definedName>
    <definedName name="ad" localSheetId="2" hidden="1">{#N/A,#N/A,FALSE,"Plan1";#N/A,#N/A,FALSE,"Plan2"}</definedName>
    <definedName name="ad" localSheetId="9" hidden="1">{#N/A,#N/A,FALSE,"Plan1";#N/A,#N/A,FALSE,"Plan2"}</definedName>
    <definedName name="ad" localSheetId="13" hidden="1">{#N/A,#N/A,FALSE,"Plan1";#N/A,#N/A,FALSE,"Plan2"}</definedName>
    <definedName name="ad" localSheetId="0" hidden="1">{#N/A,#N/A,FALSE,"Plan1";#N/A,#N/A,FALSE,"Plan2"}</definedName>
    <definedName name="ad" hidden="1">{#N/A,#N/A,FALSE,"Plan1";#N/A,#N/A,FALSE,"Plan2"}</definedName>
    <definedName name="adads" localSheetId="3" hidden="1">{#N/A,#N/A,FALSE,"Plan1";#N/A,#N/A,FALSE,"Plan2"}</definedName>
    <definedName name="adads" localSheetId="8" hidden="1">{#N/A,#N/A,FALSE,"Plan1";#N/A,#N/A,FALSE,"Plan2"}</definedName>
    <definedName name="adads" localSheetId="2" hidden="1">{#N/A,#N/A,FALSE,"Plan1";#N/A,#N/A,FALSE,"Plan2"}</definedName>
    <definedName name="adads" localSheetId="9" hidden="1">{#N/A,#N/A,FALSE,"Plan1";#N/A,#N/A,FALSE,"Plan2"}</definedName>
    <definedName name="adads" localSheetId="13" hidden="1">{#N/A,#N/A,FALSE,"Plan1";#N/A,#N/A,FALSE,"Plan2"}</definedName>
    <definedName name="adads" localSheetId="0" hidden="1">{#N/A,#N/A,FALSE,"Plan1";#N/A,#N/A,FALSE,"Plan2"}</definedName>
    <definedName name="adads" hidden="1">{#N/A,#N/A,FALSE,"Plan1";#N/A,#N/A,FALSE,"Plan2"}</definedName>
    <definedName name="adads2" localSheetId="3" hidden="1">{#N/A,#N/A,FALSE,"Plan1";#N/A,#N/A,FALSE,"Plan2"}</definedName>
    <definedName name="adads2" localSheetId="8" hidden="1">{#N/A,#N/A,FALSE,"Plan1";#N/A,#N/A,FALSE,"Plan2"}</definedName>
    <definedName name="adads2" localSheetId="2" hidden="1">{#N/A,#N/A,FALSE,"Plan1";#N/A,#N/A,FALSE,"Plan2"}</definedName>
    <definedName name="adads2" localSheetId="9" hidden="1">{#N/A,#N/A,FALSE,"Plan1";#N/A,#N/A,FALSE,"Plan2"}</definedName>
    <definedName name="adads2" localSheetId="13" hidden="1">{#N/A,#N/A,FALSE,"Plan1";#N/A,#N/A,FALSE,"Plan2"}</definedName>
    <definedName name="adads2" localSheetId="0" hidden="1">{#N/A,#N/A,FALSE,"Plan1";#N/A,#N/A,FALSE,"Plan2"}</definedName>
    <definedName name="adads2" hidden="1">{#N/A,#N/A,FALSE,"Plan1";#N/A,#N/A,FALSE,"Plan2"}</definedName>
    <definedName name="adced" localSheetId="3" hidden="1">{#N/A,#N/A,FALSE,"Plan1";#N/A,#N/A,FALSE,"Plan2"}</definedName>
    <definedName name="adced" localSheetId="8" hidden="1">{#N/A,#N/A,FALSE,"Plan1";#N/A,#N/A,FALSE,"Plan2"}</definedName>
    <definedName name="adced" localSheetId="2" hidden="1">{#N/A,#N/A,FALSE,"Plan1";#N/A,#N/A,FALSE,"Plan2"}</definedName>
    <definedName name="adced" localSheetId="9" hidden="1">{#N/A,#N/A,FALSE,"Plan1";#N/A,#N/A,FALSE,"Plan2"}</definedName>
    <definedName name="adced" localSheetId="13" hidden="1">{#N/A,#N/A,FALSE,"Plan1";#N/A,#N/A,FALSE,"Plan2"}</definedName>
    <definedName name="adced" localSheetId="0" hidden="1">{#N/A,#N/A,FALSE,"Plan1";#N/A,#N/A,FALSE,"Plan2"}</definedName>
    <definedName name="adced" hidden="1">{#N/A,#N/A,FALSE,"Plan1";#N/A,#N/A,FALSE,"Plan2"}</definedName>
    <definedName name="adced2" localSheetId="3" hidden="1">{#N/A,#N/A,FALSE,"Plan1";#N/A,#N/A,FALSE,"Plan2"}</definedName>
    <definedName name="adced2" localSheetId="8" hidden="1">{#N/A,#N/A,FALSE,"Plan1";#N/A,#N/A,FALSE,"Plan2"}</definedName>
    <definedName name="adced2" localSheetId="2" hidden="1">{#N/A,#N/A,FALSE,"Plan1";#N/A,#N/A,FALSE,"Plan2"}</definedName>
    <definedName name="adced2" localSheetId="9" hidden="1">{#N/A,#N/A,FALSE,"Plan1";#N/A,#N/A,FALSE,"Plan2"}</definedName>
    <definedName name="adced2" localSheetId="13" hidden="1">{#N/A,#N/A,FALSE,"Plan1";#N/A,#N/A,FALSE,"Plan2"}</definedName>
    <definedName name="adced2" localSheetId="0" hidden="1">{#N/A,#N/A,FALSE,"Plan1";#N/A,#N/A,FALSE,"Plan2"}</definedName>
    <definedName name="adced2" hidden="1">{#N/A,#N/A,FALSE,"Plan1";#N/A,#N/A,FALSE,"Plan2"}</definedName>
    <definedName name="ader" localSheetId="3" hidden="1">{#N/A,#N/A,FALSE,"Plan1";#N/A,#N/A,FALSE,"Plan2"}</definedName>
    <definedName name="ader" localSheetId="8" hidden="1">{#N/A,#N/A,FALSE,"Plan1";#N/A,#N/A,FALSE,"Plan2"}</definedName>
    <definedName name="ader" localSheetId="2" hidden="1">{#N/A,#N/A,FALSE,"Plan1";#N/A,#N/A,FALSE,"Plan2"}</definedName>
    <definedName name="ader" localSheetId="9" hidden="1">{#N/A,#N/A,FALSE,"Plan1";#N/A,#N/A,FALSE,"Plan2"}</definedName>
    <definedName name="ader" localSheetId="13" hidden="1">{#N/A,#N/A,FALSE,"Plan1";#N/A,#N/A,FALSE,"Plan2"}</definedName>
    <definedName name="ader" localSheetId="0" hidden="1">{#N/A,#N/A,FALSE,"Plan1";#N/A,#N/A,FALSE,"Plan2"}</definedName>
    <definedName name="ader" hidden="1">{#N/A,#N/A,FALSE,"Plan1";#N/A,#N/A,FALSE,"Plan2"}</definedName>
    <definedName name="ader2" localSheetId="3" hidden="1">{#N/A,#N/A,FALSE,"Plan1";#N/A,#N/A,FALSE,"Plan2"}</definedName>
    <definedName name="ader2" localSheetId="8" hidden="1">{#N/A,#N/A,FALSE,"Plan1";#N/A,#N/A,FALSE,"Plan2"}</definedName>
    <definedName name="ader2" localSheetId="2" hidden="1">{#N/A,#N/A,FALSE,"Plan1";#N/A,#N/A,FALSE,"Plan2"}</definedName>
    <definedName name="ader2" localSheetId="9" hidden="1">{#N/A,#N/A,FALSE,"Plan1";#N/A,#N/A,FALSE,"Plan2"}</definedName>
    <definedName name="ader2" localSheetId="13" hidden="1">{#N/A,#N/A,FALSE,"Plan1";#N/A,#N/A,FALSE,"Plan2"}</definedName>
    <definedName name="ader2" localSheetId="0" hidden="1">{#N/A,#N/A,FALSE,"Plan1";#N/A,#N/A,FALSE,"Plan2"}</definedName>
    <definedName name="ader2" hidden="1">{#N/A,#N/A,FALSE,"Plan1";#N/A,#N/A,FALSE,"Plan2"}</definedName>
    <definedName name="adesr" localSheetId="3" hidden="1">{#N/A,#N/A,FALSE,"Plan1";#N/A,#N/A,FALSE,"Plan2"}</definedName>
    <definedName name="adesr" localSheetId="8" hidden="1">{#N/A,#N/A,FALSE,"Plan1";#N/A,#N/A,FALSE,"Plan2"}</definedName>
    <definedName name="adesr" localSheetId="2" hidden="1">{#N/A,#N/A,FALSE,"Plan1";#N/A,#N/A,FALSE,"Plan2"}</definedName>
    <definedName name="adesr" localSheetId="9" hidden="1">{#N/A,#N/A,FALSE,"Plan1";#N/A,#N/A,FALSE,"Plan2"}</definedName>
    <definedName name="adesr" localSheetId="13" hidden="1">{#N/A,#N/A,FALSE,"Plan1";#N/A,#N/A,FALSE,"Plan2"}</definedName>
    <definedName name="adesr" localSheetId="0" hidden="1">{#N/A,#N/A,FALSE,"Plan1";#N/A,#N/A,FALSE,"Plan2"}</definedName>
    <definedName name="adesr" hidden="1">{#N/A,#N/A,FALSE,"Plan1";#N/A,#N/A,FALSE,"Plan2"}</definedName>
    <definedName name="adew" hidden="1">"3ORZTPXRHBU97C8AJ5UM8CAVA"</definedName>
    <definedName name="adewr" localSheetId="3" hidden="1">{#N/A,#N/A,FALSE,"Plan1";#N/A,#N/A,FALSE,"Plan2"}</definedName>
    <definedName name="adewr" localSheetId="8" hidden="1">{#N/A,#N/A,FALSE,"Plan1";#N/A,#N/A,FALSE,"Plan2"}</definedName>
    <definedName name="adewr" localSheetId="2" hidden="1">{#N/A,#N/A,FALSE,"Plan1";#N/A,#N/A,FALSE,"Plan2"}</definedName>
    <definedName name="adewr" localSheetId="9" hidden="1">{#N/A,#N/A,FALSE,"Plan1";#N/A,#N/A,FALSE,"Plan2"}</definedName>
    <definedName name="adewr" localSheetId="13" hidden="1">{#N/A,#N/A,FALSE,"Plan1";#N/A,#N/A,FALSE,"Plan2"}</definedName>
    <definedName name="adewr" localSheetId="0" hidden="1">{#N/A,#N/A,FALSE,"Plan1";#N/A,#N/A,FALSE,"Plan2"}</definedName>
    <definedName name="adewr" hidden="1">{#N/A,#N/A,FALSE,"Plan1";#N/A,#N/A,FALSE,"Plan2"}</definedName>
    <definedName name="adf" localSheetId="3" hidden="1">{#N/A,#N/A,FALSE,"Plan1";#N/A,#N/A,FALSE,"Plan2"}</definedName>
    <definedName name="adf" localSheetId="8" hidden="1">{#N/A,#N/A,FALSE,"Plan1";#N/A,#N/A,FALSE,"Plan2"}</definedName>
    <definedName name="adf" localSheetId="2" hidden="1">{#N/A,#N/A,FALSE,"Plan1";#N/A,#N/A,FALSE,"Plan2"}</definedName>
    <definedName name="adf" localSheetId="9" hidden="1">{#N/A,#N/A,FALSE,"Plan1";#N/A,#N/A,FALSE,"Plan2"}</definedName>
    <definedName name="adf" localSheetId="13" hidden="1">{#N/A,#N/A,FALSE,"Plan1";#N/A,#N/A,FALSE,"Plan2"}</definedName>
    <definedName name="adf" localSheetId="0" hidden="1">{#N/A,#N/A,FALSE,"Plan1";#N/A,#N/A,FALSE,"Plan2"}</definedName>
    <definedName name="adf" hidden="1">{#N/A,#N/A,FALSE,"Plan1";#N/A,#N/A,FALSE,"Plan2"}</definedName>
    <definedName name="ADITIVO_BRUTO" localSheetId="3">#REF!</definedName>
    <definedName name="ADITIVO_BRUTO" localSheetId="2">#REF!</definedName>
    <definedName name="ADITIVO_BRUTO">#REF!</definedName>
    <definedName name="ADITIVO_LIQUIDO" localSheetId="3">#REF!</definedName>
    <definedName name="ADITIVO_LIQUIDO" localSheetId="2">#REF!</definedName>
    <definedName name="ADITIVO_LIQUIDO">#REF!</definedName>
    <definedName name="ADM.EXTERNA" localSheetId="3">#REF!</definedName>
    <definedName name="ADM.EXTERNA" localSheetId="2">#REF!</definedName>
    <definedName name="ADM.EXTERNA">#REF!</definedName>
    <definedName name="adsfr" localSheetId="3" hidden="1">{#N/A,#N/A,FALSE,"Plan1";#N/A,#N/A,FALSE,"Plan2"}</definedName>
    <definedName name="adsfr" localSheetId="8" hidden="1">{#N/A,#N/A,FALSE,"Plan1";#N/A,#N/A,FALSE,"Plan2"}</definedName>
    <definedName name="adsfr" localSheetId="2" hidden="1">{#N/A,#N/A,FALSE,"Plan1";#N/A,#N/A,FALSE,"Plan2"}</definedName>
    <definedName name="adsfr" localSheetId="9" hidden="1">{#N/A,#N/A,FALSE,"Plan1";#N/A,#N/A,FALSE,"Plan2"}</definedName>
    <definedName name="adsfr" localSheetId="13" hidden="1">{#N/A,#N/A,FALSE,"Plan1";#N/A,#N/A,FALSE,"Plan2"}</definedName>
    <definedName name="adsfr" localSheetId="0" hidden="1">{#N/A,#N/A,FALSE,"Plan1";#N/A,#N/A,FALSE,"Plan2"}</definedName>
    <definedName name="adsfr" hidden="1">{#N/A,#N/A,FALSE,"Plan1";#N/A,#N/A,FALSE,"Plan2"}</definedName>
    <definedName name="adssrgtg" localSheetId="3" hidden="1">{#N/A,#N/A,FALSE,"Plan1";#N/A,#N/A,FALSE,"Plan2"}</definedName>
    <definedName name="adssrgtg" localSheetId="8" hidden="1">{#N/A,#N/A,FALSE,"Plan1";#N/A,#N/A,FALSE,"Plan2"}</definedName>
    <definedName name="adssrgtg" localSheetId="2" hidden="1">{#N/A,#N/A,FALSE,"Plan1";#N/A,#N/A,FALSE,"Plan2"}</definedName>
    <definedName name="adssrgtg" localSheetId="9" hidden="1">{#N/A,#N/A,FALSE,"Plan1";#N/A,#N/A,FALSE,"Plan2"}</definedName>
    <definedName name="adssrgtg" localSheetId="13" hidden="1">{#N/A,#N/A,FALSE,"Plan1";#N/A,#N/A,FALSE,"Plan2"}</definedName>
    <definedName name="adssrgtg" localSheetId="0" hidden="1">{#N/A,#N/A,FALSE,"Plan1";#N/A,#N/A,FALSE,"Plan2"}</definedName>
    <definedName name="adssrgtg" hidden="1">{#N/A,#N/A,FALSE,"Plan1";#N/A,#N/A,FALSE,"Plan2"}</definedName>
    <definedName name="adtsetrr6t" localSheetId="3" hidden="1">{#N/A,#N/A,FALSE,"Plan1";#N/A,#N/A,FALSE,"Plan2"}</definedName>
    <definedName name="adtsetrr6t" localSheetId="8" hidden="1">{#N/A,#N/A,FALSE,"Plan1";#N/A,#N/A,FALSE,"Plan2"}</definedName>
    <definedName name="adtsetrr6t" localSheetId="2" hidden="1">{#N/A,#N/A,FALSE,"Plan1";#N/A,#N/A,FALSE,"Plan2"}</definedName>
    <definedName name="adtsetrr6t" localSheetId="9" hidden="1">{#N/A,#N/A,FALSE,"Plan1";#N/A,#N/A,FALSE,"Plan2"}</definedName>
    <definedName name="adtsetrr6t" localSheetId="13" hidden="1">{#N/A,#N/A,FALSE,"Plan1";#N/A,#N/A,FALSE,"Plan2"}</definedName>
    <definedName name="adtsetrr6t" localSheetId="0" hidden="1">{#N/A,#N/A,FALSE,"Plan1";#N/A,#N/A,FALSE,"Plan2"}</definedName>
    <definedName name="adtsetrr6t" hidden="1">{#N/A,#N/A,FALSE,"Plan1";#N/A,#N/A,FALSE,"Plan2"}</definedName>
    <definedName name="ADUCQT" localSheetId="3">#REF!</definedName>
    <definedName name="ADUCQT" localSheetId="2">#REF!</definedName>
    <definedName name="ADUCQT">#REF!</definedName>
    <definedName name="adwr" localSheetId="3" hidden="1">{#N/A,#N/A,FALSE,"Plan1";#N/A,#N/A,FALSE,"Plan2"}</definedName>
    <definedName name="adwr" localSheetId="8" hidden="1">{#N/A,#N/A,FALSE,"Plan1";#N/A,#N/A,FALSE,"Plan2"}</definedName>
    <definedName name="adwr" localSheetId="2" hidden="1">{#N/A,#N/A,FALSE,"Plan1";#N/A,#N/A,FALSE,"Plan2"}</definedName>
    <definedName name="adwr" localSheetId="9" hidden="1">{#N/A,#N/A,FALSE,"Plan1";#N/A,#N/A,FALSE,"Plan2"}</definedName>
    <definedName name="adwr" localSheetId="13" hidden="1">{#N/A,#N/A,FALSE,"Plan1";#N/A,#N/A,FALSE,"Plan2"}</definedName>
    <definedName name="adwr" localSheetId="0" hidden="1">{#N/A,#N/A,FALSE,"Plan1";#N/A,#N/A,FALSE,"Plan2"}</definedName>
    <definedName name="adwr" hidden="1">{#N/A,#N/A,FALSE,"Plan1";#N/A,#N/A,FALSE,"Plan2"}</definedName>
    <definedName name="aeiresft" localSheetId="3" hidden="1">{#N/A,#N/A,FALSE,"Plan1";#N/A,#N/A,FALSE,"Plan2"}</definedName>
    <definedName name="aeiresft" localSheetId="8" hidden="1">{#N/A,#N/A,FALSE,"Plan1";#N/A,#N/A,FALSE,"Plan2"}</definedName>
    <definedName name="aeiresft" localSheetId="2" hidden="1">{#N/A,#N/A,FALSE,"Plan1";#N/A,#N/A,FALSE,"Plan2"}</definedName>
    <definedName name="aeiresft" localSheetId="9" hidden="1">{#N/A,#N/A,FALSE,"Plan1";#N/A,#N/A,FALSE,"Plan2"}</definedName>
    <definedName name="aeiresft" localSheetId="13" hidden="1">{#N/A,#N/A,FALSE,"Plan1";#N/A,#N/A,FALSE,"Plan2"}</definedName>
    <definedName name="aeiresft" localSheetId="0" hidden="1">{#N/A,#N/A,FALSE,"Plan1";#N/A,#N/A,FALSE,"Plan2"}</definedName>
    <definedName name="aeiresft" hidden="1">{#N/A,#N/A,FALSE,"Plan1";#N/A,#N/A,FALSE,"Plan2"}</definedName>
    <definedName name="aEL3QE" localSheetId="3" hidden="1">{#N/A,#N/A,FALSE,"Plan1";#N/A,#N/A,FALSE,"Plan2"}</definedName>
    <definedName name="aEL3QE" localSheetId="8" hidden="1">{#N/A,#N/A,FALSE,"Plan1";#N/A,#N/A,FALSE,"Plan2"}</definedName>
    <definedName name="aEL3QE" localSheetId="2" hidden="1">{#N/A,#N/A,FALSE,"Plan1";#N/A,#N/A,FALSE,"Plan2"}</definedName>
    <definedName name="aEL3QE" localSheetId="9" hidden="1">{#N/A,#N/A,FALSE,"Plan1";#N/A,#N/A,FALSE,"Plan2"}</definedName>
    <definedName name="aEL3QE" localSheetId="13" hidden="1">{#N/A,#N/A,FALSE,"Plan1";#N/A,#N/A,FALSE,"Plan2"}</definedName>
    <definedName name="aEL3QE" localSheetId="0" hidden="1">{#N/A,#N/A,FALSE,"Plan1";#N/A,#N/A,FALSE,"Plan2"}</definedName>
    <definedName name="aEL3QE" hidden="1">{#N/A,#N/A,FALSE,"Plan1";#N/A,#N/A,FALSE,"Plan2"}</definedName>
    <definedName name="afeasfre" localSheetId="3" hidden="1">{#N/A,#N/A,FALSE,"Plan1";#N/A,#N/A,FALSE,"Plan2"}</definedName>
    <definedName name="afeasfre" localSheetId="8" hidden="1">{#N/A,#N/A,FALSE,"Plan1";#N/A,#N/A,FALSE,"Plan2"}</definedName>
    <definedName name="afeasfre" localSheetId="2" hidden="1">{#N/A,#N/A,FALSE,"Plan1";#N/A,#N/A,FALSE,"Plan2"}</definedName>
    <definedName name="afeasfre" localSheetId="9" hidden="1">{#N/A,#N/A,FALSE,"Plan1";#N/A,#N/A,FALSE,"Plan2"}</definedName>
    <definedName name="afeasfre" localSheetId="13" hidden="1">{#N/A,#N/A,FALSE,"Plan1";#N/A,#N/A,FALSE,"Plan2"}</definedName>
    <definedName name="afeasfre" localSheetId="0" hidden="1">{#N/A,#N/A,FALSE,"Plan1";#N/A,#N/A,FALSE,"Plan2"}</definedName>
    <definedName name="afeasfre" hidden="1">{#N/A,#N/A,FALSE,"Plan1";#N/A,#N/A,FALSE,"Plan2"}</definedName>
    <definedName name="agdsf" localSheetId="3" hidden="1">#REF!</definedName>
    <definedName name="agdsf" localSheetId="8" hidden="1">#REF!</definedName>
    <definedName name="agdsf" localSheetId="2" hidden="1">#REF!</definedName>
    <definedName name="agdsf" localSheetId="9" hidden="1">#REF!</definedName>
    <definedName name="agdsf" localSheetId="13" hidden="1">#REF!</definedName>
    <definedName name="agdsf" localSheetId="0" hidden="1">#REF!</definedName>
    <definedName name="agdsf" hidden="1">#REF!</definedName>
    <definedName name="ago17RJ" localSheetId="3">#REF!</definedName>
    <definedName name="ago17RJ" localSheetId="8">#REF!</definedName>
    <definedName name="ago17RJ" localSheetId="2">#REF!</definedName>
    <definedName name="ago17RJ" localSheetId="9">#REF!</definedName>
    <definedName name="ago17RJ" localSheetId="13">#REF!</definedName>
    <definedName name="ago17RJ">#REF!</definedName>
    <definedName name="AGOSTO" localSheetId="3">#REF!</definedName>
    <definedName name="AGOSTO" localSheetId="8">#REF!</definedName>
    <definedName name="AGOSTO" localSheetId="2">#REF!</definedName>
    <definedName name="AGOSTO" localSheetId="9">#REF!</definedName>
    <definedName name="AGOSTO" localSheetId="13">#REF!</definedName>
    <definedName name="AGOSTO">#REF!</definedName>
    <definedName name="agua" localSheetId="3" hidden="1">{#N/A,#N/A,FALSE,"GERAL";#N/A,#N/A,FALSE,"012-96";#N/A,#N/A,FALSE,"018-96";#N/A,#N/A,FALSE,"027-96";#N/A,#N/A,FALSE,"059-96";#N/A,#N/A,FALSE,"076-96";#N/A,#N/A,FALSE,"019-97";#N/A,#N/A,FALSE,"021-97";#N/A,#N/A,FALSE,"022-97";#N/A,#N/A,FALSE,"028-97"}</definedName>
    <definedName name="agua" localSheetId="8" hidden="1">{#N/A,#N/A,FALSE,"GERAL";#N/A,#N/A,FALSE,"012-96";#N/A,#N/A,FALSE,"018-96";#N/A,#N/A,FALSE,"027-96";#N/A,#N/A,FALSE,"059-96";#N/A,#N/A,FALSE,"076-96";#N/A,#N/A,FALSE,"019-97";#N/A,#N/A,FALSE,"021-97";#N/A,#N/A,FALSE,"022-97";#N/A,#N/A,FALSE,"028-97"}</definedName>
    <definedName name="agua" localSheetId="2" hidden="1">{#N/A,#N/A,FALSE,"GERAL";#N/A,#N/A,FALSE,"012-96";#N/A,#N/A,FALSE,"018-96";#N/A,#N/A,FALSE,"027-96";#N/A,#N/A,FALSE,"059-96";#N/A,#N/A,FALSE,"076-96";#N/A,#N/A,FALSE,"019-97";#N/A,#N/A,FALSE,"021-97";#N/A,#N/A,FALSE,"022-97";#N/A,#N/A,FALSE,"028-97"}</definedName>
    <definedName name="agua" localSheetId="9" hidden="1">{#N/A,#N/A,FALSE,"GERAL";#N/A,#N/A,FALSE,"012-96";#N/A,#N/A,FALSE,"018-96";#N/A,#N/A,FALSE,"027-96";#N/A,#N/A,FALSE,"059-96";#N/A,#N/A,FALSE,"076-96";#N/A,#N/A,FALSE,"019-97";#N/A,#N/A,FALSE,"021-97";#N/A,#N/A,FALSE,"022-97";#N/A,#N/A,FALSE,"028-97"}</definedName>
    <definedName name="agua" localSheetId="13" hidden="1">{#N/A,#N/A,FALSE,"GERAL";#N/A,#N/A,FALSE,"012-96";#N/A,#N/A,FALSE,"018-96";#N/A,#N/A,FALSE,"027-96";#N/A,#N/A,FALSE,"059-96";#N/A,#N/A,FALSE,"076-96";#N/A,#N/A,FALSE,"019-97";#N/A,#N/A,FALSE,"021-97";#N/A,#N/A,FALSE,"022-97";#N/A,#N/A,FALSE,"028-97"}</definedName>
    <definedName name="agua" localSheetId="0" hidden="1">{#N/A,#N/A,FALSE,"GERAL";#N/A,#N/A,FALSE,"012-96";#N/A,#N/A,FALSE,"018-96";#N/A,#N/A,FALSE,"027-96";#N/A,#N/A,FALSE,"059-96";#N/A,#N/A,FALSE,"076-96";#N/A,#N/A,FALSE,"019-97";#N/A,#N/A,FALSE,"021-97";#N/A,#N/A,FALSE,"022-97";#N/A,#N/A,FALSE,"028-97"}</definedName>
    <definedName name="agua" hidden="1">{#N/A,#N/A,FALSE,"GERAL";#N/A,#N/A,FALSE,"012-96";#N/A,#N/A,FALSE,"018-96";#N/A,#N/A,FALSE,"027-96";#N/A,#N/A,FALSE,"059-96";#N/A,#N/A,FALSE,"076-96";#N/A,#N/A,FALSE,"019-97";#N/A,#N/A,FALSE,"021-97";#N/A,#N/A,FALSE,"022-97";#N/A,#N/A,FALSE,"028-97"}</definedName>
    <definedName name="AH" localSheetId="3" hidden="1">{#N/A,#N/A,FALSE,"CCTV"}</definedName>
    <definedName name="AH" localSheetId="8" hidden="1">{#N/A,#N/A,FALSE,"CCTV"}</definedName>
    <definedName name="AH" localSheetId="2" hidden="1">{#N/A,#N/A,FALSE,"CCTV"}</definedName>
    <definedName name="AH" localSheetId="9" hidden="1">{#N/A,#N/A,FALSE,"CCTV"}</definedName>
    <definedName name="AH" localSheetId="13" hidden="1">{#N/A,#N/A,FALSE,"CCTV"}</definedName>
    <definedName name="AH" localSheetId="0" hidden="1">{#N/A,#N/A,FALSE,"CCTV"}</definedName>
    <definedName name="AH" hidden="1">{#N/A,#N/A,FALSE,"CCTV"}</definedName>
    <definedName name="AITEM" localSheetId="3">#REF!</definedName>
    <definedName name="AITEM" localSheetId="2">#REF!</definedName>
    <definedName name="AITEM">#REF!</definedName>
    <definedName name="Ajudante_Geral" localSheetId="3">#REF!</definedName>
    <definedName name="Ajudante_Geral" localSheetId="2">#REF!</definedName>
    <definedName name="Ajudante_Geral">#REF!</definedName>
    <definedName name="ajudante_mes" localSheetId="3">#REF!</definedName>
    <definedName name="ajudante_mes" localSheetId="2">#REF!</definedName>
    <definedName name="ajudante_mes">#REF!</definedName>
    <definedName name="AL" localSheetId="2">#REF!</definedName>
    <definedName name="AL">#REF!</definedName>
    <definedName name="ALTADUC" localSheetId="2">#REF!</definedName>
    <definedName name="ALTADUC">#REF!</definedName>
    <definedName name="ALTBOMB" localSheetId="2">#REF!</definedName>
    <definedName name="ALTBOMB">#REF!</definedName>
    <definedName name="ALTCAP" localSheetId="2">#REF!</definedName>
    <definedName name="ALTCAP">#REF!</definedName>
    <definedName name="ALTDER" localSheetId="2">#REF!</definedName>
    <definedName name="ALTDER">#REF!</definedName>
    <definedName name="ALTEQUIP" localSheetId="2">#REF!</definedName>
    <definedName name="ALTEQUIP">#REF!</definedName>
    <definedName name="ALTIEQP" localSheetId="2">#REF!</definedName>
    <definedName name="ALTIEQP">#REF!</definedName>
    <definedName name="ALTMUR" localSheetId="2">#REF!</definedName>
    <definedName name="ALTMUR">#REF!</definedName>
    <definedName name="ALTRES10" localSheetId="2">#REF!</definedName>
    <definedName name="ALTRES10">#REF!</definedName>
    <definedName name="ALTRES15" localSheetId="2">#REF!</definedName>
    <definedName name="ALTRES15">#REF!</definedName>
    <definedName name="ALTRES20" localSheetId="2">#REF!</definedName>
    <definedName name="ALTRES20">#REF!</definedName>
    <definedName name="ALTTRANS" localSheetId="2">#REF!</definedName>
    <definedName name="ALTTRANS">#REF!</definedName>
    <definedName name="ALUMÍNIO_2" localSheetId="2">#REF!</definedName>
    <definedName name="ALUMÍNIO_2">#REF!</definedName>
    <definedName name="angelo" localSheetId="4">[2]Geral!#REF!</definedName>
    <definedName name="angelo" localSheetId="2">[2]Geral!#REF!</definedName>
    <definedName name="angelo" localSheetId="13">[2]Geral!#REF!</definedName>
    <definedName name="angelo" localSheetId="0">[2]Geral!#REF!</definedName>
    <definedName name="angelo">[2]Geral!#REF!</definedName>
    <definedName name="anscount" localSheetId="2" hidden="1">3</definedName>
    <definedName name="anscount" localSheetId="0" hidden="1">3</definedName>
    <definedName name="anscount" hidden="1">1</definedName>
    <definedName name="AQE" localSheetId="3" hidden="1">{"'장비'!$A$3:$M$12"}</definedName>
    <definedName name="AQE" localSheetId="8" hidden="1">{"'장비'!$A$3:$M$12"}</definedName>
    <definedName name="AQE" localSheetId="2" hidden="1">{"'장비'!$A$3:$M$12"}</definedName>
    <definedName name="AQE" localSheetId="9" hidden="1">{"'장비'!$A$3:$M$12"}</definedName>
    <definedName name="AQE" localSheetId="13" hidden="1">{"'장비'!$A$3:$M$12"}</definedName>
    <definedName name="AQE" localSheetId="0" hidden="1">{"'장비'!$A$3:$M$12"}</definedName>
    <definedName name="AQE" hidden="1">{"'장비'!$A$3:$M$12"}</definedName>
    <definedName name="AQTEMP1" localSheetId="2">#REF!</definedName>
    <definedName name="AQTEMP1">#REF!</definedName>
    <definedName name="AQTEMP2" localSheetId="2">#REF!</definedName>
    <definedName name="AQTEMP2">#REF!</definedName>
    <definedName name="ArComprimido" localSheetId="3" hidden="1">{"'Estimativa de Lançamento-JAN'!$A$1:$AI$85"}</definedName>
    <definedName name="ArComprimido" localSheetId="8" hidden="1">{"'Estimativa de Lançamento-JAN'!$A$1:$AI$85"}</definedName>
    <definedName name="ArComprimido" localSheetId="2" hidden="1">{"'Estimativa de Lançamento-JAN'!$A$1:$AI$85"}</definedName>
    <definedName name="ArComprimido" localSheetId="9" hidden="1">{"'Estimativa de Lançamento-JAN'!$A$1:$AI$85"}</definedName>
    <definedName name="ArComprimido" localSheetId="13" hidden="1">{"'Estimativa de Lançamento-JAN'!$A$1:$AI$85"}</definedName>
    <definedName name="ArComprimido" localSheetId="0" hidden="1">{"'Estimativa de Lançamento-JAN'!$A$1:$AI$85"}</definedName>
    <definedName name="ArComprimido" hidden="1">{"'Estimativa de Lançamento-JAN'!$A$1:$AI$85"}</definedName>
    <definedName name="area" localSheetId="3" hidden="1">{#N/A,#N/A,FALSE,"Plan1";#N/A,#N/A,FALSE,"Plan2"}</definedName>
    <definedName name="area" localSheetId="8" hidden="1">{#N/A,#N/A,FALSE,"Plan1";#N/A,#N/A,FALSE,"Plan2"}</definedName>
    <definedName name="area" localSheetId="2" hidden="1">{#N/A,#N/A,FALSE,"Plan1";#N/A,#N/A,FALSE,"Plan2"}</definedName>
    <definedName name="area" localSheetId="9" hidden="1">{#N/A,#N/A,FALSE,"Plan1";#N/A,#N/A,FALSE,"Plan2"}</definedName>
    <definedName name="area" localSheetId="13">#REF!</definedName>
    <definedName name="area" localSheetId="0" hidden="1">{#N/A,#N/A,FALSE,"Plan1";#N/A,#N/A,FALSE,"Plan2"}</definedName>
    <definedName name="area">#REF!</definedName>
    <definedName name="área" localSheetId="3">#REF!</definedName>
    <definedName name="área" localSheetId="8">#REF!</definedName>
    <definedName name="área" localSheetId="2">#REF!</definedName>
    <definedName name="área" localSheetId="9">#REF!</definedName>
    <definedName name="área" localSheetId="13">#REF!</definedName>
    <definedName name="área">#REF!</definedName>
    <definedName name="Área_Construída" localSheetId="3">#REF!</definedName>
    <definedName name="Área_Construída" localSheetId="8">#REF!</definedName>
    <definedName name="Área_Construída" localSheetId="2">#REF!</definedName>
    <definedName name="Área_Construída" localSheetId="9">#REF!</definedName>
    <definedName name="Área_Construída" localSheetId="13">#REF!</definedName>
    <definedName name="Área_Construída" localSheetId="0">#REF!</definedName>
    <definedName name="Área_Construída">#REF!</definedName>
    <definedName name="_xlnm.Print_Area" localSheetId="5">CANTEIRO!$A$1:$H$54</definedName>
    <definedName name="_xlnm.Print_Area" localSheetId="3">#REF!</definedName>
    <definedName name="_xlnm.Print_Area" localSheetId="4">EPCs!$A$1:$I$65</definedName>
    <definedName name="_xlnm.Print_Area" localSheetId="8">ESQUADRIAS!$B$5:$I$118</definedName>
    <definedName name="_xlnm.Print_Area" localSheetId="11">'Fundação Rasa'!$A$1:$AC$270</definedName>
    <definedName name="_xlnm.Print_Area" localSheetId="2">#REF!</definedName>
    <definedName name="_xlnm.Print_Area" localSheetId="9">'LOUÇAS E METAIS'!$B$5:$T$50</definedName>
    <definedName name="_xlnm.Print_Area" localSheetId="13">MOBILIÁRIO!$A$1:$I$149</definedName>
    <definedName name="_xlnm.Print_Area" localSheetId="0">Obra!$A$1:$K$80</definedName>
    <definedName name="_xlnm.Print_Area" localSheetId="12">SUPRAESTRUTURA!#REF!</definedName>
    <definedName name="_xlnm.Print_Area">#REF!</definedName>
    <definedName name="Área_impressão_IM" localSheetId="3">#REF!</definedName>
    <definedName name="Área_impressão_IM" localSheetId="8">#REF!</definedName>
    <definedName name="Área_impressão_IM" localSheetId="2">#REF!</definedName>
    <definedName name="Área_impressão_IM" localSheetId="9">#REF!</definedName>
    <definedName name="Área_impressão_IM" localSheetId="13">#REF!</definedName>
    <definedName name="Área_impressão_IM">#REF!</definedName>
    <definedName name="Área_Privativa" localSheetId="3">#REF!</definedName>
    <definedName name="Área_Privativa" localSheetId="8">#REF!</definedName>
    <definedName name="Área_Privativa" localSheetId="2">#REF!</definedName>
    <definedName name="Área_Privativa" localSheetId="9">#REF!</definedName>
    <definedName name="Área_Privativa" localSheetId="13">#REF!</definedName>
    <definedName name="Área_Privativa" localSheetId="0">#REF!</definedName>
    <definedName name="Área_Privativa">#REF!</definedName>
    <definedName name="Área_Terreno" localSheetId="2">#REF!</definedName>
    <definedName name="Área_Terreno" localSheetId="0">#REF!</definedName>
    <definedName name="Área_Terreno">#REF!</definedName>
    <definedName name="area1" localSheetId="2">#REF!</definedName>
    <definedName name="area1">#REF!</definedName>
    <definedName name="Areaimpresso" localSheetId="2">#REF!</definedName>
    <definedName name="Areaimpresso" localSheetId="0">#REF!</definedName>
    <definedName name="Areaimpresso">#REF!</definedName>
    <definedName name="ARM" localSheetId="2">#REF!</definedName>
    <definedName name="ARM">#REF!</definedName>
    <definedName name="ARMABLOCOS" localSheetId="2">#REF!</definedName>
    <definedName name="ARMABLOCOS">#REF!</definedName>
    <definedName name="ARMAÇÃO" localSheetId="2">#REF!</definedName>
    <definedName name="ARMAÇÃO">#REF!</definedName>
    <definedName name="ARQ" localSheetId="2">#REF!</definedName>
    <definedName name="ARQ">#REF!</definedName>
    <definedName name="ARQERR" localSheetId="2">#REF!</definedName>
    <definedName name="ARQERR">#REF!</definedName>
    <definedName name="ARQPLAN" localSheetId="2">#REF!</definedName>
    <definedName name="ARQPLAN">#REF!</definedName>
    <definedName name="ARQT" localSheetId="2">#REF!</definedName>
    <definedName name="ARQT">#REF!</definedName>
    <definedName name="ARQTEMP" localSheetId="2">#REF!</definedName>
    <definedName name="ARQTEMP">#REF!</definedName>
    <definedName name="ARQTXT" localSheetId="2">#REF!</definedName>
    <definedName name="ARQTXT">#REF!</definedName>
    <definedName name="ARTEMP" localSheetId="2">#REF!</definedName>
    <definedName name="ARTEMP">#REF!</definedName>
    <definedName name="AS" localSheetId="2">#REF!</definedName>
    <definedName name="AS">#REF!</definedName>
    <definedName name="AS2DocOpenMode" hidden="1">"AS2DocumentBrowse"</definedName>
    <definedName name="asawe3" localSheetId="3" hidden="1">{#N/A,#N/A,FALSE,"Plan1";#N/A,#N/A,FALSE,"Plan2"}</definedName>
    <definedName name="asawe3" localSheetId="8" hidden="1">{#N/A,#N/A,FALSE,"Plan1";#N/A,#N/A,FALSE,"Plan2"}</definedName>
    <definedName name="asawe3" localSheetId="2" hidden="1">{#N/A,#N/A,FALSE,"Plan1";#N/A,#N/A,FALSE,"Plan2"}</definedName>
    <definedName name="asawe3" localSheetId="9" hidden="1">{#N/A,#N/A,FALSE,"Plan1";#N/A,#N/A,FALSE,"Plan2"}</definedName>
    <definedName name="asawe3" localSheetId="13" hidden="1">{#N/A,#N/A,FALSE,"Plan1";#N/A,#N/A,FALSE,"Plan2"}</definedName>
    <definedName name="asawe3" localSheetId="0" hidden="1">{#N/A,#N/A,FALSE,"Plan1";#N/A,#N/A,FALSE,"Plan2"}</definedName>
    <definedName name="asawe3" hidden="1">{#N/A,#N/A,FALSE,"Plan1";#N/A,#N/A,FALSE,"Plan2"}</definedName>
    <definedName name="as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2" hidden="1">17</definedName>
    <definedName name="asd"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 localSheetId="0" hidden="1">17</definedName>
    <definedName name="as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A" localSheetId="3" hidden="1">{#N/A,#N/A,FALSE,"Plan1";#N/A,#N/A,FALSE,"Plan2"}</definedName>
    <definedName name="ASDA" localSheetId="8" hidden="1">{#N/A,#N/A,FALSE,"Plan1";#N/A,#N/A,FALSE,"Plan2"}</definedName>
    <definedName name="ASDA" localSheetId="2" hidden="1">{#N/A,#N/A,FALSE,"Plan1";#N/A,#N/A,FALSE,"Plan2"}</definedName>
    <definedName name="ASDA" localSheetId="9" hidden="1">{#N/A,#N/A,FALSE,"Plan1";#N/A,#N/A,FALSE,"Plan2"}</definedName>
    <definedName name="ASDA" localSheetId="13" hidden="1">{#N/A,#N/A,FALSE,"Plan1";#N/A,#N/A,FALSE,"Plan2"}</definedName>
    <definedName name="ASDA" localSheetId="0" hidden="1">{#N/A,#N/A,FALSE,"Plan1";#N/A,#N/A,FALSE,"Plan2"}</definedName>
    <definedName name="ASDA" hidden="1">{#N/A,#N/A,FALSE,"Plan1";#N/A,#N/A,FALSE,"Plan2"}</definedName>
    <definedName name="asdade" localSheetId="3" hidden="1">{#N/A,#N/A,FALSE,"Plan1";#N/A,#N/A,FALSE,"Plan2"}</definedName>
    <definedName name="asdade" localSheetId="8" hidden="1">{#N/A,#N/A,FALSE,"Plan1";#N/A,#N/A,FALSE,"Plan2"}</definedName>
    <definedName name="asdade" localSheetId="2" hidden="1">{#N/A,#N/A,FALSE,"Plan1";#N/A,#N/A,FALSE,"Plan2"}</definedName>
    <definedName name="asdade" localSheetId="9" hidden="1">{#N/A,#N/A,FALSE,"Plan1";#N/A,#N/A,FALSE,"Plan2"}</definedName>
    <definedName name="asdade" localSheetId="13" hidden="1">{#N/A,#N/A,FALSE,"Plan1";#N/A,#N/A,FALSE,"Plan2"}</definedName>
    <definedName name="asdade" localSheetId="0" hidden="1">{#N/A,#N/A,FALSE,"Plan1";#N/A,#N/A,FALSE,"Plan2"}</definedName>
    <definedName name="asdade" hidden="1">{#N/A,#N/A,FALSE,"Plan1";#N/A,#N/A,FALSE,"Plan2"}</definedName>
    <definedName name="asdas" localSheetId="3" hidden="1">{#N/A,#N/A,FALSE,"Plan1";#N/A,#N/A,FALSE,"Plan2"}</definedName>
    <definedName name="asdas" localSheetId="8" hidden="1">{#N/A,#N/A,FALSE,"Plan1";#N/A,#N/A,FALSE,"Plan2"}</definedName>
    <definedName name="asdas" localSheetId="2" hidden="1">{#N/A,#N/A,FALSE,"Plan1";#N/A,#N/A,FALSE,"Plan2"}</definedName>
    <definedName name="asdas" localSheetId="9" hidden="1">{#N/A,#N/A,FALSE,"Plan1";#N/A,#N/A,FALSE,"Plan2"}</definedName>
    <definedName name="asdas" localSheetId="13" hidden="1">{#N/A,#N/A,FALSE,"Plan1";#N/A,#N/A,FALSE,"Plan2"}</definedName>
    <definedName name="asdas" localSheetId="0" hidden="1">{#N/A,#N/A,FALSE,"Plan1";#N/A,#N/A,FALSE,"Plan2"}</definedName>
    <definedName name="asdas" hidden="1">{#N/A,#N/A,FALSE,"Plan1";#N/A,#N/A,FALSE,"Plan2"}</definedName>
    <definedName name="asdawed" localSheetId="3" hidden="1">{#N/A,#N/A,FALSE,"Plan1";#N/A,#N/A,FALSE,"Plan2"}</definedName>
    <definedName name="asdawed" localSheetId="8" hidden="1">{#N/A,#N/A,FALSE,"Plan1";#N/A,#N/A,FALSE,"Plan2"}</definedName>
    <definedName name="asdawed" localSheetId="2" hidden="1">{#N/A,#N/A,FALSE,"Plan1";#N/A,#N/A,FALSE,"Plan2"}</definedName>
    <definedName name="asdawed" localSheetId="9" hidden="1">{#N/A,#N/A,FALSE,"Plan1";#N/A,#N/A,FALSE,"Plan2"}</definedName>
    <definedName name="asdawed" localSheetId="13" hidden="1">{#N/A,#N/A,FALSE,"Plan1";#N/A,#N/A,FALSE,"Plan2"}</definedName>
    <definedName name="asdawed" localSheetId="0" hidden="1">{#N/A,#N/A,FALSE,"Plan1";#N/A,#N/A,FALSE,"Plan2"}</definedName>
    <definedName name="asdawed" hidden="1">{#N/A,#N/A,FALSE,"Plan1";#N/A,#N/A,FALSE,"Plan2"}</definedName>
    <definedName name="ASDER" localSheetId="3" hidden="1">{#N/A,#N/A,FALSE,"Plan1";#N/A,#N/A,FALSE,"Plan2"}</definedName>
    <definedName name="ASDER" localSheetId="8" hidden="1">{#N/A,#N/A,FALSE,"Plan1";#N/A,#N/A,FALSE,"Plan2"}</definedName>
    <definedName name="ASDER" localSheetId="2" hidden="1">{#N/A,#N/A,FALSE,"Plan1";#N/A,#N/A,FALSE,"Plan2"}</definedName>
    <definedName name="ASDER" localSheetId="9" hidden="1">{#N/A,#N/A,FALSE,"Plan1";#N/A,#N/A,FALSE,"Plan2"}</definedName>
    <definedName name="ASDER" localSheetId="13" hidden="1">{#N/A,#N/A,FALSE,"Plan1";#N/A,#N/A,FALSE,"Plan2"}</definedName>
    <definedName name="ASDER" localSheetId="0" hidden="1">{#N/A,#N/A,FALSE,"Plan1";#N/A,#N/A,FALSE,"Plan2"}</definedName>
    <definedName name="ASDER" hidden="1">{#N/A,#N/A,FALSE,"Plan1";#N/A,#N/A,FALSE,"Plan2"}</definedName>
    <definedName name="asderr" localSheetId="3" hidden="1">{#N/A,#N/A,FALSE,"Plan1";#N/A,#N/A,FALSE,"Plan2"}</definedName>
    <definedName name="asderr" localSheetId="8" hidden="1">{#N/A,#N/A,FALSE,"Plan1";#N/A,#N/A,FALSE,"Plan2"}</definedName>
    <definedName name="asderr" localSheetId="2" hidden="1">{#N/A,#N/A,FALSE,"Plan1";#N/A,#N/A,FALSE,"Plan2"}</definedName>
    <definedName name="asderr" localSheetId="9" hidden="1">{#N/A,#N/A,FALSE,"Plan1";#N/A,#N/A,FALSE,"Plan2"}</definedName>
    <definedName name="asderr" localSheetId="13" hidden="1">{#N/A,#N/A,FALSE,"Plan1";#N/A,#N/A,FALSE,"Plan2"}</definedName>
    <definedName name="asderr" localSheetId="0" hidden="1">{#N/A,#N/A,FALSE,"Plan1";#N/A,#N/A,FALSE,"Plan2"}</definedName>
    <definedName name="asderr" hidden="1">{#N/A,#N/A,FALSE,"Plan1";#N/A,#N/A,FALSE,"Plan2"}</definedName>
    <definedName name="asdesre" localSheetId="3" hidden="1">{#N/A,#N/A,FALSE,"Plan1";#N/A,#N/A,FALSE,"Plan2"}</definedName>
    <definedName name="asdesre" localSheetId="8" hidden="1">{#N/A,#N/A,FALSE,"Plan1";#N/A,#N/A,FALSE,"Plan2"}</definedName>
    <definedName name="asdesre" localSheetId="2" hidden="1">{#N/A,#N/A,FALSE,"Plan1";#N/A,#N/A,FALSE,"Plan2"}</definedName>
    <definedName name="asdesre" localSheetId="9" hidden="1">{#N/A,#N/A,FALSE,"Plan1";#N/A,#N/A,FALSE,"Plan2"}</definedName>
    <definedName name="asdesre" localSheetId="13" hidden="1">{#N/A,#N/A,FALSE,"Plan1";#N/A,#N/A,FALSE,"Plan2"}</definedName>
    <definedName name="asdesre" localSheetId="0" hidden="1">{#N/A,#N/A,FALSE,"Plan1";#N/A,#N/A,FALSE,"Plan2"}</definedName>
    <definedName name="asdesre" hidden="1">{#N/A,#N/A,FALSE,"Plan1";#N/A,#N/A,FALSE,"Plan2"}</definedName>
    <definedName name="asdewr" localSheetId="3" hidden="1">{#N/A,#N/A,FALSE,"Plan1";#N/A,#N/A,FALSE,"Plan2"}</definedName>
    <definedName name="asdewr" localSheetId="8" hidden="1">{#N/A,#N/A,FALSE,"Plan1";#N/A,#N/A,FALSE,"Plan2"}</definedName>
    <definedName name="asdewr" localSheetId="2" hidden="1">{#N/A,#N/A,FALSE,"Plan1";#N/A,#N/A,FALSE,"Plan2"}</definedName>
    <definedName name="asdewr" localSheetId="9" hidden="1">{#N/A,#N/A,FALSE,"Plan1";#N/A,#N/A,FALSE,"Plan2"}</definedName>
    <definedName name="asdewr" localSheetId="13" hidden="1">{#N/A,#N/A,FALSE,"Plan1";#N/A,#N/A,FALSE,"Plan2"}</definedName>
    <definedName name="asdewr" localSheetId="0" hidden="1">{#N/A,#N/A,FALSE,"Plan1";#N/A,#N/A,FALSE,"Plan2"}</definedName>
    <definedName name="asdewr" hidden="1">{#N/A,#N/A,FALSE,"Plan1";#N/A,#N/A,FALSE,"Plan2"}</definedName>
    <definedName name="ASDFASDFA"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frrtr" hidden="1">{TRUE,TRUE,-1.25,-15.5,604.5,366.75,FALSE,FALSE,TRUE,TRUE,0,1,#N/A,1,#N/A,9.0125,24.4117647058824,1,FALSE,FALSE,3,TRUE,1,FALSE,100,"Swvu.PLANILHA2.","ACwvu.PLANILHA2.",#N/A,FALSE,FALSE,0.787401575,0.34,0.46,0.5,1,"","",FALSE,FALSE,FALSE,FALSE,1,#N/A,1,1,FALSE,FALSE,#N/A,#N/A,FALSE,FALSE,FALSE,9,65532,65532,FALSE,FALSE,TRUE,TRUE,TRUE}</definedName>
    <definedName name="asdfs" localSheetId="3" hidden="1">{#N/A,#N/A,FALSE,"Plan1";#N/A,#N/A,FALSE,"Plan2"}</definedName>
    <definedName name="asdfs" localSheetId="8" hidden="1">{#N/A,#N/A,FALSE,"Plan1";#N/A,#N/A,FALSE,"Plan2"}</definedName>
    <definedName name="asdfs" localSheetId="2" hidden="1">{#N/A,#N/A,FALSE,"Plan1";#N/A,#N/A,FALSE,"Plan2"}</definedName>
    <definedName name="asdfs" localSheetId="9" hidden="1">{#N/A,#N/A,FALSE,"Plan1";#N/A,#N/A,FALSE,"Plan2"}</definedName>
    <definedName name="asdfs" localSheetId="13" hidden="1">{#N/A,#N/A,FALSE,"Plan1";#N/A,#N/A,FALSE,"Plan2"}</definedName>
    <definedName name="asdfs" localSheetId="0" hidden="1">{#N/A,#N/A,FALSE,"Plan1";#N/A,#N/A,FALSE,"Plan2"}</definedName>
    <definedName name="asdfs" hidden="1">{#N/A,#N/A,FALSE,"Plan1";#N/A,#N/A,FALSE,"Plan2"}</definedName>
    <definedName name="asdg" localSheetId="3" hidden="1">{#N/A,#N/A,FALSE,"Plan1";#N/A,#N/A,FALSE,"Plan2"}</definedName>
    <definedName name="asdg" localSheetId="8" hidden="1">{#N/A,#N/A,FALSE,"Plan1";#N/A,#N/A,FALSE,"Plan2"}</definedName>
    <definedName name="asdg" localSheetId="2" hidden="1">{#N/A,#N/A,FALSE,"Plan1";#N/A,#N/A,FALSE,"Plan2"}</definedName>
    <definedName name="asdg" localSheetId="9" hidden="1">{#N/A,#N/A,FALSE,"Plan1";#N/A,#N/A,FALSE,"Plan2"}</definedName>
    <definedName name="asdg" localSheetId="13" hidden="1">{#N/A,#N/A,FALSE,"Plan1";#N/A,#N/A,FALSE,"Plan2"}</definedName>
    <definedName name="asdg" localSheetId="0" hidden="1">{#N/A,#N/A,FALSE,"Plan1";#N/A,#N/A,FALSE,"Plan2"}</definedName>
    <definedName name="asdg" hidden="1">{#N/A,#N/A,FALSE,"Plan1";#N/A,#N/A,FALSE,"Plan2"}</definedName>
    <definedName name="asdjksej" localSheetId="3" hidden="1">#REF!</definedName>
    <definedName name="asdjksej" localSheetId="8" hidden="1">#REF!</definedName>
    <definedName name="asdjksej" localSheetId="2" hidden="1">#REF!</definedName>
    <definedName name="asdjksej" localSheetId="9" hidden="1">#REF!</definedName>
    <definedName name="asdjksej" localSheetId="13" hidden="1">#REF!</definedName>
    <definedName name="asdjksej" localSheetId="0" hidden="1">#REF!</definedName>
    <definedName name="asdjksej" hidden="1">#REF!</definedName>
    <definedName name="asdke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asdked" hidden="1">{TRUE,TRUE,-1.25,-15.5,604.5,366.75,FALSE,FALSE,TRUE,TRUE,0,1,#N/A,1,#N/A,9.0125,24.4117647058824,1,FALSE,FALSE,3,TRUE,1,FALSE,100,"Swvu.PLANILHA2.","ACwvu.PLANILHA2.",#N/A,FALSE,FALSE,0.787401575,0.34,0.46,0.5,1,"","",FALSE,FALSE,FALSE,FALSE,1,#N/A,1,1,FALSE,FALSE,#N/A,#N/A,FALSE,FALSE,FALSE,9,65532,65532,FALSE,FALSE,TRUE,TRUE,TRUE}</definedName>
    <definedName name="asdlas" localSheetId="3" hidden="1">{#N/A,#N/A,FALSE,"Plan1";#N/A,#N/A,FALSE,"Plan2"}</definedName>
    <definedName name="asdlas" localSheetId="8" hidden="1">{#N/A,#N/A,FALSE,"Plan1";#N/A,#N/A,FALSE,"Plan2"}</definedName>
    <definedName name="asdlas" localSheetId="2" hidden="1">{#N/A,#N/A,FALSE,"Plan1";#N/A,#N/A,FALSE,"Plan2"}</definedName>
    <definedName name="asdlas" localSheetId="9" hidden="1">{#N/A,#N/A,FALSE,"Plan1";#N/A,#N/A,FALSE,"Plan2"}</definedName>
    <definedName name="asdlas" localSheetId="13" hidden="1">{#N/A,#N/A,FALSE,"Plan1";#N/A,#N/A,FALSE,"Plan2"}</definedName>
    <definedName name="asdlas" localSheetId="0" hidden="1">{#N/A,#N/A,FALSE,"Plan1";#N/A,#N/A,FALSE,"Plan2"}</definedName>
    <definedName name="asdlas" hidden="1">{#N/A,#N/A,FALSE,"Plan1";#N/A,#N/A,FALSE,"Plan2"}</definedName>
    <definedName name="asdqwe" localSheetId="3" hidden="1">{#N/A,#N/A,FALSE,"Plan1";#N/A,#N/A,FALSE,"Plan2"}</definedName>
    <definedName name="asdqwe" localSheetId="8" hidden="1">{#N/A,#N/A,FALSE,"Plan1";#N/A,#N/A,FALSE,"Plan2"}</definedName>
    <definedName name="asdqwe" localSheetId="2" hidden="1">{#N/A,#N/A,FALSE,"Plan1";#N/A,#N/A,FALSE,"Plan2"}</definedName>
    <definedName name="asdqwe" localSheetId="9" hidden="1">{#N/A,#N/A,FALSE,"Plan1";#N/A,#N/A,FALSE,"Plan2"}</definedName>
    <definedName name="asdqwe" localSheetId="13" hidden="1">{#N/A,#N/A,FALSE,"Plan1";#N/A,#N/A,FALSE,"Plan2"}</definedName>
    <definedName name="asdqwe" localSheetId="0" hidden="1">{#N/A,#N/A,FALSE,"Plan1";#N/A,#N/A,FALSE,"Plan2"}</definedName>
    <definedName name="asdqwe" hidden="1">{#N/A,#N/A,FALSE,"Plan1";#N/A,#N/A,FALSE,"Plan2"}</definedName>
    <definedName name="asdsa" localSheetId="3" hidden="1">{#N/A,#N/A,FALSE,"Plan1";#N/A,#N/A,FALSE,"Plan2"}</definedName>
    <definedName name="asdsa" localSheetId="8" hidden="1">{#N/A,#N/A,FALSE,"Plan1";#N/A,#N/A,FALSE,"Plan2"}</definedName>
    <definedName name="asdsa" localSheetId="2" hidden="1">{#N/A,#N/A,FALSE,"Plan1";#N/A,#N/A,FALSE,"Plan2"}</definedName>
    <definedName name="asdsa" localSheetId="9" hidden="1">{#N/A,#N/A,FALSE,"Plan1";#N/A,#N/A,FALSE,"Plan2"}</definedName>
    <definedName name="asdsa" localSheetId="13" hidden="1">{#N/A,#N/A,FALSE,"Plan1";#N/A,#N/A,FALSE,"Plan2"}</definedName>
    <definedName name="asdsa" localSheetId="0" hidden="1">{#N/A,#N/A,FALSE,"Plan1";#N/A,#N/A,FALSE,"Plan2"}</definedName>
    <definedName name="asdsa" hidden="1">{#N/A,#N/A,FALSE,"Plan1";#N/A,#N/A,FALSE,"Plan2"}</definedName>
    <definedName name="asdser" localSheetId="3" hidden="1">{#N/A,#N/A,FALSE,"Plan1";#N/A,#N/A,FALSE,"Plan2"}</definedName>
    <definedName name="asdser" localSheetId="8" hidden="1">{#N/A,#N/A,FALSE,"Plan1";#N/A,#N/A,FALSE,"Plan2"}</definedName>
    <definedName name="asdser" localSheetId="2" hidden="1">{#N/A,#N/A,FALSE,"Plan1";#N/A,#N/A,FALSE,"Plan2"}</definedName>
    <definedName name="asdser" localSheetId="9" hidden="1">{#N/A,#N/A,FALSE,"Plan1";#N/A,#N/A,FALSE,"Plan2"}</definedName>
    <definedName name="asdser" localSheetId="13" hidden="1">{#N/A,#N/A,FALSE,"Plan1";#N/A,#N/A,FALSE,"Plan2"}</definedName>
    <definedName name="asdser" localSheetId="0" hidden="1">{#N/A,#N/A,FALSE,"Plan1";#N/A,#N/A,FALSE,"Plan2"}</definedName>
    <definedName name="asdser" hidden="1">{#N/A,#N/A,FALSE,"Plan1";#N/A,#N/A,FALSE,"Plan2"}</definedName>
    <definedName name="asdwef" localSheetId="3" hidden="1">{#N/A,#N/A,FALSE,"Plan1";#N/A,#N/A,FALSE,"Plan2"}</definedName>
    <definedName name="asdwef" localSheetId="8" hidden="1">{#N/A,#N/A,FALSE,"Plan1";#N/A,#N/A,FALSE,"Plan2"}</definedName>
    <definedName name="asdwef" localSheetId="2" hidden="1">{#N/A,#N/A,FALSE,"Plan1";#N/A,#N/A,FALSE,"Plan2"}</definedName>
    <definedName name="asdwef" localSheetId="9" hidden="1">{#N/A,#N/A,FALSE,"Plan1";#N/A,#N/A,FALSE,"Plan2"}</definedName>
    <definedName name="asdwef" localSheetId="13" hidden="1">{#N/A,#N/A,FALSE,"Plan1";#N/A,#N/A,FALSE,"Plan2"}</definedName>
    <definedName name="asdwef" localSheetId="0" hidden="1">{#N/A,#N/A,FALSE,"Plan1";#N/A,#N/A,FALSE,"Plan2"}</definedName>
    <definedName name="asdwef" hidden="1">{#N/A,#N/A,FALSE,"Plan1";#N/A,#N/A,FALSE,"Plan2"}</definedName>
    <definedName name="aseiuw" localSheetId="3" hidden="1">#REF!</definedName>
    <definedName name="aseiuw" localSheetId="8" hidden="1">#REF!</definedName>
    <definedName name="aseiuw" localSheetId="2" hidden="1">#REF!</definedName>
    <definedName name="aseiuw" localSheetId="9" hidden="1">#REF!</definedName>
    <definedName name="aseiuw" localSheetId="13" hidden="1">#REF!</definedName>
    <definedName name="aseiuw" localSheetId="0" hidden="1">#REF!</definedName>
    <definedName name="aseiuw" hidden="1">#REF!</definedName>
    <definedName name="ASET" localSheetId="3" hidden="1">{#N/A,#N/A,FALSE,"Plan1";#N/A,#N/A,FALSE,"Plan2"}</definedName>
    <definedName name="ASET" localSheetId="8" hidden="1">{#N/A,#N/A,FALSE,"Plan1";#N/A,#N/A,FALSE,"Plan2"}</definedName>
    <definedName name="ASET" localSheetId="2" hidden="1">{#N/A,#N/A,FALSE,"Plan1";#N/A,#N/A,FALSE,"Plan2"}</definedName>
    <definedName name="ASET" localSheetId="9" hidden="1">{#N/A,#N/A,FALSE,"Plan1";#N/A,#N/A,FALSE,"Plan2"}</definedName>
    <definedName name="ASET" localSheetId="13" hidden="1">{#N/A,#N/A,FALSE,"Plan1";#N/A,#N/A,FALSE,"Plan2"}</definedName>
    <definedName name="ASET" localSheetId="0" hidden="1">{#N/A,#N/A,FALSE,"Plan1";#N/A,#N/A,FALSE,"Plan2"}</definedName>
    <definedName name="ASET" hidden="1">{#N/A,#N/A,FALSE,"Plan1";#N/A,#N/A,FALSE,"Plan2"}</definedName>
    <definedName name="asfDSF" localSheetId="3" hidden="1">{#N/A,#N/A,FALSE,"Plan1";#N/A,#N/A,FALSE,"Plan2"}</definedName>
    <definedName name="asfDSF" localSheetId="8" hidden="1">{#N/A,#N/A,FALSE,"Plan1";#N/A,#N/A,FALSE,"Plan2"}</definedName>
    <definedName name="asfDSF" localSheetId="2" hidden="1">{#N/A,#N/A,FALSE,"Plan1";#N/A,#N/A,FALSE,"Plan2"}</definedName>
    <definedName name="asfDSF" localSheetId="9" hidden="1">{#N/A,#N/A,FALSE,"Plan1";#N/A,#N/A,FALSE,"Plan2"}</definedName>
    <definedName name="asfDSF" localSheetId="13" hidden="1">{#N/A,#N/A,FALSE,"Plan1";#N/A,#N/A,FALSE,"Plan2"}</definedName>
    <definedName name="asfDSF" localSheetId="0" hidden="1">{#N/A,#N/A,FALSE,"Plan1";#N/A,#N/A,FALSE,"Plan2"}</definedName>
    <definedName name="asfDSF" hidden="1">{#N/A,#N/A,FALSE,"Plan1";#N/A,#N/A,FALSE,"Plan2"}</definedName>
    <definedName name="ASFERTE" localSheetId="3" hidden="1">{#N/A,#N/A,FALSE,"Plan1";#N/A,#N/A,FALSE,"Plan2"}</definedName>
    <definedName name="ASFERTE" localSheetId="8" hidden="1">{#N/A,#N/A,FALSE,"Plan1";#N/A,#N/A,FALSE,"Plan2"}</definedName>
    <definedName name="ASFERTE" localSheetId="2" hidden="1">{#N/A,#N/A,FALSE,"Plan1";#N/A,#N/A,FALSE,"Plan2"}</definedName>
    <definedName name="ASFERTE" localSheetId="9" hidden="1">{#N/A,#N/A,FALSE,"Plan1";#N/A,#N/A,FALSE,"Plan2"}</definedName>
    <definedName name="ASFERTE" localSheetId="13" hidden="1">{#N/A,#N/A,FALSE,"Plan1";#N/A,#N/A,FALSE,"Plan2"}</definedName>
    <definedName name="ASFERTE" localSheetId="0" hidden="1">{#N/A,#N/A,FALSE,"Plan1";#N/A,#N/A,FALSE,"Plan2"}</definedName>
    <definedName name="ASFERTE" hidden="1">{#N/A,#N/A,FALSE,"Plan1";#N/A,#N/A,FALSE,"Plan2"}</definedName>
    <definedName name="asfl" localSheetId="3" hidden="1">{#N/A,#N/A,FALSE,"Plan1";#N/A,#N/A,FALSE,"Plan2"}</definedName>
    <definedName name="asfl" localSheetId="8" hidden="1">{#N/A,#N/A,FALSE,"Plan1";#N/A,#N/A,FALSE,"Plan2"}</definedName>
    <definedName name="asfl" localSheetId="2" hidden="1">{#N/A,#N/A,FALSE,"Plan1";#N/A,#N/A,FALSE,"Plan2"}</definedName>
    <definedName name="asfl" localSheetId="9" hidden="1">{#N/A,#N/A,FALSE,"Plan1";#N/A,#N/A,FALSE,"Plan2"}</definedName>
    <definedName name="asfl" localSheetId="13" hidden="1">{#N/A,#N/A,FALSE,"Plan1";#N/A,#N/A,FALSE,"Plan2"}</definedName>
    <definedName name="asfl" localSheetId="0" hidden="1">{#N/A,#N/A,FALSE,"Plan1";#N/A,#N/A,FALSE,"Plan2"}</definedName>
    <definedName name="asfl" hidden="1">{#N/A,#N/A,FALSE,"Plan1";#N/A,#N/A,FALSE,"Plan2"}</definedName>
    <definedName name="asfsz" localSheetId="3" hidden="1">{#N/A,#N/A,FALSE,"Plan1";#N/A,#N/A,FALSE,"Plan2"}</definedName>
    <definedName name="asfsz" localSheetId="8" hidden="1">{#N/A,#N/A,FALSE,"Plan1";#N/A,#N/A,FALSE,"Plan2"}</definedName>
    <definedName name="asfsz" localSheetId="2" hidden="1">{#N/A,#N/A,FALSE,"Plan1";#N/A,#N/A,FALSE,"Plan2"}</definedName>
    <definedName name="asfsz" localSheetId="9" hidden="1">{#N/A,#N/A,FALSE,"Plan1";#N/A,#N/A,FALSE,"Plan2"}</definedName>
    <definedName name="asfsz" localSheetId="13" hidden="1">{#N/A,#N/A,FALSE,"Plan1";#N/A,#N/A,FALSE,"Plan2"}</definedName>
    <definedName name="asfsz" localSheetId="0" hidden="1">{#N/A,#N/A,FALSE,"Plan1";#N/A,#N/A,FALSE,"Plan2"}</definedName>
    <definedName name="asfsz" hidden="1">{#N/A,#N/A,FALSE,"Plan1";#N/A,#N/A,FALSE,"Plan2"}</definedName>
    <definedName name="askserf" localSheetId="3" hidden="1">{#N/A,#N/A,FALSE,"Plan1";#N/A,#N/A,FALSE,"Plan2"}</definedName>
    <definedName name="askserf" localSheetId="8" hidden="1">{#N/A,#N/A,FALSE,"Plan1";#N/A,#N/A,FALSE,"Plan2"}</definedName>
    <definedName name="askserf" localSheetId="2" hidden="1">{#N/A,#N/A,FALSE,"Plan1";#N/A,#N/A,FALSE,"Plan2"}</definedName>
    <definedName name="askserf" localSheetId="9" hidden="1">{#N/A,#N/A,FALSE,"Plan1";#N/A,#N/A,FALSE,"Plan2"}</definedName>
    <definedName name="askserf" localSheetId="13" hidden="1">{#N/A,#N/A,FALSE,"Plan1";#N/A,#N/A,FALSE,"Plan2"}</definedName>
    <definedName name="askserf" localSheetId="0" hidden="1">{#N/A,#N/A,FALSE,"Plan1";#N/A,#N/A,FALSE,"Plan2"}</definedName>
    <definedName name="askserf" hidden="1">{#N/A,#N/A,FALSE,"Plan1";#N/A,#N/A,FALSE,"Plan2"}</definedName>
    <definedName name="ASSFSDF" localSheetId="3" hidden="1">{#N/A,#N/A,FALSE,"Plan1";#N/A,#N/A,FALSE,"Plan2"}</definedName>
    <definedName name="ASSFSDF" localSheetId="8" hidden="1">{#N/A,#N/A,FALSE,"Plan1";#N/A,#N/A,FALSE,"Plan2"}</definedName>
    <definedName name="ASSFSDF" localSheetId="2" hidden="1">{#N/A,#N/A,FALSE,"Plan1";#N/A,#N/A,FALSE,"Plan2"}</definedName>
    <definedName name="ASSFSDF" localSheetId="9" hidden="1">{#N/A,#N/A,FALSE,"Plan1";#N/A,#N/A,FALSE,"Plan2"}</definedName>
    <definedName name="ASSFSDF" localSheetId="13" hidden="1">{#N/A,#N/A,FALSE,"Plan1";#N/A,#N/A,FALSE,"Plan2"}</definedName>
    <definedName name="ASSFSDF" localSheetId="0" hidden="1">{#N/A,#N/A,FALSE,"Plan1";#N/A,#N/A,FALSE,"Plan2"}</definedName>
    <definedName name="ASSFSDF" hidden="1">{#N/A,#N/A,FALSE,"Plan1";#N/A,#N/A,FALSE,"Plan2"}</definedName>
    <definedName name="asw" localSheetId="3" hidden="1">{#N/A,#N/A,FALSE,"Plan1";#N/A,#N/A,FALSE,"Plan2"}</definedName>
    <definedName name="asw" localSheetId="8" hidden="1">{#N/A,#N/A,FALSE,"Plan1";#N/A,#N/A,FALSE,"Plan2"}</definedName>
    <definedName name="asw" localSheetId="2" hidden="1">{#N/A,#N/A,FALSE,"Plan1";#N/A,#N/A,FALSE,"Plan2"}</definedName>
    <definedName name="asw" localSheetId="9" hidden="1">{#N/A,#N/A,FALSE,"Plan1";#N/A,#N/A,FALSE,"Plan2"}</definedName>
    <definedName name="asw" localSheetId="13" hidden="1">{#N/A,#N/A,FALSE,"Plan1";#N/A,#N/A,FALSE,"Plan2"}</definedName>
    <definedName name="asw" localSheetId="0" hidden="1">{#N/A,#N/A,FALSE,"Plan1";#N/A,#N/A,FALSE,"Plan2"}</definedName>
    <definedName name="asw" hidden="1">{#N/A,#N/A,FALSE,"Plan1";#N/A,#N/A,FALSE,"Plan2"}</definedName>
    <definedName name="Até_Chaves" localSheetId="3">#REF!</definedName>
    <definedName name="Até_Chaves" localSheetId="2">#REF!</definedName>
    <definedName name="Até_Chaves">#REF!</definedName>
    <definedName name="ATIVOS" localSheetId="3" hidden="1">{#N/A,#N/A,FALSE,"F-01"}</definedName>
    <definedName name="ATIVOS" localSheetId="8" hidden="1">{#N/A,#N/A,FALSE,"F-01"}</definedName>
    <definedName name="ATIVOS" localSheetId="2" hidden="1">{#N/A,#N/A,FALSE,"F-01"}</definedName>
    <definedName name="ATIVOS" localSheetId="9" hidden="1">{#N/A,#N/A,FALSE,"F-01"}</definedName>
    <definedName name="ATIVOS" localSheetId="13" hidden="1">{#N/A,#N/A,FALSE,"F-01"}</definedName>
    <definedName name="ATIVOS" localSheetId="0" hidden="1">{#N/A,#N/A,FALSE,"F-01"}</definedName>
    <definedName name="ATIVOS" hidden="1">{#N/A,#N/A,FALSE,"F-01"}</definedName>
    <definedName name="Ato" localSheetId="3">#REF!</definedName>
    <definedName name="Ato" localSheetId="2">#REF!</definedName>
    <definedName name="Ato">#REF!</definedName>
    <definedName name="ATUAL" localSheetId="3">#REF!</definedName>
    <definedName name="ATUAL" localSheetId="2">#REF!</definedName>
    <definedName name="ATUAL">#REF!</definedName>
    <definedName name="aux" localSheetId="4">#REF!</definedName>
    <definedName name="aux" localSheetId="2">#REF!</definedName>
    <definedName name="aux" localSheetId="13">#REF!</definedName>
    <definedName name="aux" localSheetId="0">#REF!</definedName>
    <definedName name="aux">#REF!</definedName>
    <definedName name="AUXILIO" localSheetId="2">#REF!</definedName>
    <definedName name="AUXILIO">#REF!</definedName>
    <definedName name="avulsos" localSheetId="2">#REF!</definedName>
    <definedName name="avulsos">#REF!</definedName>
    <definedName name="awdjw" localSheetId="3" hidden="1">{#N/A,#N/A,FALSE,"Plan1";#N/A,#N/A,FALSE,"Plan2"}</definedName>
    <definedName name="awdjw" localSheetId="8" hidden="1">{#N/A,#N/A,FALSE,"Plan1";#N/A,#N/A,FALSE,"Plan2"}</definedName>
    <definedName name="awdjw" localSheetId="2" hidden="1">{#N/A,#N/A,FALSE,"Plan1";#N/A,#N/A,FALSE,"Plan2"}</definedName>
    <definedName name="awdjw" localSheetId="9" hidden="1">{#N/A,#N/A,FALSE,"Plan1";#N/A,#N/A,FALSE,"Plan2"}</definedName>
    <definedName name="awdjw" localSheetId="13" hidden="1">{#N/A,#N/A,FALSE,"Plan1";#N/A,#N/A,FALSE,"Plan2"}</definedName>
    <definedName name="awdjw" localSheetId="0" hidden="1">{#N/A,#N/A,FALSE,"Plan1";#N/A,#N/A,FALSE,"Plan2"}</definedName>
    <definedName name="awdjw" hidden="1">{#N/A,#N/A,FALSE,"Plan1";#N/A,#N/A,FALSE,"Plan2"}</definedName>
    <definedName name="aweqw4" localSheetId="3" hidden="1">{#N/A,#N/A,FALSE,"Plan1";#N/A,#N/A,FALSE,"Plan2"}</definedName>
    <definedName name="aweqw4" localSheetId="8" hidden="1">{#N/A,#N/A,FALSE,"Plan1";#N/A,#N/A,FALSE,"Plan2"}</definedName>
    <definedName name="aweqw4" localSheetId="2" hidden="1">{#N/A,#N/A,FALSE,"Plan1";#N/A,#N/A,FALSE,"Plan2"}</definedName>
    <definedName name="aweqw4" localSheetId="9" hidden="1">{#N/A,#N/A,FALSE,"Plan1";#N/A,#N/A,FALSE,"Plan2"}</definedName>
    <definedName name="aweqw4" localSheetId="13" hidden="1">{#N/A,#N/A,FALSE,"Plan1";#N/A,#N/A,FALSE,"Plan2"}</definedName>
    <definedName name="aweqw4" localSheetId="0" hidden="1">{#N/A,#N/A,FALSE,"Plan1";#N/A,#N/A,FALSE,"Plan2"}</definedName>
    <definedName name="aweqw4" hidden="1">{#N/A,#N/A,FALSE,"Plan1";#N/A,#N/A,FALSE,"Plan2"}</definedName>
    <definedName name="awssdwaer" localSheetId="3" hidden="1">{#N/A,#N/A,FALSE,"Plan1";#N/A,#N/A,FALSE,"Plan2"}</definedName>
    <definedName name="awssdwaer" localSheetId="8" hidden="1">{#N/A,#N/A,FALSE,"Plan1";#N/A,#N/A,FALSE,"Plan2"}</definedName>
    <definedName name="awssdwaer" localSheetId="2" hidden="1">{#N/A,#N/A,FALSE,"Plan1";#N/A,#N/A,FALSE,"Plan2"}</definedName>
    <definedName name="awssdwaer" localSheetId="9" hidden="1">{#N/A,#N/A,FALSE,"Plan1";#N/A,#N/A,FALSE,"Plan2"}</definedName>
    <definedName name="awssdwaer" localSheetId="13" hidden="1">{#N/A,#N/A,FALSE,"Plan1";#N/A,#N/A,FALSE,"Plan2"}</definedName>
    <definedName name="awssdwaer" localSheetId="0" hidden="1">{#N/A,#N/A,FALSE,"Plan1";#N/A,#N/A,FALSE,"Plan2"}</definedName>
    <definedName name="awssdwaer" hidden="1">{#N/A,#N/A,FALSE,"Plan1";#N/A,#N/A,FALSE,"Plan2"}</definedName>
    <definedName name="AZ" localSheetId="3" hidden="1">#REF!</definedName>
    <definedName name="AZ" localSheetId="8" hidden="1">#REF!</definedName>
    <definedName name="AZ" localSheetId="2" hidden="1">#REF!</definedName>
    <definedName name="AZ" localSheetId="9" hidden="1">#REF!</definedName>
    <definedName name="AZ" localSheetId="13" hidden="1">#REF!</definedName>
    <definedName name="AZ" localSheetId="0" hidden="1">#REF!</definedName>
    <definedName name="AZ" hidden="1">#REF!</definedName>
    <definedName name="b" localSheetId="3" hidden="1">{#N/A,#N/A,FALSE,"Plan1";#N/A,#N/A,FALSE,"Plan2"}</definedName>
    <definedName name="b" localSheetId="8" hidden="1">{#N/A,#N/A,FALSE,"Plan1";#N/A,#N/A,FALSE,"Plan2"}</definedName>
    <definedName name="B" localSheetId="2">#REF!</definedName>
    <definedName name="b" localSheetId="9" hidden="1">{#N/A,#N/A,FALSE,"Plan1";#N/A,#N/A,FALSE,"Plan2"}</definedName>
    <definedName name="b" localSheetId="13" hidden="1">{#N/A,#N/A,FALSE,"Plan1";#N/A,#N/A,FALSE,"Plan2"}</definedName>
    <definedName name="b" localSheetId="0" hidden="1">{#N/A,#N/A,FALSE,"Plan1";#N/A,#N/A,FALSE,"Plan2"}</definedName>
    <definedName name="b" hidden="1">{#N/A,#N/A,FALSE,"Plan1";#N/A,#N/A,FALSE,"Plan2"}</definedName>
    <definedName name="BA" localSheetId="3">#REF!</definedName>
    <definedName name="BA" localSheetId="2">#REF!</definedName>
    <definedName name="BA">#REF!</definedName>
    <definedName name="balão1">"AutoForma 17"</definedName>
    <definedName name="BANCO" localSheetId="3">#REF!</definedName>
    <definedName name="BANCO" localSheetId="2">#REF!</definedName>
    <definedName name="BANCO">#REF!</definedName>
    <definedName name="Banco_dados_IM" localSheetId="3">#REF!</definedName>
    <definedName name="Banco_dados_IM" localSheetId="2">#REF!</definedName>
    <definedName name="Banco_dados_IM">#REF!</definedName>
    <definedName name="_xlnm.Database" localSheetId="3">#REF!</definedName>
    <definedName name="_xlnm.Database" localSheetId="2">#REF!</definedName>
    <definedName name="_xlnm.Database">#REF!</definedName>
    <definedName name="BANCO1" localSheetId="2">#REF!</definedName>
    <definedName name="BANCO1">#REF!</definedName>
    <definedName name="BANCO2" localSheetId="2">#REF!</definedName>
    <definedName name="BANCO2">#REF!</definedName>
    <definedName name="BANCO3" localSheetId="2">#REF!</definedName>
    <definedName name="BANCO3">#REF!</definedName>
    <definedName name="BANCO4" localSheetId="2">#REF!</definedName>
    <definedName name="BANCO4">#REF!</definedName>
    <definedName name="BASE" localSheetId="3">OFFSET(#REF!,0,0,COUNTA(#REF!)+1,5)</definedName>
    <definedName name="BASE" localSheetId="2">OFFSET(#REF!,0,0,COUNTA(#REF!)+1,5)</definedName>
    <definedName name="BASE">OFFSET(#REF!,0,0,COUNTA(#REF!)+1,5)</definedName>
    <definedName name="BASE_DE_DADOS_FLUXO_DE_CAIXA" localSheetId="2">OFFSET(#REF!,0,0,COUNTA(#REF!),COUNTA(#REF!))</definedName>
    <definedName name="BASE_DE_DADOS_FLUXO_DE_CAIXA">OFFSET(#REF!,0,0,COUNTA(#REF!),COUNTA(#REF!))</definedName>
    <definedName name="BASE_FL_CX_3S" localSheetId="2">OFFSET(#REF!,0,0,COUNTA(#REF!),COUNTA(#REF!))</definedName>
    <definedName name="BASE_FL_CX_3S">OFFSET(#REF!,0,0,COUNTA(#REF!),COUNTA(#REF!))</definedName>
    <definedName name="BASE_FLUXO_CAIXA_2017" localSheetId="2">OFFSET(#REF!,0,0,COUNTA(#REF!),COUNTA(#REF!))</definedName>
    <definedName name="BASE_FLUXO_CAIXA_2017">OFFSET(#REF!,0,0,COUNTA(#REF!),COUNTA(#REF!))</definedName>
    <definedName name="bb" localSheetId="3">#REF!</definedName>
    <definedName name="bb" localSheetId="2">#REF!</definedName>
    <definedName name="bb">#REF!</definedName>
    <definedName name="bbb" localSheetId="3">#REF!</definedName>
    <definedName name="bbb" localSheetId="2">#REF!</definedName>
    <definedName name="bbb">#REF!</definedName>
    <definedName name="bbbbbbbbbbbbbbb" localSheetId="3" hidden="1">{"'Edit'!$A$1:$V$2277"}</definedName>
    <definedName name="bbbbbbbbbbbbbbb" localSheetId="8" hidden="1">{"'Edit'!$A$1:$V$2277"}</definedName>
    <definedName name="bbbbbbbbbbbbbbb" localSheetId="2" hidden="1">{"'Edit'!$A$1:$V$2277"}</definedName>
    <definedName name="bbbbbbbbbbbbbbb" localSheetId="9" hidden="1">{"'Edit'!$A$1:$V$2277"}</definedName>
    <definedName name="bbbbbbbbbbbbbbb" localSheetId="13" hidden="1">{"'Edit'!$A$1:$V$2277"}</definedName>
    <definedName name="bbbbbbbbbbbbbbb" localSheetId="0" hidden="1">{"'Edit'!$A$1:$V$2277"}</definedName>
    <definedName name="bbbbbbbbbbbbbbb" hidden="1">{"'Edit'!$A$1:$V$2277"}</definedName>
    <definedName name="bchar10" hidden="1">#REF!</definedName>
    <definedName name="bchart1" hidden="1">#REF!</definedName>
    <definedName name="bchart11" hidden="1">#REF!</definedName>
    <definedName name="bchart12" hidden="1">#REF!</definedName>
    <definedName name="bchart13" hidden="1">#REF!</definedName>
    <definedName name="bchart14" hidden="1">#REF!</definedName>
    <definedName name="bchart15" hidden="1">#REF!</definedName>
    <definedName name="bchart16" hidden="1">#REF!</definedName>
    <definedName name="bchart17" hidden="1">#REF!</definedName>
    <definedName name="bchart18" hidden="1">#REF!</definedName>
    <definedName name="bchart19" hidden="1">#REF!</definedName>
    <definedName name="bchart2" hidden="1">#REF!</definedName>
    <definedName name="bchart20" hidden="1">#REF!</definedName>
    <definedName name="bchart21" hidden="1">#REF!</definedName>
    <definedName name="bchart22" hidden="1">#REF!</definedName>
    <definedName name="bchart23" hidden="1">#REF!</definedName>
    <definedName name="bchart24" hidden="1">#REF!</definedName>
    <definedName name="bchart25" hidden="1">#REF!</definedName>
    <definedName name="bchart26" hidden="1">#REF!</definedName>
    <definedName name="bchart27" hidden="1">#REF!</definedName>
    <definedName name="bchart28" hidden="1">#REF!</definedName>
    <definedName name="bchart29" hidden="1">#REF!</definedName>
    <definedName name="bchart3" hidden="1">#REF!</definedName>
    <definedName name="bchart30" hidden="1">#REF!</definedName>
    <definedName name="bchart31" hidden="1">#REF!</definedName>
    <definedName name="bchart32" hidden="1">#REF!</definedName>
    <definedName name="bchart4" hidden="1">#REF!</definedName>
    <definedName name="bchart5" hidden="1">#REF!</definedName>
    <definedName name="bchart6" hidden="1">#REF!</definedName>
    <definedName name="bchart7" hidden="1">#REF!</definedName>
    <definedName name="bchart8" hidden="1">#REF!</definedName>
    <definedName name="bchart9" hidden="1">#REF!</definedName>
    <definedName name="BD" localSheetId="2">#REF!</definedName>
    <definedName name="BD">#REF!</definedName>
    <definedName name="BDA" localSheetId="4">#REF!</definedName>
    <definedName name="BDA" localSheetId="2">#REF!</definedName>
    <definedName name="BDA" localSheetId="13">#REF!</definedName>
    <definedName name="BDA" localSheetId="0">#REF!</definedName>
    <definedName name="BDA">#REF!</definedName>
    <definedName name="bdfjghf" localSheetId="3" hidden="1">{#N/A,#N/A,FALSE,"Plan1";#N/A,#N/A,FALSE,"Plan2"}</definedName>
    <definedName name="bdfjghf" localSheetId="8" hidden="1">{#N/A,#N/A,FALSE,"Plan1";#N/A,#N/A,FALSE,"Plan2"}</definedName>
    <definedName name="bdfjghf" localSheetId="2" hidden="1">{#N/A,#N/A,FALSE,"Plan1";#N/A,#N/A,FALSE,"Plan2"}</definedName>
    <definedName name="bdfjghf" localSheetId="9" hidden="1">{#N/A,#N/A,FALSE,"Plan1";#N/A,#N/A,FALSE,"Plan2"}</definedName>
    <definedName name="bdfjghf" localSheetId="13" hidden="1">{#N/A,#N/A,FALSE,"Plan1";#N/A,#N/A,FALSE,"Plan2"}</definedName>
    <definedName name="bdfjghf" localSheetId="0" hidden="1">{#N/A,#N/A,FALSE,"Plan1";#N/A,#N/A,FALSE,"Plan2"}</definedName>
    <definedName name="bdfjghf" hidden="1">{#N/A,#N/A,FALSE,"Plan1";#N/A,#N/A,FALSE,"Plan2"}</definedName>
    <definedName name="BDI" localSheetId="3">#REF!</definedName>
    <definedName name="BDI" localSheetId="4">#REF!</definedName>
    <definedName name="BDI" localSheetId="8">#REF!</definedName>
    <definedName name="BDI" localSheetId="2">#REF!</definedName>
    <definedName name="BDI" localSheetId="9">#REF!</definedName>
    <definedName name="BDI" localSheetId="13">#REF!</definedName>
    <definedName name="BDI" localSheetId="0">#REF!</definedName>
    <definedName name="BDI">#REF!</definedName>
    <definedName name="bdzbfbdr" localSheetId="3" hidden="1">{#N/A,#N/A,FALSE,"Plan1";#N/A,#N/A,FALSE,"Plan2"}</definedName>
    <definedName name="bdzbfbdr" localSheetId="8" hidden="1">{#N/A,#N/A,FALSE,"Plan1";#N/A,#N/A,FALSE,"Plan2"}</definedName>
    <definedName name="bdzbfbdr" localSheetId="2" hidden="1">{#N/A,#N/A,FALSE,"Plan1";#N/A,#N/A,FALSE,"Plan2"}</definedName>
    <definedName name="bdzbfbdr" localSheetId="9" hidden="1">{#N/A,#N/A,FALSE,"Plan1";#N/A,#N/A,FALSE,"Plan2"}</definedName>
    <definedName name="bdzbfbdr" localSheetId="13" hidden="1">{#N/A,#N/A,FALSE,"Plan1";#N/A,#N/A,FALSE,"Plan2"}</definedName>
    <definedName name="bdzbfbdr" localSheetId="0" hidden="1">{#N/A,#N/A,FALSE,"Plan1";#N/A,#N/A,FALSE,"Plan2"}</definedName>
    <definedName name="bdzbfbdr" hidden="1">{#N/A,#N/A,FALSE,"Plan1";#N/A,#N/A,FALSE,"Plan2"}</definedName>
    <definedName name="be" localSheetId="3">#REF!</definedName>
    <definedName name="be" localSheetId="2">#REF!</definedName>
    <definedName name="be">#REF!</definedName>
    <definedName name="bebqt" localSheetId="3">#REF!</definedName>
    <definedName name="bebqt" localSheetId="2">#REF!</definedName>
    <definedName name="bebqt">#REF!</definedName>
    <definedName name="bela_cdi" localSheetId="3">#REF!</definedName>
    <definedName name="bela_cdi" localSheetId="2">#REF!</definedName>
    <definedName name="bela_cdi">#REF!</definedName>
    <definedName name="bela_hist" localSheetId="2">#REF!</definedName>
    <definedName name="bela_hist">#REF!</definedName>
    <definedName name="bela_uss" localSheetId="2">#REF!</definedName>
    <definedName name="bela_uss">#REF!</definedName>
    <definedName name="bg" localSheetId="0" hidden="1">#REF!</definedName>
    <definedName name="bg" hidden="1">#REF!</definedName>
    <definedName name="BGG" localSheetId="3" hidden="1">{#N/A,#N/A,FALSE,"Plan1";#N/A,#N/A,FALSE,"Plan2"}</definedName>
    <definedName name="BGG" localSheetId="8" hidden="1">{#N/A,#N/A,FALSE,"Plan1";#N/A,#N/A,FALSE,"Plan2"}</definedName>
    <definedName name="BGG" localSheetId="2" hidden="1">{#N/A,#N/A,FALSE,"Plan1";#N/A,#N/A,FALSE,"Plan2"}</definedName>
    <definedName name="BGG" localSheetId="9" hidden="1">{#N/A,#N/A,FALSE,"Plan1";#N/A,#N/A,FALSE,"Plan2"}</definedName>
    <definedName name="BGG" localSheetId="13" hidden="1">{#N/A,#N/A,FALSE,"Plan1";#N/A,#N/A,FALSE,"Plan2"}</definedName>
    <definedName name="BGG" localSheetId="0" hidden="1">{#N/A,#N/A,FALSE,"Plan1";#N/A,#N/A,FALSE,"Plan2"}</definedName>
    <definedName name="BGG" hidden="1">{#N/A,#N/A,FALSE,"Plan1";#N/A,#N/A,FALSE,"Plan2"}</definedName>
    <definedName name="bhjgfhfh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hjgfhfhg"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BJG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BJGO" hidden="1">{TRUE,TRUE,-1.25,-15.5,604.5,366.75,FALSE,FALSE,TRUE,TRUE,0,1,#N/A,1,#N/A,9.0125,24.4117647058824,1,FALSE,FALSE,3,TRUE,1,FALSE,100,"Swvu.PLANILHA2.","ACwvu.PLANILHA2.",#N/A,FALSE,FALSE,0.787401575,0.34,0.46,0.5,1,"","",FALSE,FALSE,FALSE,FALSE,1,#N/A,1,1,FALSE,FALSE,#N/A,#N/A,FALSE,FALSE,FALSE,9,65532,65532,FALSE,FALSE,TRUE,TRUE,TRUE}</definedName>
    <definedName name="BJSDKHFE" localSheetId="3" hidden="1">{#N/A,#N/A,FALSE,"Plan1";#N/A,#N/A,FALSE,"Plan2"}</definedName>
    <definedName name="BJSDKHFE" localSheetId="8" hidden="1">{#N/A,#N/A,FALSE,"Plan1";#N/A,#N/A,FALSE,"Plan2"}</definedName>
    <definedName name="BJSDKHFE" localSheetId="2" hidden="1">{#N/A,#N/A,FALSE,"Plan1";#N/A,#N/A,FALSE,"Plan2"}</definedName>
    <definedName name="BJSDKHFE" localSheetId="9" hidden="1">{#N/A,#N/A,FALSE,"Plan1";#N/A,#N/A,FALSE,"Plan2"}</definedName>
    <definedName name="BJSDKHFE" localSheetId="13" hidden="1">{#N/A,#N/A,FALSE,"Plan1";#N/A,#N/A,FALSE,"Plan2"}</definedName>
    <definedName name="BJSDKHFE" localSheetId="0" hidden="1">{#N/A,#N/A,FALSE,"Plan1";#N/A,#N/A,FALSE,"Plan2"}</definedName>
    <definedName name="BJSDKHFE" hidden="1">{#N/A,#N/A,FALSE,"Plan1";#N/A,#N/A,FALSE,"Plan2"}</definedName>
    <definedName name="bloco" localSheetId="3">#REF!</definedName>
    <definedName name="bloco" localSheetId="2">#REF!</definedName>
    <definedName name="bloco">#REF!</definedName>
    <definedName name="BLPH1" localSheetId="3" hidden="1">#REF!</definedName>
    <definedName name="BLPH1" localSheetId="8" hidden="1">#REF!</definedName>
    <definedName name="BLPH1" localSheetId="2" hidden="1">#REF!</definedName>
    <definedName name="BLPH1" localSheetId="9" hidden="1">#REF!</definedName>
    <definedName name="BLPH1" localSheetId="13" hidden="1">#REF!</definedName>
    <definedName name="BLPH1" localSheetId="0" hidden="1">#REF!</definedName>
    <definedName name="BLPH1" hidden="1">#REF!</definedName>
    <definedName name="BLPH100" localSheetId="2" hidden="1">#REF!</definedName>
    <definedName name="BLPH100" localSheetId="0" hidden="1">#REF!</definedName>
    <definedName name="BLPH100" hidden="1">#REF!</definedName>
    <definedName name="BLPH101" localSheetId="2" hidden="1">#REF!</definedName>
    <definedName name="BLPH101" localSheetId="0" hidden="1">#REF!</definedName>
    <definedName name="BLPH101" hidden="1">#REF!</definedName>
    <definedName name="BLPH102" localSheetId="2" hidden="1">#REF!</definedName>
    <definedName name="BLPH102" localSheetId="0" hidden="1">#REF!</definedName>
    <definedName name="BLPH102" hidden="1">#REF!</definedName>
    <definedName name="BLPH103" localSheetId="2" hidden="1">#REF!</definedName>
    <definedName name="BLPH103" localSheetId="0" hidden="1">#REF!</definedName>
    <definedName name="BLPH103" hidden="1">#REF!</definedName>
    <definedName name="BLPH104" localSheetId="2" hidden="1">#REF!</definedName>
    <definedName name="BLPH104" localSheetId="0" hidden="1">#REF!</definedName>
    <definedName name="BLPH104" hidden="1">#REF!</definedName>
    <definedName name="BLPH107"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6" localSheetId="2" hidden="1">#REF!</definedName>
    <definedName name="BLPH96" localSheetId="0" hidden="1">#REF!</definedName>
    <definedName name="BLPH96" hidden="1">#REF!</definedName>
    <definedName name="BLPH97" localSheetId="2" hidden="1">#REF!</definedName>
    <definedName name="BLPH97" localSheetId="0" hidden="1">#REF!</definedName>
    <definedName name="BLPH97" hidden="1">#REF!</definedName>
    <definedName name="BLPH98" localSheetId="2" hidden="1">#REF!</definedName>
    <definedName name="BLPH98" localSheetId="0" hidden="1">#REF!</definedName>
    <definedName name="BLPH98" hidden="1">#REF!</definedName>
    <definedName name="BLPH99" localSheetId="2" hidden="1">#REF!</definedName>
    <definedName name="BLPH99" localSheetId="0" hidden="1">#REF!</definedName>
    <definedName name="BLPH99" hidden="1">#REF!</definedName>
    <definedName name="bmdgghrtfde" localSheetId="3" hidden="1">{#N/A,#N/A,FALSE,"Plan1";#N/A,#N/A,FALSE,"Plan2"}</definedName>
    <definedName name="bmdgghrtfde" localSheetId="8" hidden="1">{#N/A,#N/A,FALSE,"Plan1";#N/A,#N/A,FALSE,"Plan2"}</definedName>
    <definedName name="bmdgghrtfde" localSheetId="2" hidden="1">{#N/A,#N/A,FALSE,"Plan1";#N/A,#N/A,FALSE,"Plan2"}</definedName>
    <definedName name="bmdgghrtfde" localSheetId="9" hidden="1">{#N/A,#N/A,FALSE,"Plan1";#N/A,#N/A,FALSE,"Plan2"}</definedName>
    <definedName name="bmdgghrtfde" localSheetId="13" hidden="1">{#N/A,#N/A,FALSE,"Plan1";#N/A,#N/A,FALSE,"Plan2"}</definedName>
    <definedName name="bmdgghrtfde" localSheetId="0" hidden="1">{#N/A,#N/A,FALSE,"Plan1";#N/A,#N/A,FALSE,"Plan2"}</definedName>
    <definedName name="bmdgghrtfde" hidden="1">{#N/A,#N/A,FALSE,"Plan1";#N/A,#N/A,FALSE,"Plan2"}</definedName>
    <definedName name="bnkjhjhdfxgt" localSheetId="3" hidden="1">{#N/A,#N/A,FALSE,"Plan1";#N/A,#N/A,FALSE,"Plan2"}</definedName>
    <definedName name="bnkjhjhdfxgt" localSheetId="8" hidden="1">{#N/A,#N/A,FALSE,"Plan1";#N/A,#N/A,FALSE,"Plan2"}</definedName>
    <definedName name="bnkjhjhdfxgt" localSheetId="2" hidden="1">{#N/A,#N/A,FALSE,"Plan1";#N/A,#N/A,FALSE,"Plan2"}</definedName>
    <definedName name="bnkjhjhdfxgt" localSheetId="9" hidden="1">{#N/A,#N/A,FALSE,"Plan1";#N/A,#N/A,FALSE,"Plan2"}</definedName>
    <definedName name="bnkjhjhdfxgt" localSheetId="13" hidden="1">{#N/A,#N/A,FALSE,"Plan1";#N/A,#N/A,FALSE,"Plan2"}</definedName>
    <definedName name="bnkjhjhdfxgt" localSheetId="0" hidden="1">{#N/A,#N/A,FALSE,"Plan1";#N/A,#N/A,FALSE,"Plan2"}</definedName>
    <definedName name="bnkjhjhdfxgt" hidden="1">{#N/A,#N/A,FALSE,"Plan1";#N/A,#N/A,FALSE,"Plan2"}</definedName>
    <definedName name="BORBA2" localSheetId="3">#REF!</definedName>
    <definedName name="BORBA2" localSheetId="2">#REF!</definedName>
    <definedName name="BORBA2">#REF!</definedName>
    <definedName name="BORDA1">#N/A</definedName>
    <definedName name="BuiltIn_Print_Area" localSheetId="3">#REF!</definedName>
    <definedName name="BuiltIn_Print_Area" localSheetId="2">#REF!</definedName>
    <definedName name="BuiltIn_Print_Area">#REF!</definedName>
    <definedName name="BuiltIn_Print_Area___0" localSheetId="3">#REF!</definedName>
    <definedName name="BuiltIn_Print_Area___0" localSheetId="2">#REF!</definedName>
    <definedName name="BuiltIn_Print_Area___0">#REF!</definedName>
    <definedName name="BuiltIn_Print_Titles" localSheetId="3">#REF!</definedName>
    <definedName name="BuiltIn_Print_Titles" localSheetId="2">#REF!</definedName>
    <definedName name="BuiltIn_Print_Titles">#REF!</definedName>
    <definedName name="BuiltIn_Print_Titles___0" localSheetId="2">#REF!</definedName>
    <definedName name="BuiltIn_Print_Titles___0">#REF!</definedName>
    <definedName name="BV" localSheetId="0" hidden="1">#REF!</definedName>
    <definedName name="BV" hidden="1">#REF!</definedName>
    <definedName name="bxnzfmkzxbhdf" localSheetId="3" hidden="1">{#N/A,#N/A,FALSE,"Plan1";#N/A,#N/A,FALSE,"Plan2"}</definedName>
    <definedName name="bxnzfmkzxbhdf" localSheetId="8" hidden="1">{#N/A,#N/A,FALSE,"Plan1";#N/A,#N/A,FALSE,"Plan2"}</definedName>
    <definedName name="bxnzfmkzxbhdf" localSheetId="2" hidden="1">{#N/A,#N/A,FALSE,"Plan1";#N/A,#N/A,FALSE,"Plan2"}</definedName>
    <definedName name="bxnzfmkzxbhdf" localSheetId="9" hidden="1">{#N/A,#N/A,FALSE,"Plan1";#N/A,#N/A,FALSE,"Plan2"}</definedName>
    <definedName name="bxnzfmkzxbhdf" localSheetId="13" hidden="1">{#N/A,#N/A,FALSE,"Plan1";#N/A,#N/A,FALSE,"Plan2"}</definedName>
    <definedName name="bxnzfmkzxbhdf" localSheetId="0" hidden="1">{#N/A,#N/A,FALSE,"Plan1";#N/A,#N/A,FALSE,"Plan2"}</definedName>
    <definedName name="bxnzfmkzxbhdf" hidden="1">{#N/A,#N/A,FALSE,"Plan1";#N/A,#N/A,FALSE,"Plan2"}</definedName>
    <definedName name="ca" localSheetId="3">#REF!</definedName>
    <definedName name="ca" localSheetId="4">#REF!</definedName>
    <definedName name="ca" localSheetId="8">#REF!</definedName>
    <definedName name="ca" localSheetId="2">#REF!</definedName>
    <definedName name="ca" localSheetId="9">#REF!</definedName>
    <definedName name="ca" localSheetId="13">#REF!</definedName>
    <definedName name="ca" localSheetId="0">#REF!</definedName>
    <definedName name="ca">#REF!</definedName>
    <definedName name="CAB">#N/A</definedName>
    <definedName name="CAFS">"Carlos Antonio Fernandes da Silva"</definedName>
    <definedName name="CAGR" localSheetId="3">#REF!</definedName>
    <definedName name="CAGR" localSheetId="2">#REF!</definedName>
    <definedName name="CAGR">#REF!</definedName>
    <definedName name="caixa" localSheetId="3">#REF!</definedName>
    <definedName name="caixa" localSheetId="2">#REF!</definedName>
    <definedName name="caixa">#REF!</definedName>
    <definedName name="caixas" localSheetId="3" hidden="1">{#N/A,#N/A,FALSE,"GERAL";#N/A,#N/A,FALSE,"012-96";#N/A,#N/A,FALSE,"018-96";#N/A,#N/A,FALSE,"027-96";#N/A,#N/A,FALSE,"059-96";#N/A,#N/A,FALSE,"076-96";#N/A,#N/A,FALSE,"019-97";#N/A,#N/A,FALSE,"021-97";#N/A,#N/A,FALSE,"022-97";#N/A,#N/A,FALSE,"028-97"}</definedName>
    <definedName name="caixas" localSheetId="8" hidden="1">{#N/A,#N/A,FALSE,"GERAL";#N/A,#N/A,FALSE,"012-96";#N/A,#N/A,FALSE,"018-96";#N/A,#N/A,FALSE,"027-96";#N/A,#N/A,FALSE,"059-96";#N/A,#N/A,FALSE,"076-96";#N/A,#N/A,FALSE,"019-97";#N/A,#N/A,FALSE,"021-97";#N/A,#N/A,FALSE,"022-97";#N/A,#N/A,FALSE,"028-97"}</definedName>
    <definedName name="caixas" localSheetId="2" hidden="1">{#N/A,#N/A,FALSE,"GERAL";#N/A,#N/A,FALSE,"012-96";#N/A,#N/A,FALSE,"018-96";#N/A,#N/A,FALSE,"027-96";#N/A,#N/A,FALSE,"059-96";#N/A,#N/A,FALSE,"076-96";#N/A,#N/A,FALSE,"019-97";#N/A,#N/A,FALSE,"021-97";#N/A,#N/A,FALSE,"022-97";#N/A,#N/A,FALSE,"028-97"}</definedName>
    <definedName name="caixas" localSheetId="9" hidden="1">{#N/A,#N/A,FALSE,"GERAL";#N/A,#N/A,FALSE,"012-96";#N/A,#N/A,FALSE,"018-96";#N/A,#N/A,FALSE,"027-96";#N/A,#N/A,FALSE,"059-96";#N/A,#N/A,FALSE,"076-96";#N/A,#N/A,FALSE,"019-97";#N/A,#N/A,FALSE,"021-97";#N/A,#N/A,FALSE,"022-97";#N/A,#N/A,FALSE,"028-97"}</definedName>
    <definedName name="caixas" localSheetId="13" hidden="1">{#N/A,#N/A,FALSE,"GERAL";#N/A,#N/A,FALSE,"012-96";#N/A,#N/A,FALSE,"018-96";#N/A,#N/A,FALSE,"027-96";#N/A,#N/A,FALSE,"059-96";#N/A,#N/A,FALSE,"076-96";#N/A,#N/A,FALSE,"019-97";#N/A,#N/A,FALSE,"021-97";#N/A,#N/A,FALSE,"022-97";#N/A,#N/A,FALSE,"028-97"}</definedName>
    <definedName name="caixas" localSheetId="0"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ambio" localSheetId="3">#REF!</definedName>
    <definedName name="Cambio" localSheetId="2">#REF!</definedName>
    <definedName name="Cambio">#REF!</definedName>
    <definedName name="CAMP" localSheetId="3">#REF!</definedName>
    <definedName name="CAMP" localSheetId="2">#REF!</definedName>
    <definedName name="CAMP">#REF!</definedName>
    <definedName name="CAMPOS" localSheetId="3">#REF!</definedName>
    <definedName name="CAMPOS" localSheetId="2">#REF!</definedName>
    <definedName name="CAMPOS">#REF!</definedName>
    <definedName name="çaos\ewapo" localSheetId="3" hidden="1">{#N/A,#N/A,FALSE,"Plan1";#N/A,#N/A,FALSE,"Plan2"}</definedName>
    <definedName name="çaos\ewapo" localSheetId="8" hidden="1">{#N/A,#N/A,FALSE,"Plan1";#N/A,#N/A,FALSE,"Plan2"}</definedName>
    <definedName name="çaos\ewapo" localSheetId="2" hidden="1">{#N/A,#N/A,FALSE,"Plan1";#N/A,#N/A,FALSE,"Plan2"}</definedName>
    <definedName name="çaos\ewapo" localSheetId="9" hidden="1">{#N/A,#N/A,FALSE,"Plan1";#N/A,#N/A,FALSE,"Plan2"}</definedName>
    <definedName name="çaos\ewapo" localSheetId="13" hidden="1">{#N/A,#N/A,FALSE,"Plan1";#N/A,#N/A,FALSE,"Plan2"}</definedName>
    <definedName name="çaos\ewapo" localSheetId="0" hidden="1">{#N/A,#N/A,FALSE,"Plan1";#N/A,#N/A,FALSE,"Plan2"}</definedName>
    <definedName name="çaos\ewapo" hidden="1">{#N/A,#N/A,FALSE,"Plan1";#N/A,#N/A,FALSE,"Plan2"}</definedName>
    <definedName name="Capa" localSheetId="3">#REF!</definedName>
    <definedName name="Capa" localSheetId="4">#REF!</definedName>
    <definedName name="Capa" localSheetId="8">#REF!</definedName>
    <definedName name="Capa" localSheetId="2">#REF!</definedName>
    <definedName name="Capa" localSheetId="9">#REF!</definedName>
    <definedName name="Capa" localSheetId="13">#REF!</definedName>
    <definedName name="Capa" localSheetId="0">#REF!</definedName>
    <definedName name="Capa">#REF!</definedName>
    <definedName name="CAPA2" localSheetId="2">#REF!</definedName>
    <definedName name="CAPA2">#REF!</definedName>
    <definedName name="CAPA55" localSheetId="2">#REF!</definedName>
    <definedName name="CAPA55">#REF!</definedName>
    <definedName name="CAPA55A" localSheetId="2">#REF!</definedName>
    <definedName name="CAPA55A">#REF!</definedName>
    <definedName name="CAPELA" localSheetId="2">#REF!</definedName>
    <definedName name="CAPELA">#REF!</definedName>
    <definedName name="CARLA" hidden="1">#REF!</definedName>
    <definedName name="CARLOS1" localSheetId="2">#REF!</definedName>
    <definedName name="CARLOS1">#REF!</definedName>
    <definedName name="CARTÃO4" localSheetId="2">#REF!</definedName>
    <definedName name="CARTÃO4">#REF!</definedName>
    <definedName name="CAT6_IP" localSheetId="3" hidden="1">{#N/A,#N/A,FALSE,"F-01"}</definedName>
    <definedName name="CAT6_IP" localSheetId="8" hidden="1">{#N/A,#N/A,FALSE,"F-01"}</definedName>
    <definedName name="CAT6_IP" localSheetId="2" hidden="1">{#N/A,#N/A,FALSE,"F-01"}</definedName>
    <definedName name="CAT6_IP" localSheetId="9" hidden="1">{#N/A,#N/A,FALSE,"F-01"}</definedName>
    <definedName name="CAT6_IP" localSheetId="13" hidden="1">{#N/A,#N/A,FALSE,"F-01"}</definedName>
    <definedName name="CAT6_IP" localSheetId="0" hidden="1">{#N/A,#N/A,FALSE,"F-01"}</definedName>
    <definedName name="CAT6_IP" hidden="1">{#N/A,#N/A,FALSE,"F-01"}</definedName>
    <definedName name="categori45" localSheetId="3">#REF!</definedName>
    <definedName name="categori45" localSheetId="2">#REF!</definedName>
    <definedName name="categori45">#REF!</definedName>
    <definedName name="CATEGORIA1" localSheetId="3">#REF!</definedName>
    <definedName name="CATEGORIA1" localSheetId="2">#REF!</definedName>
    <definedName name="CATEGORIA1">#REF!</definedName>
    <definedName name="CATEGORIA10" localSheetId="3">#REF!</definedName>
    <definedName name="CATEGORIA10" localSheetId="2">#REF!</definedName>
    <definedName name="CATEGORIA10">#REF!</definedName>
    <definedName name="CATEGORIA11" localSheetId="2">#REF!</definedName>
    <definedName name="CATEGORIA11">#REF!</definedName>
    <definedName name="CATEGORIA12" localSheetId="2">#REF!</definedName>
    <definedName name="CATEGORIA12">#REF!</definedName>
    <definedName name="CATEGORIA13" localSheetId="2">#REF!</definedName>
    <definedName name="CATEGORIA13">#REF!</definedName>
    <definedName name="CATEGORIA14" localSheetId="2">#REF!</definedName>
    <definedName name="CATEGORIA14">#REF!</definedName>
    <definedName name="CATEGORIA15" localSheetId="2">#REF!</definedName>
    <definedName name="CATEGORIA15">#REF!</definedName>
    <definedName name="CATEGORIA16" localSheetId="2">#REF!</definedName>
    <definedName name="CATEGORIA16">#REF!</definedName>
    <definedName name="CATEGORIA17" localSheetId="2">#REF!</definedName>
    <definedName name="CATEGORIA17">#REF!</definedName>
    <definedName name="CATEGORIA18" localSheetId="2">#REF!</definedName>
    <definedName name="CATEGORIA18">#REF!</definedName>
    <definedName name="CATEGORIA19" localSheetId="2">#REF!</definedName>
    <definedName name="CATEGORIA19">#REF!</definedName>
    <definedName name="CATEGORIA2" localSheetId="2">#REF!</definedName>
    <definedName name="CATEGORIA2">#REF!</definedName>
    <definedName name="CATEGORIA20" localSheetId="2">#REF!</definedName>
    <definedName name="CATEGORIA20">#REF!</definedName>
    <definedName name="CATEGORIA21" localSheetId="2">#REF!</definedName>
    <definedName name="CATEGORIA21">#REF!</definedName>
    <definedName name="CATEGORIA22" localSheetId="2">#REF!</definedName>
    <definedName name="CATEGORIA22">#REF!</definedName>
    <definedName name="CATEGORIA3" localSheetId="2">#REF!</definedName>
    <definedName name="CATEGORIA3">#REF!</definedName>
    <definedName name="CATEGORIA4" localSheetId="2">#REF!</definedName>
    <definedName name="CATEGORIA4">#REF!</definedName>
    <definedName name="CATEGORIA5" localSheetId="2">#REF!</definedName>
    <definedName name="CATEGORIA5">#REF!</definedName>
    <definedName name="CATEGORIA6" localSheetId="2">#REF!</definedName>
    <definedName name="CATEGORIA6">#REF!</definedName>
    <definedName name="CATEGORIA7" localSheetId="2">#REF!</definedName>
    <definedName name="CATEGORIA7">#REF!</definedName>
    <definedName name="CATEGORIA8" localSheetId="2">#REF!</definedName>
    <definedName name="CATEGORIA8">#REF!</definedName>
    <definedName name="CATEGORIA9" localSheetId="2">#REF!</definedName>
    <definedName name="CATEGORIA9">#REF!</definedName>
    <definedName name="CATORZE" localSheetId="2">#REF!</definedName>
    <definedName name="CATORZE">#REF!</definedName>
    <definedName name="CAUX2" localSheetId="3">OFFSET(#REF!,0,0,COUNTA(#REF!)+1,1)</definedName>
    <definedName name="CAUX2" localSheetId="2">OFFSET(#REF!,0,0,COUNTA(#REF!)+1,1)</definedName>
    <definedName name="CAUX2">OFFSET(#REF!,0,0,COUNTA(#REF!)+1,1)</definedName>
    <definedName name="CAUX3" localSheetId="2">OFFSET(#REF!,0,0,COUNTA(#REF!)+1,1)</definedName>
    <definedName name="CAUX3">OFFSET(#REF!,0,0,COUNTA(#REF!)+1,1)</definedName>
    <definedName name="CCC" localSheetId="3">#REF!</definedName>
    <definedName name="CCC" localSheetId="2">#REF!</definedName>
    <definedName name="CCC">#REF!</definedName>
    <definedName name="ççç" localSheetId="3" hidden="1">{#N/A,#N/A,FALSE,"Plan1";#N/A,#N/A,FALSE,"Plan2"}</definedName>
    <definedName name="ççç" localSheetId="8" hidden="1">{#N/A,#N/A,FALSE,"Plan1";#N/A,#N/A,FALSE,"Plan2"}</definedName>
    <definedName name="ççç" localSheetId="2" hidden="1">{#N/A,#N/A,FALSE,"Plan1";#N/A,#N/A,FALSE,"Plan2"}</definedName>
    <definedName name="ççç" localSheetId="9" hidden="1">{#N/A,#N/A,FALSE,"Plan1";#N/A,#N/A,FALSE,"Plan2"}</definedName>
    <definedName name="ççç" localSheetId="13" hidden="1">{#N/A,#N/A,FALSE,"Plan1";#N/A,#N/A,FALSE,"Plan2"}</definedName>
    <definedName name="ççç" localSheetId="0" hidden="1">{#N/A,#N/A,FALSE,"Plan1";#N/A,#N/A,FALSE,"Plan2"}</definedName>
    <definedName name="ççç" hidden="1">{#N/A,#N/A,FALSE,"Plan1";#N/A,#N/A,FALSE,"Plan2"}</definedName>
    <definedName name="cccc" localSheetId="3" hidden="1">{#N/A,#N/A,FALSE,"Plan1";#N/A,#N/A,FALSE,"Plan2"}</definedName>
    <definedName name="cccc" localSheetId="8" hidden="1">{#N/A,#N/A,FALSE,"Plan1";#N/A,#N/A,FALSE,"Plan2"}</definedName>
    <definedName name="cccc" localSheetId="2" hidden="1">{#N/A,#N/A,FALSE,"Plan1";#N/A,#N/A,FALSE,"Plan2"}</definedName>
    <definedName name="cccc" localSheetId="9" hidden="1">{#N/A,#N/A,FALSE,"Plan1";#N/A,#N/A,FALSE,"Plan2"}</definedName>
    <definedName name="cccc" localSheetId="13" hidden="1">{#N/A,#N/A,FALSE,"Plan1";#N/A,#N/A,FALSE,"Plan2"}</definedName>
    <definedName name="cccc" localSheetId="0" hidden="1">{#N/A,#N/A,FALSE,"Plan1";#N/A,#N/A,FALSE,"Plan2"}</definedName>
    <definedName name="cccc" hidden="1">{#N/A,#N/A,FALSE,"Plan1";#N/A,#N/A,FALSE,"Plan2"}</definedName>
    <definedName name="ççççççç"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çççççç"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 hidden="1">{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 localSheetId="3" hidden="1">{"HW",#N/A,FALSE,"1998"}</definedName>
    <definedName name="cccccccccccccccc" localSheetId="8" hidden="1">{"HW",#N/A,FALSE,"1998"}</definedName>
    <definedName name="cccccccccccccccc" localSheetId="2" hidden="1">{"HW",#N/A,FALSE,"1998"}</definedName>
    <definedName name="cccccccccccccccc" localSheetId="9" hidden="1">{"HW",#N/A,FALSE,"1998"}</definedName>
    <definedName name="cccccccccccccccc" localSheetId="13" hidden="1">{"HW",#N/A,FALSE,"1998"}</definedName>
    <definedName name="cccccccccccccccc" localSheetId="0" hidden="1">{"HW",#N/A,FALSE,"1998"}</definedName>
    <definedName name="cccccccccccccccc" hidden="1">{"HW",#N/A,FALSE,"1998"}</definedName>
    <definedName name="cchart1" localSheetId="3" hidden="1">#REF!</definedName>
    <definedName name="cchart1" localSheetId="8" hidden="1">#REF!</definedName>
    <definedName name="cchart1" localSheetId="2" hidden="1">#REF!</definedName>
    <definedName name="cchart1" localSheetId="9" hidden="1">#REF!</definedName>
    <definedName name="cchart1" localSheetId="13" hidden="1">#REF!</definedName>
    <definedName name="cchart1" localSheetId="0" hidden="1">#REF!</definedName>
    <definedName name="cchart1" hidden="1">#REF!</definedName>
    <definedName name="cchart10" localSheetId="2" hidden="1">#REF!</definedName>
    <definedName name="cchart10" localSheetId="0" hidden="1">#REF!</definedName>
    <definedName name="cchart10" hidden="1">#REF!</definedName>
    <definedName name="cchart11" localSheetId="2" hidden="1">#REF!</definedName>
    <definedName name="cchart11" localSheetId="0" hidden="1">#REF!</definedName>
    <definedName name="cchart11" hidden="1">#REF!</definedName>
    <definedName name="cchart12" hidden="1">#REF!</definedName>
    <definedName name="cchart13" hidden="1">#REF!</definedName>
    <definedName name="cchart14" hidden="1">#REF!</definedName>
    <definedName name="cchart15" hidden="1">#REF!</definedName>
    <definedName name="cchart16" hidden="1">#REF!</definedName>
    <definedName name="cchart17" hidden="1">#REF!</definedName>
    <definedName name="cchart18" hidden="1">#REF!</definedName>
    <definedName name="cchart19" hidden="1">#REF!</definedName>
    <definedName name="cchart2" hidden="1">#REF!</definedName>
    <definedName name="cchart20" hidden="1">#REF!</definedName>
    <definedName name="cchart21" hidden="1">#REF!</definedName>
    <definedName name="cchart22" hidden="1">#REF!</definedName>
    <definedName name="cchart23" hidden="1">#REF!</definedName>
    <definedName name="cchart24" hidden="1">#REF!</definedName>
    <definedName name="cchart25" hidden="1">#REF!</definedName>
    <definedName name="cchart26" hidden="1">#REF!</definedName>
    <definedName name="cchart27" hidden="1">#REF!</definedName>
    <definedName name="cchart28" hidden="1">#REF!</definedName>
    <definedName name="cchart29" hidden="1">#REF!</definedName>
    <definedName name="cchart3" hidden="1">#REF!</definedName>
    <definedName name="cchart31" hidden="1">#REF!</definedName>
    <definedName name="cchart32" hidden="1">#REF!</definedName>
    <definedName name="cchart4" hidden="1">#REF!</definedName>
    <definedName name="cchart5" hidden="1">#REF!</definedName>
    <definedName name="cchart6" hidden="1">#REF!</definedName>
    <definedName name="cchart7" hidden="1">#REF!</definedName>
    <definedName name="cchart8" hidden="1">#REF!</definedName>
    <definedName name="cchart9" hidden="1">#REF!</definedName>
    <definedName name="çcklfj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cklfjk" hidden="1">{TRUE,TRUE,-1.25,-15.5,604.5,366.75,FALSE,FALSE,TRUE,TRUE,0,1,#N/A,1,#N/A,9.0125,24.4117647058824,1,FALSE,FALSE,3,TRUE,1,FALSE,100,"Swvu.PLANILHA2.","ACwvu.PLANILHA2.",#N/A,FALSE,FALSE,0.787401575,0.34,0.46,0.5,1,"","",FALSE,FALSE,FALSE,FALSE,1,#N/A,1,1,FALSE,FALSE,#N/A,#N/A,FALSE,FALSE,FALSE,9,65532,65532,FALSE,FALSE,TRUE,TRUE,TRUE}</definedName>
    <definedName name="CD" localSheetId="3">#REF!</definedName>
    <definedName name="CD" localSheetId="2">#REF!</definedName>
    <definedName name="CD">#REF!</definedName>
    <definedName name="çdfmerf" localSheetId="3" hidden="1">{#N/A,#N/A,FALSE,"Plan1";#N/A,#N/A,FALSE,"Plan2"}</definedName>
    <definedName name="çdfmerf" localSheetId="8" hidden="1">{#N/A,#N/A,FALSE,"Plan1";#N/A,#N/A,FALSE,"Plan2"}</definedName>
    <definedName name="çdfmerf" localSheetId="2" hidden="1">{#N/A,#N/A,FALSE,"Plan1";#N/A,#N/A,FALSE,"Plan2"}</definedName>
    <definedName name="çdfmerf" localSheetId="9" hidden="1">{#N/A,#N/A,FALSE,"Plan1";#N/A,#N/A,FALSE,"Plan2"}</definedName>
    <definedName name="çdfmerf" localSheetId="13" hidden="1">{#N/A,#N/A,FALSE,"Plan1";#N/A,#N/A,FALSE,"Plan2"}</definedName>
    <definedName name="çdfmerf" localSheetId="0" hidden="1">{#N/A,#N/A,FALSE,"Plan1";#N/A,#N/A,FALSE,"Plan2"}</definedName>
    <definedName name="çdfmerf" hidden="1">{#N/A,#N/A,FALSE,"Plan1";#N/A,#N/A,FALSE,"Plan2"}</definedName>
    <definedName name="CDSGHE" localSheetId="3" hidden="1">{#N/A,#N/A,FALSE,"Plan1";#N/A,#N/A,FALSE,"Plan2"}</definedName>
    <definedName name="CDSGHE" localSheetId="8" hidden="1">{#N/A,#N/A,FALSE,"Plan1";#N/A,#N/A,FALSE,"Plan2"}</definedName>
    <definedName name="CDSGHE" localSheetId="2" hidden="1">{#N/A,#N/A,FALSE,"Plan1";#N/A,#N/A,FALSE,"Plan2"}</definedName>
    <definedName name="CDSGHE" localSheetId="9" hidden="1">{#N/A,#N/A,FALSE,"Plan1";#N/A,#N/A,FALSE,"Plan2"}</definedName>
    <definedName name="CDSGHE" localSheetId="13" hidden="1">{#N/A,#N/A,FALSE,"Plan1";#N/A,#N/A,FALSE,"Plan2"}</definedName>
    <definedName name="CDSGHE" localSheetId="0" hidden="1">{#N/A,#N/A,FALSE,"Plan1";#N/A,#N/A,FALSE,"Plan2"}</definedName>
    <definedName name="CDSGHE" hidden="1">{#N/A,#N/A,FALSE,"Plan1";#N/A,#N/A,FALSE,"Plan2"}</definedName>
    <definedName name="cdvthd" localSheetId="3">#REF!</definedName>
    <definedName name="cdvthd" localSheetId="2">#REF!</definedName>
    <definedName name="cdvthd">#REF!</definedName>
    <definedName name="Cel_Constr" localSheetId="3">#REF!</definedName>
    <definedName name="Cel_Constr" localSheetId="2">#REF!</definedName>
    <definedName name="Cel_Constr">#REF!</definedName>
    <definedName name="CestaExcel" localSheetId="3">#REF!</definedName>
    <definedName name="CestaExcel" localSheetId="2">#REF!</definedName>
    <definedName name="CestaExcel">#REF!</definedName>
    <definedName name="CevaG" localSheetId="2">#REF!</definedName>
    <definedName name="CevaG">#REF!</definedName>
    <definedName name="CevaGS" localSheetId="2">#REF!</definedName>
    <definedName name="CevaGS">#REF!</definedName>
    <definedName name="çfhjglkjhkljyh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fhjglkjhkljyhj" hidden="1">{TRUE,TRUE,-1.25,-15.5,604.5,366.75,FALSE,FALSE,TRUE,TRUE,0,1,#N/A,1,#N/A,9.0125,24.4117647058824,1,FALSE,FALSE,3,TRUE,1,FALSE,100,"Swvu.PLANILHA2.","ACwvu.PLANILHA2.",#N/A,FALSE,FALSE,0.787401575,0.34,0.46,0.5,1,"","",FALSE,FALSE,FALSE,FALSE,1,#N/A,1,1,FALSE,FALSE,#N/A,#N/A,FALSE,FALSE,FALSE,9,65532,65532,FALSE,FALSE,TRUE,TRUE,TRUE}</definedName>
    <definedName name="çflçf" localSheetId="3" hidden="1">{#N/A,#N/A,FALSE,"Plan1";#N/A,#N/A,FALSE,"Plan2"}</definedName>
    <definedName name="çflçf" localSheetId="8" hidden="1">{#N/A,#N/A,FALSE,"Plan1";#N/A,#N/A,FALSE,"Plan2"}</definedName>
    <definedName name="çflçf" localSheetId="2" hidden="1">{#N/A,#N/A,FALSE,"Plan1";#N/A,#N/A,FALSE,"Plan2"}</definedName>
    <definedName name="çflçf" localSheetId="9" hidden="1">{#N/A,#N/A,FALSE,"Plan1";#N/A,#N/A,FALSE,"Plan2"}</definedName>
    <definedName name="çflçf" localSheetId="13" hidden="1">{#N/A,#N/A,FALSE,"Plan1";#N/A,#N/A,FALSE,"Plan2"}</definedName>
    <definedName name="çflçf" localSheetId="0" hidden="1">{#N/A,#N/A,FALSE,"Plan1";#N/A,#N/A,FALSE,"Plan2"}</definedName>
    <definedName name="çflçf" hidden="1">{#N/A,#N/A,FALSE,"Plan1";#N/A,#N/A,FALSE,"Plan2"}</definedName>
    <definedName name="CHAFQT" localSheetId="3">#REF!</definedName>
    <definedName name="CHAFQT" localSheetId="2">#REF!</definedName>
    <definedName name="CHAFQT">#REF!</definedName>
    <definedName name="Chaves" localSheetId="3">#REF!</definedName>
    <definedName name="Chaves" localSheetId="2">#REF!</definedName>
    <definedName name="Chaves">#REF!</definedName>
    <definedName name="chfch" localSheetId="3" hidden="1">{#N/A,#N/A,FALSE,"Plan1";#N/A,#N/A,FALSE,"Plan2"}</definedName>
    <definedName name="chfch" localSheetId="8" hidden="1">{#N/A,#N/A,FALSE,"Plan1";#N/A,#N/A,FALSE,"Plan2"}</definedName>
    <definedName name="chfch" localSheetId="2" hidden="1">{#N/A,#N/A,FALSE,"Plan1";#N/A,#N/A,FALSE,"Plan2"}</definedName>
    <definedName name="chfch" localSheetId="9" hidden="1">{#N/A,#N/A,FALSE,"Plan1";#N/A,#N/A,FALSE,"Plan2"}</definedName>
    <definedName name="chfch" localSheetId="13" hidden="1">{#N/A,#N/A,FALSE,"Plan1";#N/A,#N/A,FALSE,"Plan2"}</definedName>
    <definedName name="chfch" localSheetId="0" hidden="1">{#N/A,#N/A,FALSE,"Plan1";#N/A,#N/A,FALSE,"Plan2"}</definedName>
    <definedName name="chfch" hidden="1">{#N/A,#N/A,FALSE,"Plan1";#N/A,#N/A,FALSE,"Plan2"}</definedName>
    <definedName name="CI" localSheetId="3">#REF!</definedName>
    <definedName name="CI" localSheetId="2">#REF!</definedName>
    <definedName name="CI">#REF!</definedName>
    <definedName name="cidades" localSheetId="3">#REF!</definedName>
    <definedName name="cidades" localSheetId="2">#REF!</definedName>
    <definedName name="cidades">#REF!</definedName>
    <definedName name="CIFIXA" localSheetId="3">#REF!</definedName>
    <definedName name="CIFIXA" localSheetId="2">#REF!</definedName>
    <definedName name="CIFIXA">#REF!</definedName>
    <definedName name="CINCO" localSheetId="2">#REF!</definedName>
    <definedName name="CINCO">#REF!</definedName>
    <definedName name="CITOTAL" localSheetId="2">#REF!</definedName>
    <definedName name="CITOTAL">#REF!</definedName>
    <definedName name="CIVAR" localSheetId="2">#REF!</definedName>
    <definedName name="CIVAR">#REF!</definedName>
    <definedName name="ÇJKRÇLFS" localSheetId="3" hidden="1">{"Econ Consolidado",#N/A,FALSE,"Econ Consol";"Fluxo de Caixa",#N/A,FALSE,"Fluxo Caixa";"Investimentos",#N/A,FALSE,"Investimentos"}</definedName>
    <definedName name="ÇJKRÇLFS" localSheetId="8" hidden="1">{"Econ Consolidado",#N/A,FALSE,"Econ Consol";"Fluxo de Caixa",#N/A,FALSE,"Fluxo Caixa";"Investimentos",#N/A,FALSE,"Investimentos"}</definedName>
    <definedName name="ÇJKRÇLFS" localSheetId="2" hidden="1">{"Econ Consolidado",#N/A,FALSE,"Econ Consol";"Fluxo de Caixa",#N/A,FALSE,"Fluxo Caixa";"Investimentos",#N/A,FALSE,"Investimentos"}</definedName>
    <definedName name="ÇJKRÇLFS" localSheetId="9" hidden="1">{"Econ Consolidado",#N/A,FALSE,"Econ Consol";"Fluxo de Caixa",#N/A,FALSE,"Fluxo Caixa";"Investimentos",#N/A,FALSE,"Investimentos"}</definedName>
    <definedName name="ÇJKRÇLFS" localSheetId="13" hidden="1">{"Econ Consolidado",#N/A,FALSE,"Econ Consol";"Fluxo de Caixa",#N/A,FALSE,"Fluxo Caixa";"Investimentos",#N/A,FALSE,"Investimentos"}</definedName>
    <definedName name="ÇJKRÇLFS" localSheetId="0" hidden="1">{"Econ Consolidado",#N/A,FALSE,"Econ Consol";"Fluxo de Caixa",#N/A,FALSE,"Fluxo Caixa";"Investimentos",#N/A,FALSE,"Investimentos"}</definedName>
    <definedName name="ÇJKRÇLFS" hidden="1">{"Econ Consolidado",#N/A,FALSE,"Econ Consol";"Fluxo de Caixa",#N/A,FALSE,"Fluxo Caixa";"Investimentos",#N/A,FALSE,"Investimentos"}</definedName>
    <definedName name="ÇJsrejtçe" localSheetId="3" hidden="1">{#N/A,#N/A,FALSE,"Plan1";#N/A,#N/A,FALSE,"Plan2"}</definedName>
    <definedName name="ÇJsrejtçe" localSheetId="8" hidden="1">{#N/A,#N/A,FALSE,"Plan1";#N/A,#N/A,FALSE,"Plan2"}</definedName>
    <definedName name="ÇJsrejtçe" localSheetId="2" hidden="1">{#N/A,#N/A,FALSE,"Plan1";#N/A,#N/A,FALSE,"Plan2"}</definedName>
    <definedName name="ÇJsrejtçe" localSheetId="9" hidden="1">{#N/A,#N/A,FALSE,"Plan1";#N/A,#N/A,FALSE,"Plan2"}</definedName>
    <definedName name="ÇJsrejtçe" localSheetId="13" hidden="1">{#N/A,#N/A,FALSE,"Plan1";#N/A,#N/A,FALSE,"Plan2"}</definedName>
    <definedName name="ÇJsrejtçe" localSheetId="0" hidden="1">{#N/A,#N/A,FALSE,"Plan1";#N/A,#N/A,FALSE,"Plan2"}</definedName>
    <definedName name="ÇJsrejtçe" hidden="1">{#N/A,#N/A,FALSE,"Plan1";#N/A,#N/A,FALSE,"Plan2"}</definedName>
    <definedName name="çkaçekow" localSheetId="3" hidden="1">{#N/A,#N/A,FALSE,"Plan1";#N/A,#N/A,FALSE,"Plan2"}</definedName>
    <definedName name="çkaçekow" localSheetId="8" hidden="1">{#N/A,#N/A,FALSE,"Plan1";#N/A,#N/A,FALSE,"Plan2"}</definedName>
    <definedName name="çkaçekow" localSheetId="2" hidden="1">{#N/A,#N/A,FALSE,"Plan1";#N/A,#N/A,FALSE,"Plan2"}</definedName>
    <definedName name="çkaçekow" localSheetId="9" hidden="1">{#N/A,#N/A,FALSE,"Plan1";#N/A,#N/A,FALSE,"Plan2"}</definedName>
    <definedName name="çkaçekow" localSheetId="13" hidden="1">{#N/A,#N/A,FALSE,"Plan1";#N/A,#N/A,FALSE,"Plan2"}</definedName>
    <definedName name="çkaçekow" localSheetId="0" hidden="1">{#N/A,#N/A,FALSE,"Plan1";#N/A,#N/A,FALSE,"Plan2"}</definedName>
    <definedName name="çkaçekow" hidden="1">{#N/A,#N/A,FALSE,"Plan1";#N/A,#N/A,FALSE,"Plan2"}</definedName>
    <definedName name="ÇKSDOEKR" localSheetId="3" hidden="1">{#N/A,#N/A,FALSE,"Plan1";#N/A,#N/A,FALSE,"Plan2"}</definedName>
    <definedName name="ÇKSDOEKR" localSheetId="8" hidden="1">{#N/A,#N/A,FALSE,"Plan1";#N/A,#N/A,FALSE,"Plan2"}</definedName>
    <definedName name="ÇKSDOEKR" localSheetId="2" hidden="1">{#N/A,#N/A,FALSE,"Plan1";#N/A,#N/A,FALSE,"Plan2"}</definedName>
    <definedName name="ÇKSDOEKR" localSheetId="9" hidden="1">{#N/A,#N/A,FALSE,"Plan1";#N/A,#N/A,FALSE,"Plan2"}</definedName>
    <definedName name="ÇKSDOEKR" localSheetId="13" hidden="1">{#N/A,#N/A,FALSE,"Plan1";#N/A,#N/A,FALSE,"Plan2"}</definedName>
    <definedName name="ÇKSDOEKR" localSheetId="0" hidden="1">{#N/A,#N/A,FALSE,"Plan1";#N/A,#N/A,FALSE,"Plan2"}</definedName>
    <definedName name="ÇKSDOEKR" hidden="1">{#N/A,#N/A,FALSE,"Plan1";#N/A,#N/A,FALSE,"Plan2"}</definedName>
    <definedName name="çl" localSheetId="3" hidden="1">{#N/A,#N/A,FALSE,"Plan1";#N/A,#N/A,FALSE,"Plan2"}</definedName>
    <definedName name="çl" localSheetId="8" hidden="1">{#N/A,#N/A,FALSE,"Plan1";#N/A,#N/A,FALSE,"Plan2"}</definedName>
    <definedName name="çl" localSheetId="2" hidden="1">{#N/A,#N/A,FALSE,"Plan1";#N/A,#N/A,FALSE,"Plan2"}</definedName>
    <definedName name="çl" localSheetId="9" hidden="1">{#N/A,#N/A,FALSE,"Plan1";#N/A,#N/A,FALSE,"Plan2"}</definedName>
    <definedName name="çl" localSheetId="13" hidden="1">{#N/A,#N/A,FALSE,"Plan1";#N/A,#N/A,FALSE,"Plan2"}</definedName>
    <definedName name="çl" localSheetId="0" hidden="1">{#N/A,#N/A,FALSE,"Plan1";#N/A,#N/A,FALSE,"Plan2"}</definedName>
    <definedName name="çl" hidden="1">{#N/A,#N/A,FALSE,"Plan1";#N/A,#N/A,FALSE,"Plan2"}</definedName>
    <definedName name="çlassde" localSheetId="3" hidden="1">{#N/A,#N/A,FALSE,"Plan1";#N/A,#N/A,FALSE,"Plan2"}</definedName>
    <definedName name="çlassde" localSheetId="8" hidden="1">{#N/A,#N/A,FALSE,"Plan1";#N/A,#N/A,FALSE,"Plan2"}</definedName>
    <definedName name="çlassde" localSheetId="2" hidden="1">{#N/A,#N/A,FALSE,"Plan1";#N/A,#N/A,FALSE,"Plan2"}</definedName>
    <definedName name="çlassde" localSheetId="9" hidden="1">{#N/A,#N/A,FALSE,"Plan1";#N/A,#N/A,FALSE,"Plan2"}</definedName>
    <definedName name="çlassde" localSheetId="13" hidden="1">{#N/A,#N/A,FALSE,"Plan1";#N/A,#N/A,FALSE,"Plan2"}</definedName>
    <definedName name="çlassde" localSheetId="0" hidden="1">{#N/A,#N/A,FALSE,"Plan1";#N/A,#N/A,FALSE,"Plan2"}</definedName>
    <definedName name="çlassde" hidden="1">{#N/A,#N/A,FALSE,"Plan1";#N/A,#N/A,FALSE,"Plan2"}</definedName>
    <definedName name="Classificação" localSheetId="3">#REF!</definedName>
    <definedName name="Classificação" localSheetId="2">#REF!</definedName>
    <definedName name="Classificação">#REF!</definedName>
    <definedName name="çlçlç" localSheetId="3" hidden="1">{#N/A,#N/A,FALSE,"Plan1";#N/A,#N/A,FALSE,"Plan2"}</definedName>
    <definedName name="çlçlç" localSheetId="8" hidden="1">{#N/A,#N/A,FALSE,"Plan1";#N/A,#N/A,FALSE,"Plan2"}</definedName>
    <definedName name="çlçlç" localSheetId="2" hidden="1">{#N/A,#N/A,FALSE,"Plan1";#N/A,#N/A,FALSE,"Plan2"}</definedName>
    <definedName name="çlçlç" localSheetId="9" hidden="1">{#N/A,#N/A,FALSE,"Plan1";#N/A,#N/A,FALSE,"Plan2"}</definedName>
    <definedName name="çlçlç" localSheetId="13" hidden="1">{#N/A,#N/A,FALSE,"Plan1";#N/A,#N/A,FALSE,"Plan2"}</definedName>
    <definedName name="çlçlç" localSheetId="0" hidden="1">{#N/A,#N/A,FALSE,"Plan1";#N/A,#N/A,FALSE,"Plan2"}</definedName>
    <definedName name="çlçlç" hidden="1">{#N/A,#N/A,FALSE,"Plan1";#N/A,#N/A,FALSE,"Plan2"}</definedName>
    <definedName name="çld" localSheetId="3" hidden="1">{#N/A,#N/A,FALSE,"Plan1";#N/A,#N/A,FALSE,"Plan2"}</definedName>
    <definedName name="çld" localSheetId="8" hidden="1">{#N/A,#N/A,FALSE,"Plan1";#N/A,#N/A,FALSE,"Plan2"}</definedName>
    <definedName name="çld" localSheetId="2" hidden="1">{#N/A,#N/A,FALSE,"Plan1";#N/A,#N/A,FALSE,"Plan2"}</definedName>
    <definedName name="çld" localSheetId="9" hidden="1">{#N/A,#N/A,FALSE,"Plan1";#N/A,#N/A,FALSE,"Plan2"}</definedName>
    <definedName name="çld" localSheetId="13" hidden="1">{#N/A,#N/A,FALSE,"Plan1";#N/A,#N/A,FALSE,"Plan2"}</definedName>
    <definedName name="çld" localSheetId="0" hidden="1">{#N/A,#N/A,FALSE,"Plan1";#N/A,#N/A,FALSE,"Plan2"}</definedName>
    <definedName name="çld" hidden="1">{#N/A,#N/A,FALSE,"Plan1";#N/A,#N/A,FALSE,"Plan2"}</definedName>
    <definedName name="çlererr" localSheetId="3" hidden="1">{#N/A,#N/A,FALSE,"Plan1";#N/A,#N/A,FALSE,"Plan2"}</definedName>
    <definedName name="çlererr" localSheetId="8" hidden="1">{#N/A,#N/A,FALSE,"Plan1";#N/A,#N/A,FALSE,"Plan2"}</definedName>
    <definedName name="çlererr" localSheetId="2" hidden="1">{#N/A,#N/A,FALSE,"Plan1";#N/A,#N/A,FALSE,"Plan2"}</definedName>
    <definedName name="çlererr" localSheetId="9" hidden="1">{#N/A,#N/A,FALSE,"Plan1";#N/A,#N/A,FALSE,"Plan2"}</definedName>
    <definedName name="çlererr" localSheetId="13" hidden="1">{#N/A,#N/A,FALSE,"Plan1";#N/A,#N/A,FALSE,"Plan2"}</definedName>
    <definedName name="çlererr" localSheetId="0" hidden="1">{#N/A,#N/A,FALSE,"Plan1";#N/A,#N/A,FALSE,"Plan2"}</definedName>
    <definedName name="çlererr" hidden="1">{#N/A,#N/A,FALSE,"Plan1";#N/A,#N/A,FALSE,"Plan2"}</definedName>
    <definedName name="çlertert" localSheetId="3" hidden="1">{#N/A,#N/A,FALSE,"Plan1";#N/A,#N/A,FALSE,"Plan2"}</definedName>
    <definedName name="çlertert" localSheetId="8" hidden="1">{#N/A,#N/A,FALSE,"Plan1";#N/A,#N/A,FALSE,"Plan2"}</definedName>
    <definedName name="çlertert" localSheetId="2" hidden="1">{#N/A,#N/A,FALSE,"Plan1";#N/A,#N/A,FALSE,"Plan2"}</definedName>
    <definedName name="çlertert" localSheetId="9" hidden="1">{#N/A,#N/A,FALSE,"Plan1";#N/A,#N/A,FALSE,"Plan2"}</definedName>
    <definedName name="çlertert" localSheetId="13" hidden="1">{#N/A,#N/A,FALSE,"Plan1";#N/A,#N/A,FALSE,"Plan2"}</definedName>
    <definedName name="çlertert" localSheetId="0" hidden="1">{#N/A,#N/A,FALSE,"Plan1";#N/A,#N/A,FALSE,"Plan2"}</definedName>
    <definedName name="çlertert" hidden="1">{#N/A,#N/A,FALSE,"Plan1";#N/A,#N/A,FALSE,"Plan2"}</definedName>
    <definedName name="çlkdflçkrlr" localSheetId="3" hidden="1">#REF!</definedName>
    <definedName name="çlkdflçkrlr" localSheetId="8" hidden="1">#REF!</definedName>
    <definedName name="çlkdflçkrlr" localSheetId="2" hidden="1">#REF!</definedName>
    <definedName name="çlkdflçkrlr" localSheetId="9" hidden="1">#REF!</definedName>
    <definedName name="çlkdflçkrlr" localSheetId="13" hidden="1">#REF!</definedName>
    <definedName name="çlkdflçkrlr" localSheetId="0" hidden="1">#REF!</definedName>
    <definedName name="çlkdflçkrlr" hidden="1">#REF!</definedName>
    <definedName name="çll" localSheetId="3" hidden="1">{#N/A,#N/A,FALSE,"Plan1";#N/A,#N/A,FALSE,"Plan2"}</definedName>
    <definedName name="çll" localSheetId="8" hidden="1">{#N/A,#N/A,FALSE,"Plan1";#N/A,#N/A,FALSE,"Plan2"}</definedName>
    <definedName name="çll" localSheetId="2" hidden="1">{#N/A,#N/A,FALSE,"Plan1";#N/A,#N/A,FALSE,"Plan2"}</definedName>
    <definedName name="çll" localSheetId="9" hidden="1">{#N/A,#N/A,FALSE,"Plan1";#N/A,#N/A,FALSE,"Plan2"}</definedName>
    <definedName name="çll" localSheetId="13" hidden="1">{#N/A,#N/A,FALSE,"Plan1";#N/A,#N/A,FALSE,"Plan2"}</definedName>
    <definedName name="çll" localSheetId="0" hidden="1">{#N/A,#N/A,FALSE,"Plan1";#N/A,#N/A,FALSE,"Plan2"}</definedName>
    <definedName name="çll" hidden="1">{#N/A,#N/A,FALSE,"Plan1";#N/A,#N/A,FALSE,"Plan2"}</definedName>
    <definedName name="CMC" localSheetId="3" hidden="1">{#N/A,#N/A,FALSE,"GERAL";#N/A,#N/A,FALSE,"012-96";#N/A,#N/A,FALSE,"018-96";#N/A,#N/A,FALSE,"027-96";#N/A,#N/A,FALSE,"059-96";#N/A,#N/A,FALSE,"076-96";#N/A,#N/A,FALSE,"019-97";#N/A,#N/A,FALSE,"021-97";#N/A,#N/A,FALSE,"022-97";#N/A,#N/A,FALSE,"028-97"}</definedName>
    <definedName name="CMC" localSheetId="8" hidden="1">{#N/A,#N/A,FALSE,"GERAL";#N/A,#N/A,FALSE,"012-96";#N/A,#N/A,FALSE,"018-96";#N/A,#N/A,FALSE,"027-96";#N/A,#N/A,FALSE,"059-96";#N/A,#N/A,FALSE,"076-96";#N/A,#N/A,FALSE,"019-97";#N/A,#N/A,FALSE,"021-97";#N/A,#N/A,FALSE,"022-97";#N/A,#N/A,FALSE,"028-97"}</definedName>
    <definedName name="CMC" localSheetId="2" hidden="1">{#N/A,#N/A,FALSE,"GERAL";#N/A,#N/A,FALSE,"012-96";#N/A,#N/A,FALSE,"018-96";#N/A,#N/A,FALSE,"027-96";#N/A,#N/A,FALSE,"059-96";#N/A,#N/A,FALSE,"076-96";#N/A,#N/A,FALSE,"019-97";#N/A,#N/A,FALSE,"021-97";#N/A,#N/A,FALSE,"022-97";#N/A,#N/A,FALSE,"028-97"}</definedName>
    <definedName name="CMC" localSheetId="9" hidden="1">{#N/A,#N/A,FALSE,"GERAL";#N/A,#N/A,FALSE,"012-96";#N/A,#N/A,FALSE,"018-96";#N/A,#N/A,FALSE,"027-96";#N/A,#N/A,FALSE,"059-96";#N/A,#N/A,FALSE,"076-96";#N/A,#N/A,FALSE,"019-97";#N/A,#N/A,FALSE,"021-97";#N/A,#N/A,FALSE,"022-97";#N/A,#N/A,FALSE,"028-97"}</definedName>
    <definedName name="CMC" localSheetId="13" hidden="1">{#N/A,#N/A,FALSE,"GERAL";#N/A,#N/A,FALSE,"012-96";#N/A,#N/A,FALSE,"018-96";#N/A,#N/A,FALSE,"027-96";#N/A,#N/A,FALSE,"059-96";#N/A,#N/A,FALSE,"076-96";#N/A,#N/A,FALSE,"019-97";#N/A,#N/A,FALSE,"021-97";#N/A,#N/A,FALSE,"022-97";#N/A,#N/A,FALSE,"028-97"}</definedName>
    <definedName name="CMC" localSheetId="0"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OBRANÇA" localSheetId="3">#REF!</definedName>
    <definedName name="COBRANÇA" localSheetId="2">#REF!</definedName>
    <definedName name="COBRANÇA">#REF!</definedName>
    <definedName name="Cod_Esquadrias" localSheetId="3">#REF!</definedName>
    <definedName name="Cod_Esquadrias" localSheetId="2">#REF!</definedName>
    <definedName name="Cod_Esquadrias">#REF!</definedName>
    <definedName name="CÓDG" localSheetId="3">OFFSET(#REF!,0,0,COUNTA(#REF!),1)</definedName>
    <definedName name="CÓDG" localSheetId="2">OFFSET(#REF!,0,0,COUNTA(#REF!),1)</definedName>
    <definedName name="CÓDG">OFFSET(#REF!,0,0,COUNTA(#REF!),1)</definedName>
    <definedName name="codigo2" localSheetId="3">#REF!</definedName>
    <definedName name="codigo2" localSheetId="2">#REF!</definedName>
    <definedName name="codigo2">#REF!</definedName>
    <definedName name="codigo3" localSheetId="3">#REF!</definedName>
    <definedName name="codigo3" localSheetId="2">#REF!</definedName>
    <definedName name="codigo3">#REF!</definedName>
    <definedName name="CÓDT" localSheetId="3">OFFSET(#REF!,0,0,COUNTA(#REF!)+1,1)</definedName>
    <definedName name="CÓDT" localSheetId="2">OFFSET(#REF!,0,0,COUNTA(#REF!)+1,1)</definedName>
    <definedName name="CÓDT">OFFSET(#REF!,0,0,COUNTA(#REF!)+1,1)</definedName>
    <definedName name="COFINS" localSheetId="3">#REF!</definedName>
    <definedName name="COFINS" localSheetId="2">#REF!</definedName>
    <definedName name="COFINS">#REF!</definedName>
    <definedName name="cofins2" localSheetId="3">#REF!</definedName>
    <definedName name="cofins2" localSheetId="2">#REF!</definedName>
    <definedName name="cofins2">#REF!</definedName>
    <definedName name="COGS" localSheetId="3">#REF!</definedName>
    <definedName name="COGS" localSheetId="2">#REF!</definedName>
    <definedName name="COGS">#REF!</definedName>
    <definedName name="COLSUB" localSheetId="2">#REF!</definedName>
    <definedName name="COLSUB">#REF!</definedName>
    <definedName name="COMISSOES" localSheetId="2">#REF!</definedName>
    <definedName name="COMISSOES">#REF!</definedName>
    <definedName name="COMPOSICAO" localSheetId="2">#REF!</definedName>
    <definedName name="COMPOSICAO">#REF!</definedName>
    <definedName name="composição" localSheetId="2">#REF!</definedName>
    <definedName name="composição">#REF!</definedName>
    <definedName name="COMPR" localSheetId="2">#REF!</definedName>
    <definedName name="COMPR">#REF!</definedName>
    <definedName name="COMPRIMENTO" localSheetId="2">#REF!</definedName>
    <definedName name="COMPRIMENTO">#REF!</definedName>
    <definedName name="COMPROMETIDO" localSheetId="2">#REF!</definedName>
    <definedName name="COMPROMETIDO">#REF!</definedName>
    <definedName name="CONFIRMAR" localSheetId="3" hidden="1">{#N/A,#N/A,TRUE,"Quinzena 01 à 15-04-98 "}</definedName>
    <definedName name="CONFIRMAR" localSheetId="8" hidden="1">{#N/A,#N/A,TRUE,"Quinzena 01 à 15-04-98 "}</definedName>
    <definedName name="CONFIRMAR" localSheetId="2" hidden="1">{#N/A,#N/A,TRUE,"Quinzena 01 à 15-04-98 "}</definedName>
    <definedName name="CONFIRMAR" localSheetId="9" hidden="1">{#N/A,#N/A,TRUE,"Quinzena 01 à 15-04-98 "}</definedName>
    <definedName name="CONFIRMAR" localSheetId="13" hidden="1">{#N/A,#N/A,TRUE,"Quinzena 01 à 15-04-98 "}</definedName>
    <definedName name="CONFIRMAR" localSheetId="0" hidden="1">{#N/A,#N/A,TRUE,"Quinzena 01 à 15-04-98 "}</definedName>
    <definedName name="CONFIRMAR" hidden="1">{#N/A,#N/A,TRUE,"Quinzena 01 à 15-04-98 "}</definedName>
    <definedName name="cont" localSheetId="3" hidden="1">{#N/A,#N/A,FALSE,"Plan1";#N/A,#N/A,FALSE,"Plan2"}</definedName>
    <definedName name="cont" localSheetId="8" hidden="1">{#N/A,#N/A,FALSE,"Plan1";#N/A,#N/A,FALSE,"Plan2"}</definedName>
    <definedName name="cont" localSheetId="2" hidden="1">{#N/A,#N/A,FALSE,"Plan1";#N/A,#N/A,FALSE,"Plan2"}</definedName>
    <definedName name="cont" localSheetId="9" hidden="1">{#N/A,#N/A,FALSE,"Plan1";#N/A,#N/A,FALSE,"Plan2"}</definedName>
    <definedName name="cont" localSheetId="13" hidden="1">{#N/A,#N/A,FALSE,"Plan1";#N/A,#N/A,FALSE,"Plan2"}</definedName>
    <definedName name="cont" localSheetId="0" hidden="1">{#N/A,#N/A,FALSE,"Plan1";#N/A,#N/A,FALSE,"Plan2"}</definedName>
    <definedName name="cont" hidden="1">{#N/A,#N/A,FALSE,"Plan1";#N/A,#N/A,FALSE,"Plan2"}</definedName>
    <definedName name="CONT1" localSheetId="3">#REF!</definedName>
    <definedName name="CONT1" localSheetId="2">#REF!</definedName>
    <definedName name="CONT1">#REF!</definedName>
    <definedName name="CONT2" localSheetId="3">#REF!</definedName>
    <definedName name="CONT2" localSheetId="2">#REF!</definedName>
    <definedName name="CONT2">#REF!</definedName>
    <definedName name="CONT3" localSheetId="3">#REF!</definedName>
    <definedName name="CONT3" localSheetId="2">#REF!</definedName>
    <definedName name="CONT3">#REF!</definedName>
    <definedName name="CONTAIT" localSheetId="2">#REF!</definedName>
    <definedName name="CONTAIT">#REF!</definedName>
    <definedName name="CONTREC" localSheetId="2">#REF!</definedName>
    <definedName name="CONTREC">#REF!</definedName>
    <definedName name="CONTRES" localSheetId="2">#REF!</definedName>
    <definedName name="CONTRES">#REF!</definedName>
    <definedName name="CONTROLE" localSheetId="2">#REF!</definedName>
    <definedName name="CONTROLE">#REF!</definedName>
    <definedName name="CONVERSÃO" localSheetId="2">#REF!</definedName>
    <definedName name="CONVERSÃO">#REF!</definedName>
    <definedName name="cpmf" localSheetId="2">#REF!</definedName>
    <definedName name="cpmf">#REF!</definedName>
    <definedName name="Credor_Rel_Sienge" localSheetId="2">#REF!</definedName>
    <definedName name="Credor_Rel_Sienge">#REF!</definedName>
    <definedName name="_xlnm.Criteria" localSheetId="3">#REF!</definedName>
    <definedName name="_xlnm.Criteria" localSheetId="8">#REF!</definedName>
    <definedName name="_xlnm.Criteria" localSheetId="2">#REF!</definedName>
    <definedName name="_xlnm.Criteria" localSheetId="9">#REF!</definedName>
    <definedName name="_xlnm.Criteria" localSheetId="13">#REF!</definedName>
    <definedName name="_xlnm.Criteria">#REF!</definedName>
    <definedName name="CRONG" localSheetId="3">#REF!</definedName>
    <definedName name="CRONG" localSheetId="8">#REF!</definedName>
    <definedName name="CRONG" localSheetId="2">#REF!</definedName>
    <definedName name="CRONG" localSheetId="9">#REF!</definedName>
    <definedName name="CRONG" localSheetId="13">#REF!</definedName>
    <definedName name="CRONG">#REF!</definedName>
    <definedName name="cronograma" localSheetId="4">#REF!</definedName>
    <definedName name="cronograma" localSheetId="2">#REF!</definedName>
    <definedName name="cronograma" localSheetId="13">#REF!</definedName>
    <definedName name="cronograma" localSheetId="0">#REF!</definedName>
    <definedName name="cronograma">#REF!</definedName>
    <definedName name="CRONOGRAMA_FÍSICO_FINANCEIRO" localSheetId="2">#REF!</definedName>
    <definedName name="CRONOGRAMA_FÍSICO_FINANCEIRO">#REF!</definedName>
    <definedName name="CS" localSheetId="2">#REF!</definedName>
    <definedName name="CS">#REF!</definedName>
    <definedName name="cs_diferida" localSheetId="2">#REF!</definedName>
    <definedName name="cs_diferida">#REF!</definedName>
    <definedName name="ÇSAÇDFW"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ÇSAÇDFW" hidden="1">{TRUE,TRUE,-1.25,-15.5,604.5,366.75,FALSE,FALSE,TRUE,TRUE,0,1,#N/A,1,#N/A,9.0125,24.4117647058824,1,FALSE,FALSE,3,TRUE,1,FALSE,100,"Swvu.PLANILHA2.","ACwvu.PLANILHA2.",#N/A,FALSE,FALSE,0.787401575,0.34,0.46,0.5,1,"","",FALSE,FALSE,FALSE,FALSE,1,#N/A,1,1,FALSE,FALSE,#N/A,#N/A,FALSE,FALSE,FALSE,9,65532,65532,FALSE,FALSE,TRUE,TRUE,TRUE}</definedName>
    <definedName name="çsdkfçdrkt" localSheetId="3" hidden="1">#REF!</definedName>
    <definedName name="çsdkfçdrkt" localSheetId="8" hidden="1">#REF!</definedName>
    <definedName name="çsdkfçdrkt" localSheetId="2" hidden="1">#REF!</definedName>
    <definedName name="çsdkfçdrkt" localSheetId="9" hidden="1">#REF!</definedName>
    <definedName name="çsdkfçdrkt" localSheetId="13" hidden="1">#REF!</definedName>
    <definedName name="çsdkfçdrkt" localSheetId="0" hidden="1">#REF!</definedName>
    <definedName name="çsdkfçdrkt" hidden="1">#REF!</definedName>
    <definedName name="CS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C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CSER" hidden="1">{TRUE,TRUE,-1.25,-15.5,604.5,366.75,FALSE,FALSE,TRUE,TRUE,0,1,#N/A,1,#N/A,9.0125,24.4117647058824,1,FALSE,FALSE,3,TRUE,1,FALSE,100,"Swvu.PLANILHA2.","ACwvu.PLANILHA2.",#N/A,FALSE,FALSE,0.787401575,0.34,0.46,0.5,1,"","",FALSE,FALSE,FALSE,FALSE,1,#N/A,1,1,FALSE,FALSE,#N/A,#N/A,FALSE,FALSE,FALSE,9,65532,65532,FALSE,FALSE,TRUE,TRUE,TRUE}</definedName>
    <definedName name="ÇSLÇDLFKD" localSheetId="3" hidden="1">{#N/A,#N/A,FALSE,"Plan1";#N/A,#N/A,FALSE,"Plan2"}</definedName>
    <definedName name="ÇSLÇDLFKD" localSheetId="8" hidden="1">{#N/A,#N/A,FALSE,"Plan1";#N/A,#N/A,FALSE,"Plan2"}</definedName>
    <definedName name="ÇSLÇDLFKD" localSheetId="2" hidden="1">{#N/A,#N/A,FALSE,"Plan1";#N/A,#N/A,FALSE,"Plan2"}</definedName>
    <definedName name="ÇSLÇDLFKD" localSheetId="9" hidden="1">{#N/A,#N/A,FALSE,"Plan1";#N/A,#N/A,FALSE,"Plan2"}</definedName>
    <definedName name="ÇSLÇDLFKD" localSheetId="13" hidden="1">{#N/A,#N/A,FALSE,"Plan1";#N/A,#N/A,FALSE,"Plan2"}</definedName>
    <definedName name="ÇSLÇDLFKD" localSheetId="0" hidden="1">{#N/A,#N/A,FALSE,"Plan1";#N/A,#N/A,FALSE,"Plan2"}</definedName>
    <definedName name="ÇSLÇDLFKD" hidden="1">{#N/A,#N/A,FALSE,"Plan1";#N/A,#N/A,FALSE,"Plan2"}</definedName>
    <definedName name="CTH" localSheetId="3" hidden="1">{#N/A,#N/A,FALSE,"GERAL";#N/A,#N/A,FALSE,"012-96";#N/A,#N/A,FALSE,"018-96";#N/A,#N/A,FALSE,"027-96";#N/A,#N/A,FALSE,"059-96";#N/A,#N/A,FALSE,"076-96";#N/A,#N/A,FALSE,"019-97";#N/A,#N/A,FALSE,"021-97";#N/A,#N/A,FALSE,"022-97";#N/A,#N/A,FALSE,"028-97"}</definedName>
    <definedName name="CTH" localSheetId="8" hidden="1">{#N/A,#N/A,FALSE,"GERAL";#N/A,#N/A,FALSE,"012-96";#N/A,#N/A,FALSE,"018-96";#N/A,#N/A,FALSE,"027-96";#N/A,#N/A,FALSE,"059-96";#N/A,#N/A,FALSE,"076-96";#N/A,#N/A,FALSE,"019-97";#N/A,#N/A,FALSE,"021-97";#N/A,#N/A,FALSE,"022-97";#N/A,#N/A,FALSE,"028-97"}</definedName>
    <definedName name="CTH" localSheetId="2" hidden="1">{#N/A,#N/A,FALSE,"GERAL";#N/A,#N/A,FALSE,"012-96";#N/A,#N/A,FALSE,"018-96";#N/A,#N/A,FALSE,"027-96";#N/A,#N/A,FALSE,"059-96";#N/A,#N/A,FALSE,"076-96";#N/A,#N/A,FALSE,"019-97";#N/A,#N/A,FALSE,"021-97";#N/A,#N/A,FALSE,"022-97";#N/A,#N/A,FALSE,"028-97"}</definedName>
    <definedName name="CTH" localSheetId="9" hidden="1">{#N/A,#N/A,FALSE,"GERAL";#N/A,#N/A,FALSE,"012-96";#N/A,#N/A,FALSE,"018-96";#N/A,#N/A,FALSE,"027-96";#N/A,#N/A,FALSE,"059-96";#N/A,#N/A,FALSE,"076-96";#N/A,#N/A,FALSE,"019-97";#N/A,#N/A,FALSE,"021-97";#N/A,#N/A,FALSE,"022-97";#N/A,#N/A,FALSE,"028-97"}</definedName>
    <definedName name="CTH" localSheetId="13" hidden="1">{#N/A,#N/A,FALSE,"GERAL";#N/A,#N/A,FALSE,"012-96";#N/A,#N/A,FALSE,"018-96";#N/A,#N/A,FALSE,"027-96";#N/A,#N/A,FALSE,"059-96";#N/A,#N/A,FALSE,"076-96";#N/A,#N/A,FALSE,"019-97";#N/A,#N/A,FALSE,"021-97";#N/A,#N/A,FALSE,"022-97";#N/A,#N/A,FALSE,"028-97"}</definedName>
    <definedName name="CTH" localSheetId="0" hidden="1">{#N/A,#N/A,FALSE,"GERAL";#N/A,#N/A,FALSE,"012-96";#N/A,#N/A,FALSE,"018-96";#N/A,#N/A,FALSE,"027-96";#N/A,#N/A,FALSE,"059-96";#N/A,#N/A,FALSE,"076-96";#N/A,#N/A,FALSE,"019-97";#N/A,#N/A,FALSE,"021-97";#N/A,#N/A,FALSE,"022-97";#N/A,#N/A,FALSE,"028-97"}</definedName>
    <definedName name="CTH" hidden="1">{#N/A,#N/A,FALSE,"GERAL";#N/A,#N/A,FALSE,"012-96";#N/A,#N/A,FALSE,"018-96";#N/A,#N/A,FALSE,"027-96";#N/A,#N/A,FALSE,"059-96";#N/A,#N/A,FALSE,"076-96";#N/A,#N/A,FALSE,"019-97";#N/A,#N/A,FALSE,"021-97";#N/A,#N/A,FALSE,"022-97";#N/A,#N/A,FALSE,"028-97"}</definedName>
    <definedName name="CUST_DIR_IND" localSheetId="3">#REF!</definedName>
    <definedName name="CUST_DIR_IND" localSheetId="2">#REF!</definedName>
    <definedName name="CUST_DIR_IND">#REF!</definedName>
    <definedName name="CUSTINDIRETO" localSheetId="3">#REF!</definedName>
    <definedName name="CUSTINDIRETO" localSheetId="2">#REF!</definedName>
    <definedName name="CUSTINDIRETO">#REF!</definedName>
    <definedName name="CUSTO_DIR_IND" localSheetId="3">#REF!</definedName>
    <definedName name="CUSTO_DIR_IND" localSheetId="2">#REF!</definedName>
    <definedName name="CUSTO_DIR_IND">#REF!</definedName>
    <definedName name="Custo_Direto_de_Obras_Civis_e_Instalações_..........................................." localSheetId="2">#REF!</definedName>
    <definedName name="Custo_Direto_de_Obras_Civis_e_Instalações_...........................................">#REF!</definedName>
    <definedName name="Custo_Direto_em_geral" localSheetId="2">#REF!</definedName>
    <definedName name="Custo_Direto_em_geral">#REF!</definedName>
    <definedName name="custo_financing" localSheetId="2">#REF!</definedName>
    <definedName name="custo_financing">#REF!</definedName>
    <definedName name="CUSTO_OUTROS" localSheetId="2">#REF!</definedName>
    <definedName name="CUSTO_OUTROS">#REF!</definedName>
    <definedName name="Custo_Outros1" localSheetId="2">#REF!</definedName>
    <definedName name="Custo_Outros1">#REF!</definedName>
    <definedName name="CUSTODIRETO" localSheetId="2">#REF!</definedName>
    <definedName name="CUSTODIRETO">#REF!</definedName>
    <definedName name="CUSTODIRETO_R" localSheetId="2">#REF!</definedName>
    <definedName name="CUSTODIRETO_R">#REF!</definedName>
    <definedName name="CUSTODIRETO_U" localSheetId="2">#REF!</definedName>
    <definedName name="CUSTODIRETO_U">#REF!</definedName>
    <definedName name="CUSTODIRETO1" localSheetId="2">#REF!</definedName>
    <definedName name="CUSTODIRETO1">#REF!</definedName>
    <definedName name="CUSTOFIN" localSheetId="2">#REF!</definedName>
    <definedName name="CUSTOFIN">#REF!</definedName>
    <definedName name="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4">#REF!</definedName>
    <definedName name="D"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2">#REF!</definedName>
    <definedName name="D"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localSheetId="13">#REF!</definedName>
    <definedName name="D" localSheetId="0">#REF!</definedName>
    <definedName name="D">#REF!</definedName>
    <definedName name="da" localSheetId="3">#REF!</definedName>
    <definedName name="da" localSheetId="8">#REF!</definedName>
    <definedName name="da" localSheetId="2">#REF!</definedName>
    <definedName name="da" localSheetId="9">#REF!</definedName>
    <definedName name="da" localSheetId="13">#REF!</definedName>
    <definedName name="da">#REF!</definedName>
    <definedName name="dalmo" localSheetId="3" hidden="1">{#N/A,#N/A,FALSE,"GERAL";#N/A,#N/A,FALSE,"012-96";#N/A,#N/A,FALSE,"018-96";#N/A,#N/A,FALSE,"027-96";#N/A,#N/A,FALSE,"059-96";#N/A,#N/A,FALSE,"076-96";#N/A,#N/A,FALSE,"019-97";#N/A,#N/A,FALSE,"021-97";#N/A,#N/A,FALSE,"022-97";#N/A,#N/A,FALSE,"028-97"}</definedName>
    <definedName name="dalmo" localSheetId="8" hidden="1">{#N/A,#N/A,FALSE,"GERAL";#N/A,#N/A,FALSE,"012-96";#N/A,#N/A,FALSE,"018-96";#N/A,#N/A,FALSE,"027-96";#N/A,#N/A,FALSE,"059-96";#N/A,#N/A,FALSE,"076-96";#N/A,#N/A,FALSE,"019-97";#N/A,#N/A,FALSE,"021-97";#N/A,#N/A,FALSE,"022-97";#N/A,#N/A,FALSE,"028-97"}</definedName>
    <definedName name="dalmo" localSheetId="2" hidden="1">{#N/A,#N/A,FALSE,"GERAL";#N/A,#N/A,FALSE,"012-96";#N/A,#N/A,FALSE,"018-96";#N/A,#N/A,FALSE,"027-96";#N/A,#N/A,FALSE,"059-96";#N/A,#N/A,FALSE,"076-96";#N/A,#N/A,FALSE,"019-97";#N/A,#N/A,FALSE,"021-97";#N/A,#N/A,FALSE,"022-97";#N/A,#N/A,FALSE,"028-97"}</definedName>
    <definedName name="dalmo" localSheetId="9" hidden="1">{#N/A,#N/A,FALSE,"GERAL";#N/A,#N/A,FALSE,"012-96";#N/A,#N/A,FALSE,"018-96";#N/A,#N/A,FALSE,"027-96";#N/A,#N/A,FALSE,"059-96";#N/A,#N/A,FALSE,"076-96";#N/A,#N/A,FALSE,"019-97";#N/A,#N/A,FALSE,"021-97";#N/A,#N/A,FALSE,"022-97";#N/A,#N/A,FALSE,"028-97"}</definedName>
    <definedName name="dalmo" localSheetId="13" hidden="1">{#N/A,#N/A,FALSE,"GERAL";#N/A,#N/A,FALSE,"012-96";#N/A,#N/A,FALSE,"018-96";#N/A,#N/A,FALSE,"027-96";#N/A,#N/A,FALSE,"059-96";#N/A,#N/A,FALSE,"076-96";#N/A,#N/A,FALSE,"019-97";#N/A,#N/A,FALSE,"021-97";#N/A,#N/A,FALSE,"022-97";#N/A,#N/A,FALSE,"028-97"}</definedName>
    <definedName name="dalmo" localSheetId="0" hidden="1">{#N/A,#N/A,FALSE,"GERAL";#N/A,#N/A,FALSE,"012-96";#N/A,#N/A,FALSE,"018-96";#N/A,#N/A,FALSE,"027-96";#N/A,#N/A,FALSE,"059-96";#N/A,#N/A,FALSE,"076-96";#N/A,#N/A,FALSE,"019-97";#N/A,#N/A,FALSE,"021-97";#N/A,#N/A,FALSE,"022-97";#N/A,#N/A,FALSE,"028-97"}</definedName>
    <definedName name="dalmo" hidden="1">{#N/A,#N/A,FALSE,"GERAL";#N/A,#N/A,FALSE,"012-96";#N/A,#N/A,FALSE,"018-96";#N/A,#N/A,FALSE,"027-96";#N/A,#N/A,FALSE,"059-96";#N/A,#N/A,FALSE,"076-96";#N/A,#N/A,FALSE,"019-97";#N/A,#N/A,FALSE,"021-97";#N/A,#N/A,FALSE,"022-97";#N/A,#N/A,FALSE,"028-97"}</definedName>
    <definedName name="dasfrt" localSheetId="3" hidden="1">{#N/A,#N/A,FALSE,"Plan1";#N/A,#N/A,FALSE,"Plan2"}</definedName>
    <definedName name="dasfrt" localSheetId="8" hidden="1">{#N/A,#N/A,FALSE,"Plan1";#N/A,#N/A,FALSE,"Plan2"}</definedName>
    <definedName name="dasfrt" localSheetId="2" hidden="1">{#N/A,#N/A,FALSE,"Plan1";#N/A,#N/A,FALSE,"Plan2"}</definedName>
    <definedName name="dasfrt" localSheetId="9" hidden="1">{#N/A,#N/A,FALSE,"Plan1";#N/A,#N/A,FALSE,"Plan2"}</definedName>
    <definedName name="dasfrt" localSheetId="13" hidden="1">{#N/A,#N/A,FALSE,"Plan1";#N/A,#N/A,FALSE,"Plan2"}</definedName>
    <definedName name="dasfrt" localSheetId="0" hidden="1">{#N/A,#N/A,FALSE,"Plan1";#N/A,#N/A,FALSE,"Plan2"}</definedName>
    <definedName name="dasfrt" hidden="1">{#N/A,#N/A,FALSE,"Plan1";#N/A,#N/A,FALSE,"Plan2"}</definedName>
    <definedName name="DATA" localSheetId="3">#REF!</definedName>
    <definedName name="DATA" localSheetId="2">#REF!</definedName>
    <definedName name="DATA">#REF!</definedName>
    <definedName name="Data_base" localSheetId="3">#REF!</definedName>
    <definedName name="Data_base" localSheetId="2">#REF!</definedName>
    <definedName name="Data_base">#REF!</definedName>
    <definedName name="data_base_VL" localSheetId="3">#REF!</definedName>
    <definedName name="data_base_VL" localSheetId="2">#REF!</definedName>
    <definedName name="data_base_VL">#REF!</definedName>
    <definedName name="DATA_COTAÇÃO" localSheetId="2">#REF!</definedName>
    <definedName name="DATA_COTAÇÃO">#REF!</definedName>
    <definedName name="DATA_ENTREGA" localSheetId="2">#REF!</definedName>
    <definedName name="DATA_ENTREGA">#REF!</definedName>
    <definedName name="DATA_FECHA" localSheetId="2">#REF!</definedName>
    <definedName name="DATA_FECHA">#REF!</definedName>
    <definedName name="Data_Inicio" localSheetId="2">#REF!</definedName>
    <definedName name="Data_Inicio">#REF!</definedName>
    <definedName name="Data_Lançado_Sienge" localSheetId="2">#REF!</definedName>
    <definedName name="Data_Lançado_Sienge">#REF!</definedName>
    <definedName name="Data_Pagamento_Sienge" localSheetId="2">#REF!</definedName>
    <definedName name="Data_Pagamento_Sienge">#REF!</definedName>
    <definedName name="Data_Previsão_Medição_Fin_Medição" localSheetId="2">#REF!</definedName>
    <definedName name="Data_Previsão_Medição_Fin_Medição">#REF!</definedName>
    <definedName name="Data_Tendência_Recebimento_Fin_Medições" localSheetId="2">#REF!</definedName>
    <definedName name="Data_Tendência_Recebimento_Fin_Medições">#REF!</definedName>
    <definedName name="DATA1" localSheetId="2">#REF!</definedName>
    <definedName name="DATA1">#REF!</definedName>
    <definedName name="DATA3" localSheetId="2">#REF!</definedName>
    <definedName name="DATA3">#REF!</definedName>
    <definedName name="DATA4" localSheetId="2">#REF!</definedName>
    <definedName name="DATA4">#REF!</definedName>
    <definedName name="DATA6" localSheetId="2">#REF!</definedName>
    <definedName name="DATA6">#REF!</definedName>
    <definedName name="DataChaves_MAP" localSheetId="2">#REF!</definedName>
    <definedName name="DataChaves_MAP">#REF!</definedName>
    <definedName name="DatasOut13AteDez20" localSheetId="2">#REF!</definedName>
    <definedName name="DatasOut13AteDez20">#REF!</definedName>
    <definedName name="DÇDL" localSheetId="3" hidden="1">{#N/A,#N/A,FALSE,"Plan1";#N/A,#N/A,FALSE,"Plan2"}</definedName>
    <definedName name="DÇDL" localSheetId="8" hidden="1">{#N/A,#N/A,FALSE,"Plan1";#N/A,#N/A,FALSE,"Plan2"}</definedName>
    <definedName name="DÇDL" localSheetId="2" hidden="1">{#N/A,#N/A,FALSE,"Plan1";#N/A,#N/A,FALSE,"Plan2"}</definedName>
    <definedName name="DÇDL" localSheetId="9" hidden="1">{#N/A,#N/A,FALSE,"Plan1";#N/A,#N/A,FALSE,"Plan2"}</definedName>
    <definedName name="DÇDL" localSheetId="13" hidden="1">{#N/A,#N/A,FALSE,"Plan1";#N/A,#N/A,FALSE,"Plan2"}</definedName>
    <definedName name="DÇDL" localSheetId="0" hidden="1">{#N/A,#N/A,FALSE,"Plan1";#N/A,#N/A,FALSE,"Plan2"}</definedName>
    <definedName name="DÇDL" hidden="1">{#N/A,#N/A,FALSE,"Plan1";#N/A,#N/A,FALSE,"Plan2"}</definedName>
    <definedName name="dchart26" localSheetId="3" hidden="1">#REF!</definedName>
    <definedName name="dchart26" localSheetId="8" hidden="1">#REF!</definedName>
    <definedName name="dchart26" localSheetId="2" hidden="1">#REF!</definedName>
    <definedName name="dchart26" localSheetId="9" hidden="1">#REF!</definedName>
    <definedName name="dchart26" localSheetId="13" hidden="1">#REF!</definedName>
    <definedName name="dchart26" localSheetId="0" hidden="1">#REF!</definedName>
    <definedName name="dchart26" hidden="1">#REF!</definedName>
    <definedName name="dchart31" localSheetId="3" hidden="1">#REF!</definedName>
    <definedName name="dchart31" localSheetId="8" hidden="1">#REF!</definedName>
    <definedName name="dchart31" localSheetId="2" hidden="1">#REF!</definedName>
    <definedName name="dchart31" localSheetId="9" hidden="1">#REF!</definedName>
    <definedName name="dchart31" localSheetId="13" hidden="1">#REF!</definedName>
    <definedName name="dchart31" localSheetId="0" hidden="1">#REF!</definedName>
    <definedName name="dchart31" hidden="1">#REF!</definedName>
    <definedName name="dcnsfgdjkgb" localSheetId="3" hidden="1">{#N/A,#N/A,FALSE,"Plan1";#N/A,#N/A,FALSE,"Plan2"}</definedName>
    <definedName name="dcnsfgdjkgb" localSheetId="8" hidden="1">{#N/A,#N/A,FALSE,"Plan1";#N/A,#N/A,FALSE,"Plan2"}</definedName>
    <definedName name="dcnsfgdjkgb" localSheetId="2" hidden="1">{#N/A,#N/A,FALSE,"Plan1";#N/A,#N/A,FALSE,"Plan2"}</definedName>
    <definedName name="dcnsfgdjkgb" localSheetId="9" hidden="1">{#N/A,#N/A,FALSE,"Plan1";#N/A,#N/A,FALSE,"Plan2"}</definedName>
    <definedName name="dcnsfgdjkgb" localSheetId="13" hidden="1">{#N/A,#N/A,FALSE,"Plan1";#N/A,#N/A,FALSE,"Plan2"}</definedName>
    <definedName name="dcnsfgdjkgb" localSheetId="0" hidden="1">{#N/A,#N/A,FALSE,"Plan1";#N/A,#N/A,FALSE,"Plan2"}</definedName>
    <definedName name="dcnsfgdjkgb" hidden="1">{#N/A,#N/A,FALSE,"Plan1";#N/A,#N/A,FALSE,"Plan2"}</definedName>
    <definedName name="DÇWK" localSheetId="3" hidden="1">{#N/A,#N/A,FALSE,"Plan1";#N/A,#N/A,FALSE,"Plan2"}</definedName>
    <definedName name="DÇWK" localSheetId="8" hidden="1">{#N/A,#N/A,FALSE,"Plan1";#N/A,#N/A,FALSE,"Plan2"}</definedName>
    <definedName name="DÇWK" localSheetId="2" hidden="1">{#N/A,#N/A,FALSE,"Plan1";#N/A,#N/A,FALSE,"Plan2"}</definedName>
    <definedName name="DÇWK" localSheetId="9" hidden="1">{#N/A,#N/A,FALSE,"Plan1";#N/A,#N/A,FALSE,"Plan2"}</definedName>
    <definedName name="DÇWK" localSheetId="13" hidden="1">{#N/A,#N/A,FALSE,"Plan1";#N/A,#N/A,FALSE,"Plan2"}</definedName>
    <definedName name="DÇWK" localSheetId="0" hidden="1">{#N/A,#N/A,FALSE,"Plan1";#N/A,#N/A,FALSE,"Plan2"}</definedName>
    <definedName name="DÇWK" hidden="1">{#N/A,#N/A,FALSE,"Plan1";#N/A,#N/A,FALSE,"Plan2"}</definedName>
    <definedName name="D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 localSheetId="3" hidden="1">{"'장비'!$A$3:$M$12"}</definedName>
    <definedName name="ddd" localSheetId="8" hidden="1">{"'장비'!$A$3:$M$12"}</definedName>
    <definedName name="DDD" localSheetId="2">#REF!</definedName>
    <definedName name="ddd" localSheetId="9" hidden="1">{"'장비'!$A$3:$M$12"}</definedName>
    <definedName name="ddd" localSheetId="13" hidden="1">{"'장비'!$A$3:$M$12"}</definedName>
    <definedName name="ddd" localSheetId="0" hidden="1">{"'장비'!$A$3:$M$12"}</definedName>
    <definedName name="ddd" hidden="1">{"'장비'!$A$3:$M$12"}</definedName>
    <definedName name="ddddd" localSheetId="3" hidden="1">{#N/A,#N/A,FALSE,"Plan1";#N/A,#N/A,FALSE,"Plan2"}</definedName>
    <definedName name="ddddd" localSheetId="8" hidden="1">{#N/A,#N/A,FALSE,"Plan1";#N/A,#N/A,FALSE,"Plan2"}</definedName>
    <definedName name="ddddd" localSheetId="2" hidden="1">{#N/A,#N/A,FALSE,"Plan1";#N/A,#N/A,FALSE,"Plan2"}</definedName>
    <definedName name="ddddd" localSheetId="9" hidden="1">{#N/A,#N/A,FALSE,"Plan1";#N/A,#N/A,FALSE,"Plan2"}</definedName>
    <definedName name="ddddd" localSheetId="13" hidden="1">{#N/A,#N/A,FALSE,"Plan1";#N/A,#N/A,FALSE,"Plan2"}</definedName>
    <definedName name="ddddd" localSheetId="0" hidden="1">{#N/A,#N/A,FALSE,"Plan1";#N/A,#N/A,FALSE,"Plan2"}</definedName>
    <definedName name="ddddd" hidden="1">{#N/A,#N/A,FALSE,"Plan1";#N/A,#N/A,FALSE,"Plan2"}</definedName>
    <definedName name="ddddddddddd" localSheetId="3">#REF!</definedName>
    <definedName name="ddddddddddd" localSheetId="2">#REF!</definedName>
    <definedName name="ddddddddddd">#REF!</definedName>
    <definedName name="dddddddddddddddddddddddddd" localSheetId="3">#REF!</definedName>
    <definedName name="dddddddddddddddddddddddddd" localSheetId="2">#REF!</definedName>
    <definedName name="dddddddddddddddddddddddddd">#REF!</definedName>
    <definedName name="dddddddddddddppppppppp" localSheetId="3">#REF!</definedName>
    <definedName name="dddddddddddddppppppppp" localSheetId="2">#REF!</definedName>
    <definedName name="dddddddddddddppppppppp">#REF!</definedName>
    <definedName name="dde" localSheetId="3" hidden="1">{#N/A,#N/A,FALSE,"Plan1";#N/A,#N/A,FALSE,"Plan2"}</definedName>
    <definedName name="dde" localSheetId="8" hidden="1">{#N/A,#N/A,FALSE,"Plan1";#N/A,#N/A,FALSE,"Plan2"}</definedName>
    <definedName name="dde" localSheetId="2" hidden="1">{#N/A,#N/A,FALSE,"Plan1";#N/A,#N/A,FALSE,"Plan2"}</definedName>
    <definedName name="dde" localSheetId="9" hidden="1">{#N/A,#N/A,FALSE,"Plan1";#N/A,#N/A,FALSE,"Plan2"}</definedName>
    <definedName name="dde" localSheetId="13" hidden="1">{#N/A,#N/A,FALSE,"Plan1";#N/A,#N/A,FALSE,"Plan2"}</definedName>
    <definedName name="dde" localSheetId="0" hidden="1">{#N/A,#N/A,FALSE,"Plan1";#N/A,#N/A,FALSE,"Plan2"}</definedName>
    <definedName name="dde" hidden="1">{#N/A,#N/A,FALSE,"Plan1";#N/A,#N/A,FALSE,"Plan2"}</definedName>
    <definedName name="ddfs" localSheetId="3" hidden="1">#REF!</definedName>
    <definedName name="ddfs" localSheetId="8" hidden="1">#REF!</definedName>
    <definedName name="ddfs" localSheetId="2" hidden="1">#REF!</definedName>
    <definedName name="ddfs" localSheetId="9" hidden="1">#REF!</definedName>
    <definedName name="ddfs" localSheetId="13" hidden="1">#REF!</definedName>
    <definedName name="ddfs" localSheetId="0" hidden="1">#REF!</definedName>
    <definedName name="ddfs" hidden="1">#REF!</definedName>
    <definedName name="ddgfdvgd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dgfdvgdg" hidden="1">{TRUE,TRUE,-1.25,-15.5,604.5,366.75,FALSE,FALSE,TRUE,TRUE,0,1,#N/A,1,#N/A,9.0125,24.4117647058824,1,FALSE,FALSE,3,TRUE,1,FALSE,100,"Swvu.PLANILHA2.","ACwvu.PLANILHA2.",#N/A,FALSE,FALSE,0.787401575,0.34,0.46,0.5,1,"","",FALSE,FALSE,FALSE,FALSE,1,#N/A,1,1,FALSE,FALSE,#N/A,#N/A,FALSE,FALSE,FALSE,9,65532,65532,FALSE,FALSE,TRUE,TRUE,TRUE}</definedName>
    <definedName name="DDGSFG" localSheetId="3" hidden="1">{#N/A,#N/A,FALSE,"Plan1";#N/A,#N/A,FALSE,"Plan2"}</definedName>
    <definedName name="DDGSFG" localSheetId="8" hidden="1">{#N/A,#N/A,FALSE,"Plan1";#N/A,#N/A,FALSE,"Plan2"}</definedName>
    <definedName name="DDGSFG" localSheetId="2" hidden="1">{#N/A,#N/A,FALSE,"Plan1";#N/A,#N/A,FALSE,"Plan2"}</definedName>
    <definedName name="DDGSFG" localSheetId="9" hidden="1">{#N/A,#N/A,FALSE,"Plan1";#N/A,#N/A,FALSE,"Plan2"}</definedName>
    <definedName name="DDGSFG" localSheetId="13" hidden="1">{#N/A,#N/A,FALSE,"Plan1";#N/A,#N/A,FALSE,"Plan2"}</definedName>
    <definedName name="DDGSFG" localSheetId="0" hidden="1">{#N/A,#N/A,FALSE,"Plan1";#N/A,#N/A,FALSE,"Plan2"}</definedName>
    <definedName name="DDGSFG" hidden="1">{#N/A,#N/A,FALSE,"Plan1";#N/A,#N/A,FALSE,"Plan2"}</definedName>
    <definedName name="dede" localSheetId="3" hidden="1">{#N/A,#N/A,FALSE,"Plan1";#N/A,#N/A,FALSE,"Plan2"}</definedName>
    <definedName name="dede" localSheetId="8" hidden="1">{#N/A,#N/A,FALSE,"Plan1";#N/A,#N/A,FALSE,"Plan2"}</definedName>
    <definedName name="dede" localSheetId="2" hidden="1">{#N/A,#N/A,FALSE,"Plan1";#N/A,#N/A,FALSE,"Plan2"}</definedName>
    <definedName name="dede" localSheetId="9" hidden="1">{#N/A,#N/A,FALSE,"Plan1";#N/A,#N/A,FALSE,"Plan2"}</definedName>
    <definedName name="dede" localSheetId="13" hidden="1">{#N/A,#N/A,FALSE,"Plan1";#N/A,#N/A,FALSE,"Plan2"}</definedName>
    <definedName name="dede" localSheetId="0" hidden="1">{#N/A,#N/A,FALSE,"Plan1";#N/A,#N/A,FALSE,"Plan2"}</definedName>
    <definedName name="dede" hidden="1">{#N/A,#N/A,FALSE,"Plan1";#N/A,#N/A,FALSE,"Plan2"}</definedName>
    <definedName name="defasagem" localSheetId="3">OFFSET(INDEX(#REF!,MATCH(#REF!,#REF!,0)),1,0,COUNTA(#REF!)-1)</definedName>
    <definedName name="defasagem" localSheetId="8">OFFSET(INDEX(#REF!,MATCH(#REF!,#REF!,0)),1,0,COUNTA(#REF!)-1)</definedName>
    <definedName name="defasagem" localSheetId="2">OFFSET(INDEX(#REF!,MATCH(#REF!,#REF!,0)),1,0,COUNTA(#REF!)-1)</definedName>
    <definedName name="defasagem" localSheetId="9">OFFSET(INDEX(#REF!,MATCH(#REF!,#REF!,0)),1,0,COUNTA(#REF!)-1)</definedName>
    <definedName name="defasagem" localSheetId="13">OFFSET(INDEX(#REF!,MATCH(#REF!,#REF!,0)),1,0,COUNTA(#REF!)-1)</definedName>
    <definedName name="defasagem">OFFSET(INDEX(#REF!,MATCH(#REF!,#REF!,0)),1,0,COUNTA(#REF!)-1)</definedName>
    <definedName name="depara" localSheetId="3">#REF!</definedName>
    <definedName name="depara" localSheetId="2">#REF!</definedName>
    <definedName name="depara">#REF!</definedName>
    <definedName name="DERIVQT" localSheetId="3">#REF!</definedName>
    <definedName name="DERIVQT" localSheetId="2">#REF!</definedName>
    <definedName name="DERIVQT">#REF!</definedName>
    <definedName name="des" localSheetId="3" hidden="1">{#N/A,#N/A,FALSE,"Plan1";#N/A,#N/A,FALSE,"Plan2"}</definedName>
    <definedName name="des" localSheetId="8" hidden="1">{#N/A,#N/A,FALSE,"Plan1";#N/A,#N/A,FALSE,"Plan2"}</definedName>
    <definedName name="des" localSheetId="2" hidden="1">{#N/A,#N/A,FALSE,"Plan1";#N/A,#N/A,FALSE,"Plan2"}</definedName>
    <definedName name="des" localSheetId="9" hidden="1">{#N/A,#N/A,FALSE,"Plan1";#N/A,#N/A,FALSE,"Plan2"}</definedName>
    <definedName name="des" localSheetId="13" hidden="1">{#N/A,#N/A,FALSE,"Plan1";#N/A,#N/A,FALSE,"Plan2"}</definedName>
    <definedName name="des" localSheetId="0" hidden="1">{#N/A,#N/A,FALSE,"Plan1";#N/A,#N/A,FALSE,"Plan2"}</definedName>
    <definedName name="des" hidden="1">{#N/A,#N/A,FALSE,"Plan1";#N/A,#N/A,FALSE,"Plan2"}</definedName>
    <definedName name="desc" localSheetId="3" hidden="1">{#N/A,#N/A,FALSE,"Plan1";#N/A,#N/A,FALSE,"Plan2"}</definedName>
    <definedName name="desc" localSheetId="8" hidden="1">{#N/A,#N/A,FALSE,"Plan1";#N/A,#N/A,FALSE,"Plan2"}</definedName>
    <definedName name="desc" localSheetId="2" hidden="1">{#N/A,#N/A,FALSE,"Plan1";#N/A,#N/A,FALSE,"Plan2"}</definedName>
    <definedName name="desc" localSheetId="9" hidden="1">{#N/A,#N/A,FALSE,"Plan1";#N/A,#N/A,FALSE,"Plan2"}</definedName>
    <definedName name="desc" localSheetId="13" hidden="1">{#N/A,#N/A,FALSE,"Plan1";#N/A,#N/A,FALSE,"Plan2"}</definedName>
    <definedName name="desc" localSheetId="0" hidden="1">{#N/A,#N/A,FALSE,"Plan1";#N/A,#N/A,FALSE,"Plan2"}</definedName>
    <definedName name="desc" hidden="1">{#N/A,#N/A,FALSE,"Plan1";#N/A,#N/A,FALSE,"Plan2"}</definedName>
    <definedName name="DESCONTO" localSheetId="3">#REF!</definedName>
    <definedName name="DESCONTO" localSheetId="2">#REF!</definedName>
    <definedName name="DESCONTO">#REF!</definedName>
    <definedName name="DESCRIÇÃO_OBRA" localSheetId="3">#REF!</definedName>
    <definedName name="DESCRIÇÃO_OBRA" localSheetId="2">#REF!</definedName>
    <definedName name="DESCRIÇÃO_OBRA">#REF!</definedName>
    <definedName name="DespFatur" localSheetId="3">#REF!</definedName>
    <definedName name="DespFatur" localSheetId="2">#REF!</definedName>
    <definedName name="DespFatur">#REF!</definedName>
    <definedName name="DEZ" localSheetId="2">#REF!</definedName>
    <definedName name="DEZ">#REF!</definedName>
    <definedName name="dez17RJ" localSheetId="2">#REF!</definedName>
    <definedName name="dez17RJ">#REF!</definedName>
    <definedName name="DEZEMBRO" localSheetId="2">#REF!</definedName>
    <definedName name="DEZEMBRO">#REF!</definedName>
    <definedName name="DEZENOVE" localSheetId="2">#REF!</definedName>
    <definedName name="DEZENOVE">#REF!</definedName>
    <definedName name="DEZESSEIS" localSheetId="2">#REF!</definedName>
    <definedName name="DEZESSEIS">#REF!</definedName>
    <definedName name="DEZESSETE" localSheetId="2">#REF!</definedName>
    <definedName name="DEZESSETE">#REF!</definedName>
    <definedName name="DEZOITO" localSheetId="2">#REF!</definedName>
    <definedName name="DEZOITO">#REF!</definedName>
    <definedName name="d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 hidden="1">{TRUE,TRUE,-1.25,-15.5,604.5,366.75,FALSE,FALSE,TRUE,TRUE,0,1,#N/A,1,#N/A,9.0125,24.4117647058824,1,FALSE,FALSE,3,TRUE,1,FALSE,100,"Swvu.PLANILHA2.","ACwvu.PLANILHA2.",#N/A,FALSE,FALSE,0.787401575,0.34,0.46,0.5,1,"","",FALSE,FALSE,FALSE,FALSE,1,#N/A,1,1,FALSE,FALSE,#N/A,#N/A,FALSE,FALSE,FALSE,9,65532,65532,FALSE,FALSE,TRUE,TRUE,TRUE}</definedName>
    <definedName name="DFD" localSheetId="3" hidden="1">{#N/A,#N/A,FALSE,"명세표"}</definedName>
    <definedName name="DFD" localSheetId="8" hidden="1">{#N/A,#N/A,FALSE,"명세표"}</definedName>
    <definedName name="DFD" localSheetId="2" hidden="1">{#N/A,#N/A,FALSE,"명세표"}</definedName>
    <definedName name="DFD" localSheetId="9" hidden="1">{#N/A,#N/A,FALSE,"명세표"}</definedName>
    <definedName name="DFD" localSheetId="13" hidden="1">{#N/A,#N/A,FALSE,"명세표"}</definedName>
    <definedName name="DFD" localSheetId="0" hidden="1">{#N/A,#N/A,FALSE,"명세표"}</definedName>
    <definedName name="DFD" hidden="1">{#N/A,#N/A,FALSE,"명세표"}</definedName>
    <definedName name="dfdfty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dftyr" hidden="1">{TRUE,TRUE,-1.25,-15.5,604.5,366.75,FALSE,FALSE,TRUE,TRUE,0,1,#N/A,1,#N/A,9.0125,24.4117647058824,1,FALSE,FALSE,3,TRUE,1,FALSE,100,"Swvu.PLANILHA2.","ACwvu.PLANILHA2.",#N/A,FALSE,FALSE,0.787401575,0.34,0.46,0.5,1,"","",FALSE,FALSE,FALSE,FALSE,1,#N/A,1,1,FALSE,FALSE,#N/A,#N/A,FALSE,FALSE,FALSE,9,65532,65532,FALSE,FALSE,TRUE,TRUE,TRUE}</definedName>
    <definedName name="dfdjgfdfgdf" localSheetId="3" hidden="1">{#N/A,#N/A,FALSE,"Plan1";#N/A,#N/A,FALSE,"Plan2"}</definedName>
    <definedName name="dfdjgfdfgdf" localSheetId="8" hidden="1">{#N/A,#N/A,FALSE,"Plan1";#N/A,#N/A,FALSE,"Plan2"}</definedName>
    <definedName name="dfdjgfdfgdf" localSheetId="2" hidden="1">{#N/A,#N/A,FALSE,"Plan1";#N/A,#N/A,FALSE,"Plan2"}</definedName>
    <definedName name="dfdjgfdfgdf" localSheetId="9" hidden="1">{#N/A,#N/A,FALSE,"Plan1";#N/A,#N/A,FALSE,"Plan2"}</definedName>
    <definedName name="dfdjgfdfgdf" localSheetId="13" hidden="1">{#N/A,#N/A,FALSE,"Plan1";#N/A,#N/A,FALSE,"Plan2"}</definedName>
    <definedName name="dfdjgfdfgdf" localSheetId="0" hidden="1">{#N/A,#N/A,FALSE,"Plan1";#N/A,#N/A,FALSE,"Plan2"}</definedName>
    <definedName name="dfdjgfdfgdf" hidden="1">{#N/A,#N/A,FALSE,"Plan1";#N/A,#N/A,FALSE,"Plan2"}</definedName>
    <definedName name="dfdrtrr" localSheetId="3" hidden="1">{#N/A,#N/A,FALSE,"Plan1";#N/A,#N/A,FALSE,"Plan2"}</definedName>
    <definedName name="dfdrtrr" localSheetId="8" hidden="1">{#N/A,#N/A,FALSE,"Plan1";#N/A,#N/A,FALSE,"Plan2"}</definedName>
    <definedName name="dfdrtrr" localSheetId="2" hidden="1">{#N/A,#N/A,FALSE,"Plan1";#N/A,#N/A,FALSE,"Plan2"}</definedName>
    <definedName name="dfdrtrr" localSheetId="9" hidden="1">{#N/A,#N/A,FALSE,"Plan1";#N/A,#N/A,FALSE,"Plan2"}</definedName>
    <definedName name="dfdrtrr" localSheetId="13" hidden="1">{#N/A,#N/A,FALSE,"Plan1";#N/A,#N/A,FALSE,"Plan2"}</definedName>
    <definedName name="dfdrtrr" localSheetId="0" hidden="1">{#N/A,#N/A,FALSE,"Plan1";#N/A,#N/A,FALSE,"Plan2"}</definedName>
    <definedName name="dfdrtrr" hidden="1">{#N/A,#N/A,FALSE,"Plan1";#N/A,#N/A,FALSE,"Plan2"}</definedName>
    <definedName name="DFDSG" localSheetId="3" hidden="1">{#N/A,#N/A,FALSE,"Plan1";#N/A,#N/A,FALSE,"Plan2"}</definedName>
    <definedName name="DFDSG" localSheetId="8" hidden="1">{#N/A,#N/A,FALSE,"Plan1";#N/A,#N/A,FALSE,"Plan2"}</definedName>
    <definedName name="DFDSG" localSheetId="2" hidden="1">{#N/A,#N/A,FALSE,"Plan1";#N/A,#N/A,FALSE,"Plan2"}</definedName>
    <definedName name="DFDSG" localSheetId="9" hidden="1">{#N/A,#N/A,FALSE,"Plan1";#N/A,#N/A,FALSE,"Plan2"}</definedName>
    <definedName name="DFDSG" localSheetId="13" hidden="1">{#N/A,#N/A,FALSE,"Plan1";#N/A,#N/A,FALSE,"Plan2"}</definedName>
    <definedName name="DFDSG" localSheetId="0" hidden="1">{#N/A,#N/A,FALSE,"Plan1";#N/A,#N/A,FALSE,"Plan2"}</definedName>
    <definedName name="DFDSG" hidden="1">{#N/A,#N/A,FALSE,"Plan1";#N/A,#N/A,FALSE,"Plan2"}</definedName>
    <definedName name="dfer" localSheetId="3" hidden="1">{#N/A,#N/A,FALSE,"Plan1";#N/A,#N/A,FALSE,"Plan2"}</definedName>
    <definedName name="dfer" localSheetId="8" hidden="1">{#N/A,#N/A,FALSE,"Plan1";#N/A,#N/A,FALSE,"Plan2"}</definedName>
    <definedName name="dfer" localSheetId="2" hidden="1">{#N/A,#N/A,FALSE,"Plan1";#N/A,#N/A,FALSE,"Plan2"}</definedName>
    <definedName name="dfer" localSheetId="9" hidden="1">{#N/A,#N/A,FALSE,"Plan1";#N/A,#N/A,FALSE,"Plan2"}</definedName>
    <definedName name="dfer" localSheetId="13" hidden="1">{#N/A,#N/A,FALSE,"Plan1";#N/A,#N/A,FALSE,"Plan2"}</definedName>
    <definedName name="dfer" localSheetId="0" hidden="1">{#N/A,#N/A,FALSE,"Plan1";#N/A,#N/A,FALSE,"Plan2"}</definedName>
    <definedName name="dfer" hidden="1">{#N/A,#N/A,FALSE,"Plan1";#N/A,#N/A,FALSE,"Plan2"}</definedName>
    <definedName name="dffbty" localSheetId="3" hidden="1">{#N/A,#N/A,FALSE,"Plan1";#N/A,#N/A,FALSE,"Plan2"}</definedName>
    <definedName name="dffbty" localSheetId="8" hidden="1">{#N/A,#N/A,FALSE,"Plan1";#N/A,#N/A,FALSE,"Plan2"}</definedName>
    <definedName name="dffbty" localSheetId="2" hidden="1">{#N/A,#N/A,FALSE,"Plan1";#N/A,#N/A,FALSE,"Plan2"}</definedName>
    <definedName name="dffbty" localSheetId="9" hidden="1">{#N/A,#N/A,FALSE,"Plan1";#N/A,#N/A,FALSE,"Plan2"}</definedName>
    <definedName name="dffbty" localSheetId="13" hidden="1">{#N/A,#N/A,FALSE,"Plan1";#N/A,#N/A,FALSE,"Plan2"}</definedName>
    <definedName name="dffbty" localSheetId="0" hidden="1">{#N/A,#N/A,FALSE,"Plan1";#N/A,#N/A,FALSE,"Plan2"}</definedName>
    <definedName name="dffbty" hidden="1">{#N/A,#N/A,FALSE,"Plan1";#N/A,#N/A,FALSE,"Plan2"}</definedName>
    <definedName name="dffg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fgk" hidden="1">{TRUE,TRUE,-1.25,-15.5,604.5,366.75,FALSE,FALSE,TRUE,TRUE,0,1,#N/A,1,#N/A,9.0125,24.4117647058824,1,FALSE,FALSE,3,TRUE,1,FALSE,100,"Swvu.PLANILHA2.","ACwvu.PLANILHA2.",#N/A,FALSE,FALSE,0.787401575,0.34,0.46,0.5,1,"","",FALSE,FALSE,FALSE,FALSE,1,#N/A,1,1,FALSE,FALSE,#N/A,#N/A,FALSE,FALSE,FALSE,9,65532,65532,FALSE,FALSE,TRUE,TRUE,TRUE}</definedName>
    <definedName name="dffhg" localSheetId="3" hidden="1">{#N/A,#N/A,FALSE,"Plan1";#N/A,#N/A,FALSE,"Plan2"}</definedName>
    <definedName name="dffhg" localSheetId="8" hidden="1">{#N/A,#N/A,FALSE,"Plan1";#N/A,#N/A,FALSE,"Plan2"}</definedName>
    <definedName name="dffhg" localSheetId="2" hidden="1">{#N/A,#N/A,FALSE,"Plan1";#N/A,#N/A,FALSE,"Plan2"}</definedName>
    <definedName name="dffhg" localSheetId="9" hidden="1">{#N/A,#N/A,FALSE,"Plan1";#N/A,#N/A,FALSE,"Plan2"}</definedName>
    <definedName name="dffhg" localSheetId="13" hidden="1">{#N/A,#N/A,FALSE,"Plan1";#N/A,#N/A,FALSE,"Plan2"}</definedName>
    <definedName name="dffhg" localSheetId="0" hidden="1">{#N/A,#N/A,FALSE,"Plan1";#N/A,#N/A,FALSE,"Plan2"}</definedName>
    <definedName name="dffhg" hidden="1">{#N/A,#N/A,FALSE,"Plan1";#N/A,#N/A,FALSE,"Plan2"}</definedName>
    <definedName name="dfg" localSheetId="3" hidden="1">{#N/A,#N/A,FALSE,"Plan1";#N/A,#N/A,FALSE,"Plan2"}</definedName>
    <definedName name="dfg" localSheetId="8" hidden="1">{#N/A,#N/A,FALSE,"Plan1";#N/A,#N/A,FALSE,"Plan2"}</definedName>
    <definedName name="dfg" localSheetId="2" hidden="1">{#N/A,#N/A,FALSE,"Plan1";#N/A,#N/A,FALSE,"Plan2"}</definedName>
    <definedName name="dfg" localSheetId="9" hidden="1">{#N/A,#N/A,FALSE,"Plan1";#N/A,#N/A,FALSE,"Plan2"}</definedName>
    <definedName name="dfg" localSheetId="13" hidden="1">{#N/A,#N/A,FALSE,"Plan1";#N/A,#N/A,FALSE,"Plan2"}</definedName>
    <definedName name="dfg" localSheetId="0" hidden="1">{#N/A,#N/A,FALSE,"Plan1";#N/A,#N/A,FALSE,"Plan2"}</definedName>
    <definedName name="dfg" hidden="1">{#N/A,#N/A,FALSE,"Plan1";#N/A,#N/A,FALSE,"Plan2"}</definedName>
    <definedName name="dfgdf" localSheetId="3" hidden="1">{#N/A,#N/A,FALSE,"Plan1";#N/A,#N/A,FALSE,"Plan2"}</definedName>
    <definedName name="dfgdf" localSheetId="8" hidden="1">{#N/A,#N/A,FALSE,"Plan1";#N/A,#N/A,FALSE,"Plan2"}</definedName>
    <definedName name="dfgdf" localSheetId="2" hidden="1">{#N/A,#N/A,FALSE,"Plan1";#N/A,#N/A,FALSE,"Plan2"}</definedName>
    <definedName name="dfgdf" localSheetId="9" hidden="1">{#N/A,#N/A,FALSE,"Plan1";#N/A,#N/A,FALSE,"Plan2"}</definedName>
    <definedName name="dfgdf" localSheetId="13" hidden="1">{#N/A,#N/A,FALSE,"Plan1";#N/A,#N/A,FALSE,"Plan2"}</definedName>
    <definedName name="dfgdf" localSheetId="0" hidden="1">{#N/A,#N/A,FALSE,"Plan1";#N/A,#N/A,FALSE,"Plan2"}</definedName>
    <definedName name="dfgdf" hidden="1">{#N/A,#N/A,FALSE,"Plan1";#N/A,#N/A,FALSE,"Plan2"}</definedName>
    <definedName name="dfgdytygr" localSheetId="3" hidden="1">{#N/A,#N/A,FALSE,"Plan1";#N/A,#N/A,FALSE,"Plan2"}</definedName>
    <definedName name="dfgdytygr" localSheetId="8" hidden="1">{#N/A,#N/A,FALSE,"Plan1";#N/A,#N/A,FALSE,"Plan2"}</definedName>
    <definedName name="dfgdytygr" localSheetId="2" hidden="1">{#N/A,#N/A,FALSE,"Plan1";#N/A,#N/A,FALSE,"Plan2"}</definedName>
    <definedName name="dfgdytygr" localSheetId="9" hidden="1">{#N/A,#N/A,FALSE,"Plan1";#N/A,#N/A,FALSE,"Plan2"}</definedName>
    <definedName name="dfgdytygr" localSheetId="13" hidden="1">{#N/A,#N/A,FALSE,"Plan1";#N/A,#N/A,FALSE,"Plan2"}</definedName>
    <definedName name="dfgdytygr" localSheetId="0" hidden="1">{#N/A,#N/A,FALSE,"Plan1";#N/A,#N/A,FALSE,"Plan2"}</definedName>
    <definedName name="dfgdytygr" hidden="1">{#N/A,#N/A,FALSE,"Plan1";#N/A,#N/A,FALSE,"Plan2"}</definedName>
    <definedName name="dfgftrrdt5" localSheetId="3" hidden="1">{#N/A,#N/A,FALSE,"Plan1";#N/A,#N/A,FALSE,"Plan2"}</definedName>
    <definedName name="dfgftrrdt5" localSheetId="8" hidden="1">{#N/A,#N/A,FALSE,"Plan1";#N/A,#N/A,FALSE,"Plan2"}</definedName>
    <definedName name="dfgftrrdt5" localSheetId="2" hidden="1">{#N/A,#N/A,FALSE,"Plan1";#N/A,#N/A,FALSE,"Plan2"}</definedName>
    <definedName name="dfgftrrdt5" localSheetId="9" hidden="1">{#N/A,#N/A,FALSE,"Plan1";#N/A,#N/A,FALSE,"Plan2"}</definedName>
    <definedName name="dfgftrrdt5" localSheetId="13" hidden="1">{#N/A,#N/A,FALSE,"Plan1";#N/A,#N/A,FALSE,"Plan2"}</definedName>
    <definedName name="dfgftrrdt5" localSheetId="0" hidden="1">{#N/A,#N/A,FALSE,"Plan1";#N/A,#N/A,FALSE,"Plan2"}</definedName>
    <definedName name="dfgftrrdt5" hidden="1">{#N/A,#N/A,FALSE,"Plan1";#N/A,#N/A,FALSE,"Plan2"}</definedName>
    <definedName name="dfgh" localSheetId="3">#REF!</definedName>
    <definedName name="dfgh" localSheetId="2">#REF!</definedName>
    <definedName name="dfgh">#REF!</definedName>
    <definedName name="dfghjfhsg" localSheetId="3" hidden="1">{#N/A,#N/A,FALSE,"Plan1";#N/A,#N/A,FALSE,"Plan2"}</definedName>
    <definedName name="dfghjfhsg" localSheetId="8" hidden="1">{#N/A,#N/A,FALSE,"Plan1";#N/A,#N/A,FALSE,"Plan2"}</definedName>
    <definedName name="dfghjfhsg" localSheetId="2" hidden="1">{#N/A,#N/A,FALSE,"Plan1";#N/A,#N/A,FALSE,"Plan2"}</definedName>
    <definedName name="dfghjfhsg" localSheetId="9" hidden="1">{#N/A,#N/A,FALSE,"Plan1";#N/A,#N/A,FALSE,"Plan2"}</definedName>
    <definedName name="dfghjfhsg" localSheetId="13" hidden="1">{#N/A,#N/A,FALSE,"Plan1";#N/A,#N/A,FALSE,"Plan2"}</definedName>
    <definedName name="dfghjfhsg" localSheetId="0" hidden="1">{#N/A,#N/A,FALSE,"Plan1";#N/A,#N/A,FALSE,"Plan2"}</definedName>
    <definedName name="dfghjfhsg" hidden="1">{#N/A,#N/A,FALSE,"Plan1";#N/A,#N/A,FALSE,"Plan2"}</definedName>
    <definedName name="dfgj" localSheetId="3" hidden="1">{#N/A,#N/A,FALSE,"Plan1";#N/A,#N/A,FALSE,"Plan2"}</definedName>
    <definedName name="dfgj" localSheetId="8" hidden="1">{#N/A,#N/A,FALSE,"Plan1";#N/A,#N/A,FALSE,"Plan2"}</definedName>
    <definedName name="dfgj" localSheetId="2" hidden="1">{#N/A,#N/A,FALSE,"Plan1";#N/A,#N/A,FALSE,"Plan2"}</definedName>
    <definedName name="dfgj" localSheetId="9" hidden="1">{#N/A,#N/A,FALSE,"Plan1";#N/A,#N/A,FALSE,"Plan2"}</definedName>
    <definedName name="dfgj" localSheetId="13" hidden="1">{#N/A,#N/A,FALSE,"Plan1";#N/A,#N/A,FALSE,"Plan2"}</definedName>
    <definedName name="dfgj" localSheetId="0" hidden="1">{#N/A,#N/A,FALSE,"Plan1";#N/A,#N/A,FALSE,"Plan2"}</definedName>
    <definedName name="dfgj" hidden="1">{#N/A,#N/A,FALSE,"Plan1";#N/A,#N/A,FALSE,"Plan2"}</definedName>
    <definedName name="dfgjfttyd" localSheetId="3" hidden="1">{#N/A,#N/A,FALSE,"Plan1";#N/A,#N/A,FALSE,"Plan2"}</definedName>
    <definedName name="dfgjfttyd" localSheetId="8" hidden="1">{#N/A,#N/A,FALSE,"Plan1";#N/A,#N/A,FALSE,"Plan2"}</definedName>
    <definedName name="dfgjfttyd" localSheetId="2" hidden="1">{#N/A,#N/A,FALSE,"Plan1";#N/A,#N/A,FALSE,"Plan2"}</definedName>
    <definedName name="dfgjfttyd" localSheetId="9" hidden="1">{#N/A,#N/A,FALSE,"Plan1";#N/A,#N/A,FALSE,"Plan2"}</definedName>
    <definedName name="dfgjfttyd" localSheetId="13" hidden="1">{#N/A,#N/A,FALSE,"Plan1";#N/A,#N/A,FALSE,"Plan2"}</definedName>
    <definedName name="dfgjfttyd" localSheetId="0" hidden="1">{#N/A,#N/A,FALSE,"Plan1";#N/A,#N/A,FALSE,"Plan2"}</definedName>
    <definedName name="dfgjfttyd" hidden="1">{#N/A,#N/A,FALSE,"Plan1";#N/A,#N/A,FALSE,"Plan2"}</definedName>
    <definedName name="dfgjjtdrtg" localSheetId="3" hidden="1">{#N/A,#N/A,FALSE,"Plan1";#N/A,#N/A,FALSE,"Plan2"}</definedName>
    <definedName name="dfgjjtdrtg" localSheetId="8" hidden="1">{#N/A,#N/A,FALSE,"Plan1";#N/A,#N/A,FALSE,"Plan2"}</definedName>
    <definedName name="dfgjjtdrtg" localSheetId="2" hidden="1">{#N/A,#N/A,FALSE,"Plan1";#N/A,#N/A,FALSE,"Plan2"}</definedName>
    <definedName name="dfgjjtdrtg" localSheetId="9" hidden="1">{#N/A,#N/A,FALSE,"Plan1";#N/A,#N/A,FALSE,"Plan2"}</definedName>
    <definedName name="dfgjjtdrtg" localSheetId="13" hidden="1">{#N/A,#N/A,FALSE,"Plan1";#N/A,#N/A,FALSE,"Plan2"}</definedName>
    <definedName name="dfgjjtdrtg" localSheetId="0" hidden="1">{#N/A,#N/A,FALSE,"Plan1";#N/A,#N/A,FALSE,"Plan2"}</definedName>
    <definedName name="dfgjjtdrtg" hidden="1">{#N/A,#N/A,FALSE,"Plan1";#N/A,#N/A,FALSE,"Plan2"}</definedName>
    <definedName name="dfgt" localSheetId="3" hidden="1">{#N/A,#N/A,FALSE,"Plan1";#N/A,#N/A,FALSE,"Plan2"}</definedName>
    <definedName name="dfgt" localSheetId="8" hidden="1">{#N/A,#N/A,FALSE,"Plan1";#N/A,#N/A,FALSE,"Plan2"}</definedName>
    <definedName name="dfgt" localSheetId="2" hidden="1">{#N/A,#N/A,FALSE,"Plan1";#N/A,#N/A,FALSE,"Plan2"}</definedName>
    <definedName name="dfgt" localSheetId="9" hidden="1">{#N/A,#N/A,FALSE,"Plan1";#N/A,#N/A,FALSE,"Plan2"}</definedName>
    <definedName name="dfgt" localSheetId="13" hidden="1">{#N/A,#N/A,FALSE,"Plan1";#N/A,#N/A,FALSE,"Plan2"}</definedName>
    <definedName name="dfgt" localSheetId="0" hidden="1">{#N/A,#N/A,FALSE,"Plan1";#N/A,#N/A,FALSE,"Plan2"}</definedName>
    <definedName name="dfgt" hidden="1">{#N/A,#N/A,FALSE,"Plan1";#N/A,#N/A,FALSE,"Plan2"}</definedName>
    <definedName name="dfgtrkjhk" localSheetId="3" hidden="1">{#N/A,#N/A,FALSE,"Plan1";#N/A,#N/A,FALSE,"Plan2"}</definedName>
    <definedName name="dfgtrkjhk" localSheetId="8" hidden="1">{#N/A,#N/A,FALSE,"Plan1";#N/A,#N/A,FALSE,"Plan2"}</definedName>
    <definedName name="dfgtrkjhk" localSheetId="2" hidden="1">{#N/A,#N/A,FALSE,"Plan1";#N/A,#N/A,FALSE,"Plan2"}</definedName>
    <definedName name="dfgtrkjhk" localSheetId="9" hidden="1">{#N/A,#N/A,FALSE,"Plan1";#N/A,#N/A,FALSE,"Plan2"}</definedName>
    <definedName name="dfgtrkjhk" localSheetId="13" hidden="1">{#N/A,#N/A,FALSE,"Plan1";#N/A,#N/A,FALSE,"Plan2"}</definedName>
    <definedName name="dfgtrkjhk" localSheetId="0" hidden="1">{#N/A,#N/A,FALSE,"Plan1";#N/A,#N/A,FALSE,"Plan2"}</definedName>
    <definedName name="dfgtrkjhk" hidden="1">{#N/A,#N/A,FALSE,"Plan1";#N/A,#N/A,FALSE,"Plan2"}</definedName>
    <definedName name="dfgty" localSheetId="3" hidden="1">{#N/A,#N/A,FALSE,"Plan1";#N/A,#N/A,FALSE,"Plan2"}</definedName>
    <definedName name="dfgty" localSheetId="8" hidden="1">{#N/A,#N/A,FALSE,"Plan1";#N/A,#N/A,FALSE,"Plan2"}</definedName>
    <definedName name="dfgty" localSheetId="2" hidden="1">{#N/A,#N/A,FALSE,"Plan1";#N/A,#N/A,FALSE,"Plan2"}</definedName>
    <definedName name="dfgty" localSheetId="9" hidden="1">{#N/A,#N/A,FALSE,"Plan1";#N/A,#N/A,FALSE,"Plan2"}</definedName>
    <definedName name="dfgty" localSheetId="13" hidden="1">{#N/A,#N/A,FALSE,"Plan1";#N/A,#N/A,FALSE,"Plan2"}</definedName>
    <definedName name="dfgty" localSheetId="0" hidden="1">{#N/A,#N/A,FALSE,"Plan1";#N/A,#N/A,FALSE,"Plan2"}</definedName>
    <definedName name="dfgty" hidden="1">{#N/A,#N/A,FALSE,"Plan1";#N/A,#N/A,FALSE,"Plan2"}</definedName>
    <definedName name="dfhdgfdgf" localSheetId="3" hidden="1">{#N/A,#N/A,FALSE,"Plan1";#N/A,#N/A,FALSE,"Plan2"}</definedName>
    <definedName name="dfhdgfdgf" localSheetId="8" hidden="1">{#N/A,#N/A,FALSE,"Plan1";#N/A,#N/A,FALSE,"Plan2"}</definedName>
    <definedName name="dfhdgfdgf" localSheetId="2" hidden="1">{#N/A,#N/A,FALSE,"Plan1";#N/A,#N/A,FALSE,"Plan2"}</definedName>
    <definedName name="dfhdgfdgf" localSheetId="9" hidden="1">{#N/A,#N/A,FALSE,"Plan1";#N/A,#N/A,FALSE,"Plan2"}</definedName>
    <definedName name="dfhdgfdgf" localSheetId="13" hidden="1">{#N/A,#N/A,FALSE,"Plan1";#N/A,#N/A,FALSE,"Plan2"}</definedName>
    <definedName name="dfhdgfdgf" localSheetId="0" hidden="1">{#N/A,#N/A,FALSE,"Plan1";#N/A,#N/A,FALSE,"Plan2"}</definedName>
    <definedName name="dfhdgfdgf" hidden="1">{#N/A,#N/A,FALSE,"Plan1";#N/A,#N/A,FALSE,"Plan2"}</definedName>
    <definedName name="DFHDJGJFHJGF" localSheetId="3" hidden="1">{#N/A,#N/A,FALSE,"Plan1";#N/A,#N/A,FALSE,"Plan2"}</definedName>
    <definedName name="DFHDJGJFHJGF" localSheetId="8" hidden="1">{#N/A,#N/A,FALSE,"Plan1";#N/A,#N/A,FALSE,"Plan2"}</definedName>
    <definedName name="DFHDJGJFHJGF" localSheetId="2" hidden="1">{#N/A,#N/A,FALSE,"Plan1";#N/A,#N/A,FALSE,"Plan2"}</definedName>
    <definedName name="DFHDJGJFHJGF" localSheetId="9" hidden="1">{#N/A,#N/A,FALSE,"Plan1";#N/A,#N/A,FALSE,"Plan2"}</definedName>
    <definedName name="DFHDJGJFHJGF" localSheetId="13" hidden="1">{#N/A,#N/A,FALSE,"Plan1";#N/A,#N/A,FALSE,"Plan2"}</definedName>
    <definedName name="DFHDJGJFHJGF" localSheetId="0" hidden="1">{#N/A,#N/A,FALSE,"Plan1";#N/A,#N/A,FALSE,"Plan2"}</definedName>
    <definedName name="DFHDJGJFHJGF" hidden="1">{#N/A,#N/A,FALSE,"Plan1";#N/A,#N/A,FALSE,"Plan2"}</definedName>
    <definedName name="dfhdyg" localSheetId="3" hidden="1">{#N/A,#N/A,FALSE,"Plan1";#N/A,#N/A,FALSE,"Plan2"}</definedName>
    <definedName name="dfhdyg" localSheetId="8" hidden="1">{#N/A,#N/A,FALSE,"Plan1";#N/A,#N/A,FALSE,"Plan2"}</definedName>
    <definedName name="dfhdyg" localSheetId="2" hidden="1">{#N/A,#N/A,FALSE,"Plan1";#N/A,#N/A,FALSE,"Plan2"}</definedName>
    <definedName name="dfhdyg" localSheetId="9" hidden="1">{#N/A,#N/A,FALSE,"Plan1";#N/A,#N/A,FALSE,"Plan2"}</definedName>
    <definedName name="dfhdyg" localSheetId="13" hidden="1">{#N/A,#N/A,FALSE,"Plan1";#N/A,#N/A,FALSE,"Plan2"}</definedName>
    <definedName name="dfhdyg" localSheetId="0" hidden="1">{#N/A,#N/A,FALSE,"Plan1";#N/A,#N/A,FALSE,"Plan2"}</definedName>
    <definedName name="dfhdyg" hidden="1">{#N/A,#N/A,FALSE,"Plan1";#N/A,#N/A,FALSE,"Plan2"}</definedName>
    <definedName name="DFHGDHUR" localSheetId="3" hidden="1">{#N/A,#N/A,FALSE,"Plan1";#N/A,#N/A,FALSE,"Plan2"}</definedName>
    <definedName name="DFHGDHUR" localSheetId="8" hidden="1">{#N/A,#N/A,FALSE,"Plan1";#N/A,#N/A,FALSE,"Plan2"}</definedName>
    <definedName name="DFHGDHUR" localSheetId="2" hidden="1">{#N/A,#N/A,FALSE,"Plan1";#N/A,#N/A,FALSE,"Plan2"}</definedName>
    <definedName name="DFHGDHUR" localSheetId="9" hidden="1">{#N/A,#N/A,FALSE,"Plan1";#N/A,#N/A,FALSE,"Plan2"}</definedName>
    <definedName name="DFHGDHUR" localSheetId="13" hidden="1">{#N/A,#N/A,FALSE,"Plan1";#N/A,#N/A,FALSE,"Plan2"}</definedName>
    <definedName name="DFHGDHUR" localSheetId="0" hidden="1">{#N/A,#N/A,FALSE,"Plan1";#N/A,#N/A,FALSE,"Plan2"}</definedName>
    <definedName name="DFHGDHUR" hidden="1">{#N/A,#N/A,FALSE,"Plan1";#N/A,#N/A,FALSE,"Plan2"}</definedName>
    <definedName name="dfhgjfgdhfjdrf" localSheetId="3" hidden="1">{#N/A,#N/A,FALSE,"Plan1";#N/A,#N/A,FALSE,"Plan2"}</definedName>
    <definedName name="dfhgjfgdhfjdrf" localSheetId="8" hidden="1">{#N/A,#N/A,FALSE,"Plan1";#N/A,#N/A,FALSE,"Plan2"}</definedName>
    <definedName name="dfhgjfgdhfjdrf" localSheetId="2" hidden="1">{#N/A,#N/A,FALSE,"Plan1";#N/A,#N/A,FALSE,"Plan2"}</definedName>
    <definedName name="dfhgjfgdhfjdrf" localSheetId="9" hidden="1">{#N/A,#N/A,FALSE,"Plan1";#N/A,#N/A,FALSE,"Plan2"}</definedName>
    <definedName name="dfhgjfgdhfjdrf" localSheetId="13" hidden="1">{#N/A,#N/A,FALSE,"Plan1";#N/A,#N/A,FALSE,"Plan2"}</definedName>
    <definedName name="dfhgjfgdhfjdrf" localSheetId="0" hidden="1">{#N/A,#N/A,FALSE,"Plan1";#N/A,#N/A,FALSE,"Plan2"}</definedName>
    <definedName name="dfhgjfgdhfjdrf" hidden="1">{#N/A,#N/A,FALSE,"Plan1";#N/A,#N/A,FALSE,"Plan2"}</definedName>
    <definedName name="dfhgkhfut" localSheetId="3" hidden="1">{#N/A,#N/A,FALSE,"Plan1";#N/A,#N/A,FALSE,"Plan2"}</definedName>
    <definedName name="dfhgkhfut" localSheetId="8" hidden="1">{#N/A,#N/A,FALSE,"Plan1";#N/A,#N/A,FALSE,"Plan2"}</definedName>
    <definedName name="dfhgkhfut" localSheetId="2" hidden="1">{#N/A,#N/A,FALSE,"Plan1";#N/A,#N/A,FALSE,"Plan2"}</definedName>
    <definedName name="dfhgkhfut" localSheetId="9" hidden="1">{#N/A,#N/A,FALSE,"Plan1";#N/A,#N/A,FALSE,"Plan2"}</definedName>
    <definedName name="dfhgkhfut" localSheetId="13" hidden="1">{#N/A,#N/A,FALSE,"Plan1";#N/A,#N/A,FALSE,"Plan2"}</definedName>
    <definedName name="dfhgkhfut" localSheetId="0" hidden="1">{#N/A,#N/A,FALSE,"Plan1";#N/A,#N/A,FALSE,"Plan2"}</definedName>
    <definedName name="dfhgkhfut" hidden="1">{#N/A,#N/A,FALSE,"Plan1";#N/A,#N/A,FALSE,"Plan2"}</definedName>
    <definedName name="dfhgkjdhkjghjd" localSheetId="3" hidden="1">#REF!</definedName>
    <definedName name="dfhgkjdhkjghjd" localSheetId="8" hidden="1">#REF!</definedName>
    <definedName name="dfhgkjdhkjghjd" localSheetId="2" hidden="1">#REF!</definedName>
    <definedName name="dfhgkjdhkjghjd" localSheetId="9" hidden="1">#REF!</definedName>
    <definedName name="dfhgkjdhkjghjd" localSheetId="13" hidden="1">#REF!</definedName>
    <definedName name="dfhgkjdhkjghjd" localSheetId="0" hidden="1">#REF!</definedName>
    <definedName name="dfhgkjdhkjghjd" hidden="1">#REF!</definedName>
    <definedName name="dfhguitrhfg" localSheetId="3" hidden="1">{#N/A,#N/A,FALSE,"Plan1";#N/A,#N/A,FALSE,"Plan2"}</definedName>
    <definedName name="dfhguitrhfg" localSheetId="8" hidden="1">{#N/A,#N/A,FALSE,"Plan1";#N/A,#N/A,FALSE,"Plan2"}</definedName>
    <definedName name="dfhguitrhfg" localSheetId="2" hidden="1">{#N/A,#N/A,FALSE,"Plan1";#N/A,#N/A,FALSE,"Plan2"}</definedName>
    <definedName name="dfhguitrhfg" localSheetId="9" hidden="1">{#N/A,#N/A,FALSE,"Plan1";#N/A,#N/A,FALSE,"Plan2"}</definedName>
    <definedName name="dfhguitrhfg" localSheetId="13" hidden="1">{#N/A,#N/A,FALSE,"Plan1";#N/A,#N/A,FALSE,"Plan2"}</definedName>
    <definedName name="dfhguitrhfg" localSheetId="0" hidden="1">{#N/A,#N/A,FALSE,"Plan1";#N/A,#N/A,FALSE,"Plan2"}</definedName>
    <definedName name="dfhguitrhfg" hidden="1">{#N/A,#N/A,FALSE,"Plan1";#N/A,#N/A,FALSE,"Plan2"}</definedName>
    <definedName name="DFHKHDGKJHDKS" localSheetId="3" hidden="1">{#N/A,#N/A,FALSE,"Plan1";#N/A,#N/A,FALSE,"Plan2"}</definedName>
    <definedName name="DFHKHDGKJHDKS" localSheetId="8" hidden="1">{#N/A,#N/A,FALSE,"Plan1";#N/A,#N/A,FALSE,"Plan2"}</definedName>
    <definedName name="DFHKHDGKJHDKS" localSheetId="2" hidden="1">{#N/A,#N/A,FALSE,"Plan1";#N/A,#N/A,FALSE,"Plan2"}</definedName>
    <definedName name="DFHKHDGKJHDKS" localSheetId="9" hidden="1">{#N/A,#N/A,FALSE,"Plan1";#N/A,#N/A,FALSE,"Plan2"}</definedName>
    <definedName name="DFHKHDGKJHDKS" localSheetId="13" hidden="1">{#N/A,#N/A,FALSE,"Plan1";#N/A,#N/A,FALSE,"Plan2"}</definedName>
    <definedName name="DFHKHDGKJHDKS" localSheetId="0" hidden="1">{#N/A,#N/A,FALSE,"Plan1";#N/A,#N/A,FALSE,"Plan2"}</definedName>
    <definedName name="DFHKHDGKJHDKS" hidden="1">{#N/A,#N/A,FALSE,"Plan1";#N/A,#N/A,FALSE,"Plan2"}</definedName>
    <definedName name="dfijvnqienvvnjv" localSheetId="3">#REF!</definedName>
    <definedName name="dfijvnqienvvnjv" localSheetId="2">#REF!</definedName>
    <definedName name="dfijvnqienvvnjv">#REF!</definedName>
    <definedName name="dfjgjfhykj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jgjfhykjt" hidden="1">{TRUE,TRUE,-1.25,-15.5,604.5,366.75,FALSE,FALSE,TRUE,TRUE,0,1,#N/A,1,#N/A,9.0125,24.4117647058824,1,FALSE,FALSE,3,TRUE,1,FALSE,100,"Swvu.PLANILHA2.","ACwvu.PLANILHA2.",#N/A,FALSE,FALSE,0.787401575,0.34,0.46,0.5,1,"","",FALSE,FALSE,FALSE,FALSE,1,#N/A,1,1,FALSE,FALSE,#N/A,#N/A,FALSE,FALSE,FALSE,9,65532,65532,FALSE,FALSE,TRUE,TRUE,TRUE}</definedName>
    <definedName name="dfjkgtdftr" localSheetId="3" hidden="1">{#N/A,#N/A,FALSE,"Plan1";#N/A,#N/A,FALSE,"Plan2"}</definedName>
    <definedName name="dfjkgtdftr" localSheetId="8" hidden="1">{#N/A,#N/A,FALSE,"Plan1";#N/A,#N/A,FALSE,"Plan2"}</definedName>
    <definedName name="dfjkgtdftr" localSheetId="2" hidden="1">{#N/A,#N/A,FALSE,"Plan1";#N/A,#N/A,FALSE,"Plan2"}</definedName>
    <definedName name="dfjkgtdftr" localSheetId="9" hidden="1">{#N/A,#N/A,FALSE,"Plan1";#N/A,#N/A,FALSE,"Plan2"}</definedName>
    <definedName name="dfjkgtdftr" localSheetId="13" hidden="1">{#N/A,#N/A,FALSE,"Plan1";#N/A,#N/A,FALSE,"Plan2"}</definedName>
    <definedName name="dfjkgtdftr" localSheetId="0" hidden="1">{#N/A,#N/A,FALSE,"Plan1";#N/A,#N/A,FALSE,"Plan2"}</definedName>
    <definedName name="dfjkgtdftr" hidden="1">{#N/A,#N/A,FALSE,"Plan1";#N/A,#N/A,FALSE,"Plan2"}</definedName>
    <definedName name="dfkhgfg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hgfgf"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k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kj" hidden="1">{TRUE,TRUE,-1.25,-15.5,604.5,366.75,FALSE,FALSE,TRUE,TRUE,0,1,#N/A,1,#N/A,9.0125,24.4117647058824,1,FALSE,FALSE,3,TRUE,1,FALSE,100,"Swvu.PLANILHA2.","ACwvu.PLANILHA2.",#N/A,FALSE,FALSE,0.787401575,0.34,0.46,0.5,1,"","",FALSE,FALSE,FALSE,FALSE,1,#N/A,1,1,FALSE,FALSE,#N/A,#N/A,FALSE,FALSE,FALSE,9,65532,65532,FALSE,FALSE,TRUE,TRUE,TRUE}</definedName>
    <definedName name="dfknfhkdrj" localSheetId="3" hidden="1">{#N/A,#N/A,FALSE,"Plan1";#N/A,#N/A,FALSE,"Plan2"}</definedName>
    <definedName name="dfknfhkdrj" localSheetId="8" hidden="1">{#N/A,#N/A,FALSE,"Plan1";#N/A,#N/A,FALSE,"Plan2"}</definedName>
    <definedName name="dfknfhkdrj" localSheetId="2" hidden="1">{#N/A,#N/A,FALSE,"Plan1";#N/A,#N/A,FALSE,"Plan2"}</definedName>
    <definedName name="dfknfhkdrj" localSheetId="9" hidden="1">{#N/A,#N/A,FALSE,"Plan1";#N/A,#N/A,FALSE,"Plan2"}</definedName>
    <definedName name="dfknfhkdrj" localSheetId="13" hidden="1">{#N/A,#N/A,FALSE,"Plan1";#N/A,#N/A,FALSE,"Plan2"}</definedName>
    <definedName name="dfknfhkdrj" localSheetId="0" hidden="1">{#N/A,#N/A,FALSE,"Plan1";#N/A,#N/A,FALSE,"Plan2"}</definedName>
    <definedName name="dfknfhkdrj" hidden="1">{#N/A,#N/A,FALSE,"Plan1";#N/A,#N/A,FALSE,"Plan2"}</definedName>
    <definedName name="dfnert" localSheetId="3" hidden="1">{#N/A,#N/A,FALSE,"Plan1";#N/A,#N/A,FALSE,"Plan2"}</definedName>
    <definedName name="dfnert" localSheetId="8" hidden="1">{#N/A,#N/A,FALSE,"Plan1";#N/A,#N/A,FALSE,"Plan2"}</definedName>
    <definedName name="dfnert" localSheetId="2" hidden="1">{#N/A,#N/A,FALSE,"Plan1";#N/A,#N/A,FALSE,"Plan2"}</definedName>
    <definedName name="dfnert" localSheetId="9" hidden="1">{#N/A,#N/A,FALSE,"Plan1";#N/A,#N/A,FALSE,"Plan2"}</definedName>
    <definedName name="dfnert" localSheetId="13" hidden="1">{#N/A,#N/A,FALSE,"Plan1";#N/A,#N/A,FALSE,"Plan2"}</definedName>
    <definedName name="dfnert" localSheetId="0" hidden="1">{#N/A,#N/A,FALSE,"Plan1";#N/A,#N/A,FALSE,"Plan2"}</definedName>
    <definedName name="dfnert" hidden="1">{#N/A,#N/A,FALSE,"Plan1";#N/A,#N/A,FALSE,"Plan2"}</definedName>
    <definedName name="dfrt" localSheetId="3" hidden="1">{#N/A,#N/A,FALSE,"Plan1";#N/A,#N/A,FALSE,"Plan2"}</definedName>
    <definedName name="dfrt" localSheetId="8" hidden="1">{#N/A,#N/A,FALSE,"Plan1";#N/A,#N/A,FALSE,"Plan2"}</definedName>
    <definedName name="dfrt" localSheetId="2" hidden="1">{#N/A,#N/A,FALSE,"Plan1";#N/A,#N/A,FALSE,"Plan2"}</definedName>
    <definedName name="dfrt" localSheetId="9" hidden="1">{#N/A,#N/A,FALSE,"Plan1";#N/A,#N/A,FALSE,"Plan2"}</definedName>
    <definedName name="dfrt" localSheetId="13" hidden="1">{#N/A,#N/A,FALSE,"Plan1";#N/A,#N/A,FALSE,"Plan2"}</definedName>
    <definedName name="dfrt" localSheetId="0" hidden="1">{#N/A,#N/A,FALSE,"Plan1";#N/A,#N/A,FALSE,"Plan2"}</definedName>
    <definedName name="dfrt" hidden="1">{#N/A,#N/A,FALSE,"Plan1";#N/A,#N/A,FALSE,"Plan2"}</definedName>
    <definedName name="dfsdr5tt" localSheetId="3" hidden="1">{#N/A,#N/A,FALSE,"Plan1";#N/A,#N/A,FALSE,"Plan2"}</definedName>
    <definedName name="dfsdr5tt" localSheetId="8" hidden="1">{#N/A,#N/A,FALSE,"Plan1";#N/A,#N/A,FALSE,"Plan2"}</definedName>
    <definedName name="dfsdr5tt" localSheetId="2" hidden="1">{#N/A,#N/A,FALSE,"Plan1";#N/A,#N/A,FALSE,"Plan2"}</definedName>
    <definedName name="dfsdr5tt" localSheetId="9" hidden="1">{#N/A,#N/A,FALSE,"Plan1";#N/A,#N/A,FALSE,"Plan2"}</definedName>
    <definedName name="dfsdr5tt" localSheetId="13" hidden="1">{#N/A,#N/A,FALSE,"Plan1";#N/A,#N/A,FALSE,"Plan2"}</definedName>
    <definedName name="dfsdr5tt" localSheetId="0" hidden="1">{#N/A,#N/A,FALSE,"Plan1";#N/A,#N/A,FALSE,"Plan2"}</definedName>
    <definedName name="dfsdr5tt" hidden="1">{#N/A,#N/A,FALSE,"Plan1";#N/A,#N/A,FALSE,"Plan2"}</definedName>
    <definedName name="dfsds" localSheetId="3" hidden="1">#REF!</definedName>
    <definedName name="dfsds" localSheetId="8" hidden="1">#REF!</definedName>
    <definedName name="dfsds" localSheetId="2" hidden="1">#REF!</definedName>
    <definedName name="dfsds" localSheetId="9" hidden="1">#REF!</definedName>
    <definedName name="dfsds" localSheetId="13" hidden="1">#REF!</definedName>
    <definedName name="dfsds" localSheetId="0" hidden="1">#REF!</definedName>
    <definedName name="dfsds" hidden="1">#REF!</definedName>
    <definedName name="dfsd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fsdt" hidden="1">{TRUE,TRUE,-1.25,-15.5,604.5,366.75,FALSE,FALSE,TRUE,TRUE,0,1,#N/A,1,#N/A,9.0125,24.4117647058824,1,FALSE,FALSE,3,TRUE,1,FALSE,100,"Swvu.PLANILHA2.","ACwvu.PLANILHA2.",#N/A,FALSE,FALSE,0.787401575,0.34,0.46,0.5,1,"","",FALSE,FALSE,FALSE,FALSE,1,#N/A,1,1,FALSE,FALSE,#N/A,#N/A,FALSE,FALSE,FALSE,9,65532,65532,FALSE,FALSE,TRUE,TRUE,TRUE}</definedName>
    <definedName name="dfsdtr" localSheetId="3" hidden="1">{#N/A,#N/A,FALSE,"Plan1";#N/A,#N/A,FALSE,"Plan2"}</definedName>
    <definedName name="dfsdtr" localSheetId="8" hidden="1">{#N/A,#N/A,FALSE,"Plan1";#N/A,#N/A,FALSE,"Plan2"}</definedName>
    <definedName name="dfsdtr" localSheetId="2" hidden="1">{#N/A,#N/A,FALSE,"Plan1";#N/A,#N/A,FALSE,"Plan2"}</definedName>
    <definedName name="dfsdtr" localSheetId="9" hidden="1">{#N/A,#N/A,FALSE,"Plan1";#N/A,#N/A,FALSE,"Plan2"}</definedName>
    <definedName name="dfsdtr" localSheetId="13" hidden="1">{#N/A,#N/A,FALSE,"Plan1";#N/A,#N/A,FALSE,"Plan2"}</definedName>
    <definedName name="dfsdtr" localSheetId="0" hidden="1">{#N/A,#N/A,FALSE,"Plan1";#N/A,#N/A,FALSE,"Plan2"}</definedName>
    <definedName name="dfsdtr" hidden="1">{#N/A,#N/A,FALSE,"Plan1";#N/A,#N/A,FALSE,"Plan2"}</definedName>
    <definedName name="dfsf" localSheetId="3" hidden="1">{#N/A,#N/A,FALSE,"Plan1";#N/A,#N/A,FALSE,"Plan2"}</definedName>
    <definedName name="dfsf" localSheetId="8" hidden="1">{#N/A,#N/A,FALSE,"Plan1";#N/A,#N/A,FALSE,"Plan2"}</definedName>
    <definedName name="dfsf" localSheetId="2" hidden="1">{#N/A,#N/A,FALSE,"Plan1";#N/A,#N/A,FALSE,"Plan2"}</definedName>
    <definedName name="dfsf" localSheetId="9" hidden="1">{#N/A,#N/A,FALSE,"Plan1";#N/A,#N/A,FALSE,"Plan2"}</definedName>
    <definedName name="dfsf" localSheetId="13" hidden="1">{#N/A,#N/A,FALSE,"Plan1";#N/A,#N/A,FALSE,"Plan2"}</definedName>
    <definedName name="dfsf" localSheetId="0" hidden="1">{#N/A,#N/A,FALSE,"Plan1";#N/A,#N/A,FALSE,"Plan2"}</definedName>
    <definedName name="dfsf" hidden="1">{#N/A,#N/A,FALSE,"Plan1";#N/A,#N/A,FALSE,"Plan2"}</definedName>
    <definedName name="DFT" localSheetId="3" hidden="1">{#N/A,#N/A,FALSE,"Plan1";#N/A,#N/A,FALSE,"Plan2"}</definedName>
    <definedName name="DFT" localSheetId="8" hidden="1">{#N/A,#N/A,FALSE,"Plan1";#N/A,#N/A,FALSE,"Plan2"}</definedName>
    <definedName name="DFT" localSheetId="2" hidden="1">{#N/A,#N/A,FALSE,"Plan1";#N/A,#N/A,FALSE,"Plan2"}</definedName>
    <definedName name="DFT" localSheetId="9" hidden="1">{#N/A,#N/A,FALSE,"Plan1";#N/A,#N/A,FALSE,"Plan2"}</definedName>
    <definedName name="DFT" localSheetId="13" hidden="1">{#N/A,#N/A,FALSE,"Plan1";#N/A,#N/A,FALSE,"Plan2"}</definedName>
    <definedName name="DFT" localSheetId="0" hidden="1">{#N/A,#N/A,FALSE,"Plan1";#N/A,#N/A,FALSE,"Plan2"}</definedName>
    <definedName name="DFT" hidden="1">{#N/A,#N/A,FALSE,"Plan1";#N/A,#N/A,FALSE,"Plan2"}</definedName>
    <definedName name="DFTRTTY" localSheetId="3" hidden="1">{#N/A,#N/A,FALSE,"Plan1";#N/A,#N/A,FALSE,"Plan2"}</definedName>
    <definedName name="DFTRTTY" localSheetId="8" hidden="1">{#N/A,#N/A,FALSE,"Plan1";#N/A,#N/A,FALSE,"Plan2"}</definedName>
    <definedName name="DFTRTTY" localSheetId="2" hidden="1">{#N/A,#N/A,FALSE,"Plan1";#N/A,#N/A,FALSE,"Plan2"}</definedName>
    <definedName name="DFTRTTY" localSheetId="9" hidden="1">{#N/A,#N/A,FALSE,"Plan1";#N/A,#N/A,FALSE,"Plan2"}</definedName>
    <definedName name="DFTRTTY" localSheetId="13" hidden="1">{#N/A,#N/A,FALSE,"Plan1";#N/A,#N/A,FALSE,"Plan2"}</definedName>
    <definedName name="DFTRTTY" localSheetId="0" hidden="1">{#N/A,#N/A,FALSE,"Plan1";#N/A,#N/A,FALSE,"Plan2"}</definedName>
    <definedName name="DFTRTTY" hidden="1">{#N/A,#N/A,FALSE,"Plan1";#N/A,#N/A,FALSE,"Plan2"}</definedName>
    <definedName name="dfurghifdjyhits" localSheetId="3" hidden="1">{#N/A,#N/A,FALSE,"Plan1";#N/A,#N/A,FALSE,"Plan2"}</definedName>
    <definedName name="dfurghifdjyhits" localSheetId="8" hidden="1">{#N/A,#N/A,FALSE,"Plan1";#N/A,#N/A,FALSE,"Plan2"}</definedName>
    <definedName name="dfurghifdjyhits" localSheetId="2" hidden="1">{#N/A,#N/A,FALSE,"Plan1";#N/A,#N/A,FALSE,"Plan2"}</definedName>
    <definedName name="dfurghifdjyhits" localSheetId="9" hidden="1">{#N/A,#N/A,FALSE,"Plan1";#N/A,#N/A,FALSE,"Plan2"}</definedName>
    <definedName name="dfurghifdjyhits" localSheetId="13" hidden="1">{#N/A,#N/A,FALSE,"Plan1";#N/A,#N/A,FALSE,"Plan2"}</definedName>
    <definedName name="dfurghifdjyhits" localSheetId="0" hidden="1">{#N/A,#N/A,FALSE,"Plan1";#N/A,#N/A,FALSE,"Plan2"}</definedName>
    <definedName name="dfurghifdjyhits" hidden="1">{#N/A,#N/A,FALSE,"Plan1";#N/A,#N/A,FALSE,"Plan2"}</definedName>
    <definedName name="dfxgdrged" localSheetId="3" hidden="1">{#N/A,#N/A,FALSE,"Plan1";#N/A,#N/A,FALSE,"Plan2"}</definedName>
    <definedName name="dfxgdrged" localSheetId="8" hidden="1">{#N/A,#N/A,FALSE,"Plan1";#N/A,#N/A,FALSE,"Plan2"}</definedName>
    <definedName name="dfxgdrged" localSheetId="2" hidden="1">{#N/A,#N/A,FALSE,"Plan1";#N/A,#N/A,FALSE,"Plan2"}</definedName>
    <definedName name="dfxgdrged" localSheetId="9" hidden="1">{#N/A,#N/A,FALSE,"Plan1";#N/A,#N/A,FALSE,"Plan2"}</definedName>
    <definedName name="dfxgdrged" localSheetId="13" hidden="1">{#N/A,#N/A,FALSE,"Plan1";#N/A,#N/A,FALSE,"Plan2"}</definedName>
    <definedName name="dfxgdrged" localSheetId="0" hidden="1">{#N/A,#N/A,FALSE,"Plan1";#N/A,#N/A,FALSE,"Plan2"}</definedName>
    <definedName name="dfxgdrged" hidden="1">{#N/A,#N/A,FALSE,"Plan1";#N/A,#N/A,FALSE,"Plan2"}</definedName>
    <definedName name="dgfrtyt" localSheetId="3" hidden="1">{#N/A,#N/A,FALSE,"Plan1";#N/A,#N/A,FALSE,"Plan2"}</definedName>
    <definedName name="dgfrtyt" localSheetId="8" hidden="1">{#N/A,#N/A,FALSE,"Plan1";#N/A,#N/A,FALSE,"Plan2"}</definedName>
    <definedName name="dgfrtyt" localSheetId="2" hidden="1">{#N/A,#N/A,FALSE,"Plan1";#N/A,#N/A,FALSE,"Plan2"}</definedName>
    <definedName name="dgfrtyt" localSheetId="9" hidden="1">{#N/A,#N/A,FALSE,"Plan1";#N/A,#N/A,FALSE,"Plan2"}</definedName>
    <definedName name="dgfrtyt" localSheetId="13" hidden="1">{#N/A,#N/A,FALSE,"Plan1";#N/A,#N/A,FALSE,"Plan2"}</definedName>
    <definedName name="dgfrtyt" localSheetId="0" hidden="1">{#N/A,#N/A,FALSE,"Plan1";#N/A,#N/A,FALSE,"Plan2"}</definedName>
    <definedName name="dgfrtyt" hidden="1">{#N/A,#N/A,FALSE,"Plan1";#N/A,#N/A,FALSE,"Plan2"}</definedName>
    <definedName name="dggfdg" localSheetId="3" hidden="1">{#N/A,#N/A,FALSE,"Plan1";#N/A,#N/A,FALSE,"Plan2"}</definedName>
    <definedName name="dggfdg" localSheetId="8" hidden="1">{#N/A,#N/A,FALSE,"Plan1";#N/A,#N/A,FALSE,"Plan2"}</definedName>
    <definedName name="dggfdg" localSheetId="2" hidden="1">{#N/A,#N/A,FALSE,"Plan1";#N/A,#N/A,FALSE,"Plan2"}</definedName>
    <definedName name="dggfdg" localSheetId="9" hidden="1">{#N/A,#N/A,FALSE,"Plan1";#N/A,#N/A,FALSE,"Plan2"}</definedName>
    <definedName name="dggfdg" localSheetId="13" hidden="1">{#N/A,#N/A,FALSE,"Plan1";#N/A,#N/A,FALSE,"Plan2"}</definedName>
    <definedName name="dggfdg" localSheetId="0" hidden="1">{#N/A,#N/A,FALSE,"Plan1";#N/A,#N/A,FALSE,"Plan2"}</definedName>
    <definedName name="dggfdg" hidden="1">{#N/A,#N/A,FALSE,"Plan1";#N/A,#N/A,FALSE,"Plan2"}</definedName>
    <definedName name="dgldfhgkljslh" localSheetId="3" hidden="1">{#N/A,#N/A,FALSE,"Plan1";#N/A,#N/A,FALSE,"Plan2"}</definedName>
    <definedName name="dgldfhgkljslh" localSheetId="8" hidden="1">{#N/A,#N/A,FALSE,"Plan1";#N/A,#N/A,FALSE,"Plan2"}</definedName>
    <definedName name="dgldfhgkljslh" localSheetId="2" hidden="1">{#N/A,#N/A,FALSE,"Plan1";#N/A,#N/A,FALSE,"Plan2"}</definedName>
    <definedName name="dgldfhgkljslh" localSheetId="9" hidden="1">{#N/A,#N/A,FALSE,"Plan1";#N/A,#N/A,FALSE,"Plan2"}</definedName>
    <definedName name="dgldfhgkljslh" localSheetId="13" hidden="1">{#N/A,#N/A,FALSE,"Plan1";#N/A,#N/A,FALSE,"Plan2"}</definedName>
    <definedName name="dgldfhgkljslh" localSheetId="0" hidden="1">{#N/A,#N/A,FALSE,"Plan1";#N/A,#N/A,FALSE,"Plan2"}</definedName>
    <definedName name="dgldfhgkljslh" hidden="1">{#N/A,#N/A,FALSE,"Plan1";#N/A,#N/A,FALSE,"Plan2"}</definedName>
    <definedName name="dhfgdhrehrwe" localSheetId="3" hidden="1">{#N/A,#N/A,FALSE,"Plan1";#N/A,#N/A,FALSE,"Plan2"}</definedName>
    <definedName name="dhfgdhrehrwe" localSheetId="8" hidden="1">{#N/A,#N/A,FALSE,"Plan1";#N/A,#N/A,FALSE,"Plan2"}</definedName>
    <definedName name="dhfgdhrehrwe" localSheetId="2" hidden="1">{#N/A,#N/A,FALSE,"Plan1";#N/A,#N/A,FALSE,"Plan2"}</definedName>
    <definedName name="dhfgdhrehrwe" localSheetId="9" hidden="1">{#N/A,#N/A,FALSE,"Plan1";#N/A,#N/A,FALSE,"Plan2"}</definedName>
    <definedName name="dhfgdhrehrwe" localSheetId="13" hidden="1">{#N/A,#N/A,FALSE,"Plan1";#N/A,#N/A,FALSE,"Plan2"}</definedName>
    <definedName name="dhfgdhrehrwe" localSheetId="0" hidden="1">{#N/A,#N/A,FALSE,"Plan1";#N/A,#N/A,FALSE,"Plan2"}</definedName>
    <definedName name="dhfgdhrehrwe" hidden="1">{#N/A,#N/A,FALSE,"Plan1";#N/A,#N/A,FALSE,"Plan2"}</definedName>
    <definedName name="dhgfdgrfgdfgd" localSheetId="3" hidden="1">{#N/A,#N/A,FALSE,"Plan1";#N/A,#N/A,FALSE,"Plan2"}</definedName>
    <definedName name="dhgfdgrfgdfgd" localSheetId="8" hidden="1">{#N/A,#N/A,FALSE,"Plan1";#N/A,#N/A,FALSE,"Plan2"}</definedName>
    <definedName name="dhgfdgrfgdfgd" localSheetId="2" hidden="1">{#N/A,#N/A,FALSE,"Plan1";#N/A,#N/A,FALSE,"Plan2"}</definedName>
    <definedName name="dhgfdgrfgdfgd" localSheetId="9" hidden="1">{#N/A,#N/A,FALSE,"Plan1";#N/A,#N/A,FALSE,"Plan2"}</definedName>
    <definedName name="dhgfdgrfgdfgd" localSheetId="13" hidden="1">{#N/A,#N/A,FALSE,"Plan1";#N/A,#N/A,FALSE,"Plan2"}</definedName>
    <definedName name="dhgfdgrfgdfgd" localSheetId="0" hidden="1">{#N/A,#N/A,FALSE,"Plan1";#N/A,#N/A,FALSE,"Plan2"}</definedName>
    <definedName name="dhgfdgrfgdfgd" hidden="1">{#N/A,#N/A,FALSE,"Plan1";#N/A,#N/A,FALSE,"Plan2"}</definedName>
    <definedName name="dhkjfhdhfjdh" localSheetId="3" hidden="1">{#N/A,#N/A,FALSE,"Plan1";#N/A,#N/A,FALSE,"Plan2"}</definedName>
    <definedName name="dhkjfhdhfjdh" localSheetId="8" hidden="1">{#N/A,#N/A,FALSE,"Plan1";#N/A,#N/A,FALSE,"Plan2"}</definedName>
    <definedName name="dhkjfhdhfjdh" localSheetId="2" hidden="1">{#N/A,#N/A,FALSE,"Plan1";#N/A,#N/A,FALSE,"Plan2"}</definedName>
    <definedName name="dhkjfhdhfjdh" localSheetId="9" hidden="1">{#N/A,#N/A,FALSE,"Plan1";#N/A,#N/A,FALSE,"Plan2"}</definedName>
    <definedName name="dhkjfhdhfjdh" localSheetId="13" hidden="1">{#N/A,#N/A,FALSE,"Plan1";#N/A,#N/A,FALSE,"Plan2"}</definedName>
    <definedName name="dhkjfhdhfjdh" localSheetId="0" hidden="1">{#N/A,#N/A,FALSE,"Plan1";#N/A,#N/A,FALSE,"Plan2"}</definedName>
    <definedName name="dhkjfhdhfjdh" hidden="1">{#N/A,#N/A,FALSE,"Plan1";#N/A,#N/A,FALSE,"Plan2"}</definedName>
    <definedName name="DHTJRT" localSheetId="3" hidden="1">{#N/A,#N/A,FALSE,"Plan1";#N/A,#N/A,FALSE,"Plan2"}</definedName>
    <definedName name="DHTJRT" localSheetId="8" hidden="1">{#N/A,#N/A,FALSE,"Plan1";#N/A,#N/A,FALSE,"Plan2"}</definedName>
    <definedName name="DHTJRT" localSheetId="2" hidden="1">{#N/A,#N/A,FALSE,"Plan1";#N/A,#N/A,FALSE,"Plan2"}</definedName>
    <definedName name="DHTJRT" localSheetId="9" hidden="1">{#N/A,#N/A,FALSE,"Plan1";#N/A,#N/A,FALSE,"Plan2"}</definedName>
    <definedName name="DHTJRT" localSheetId="13" hidden="1">{#N/A,#N/A,FALSE,"Plan1";#N/A,#N/A,FALSE,"Plan2"}</definedName>
    <definedName name="DHTJRT" localSheetId="0" hidden="1">{#N/A,#N/A,FALSE,"Plan1";#N/A,#N/A,FALSE,"Plan2"}</definedName>
    <definedName name="DHTJRT" hidden="1">{#N/A,#N/A,FALSE,"Plan1";#N/A,#N/A,FALSE,"Plan2"}</definedName>
    <definedName name="DI" localSheetId="3">#REF!</definedName>
    <definedName name="DI" localSheetId="2">#REF!</definedName>
    <definedName name="DI">#REF!</definedName>
    <definedName name="dia3estac" localSheetId="3">#REF!</definedName>
    <definedName name="dia3estac" localSheetId="2">#REF!</definedName>
    <definedName name="dia3estac">#REF!</definedName>
    <definedName name="diaestaca" localSheetId="3">#REF!</definedName>
    <definedName name="diaestaca" localSheetId="2">#REF!</definedName>
    <definedName name="diaestaca">#REF!</definedName>
    <definedName name="diambase" localSheetId="2">#REF!</definedName>
    <definedName name="diambase">#REF!</definedName>
    <definedName name="DIFQT" localSheetId="2">#REF!</definedName>
    <definedName name="DIFQT">#REF!</definedName>
    <definedName name="dijghdhks" localSheetId="3" hidden="1">{#N/A,#N/A,FALSE,"Plan1";#N/A,#N/A,FALSE,"Plan2"}</definedName>
    <definedName name="dijghdhks" localSheetId="8" hidden="1">{#N/A,#N/A,FALSE,"Plan1";#N/A,#N/A,FALSE,"Plan2"}</definedName>
    <definedName name="dijghdhks" localSheetId="2" hidden="1">{#N/A,#N/A,FALSE,"Plan1";#N/A,#N/A,FALSE,"Plan2"}</definedName>
    <definedName name="dijghdhks" localSheetId="9" hidden="1">{#N/A,#N/A,FALSE,"Plan1";#N/A,#N/A,FALSE,"Plan2"}</definedName>
    <definedName name="dijghdhks" localSheetId="13" hidden="1">{#N/A,#N/A,FALSE,"Plan1";#N/A,#N/A,FALSE,"Plan2"}</definedName>
    <definedName name="dijghdhks" localSheetId="0" hidden="1">{#N/A,#N/A,FALSE,"Plan1";#N/A,#N/A,FALSE,"Plan2"}</definedName>
    <definedName name="dijghdhks" hidden="1">{#N/A,#N/A,FALSE,"Plan1";#N/A,#N/A,FALSE,"Plan2"}</definedName>
    <definedName name="DIMENSÕES" localSheetId="3">#REF!</definedName>
    <definedName name="DIMENSÕES" localSheetId="2">#REF!</definedName>
    <definedName name="DIMENSÕES">#REF!</definedName>
    <definedName name="DIR_OPER" localSheetId="3">#REF!</definedName>
    <definedName name="DIR_OPER" localSheetId="2">#REF!</definedName>
    <definedName name="DIR_OPER">#REF!</definedName>
    <definedName name="DIR_TECNICO" localSheetId="3">#REF!</definedName>
    <definedName name="DIR_TECNICO" localSheetId="2">#REF!</definedName>
    <definedName name="DIR_TECNICO">#REF!</definedName>
    <definedName name="direto" localSheetId="4">#REF!</definedName>
    <definedName name="direto" localSheetId="2">#REF!</definedName>
    <definedName name="direto" localSheetId="13">#REF!</definedName>
    <definedName name="direto" localSheetId="0">#REF!</definedName>
    <definedName name="direto">#REF!</definedName>
    <definedName name="DIRETORIA" localSheetId="2">#REF!</definedName>
    <definedName name="DIRETORIA">#REF!</definedName>
    <definedName name="diretorias" localSheetId="2">#REF!</definedName>
    <definedName name="diretorias">#REF!</definedName>
    <definedName name="Discrim" localSheetId="2">#REF!</definedName>
    <definedName name="Discrim">#REF!</definedName>
    <definedName name="DISCRIMINAÇÃO" localSheetId="2">#REF!</definedName>
    <definedName name="DISCRIMINAÇÃO">#REF!</definedName>
    <definedName name="Discriminação_Controladoria" localSheetId="2">#REF!</definedName>
    <definedName name="Discriminação_Controladoria">#REF!</definedName>
    <definedName name="DistCidade" localSheetId="2">#REF!</definedName>
    <definedName name="DistCidade">#REF!</definedName>
    <definedName name="distratos" localSheetId="2">#REF!</definedName>
    <definedName name="distratos">#REF!</definedName>
    <definedName name="div" localSheetId="2">#REF!</definedName>
    <definedName name="div">#REF!</definedName>
    <definedName name="djasdrjas" localSheetId="3" hidden="1">{#N/A,#N/A,FALSE,"Plan1";#N/A,#N/A,FALSE,"Plan2"}</definedName>
    <definedName name="djasdrjas" localSheetId="8" hidden="1">{#N/A,#N/A,FALSE,"Plan1";#N/A,#N/A,FALSE,"Plan2"}</definedName>
    <definedName name="djasdrjas" localSheetId="2" hidden="1">{#N/A,#N/A,FALSE,"Plan1";#N/A,#N/A,FALSE,"Plan2"}</definedName>
    <definedName name="djasdrjas" localSheetId="9" hidden="1">{#N/A,#N/A,FALSE,"Plan1";#N/A,#N/A,FALSE,"Plan2"}</definedName>
    <definedName name="djasdrjas" localSheetId="13" hidden="1">{#N/A,#N/A,FALSE,"Plan1";#N/A,#N/A,FALSE,"Plan2"}</definedName>
    <definedName name="djasdrjas" localSheetId="0" hidden="1">{#N/A,#N/A,FALSE,"Plan1";#N/A,#N/A,FALSE,"Plan2"}</definedName>
    <definedName name="djasdrjas" hidden="1">{#N/A,#N/A,FALSE,"Plan1";#N/A,#N/A,FALSE,"Plan2"}</definedName>
    <definedName name="dj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j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jf" hidden="1">{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 localSheetId="3" hidden="1">{#N/A,#N/A,FALSE,"Plan1";#N/A,#N/A,FALSE,"Plan2"}</definedName>
    <definedName name="djfkhjhfgrgdfh" localSheetId="8" hidden="1">{#N/A,#N/A,FALSE,"Plan1";#N/A,#N/A,FALSE,"Plan2"}</definedName>
    <definedName name="djfkhjhfgrgdfh" localSheetId="2" hidden="1">{#N/A,#N/A,FALSE,"Plan1";#N/A,#N/A,FALSE,"Plan2"}</definedName>
    <definedName name="djfkhjhfgrgdfh" localSheetId="9" hidden="1">{#N/A,#N/A,FALSE,"Plan1";#N/A,#N/A,FALSE,"Plan2"}</definedName>
    <definedName name="djfkhjhfgrgdfh" localSheetId="13" hidden="1">{#N/A,#N/A,FALSE,"Plan1";#N/A,#N/A,FALSE,"Plan2"}</definedName>
    <definedName name="djfkhjhfgrgdfh" localSheetId="0" hidden="1">{#N/A,#N/A,FALSE,"Plan1";#N/A,#N/A,FALSE,"Plan2"}</definedName>
    <definedName name="djfkhjhfgrgdfh" hidden="1">{#N/A,#N/A,FALSE,"Plan1";#N/A,#N/A,FALSE,"Plan2"}</definedName>
    <definedName name="djfkhsdkjhf" localSheetId="3" hidden="1">{#N/A,#N/A,FALSE,"Plan1";#N/A,#N/A,FALSE,"Plan2"}</definedName>
    <definedName name="djfkhsdkjhf" localSheetId="8" hidden="1">{#N/A,#N/A,FALSE,"Plan1";#N/A,#N/A,FALSE,"Plan2"}</definedName>
    <definedName name="djfkhsdkjhf" localSheetId="2" hidden="1">{#N/A,#N/A,FALSE,"Plan1";#N/A,#N/A,FALSE,"Plan2"}</definedName>
    <definedName name="djfkhsdkjhf" localSheetId="9" hidden="1">{#N/A,#N/A,FALSE,"Plan1";#N/A,#N/A,FALSE,"Plan2"}</definedName>
    <definedName name="djfkhsdkjhf" localSheetId="13" hidden="1">{#N/A,#N/A,FALSE,"Plan1";#N/A,#N/A,FALSE,"Plan2"}</definedName>
    <definedName name="djfkhsdkjhf" localSheetId="0" hidden="1">{#N/A,#N/A,FALSE,"Plan1";#N/A,#N/A,FALSE,"Plan2"}</definedName>
    <definedName name="djfkhsdkjhf" hidden="1">{#N/A,#N/A,FALSE,"Plan1";#N/A,#N/A,FALSE,"Plan2"}</definedName>
    <definedName name="djfldjsgljslkjtg" localSheetId="3" hidden="1">{#N/A,#N/A,FALSE,"Plan1";#N/A,#N/A,FALSE,"Plan2"}</definedName>
    <definedName name="djfldjsgljslkjtg" localSheetId="8" hidden="1">{#N/A,#N/A,FALSE,"Plan1";#N/A,#N/A,FALSE,"Plan2"}</definedName>
    <definedName name="djfldjsgljslkjtg" localSheetId="2" hidden="1">{#N/A,#N/A,FALSE,"Plan1";#N/A,#N/A,FALSE,"Plan2"}</definedName>
    <definedName name="djfldjsgljslkjtg" localSheetId="9" hidden="1">{#N/A,#N/A,FALSE,"Plan1";#N/A,#N/A,FALSE,"Plan2"}</definedName>
    <definedName name="djfldjsgljslkjtg" localSheetId="13" hidden="1">{#N/A,#N/A,FALSE,"Plan1";#N/A,#N/A,FALSE,"Plan2"}</definedName>
    <definedName name="djfldjsgljslkjtg" localSheetId="0" hidden="1">{#N/A,#N/A,FALSE,"Plan1";#N/A,#N/A,FALSE,"Plan2"}</definedName>
    <definedName name="djfldjsgljslkjtg" hidden="1">{#N/A,#N/A,FALSE,"Plan1";#N/A,#N/A,FALSE,"Plan2"}</definedName>
    <definedName name="djflkdjgdth" localSheetId="3" hidden="1">{#N/A,#N/A,FALSE,"Plan1";#N/A,#N/A,FALSE,"Plan2"}</definedName>
    <definedName name="djflkdjgdth" localSheetId="8" hidden="1">{#N/A,#N/A,FALSE,"Plan1";#N/A,#N/A,FALSE,"Plan2"}</definedName>
    <definedName name="djflkdjgdth" localSheetId="2" hidden="1">{#N/A,#N/A,FALSE,"Plan1";#N/A,#N/A,FALSE,"Plan2"}</definedName>
    <definedName name="djflkdjgdth" localSheetId="9" hidden="1">{#N/A,#N/A,FALSE,"Plan1";#N/A,#N/A,FALSE,"Plan2"}</definedName>
    <definedName name="djflkdjgdth" localSheetId="13" hidden="1">{#N/A,#N/A,FALSE,"Plan1";#N/A,#N/A,FALSE,"Plan2"}</definedName>
    <definedName name="djflkdjgdth" localSheetId="0" hidden="1">{#N/A,#N/A,FALSE,"Plan1";#N/A,#N/A,FALSE,"Plan2"}</definedName>
    <definedName name="djflkdjgdth" hidden="1">{#N/A,#N/A,FALSE,"Plan1";#N/A,#N/A,FALSE,"Plan2"}</definedName>
    <definedName name="DJFLKDJGKTJYJT" localSheetId="3" hidden="1">{#N/A,#N/A,FALSE,"Plan1";#N/A,#N/A,FALSE,"Plan2"}</definedName>
    <definedName name="DJFLKDJGKTJYJT" localSheetId="8" hidden="1">{#N/A,#N/A,FALSE,"Plan1";#N/A,#N/A,FALSE,"Plan2"}</definedName>
    <definedName name="DJFLKDJGKTJYJT" localSheetId="2" hidden="1">{#N/A,#N/A,FALSE,"Plan1";#N/A,#N/A,FALSE,"Plan2"}</definedName>
    <definedName name="DJFLKDJGKTJYJT" localSheetId="9" hidden="1">{#N/A,#N/A,FALSE,"Plan1";#N/A,#N/A,FALSE,"Plan2"}</definedName>
    <definedName name="DJFLKDJGKTJYJT" localSheetId="13" hidden="1">{#N/A,#N/A,FALSE,"Plan1";#N/A,#N/A,FALSE,"Plan2"}</definedName>
    <definedName name="DJFLKDJGKTJYJT" localSheetId="0" hidden="1">{#N/A,#N/A,FALSE,"Plan1";#N/A,#N/A,FALSE,"Plan2"}</definedName>
    <definedName name="DJFLKDJGKTJYJT" hidden="1">{#N/A,#N/A,FALSE,"Plan1";#N/A,#N/A,FALSE,"Plan2"}</definedName>
    <definedName name="djgkfjgtiyty" localSheetId="3" hidden="1">{#N/A,#N/A,FALSE,"Plan1";#N/A,#N/A,FALSE,"Plan2"}</definedName>
    <definedName name="djgkfjgtiyty" localSheetId="8" hidden="1">{#N/A,#N/A,FALSE,"Plan1";#N/A,#N/A,FALSE,"Plan2"}</definedName>
    <definedName name="djgkfjgtiyty" localSheetId="2" hidden="1">{#N/A,#N/A,FALSE,"Plan1";#N/A,#N/A,FALSE,"Plan2"}</definedName>
    <definedName name="djgkfjgtiyty" localSheetId="9" hidden="1">{#N/A,#N/A,FALSE,"Plan1";#N/A,#N/A,FALSE,"Plan2"}</definedName>
    <definedName name="djgkfjgtiyty" localSheetId="13" hidden="1">{#N/A,#N/A,FALSE,"Plan1";#N/A,#N/A,FALSE,"Plan2"}</definedName>
    <definedName name="djgkfjgtiyty" localSheetId="0" hidden="1">{#N/A,#N/A,FALSE,"Plan1";#N/A,#N/A,FALSE,"Plan2"}</definedName>
    <definedName name="djgkfjgtiyty" hidden="1">{#N/A,#N/A,FALSE,"Plan1";#N/A,#N/A,FALSE,"Plan2"}</definedName>
    <definedName name="djrkehrjfhng" localSheetId="3" hidden="1">{#N/A,#N/A,FALSE,"Plan1";#N/A,#N/A,FALSE,"Plan2"}</definedName>
    <definedName name="djrkehrjfhng" localSheetId="8" hidden="1">{#N/A,#N/A,FALSE,"Plan1";#N/A,#N/A,FALSE,"Plan2"}</definedName>
    <definedName name="djrkehrjfhng" localSheetId="2" hidden="1">{#N/A,#N/A,FALSE,"Plan1";#N/A,#N/A,FALSE,"Plan2"}</definedName>
    <definedName name="djrkehrjfhng" localSheetId="9" hidden="1">{#N/A,#N/A,FALSE,"Plan1";#N/A,#N/A,FALSE,"Plan2"}</definedName>
    <definedName name="djrkehrjfhng" localSheetId="13" hidden="1">{#N/A,#N/A,FALSE,"Plan1";#N/A,#N/A,FALSE,"Plan2"}</definedName>
    <definedName name="djrkehrjfhng" localSheetId="0" hidden="1">{#N/A,#N/A,FALSE,"Plan1";#N/A,#N/A,FALSE,"Plan2"}</definedName>
    <definedName name="djrkehrjfhng" hidden="1">{#N/A,#N/A,FALSE,"Plan1";#N/A,#N/A,FALSE,"Plan2"}</definedName>
    <definedName name="djswfr" localSheetId="3" hidden="1">#REF!</definedName>
    <definedName name="djswfr" localSheetId="8" hidden="1">#REF!</definedName>
    <definedName name="djswfr" localSheetId="2" hidden="1">#REF!</definedName>
    <definedName name="djswfr" localSheetId="9" hidden="1">#REF!</definedName>
    <definedName name="djswfr" localSheetId="13" hidden="1">#REF!</definedName>
    <definedName name="djswfr" localSheetId="0" hidden="1">#REF!</definedName>
    <definedName name="djswfr" hidden="1">#REF!</definedName>
    <definedName name="djtkjldfr" localSheetId="3" hidden="1">{#N/A,#N/A,FALSE,"Plan1";#N/A,#N/A,FALSE,"Plan2"}</definedName>
    <definedName name="djtkjldfr" localSheetId="8" hidden="1">{#N/A,#N/A,FALSE,"Plan1";#N/A,#N/A,FALSE,"Plan2"}</definedName>
    <definedName name="djtkjldfr" localSheetId="2" hidden="1">{#N/A,#N/A,FALSE,"Plan1";#N/A,#N/A,FALSE,"Plan2"}</definedName>
    <definedName name="djtkjldfr" localSheetId="9" hidden="1">{#N/A,#N/A,FALSE,"Plan1";#N/A,#N/A,FALSE,"Plan2"}</definedName>
    <definedName name="djtkjldfr" localSheetId="13" hidden="1">{#N/A,#N/A,FALSE,"Plan1";#N/A,#N/A,FALSE,"Plan2"}</definedName>
    <definedName name="djtkjldfr" localSheetId="0" hidden="1">{#N/A,#N/A,FALSE,"Plan1";#N/A,#N/A,FALSE,"Plan2"}</definedName>
    <definedName name="djtkjldfr" hidden="1">{#N/A,#N/A,FALSE,"Plan1";#N/A,#N/A,FALSE,"Plan2"}</definedName>
    <definedName name="DJXDLFGDFG" localSheetId="3" hidden="1">{#N/A,#N/A,FALSE,"Plan1";#N/A,#N/A,FALSE,"Plan2"}</definedName>
    <definedName name="DJXDLFGDFG" localSheetId="8" hidden="1">{#N/A,#N/A,FALSE,"Plan1";#N/A,#N/A,FALSE,"Plan2"}</definedName>
    <definedName name="DJXDLFGDFG" localSheetId="2" hidden="1">{#N/A,#N/A,FALSE,"Plan1";#N/A,#N/A,FALSE,"Plan2"}</definedName>
    <definedName name="DJXDLFGDFG" localSheetId="9" hidden="1">{#N/A,#N/A,FALSE,"Plan1";#N/A,#N/A,FALSE,"Plan2"}</definedName>
    <definedName name="DJXDLFGDFG" localSheetId="13" hidden="1">{#N/A,#N/A,FALSE,"Plan1";#N/A,#N/A,FALSE,"Plan2"}</definedName>
    <definedName name="DJXDLFGDFG" localSheetId="0" hidden="1">{#N/A,#N/A,FALSE,"Plan1";#N/A,#N/A,FALSE,"Plan2"}</definedName>
    <definedName name="DJXDLFGDFG" hidden="1">{#N/A,#N/A,FALSE,"Plan1";#N/A,#N/A,FALSE,"Plan2"}</definedName>
    <definedName name="dkdkdkdkd" localSheetId="3" hidden="1">{#N/A,#N/A,FALSE,"명세표"}</definedName>
    <definedName name="dkdkdkdkd" localSheetId="8" hidden="1">{#N/A,#N/A,FALSE,"명세표"}</definedName>
    <definedName name="dkdkdkdkd" localSheetId="2" hidden="1">{#N/A,#N/A,FALSE,"명세표"}</definedName>
    <definedName name="dkdkdkdkd" localSheetId="9" hidden="1">{#N/A,#N/A,FALSE,"명세표"}</definedName>
    <definedName name="dkdkdkdkd" localSheetId="13" hidden="1">{#N/A,#N/A,FALSE,"명세표"}</definedName>
    <definedName name="dkdkdkdkd" localSheetId="0" hidden="1">{#N/A,#N/A,FALSE,"명세표"}</definedName>
    <definedName name="dkdkdkdkd" hidden="1">{#N/A,#N/A,FALSE,"명세표"}</definedName>
    <definedName name="dkfhskgf" localSheetId="3" hidden="1">{#N/A,#N/A,FALSE,"Plan1";#N/A,#N/A,FALSE,"Plan2"}</definedName>
    <definedName name="dkfhskgf" localSheetId="8" hidden="1">{#N/A,#N/A,FALSE,"Plan1";#N/A,#N/A,FALSE,"Plan2"}</definedName>
    <definedName name="dkfhskgf" localSheetId="2" hidden="1">{#N/A,#N/A,FALSE,"Plan1";#N/A,#N/A,FALSE,"Plan2"}</definedName>
    <definedName name="dkfhskgf" localSheetId="9" hidden="1">{#N/A,#N/A,FALSE,"Plan1";#N/A,#N/A,FALSE,"Plan2"}</definedName>
    <definedName name="dkfhskgf" localSheetId="13" hidden="1">{#N/A,#N/A,FALSE,"Plan1";#N/A,#N/A,FALSE,"Plan2"}</definedName>
    <definedName name="dkfhskgf" localSheetId="0" hidden="1">{#N/A,#N/A,FALSE,"Plan1";#N/A,#N/A,FALSE,"Plan2"}</definedName>
    <definedName name="dkfhskgf" hidden="1">{#N/A,#N/A,FALSE,"Plan1";#N/A,#N/A,FALSE,"Plan2"}</definedName>
    <definedName name="dkjfk" localSheetId="3" hidden="1">{#N/A,#N/A,FALSE,"Plan1";#N/A,#N/A,FALSE,"Plan2"}</definedName>
    <definedName name="dkjfk" localSheetId="8" hidden="1">{#N/A,#N/A,FALSE,"Plan1";#N/A,#N/A,FALSE,"Plan2"}</definedName>
    <definedName name="dkjfk" localSheetId="2" hidden="1">{#N/A,#N/A,FALSE,"Plan1";#N/A,#N/A,FALSE,"Plan2"}</definedName>
    <definedName name="dkjfk" localSheetId="9" hidden="1">{#N/A,#N/A,FALSE,"Plan1";#N/A,#N/A,FALSE,"Plan2"}</definedName>
    <definedName name="dkjfk" localSheetId="13" hidden="1">{#N/A,#N/A,FALSE,"Plan1";#N/A,#N/A,FALSE,"Plan2"}</definedName>
    <definedName name="dkjfk" localSheetId="0" hidden="1">{#N/A,#N/A,FALSE,"Plan1";#N/A,#N/A,FALSE,"Plan2"}</definedName>
    <definedName name="dkjfk" hidden="1">{#N/A,#N/A,FALSE,"Plan1";#N/A,#N/A,FALSE,"Plan2"}</definedName>
    <definedName name="DKLD" localSheetId="3" hidden="1">{#N/A,#N/A,FALSE,"Plan1";#N/A,#N/A,FALSE,"Plan2"}</definedName>
    <definedName name="DKLD" localSheetId="8" hidden="1">{#N/A,#N/A,FALSE,"Plan1";#N/A,#N/A,FALSE,"Plan2"}</definedName>
    <definedName name="DKLD" localSheetId="2" hidden="1">{#N/A,#N/A,FALSE,"Plan1";#N/A,#N/A,FALSE,"Plan2"}</definedName>
    <definedName name="DKLD" localSheetId="9" hidden="1">{#N/A,#N/A,FALSE,"Plan1";#N/A,#N/A,FALSE,"Plan2"}</definedName>
    <definedName name="DKLD" localSheetId="13" hidden="1">{#N/A,#N/A,FALSE,"Plan1";#N/A,#N/A,FALSE,"Plan2"}</definedName>
    <definedName name="DKLD" localSheetId="0" hidden="1">{#N/A,#N/A,FALSE,"Plan1";#N/A,#N/A,FALSE,"Plan2"}</definedName>
    <definedName name="DKLD" hidden="1">{#N/A,#N/A,FALSE,"Plan1";#N/A,#N/A,FALSE,"Plan2"}</definedName>
    <definedName name="DKLFJDKFD" localSheetId="3" hidden="1">{#N/A,#N/A,FALSE,"Plan1";#N/A,#N/A,FALSE,"Plan2"}</definedName>
    <definedName name="DKLFJDKFD" localSheetId="8" hidden="1">{#N/A,#N/A,FALSE,"Plan1";#N/A,#N/A,FALSE,"Plan2"}</definedName>
    <definedName name="DKLFJDKFD" localSheetId="2" hidden="1">{#N/A,#N/A,FALSE,"Plan1";#N/A,#N/A,FALSE,"Plan2"}</definedName>
    <definedName name="DKLFJDKFD" localSheetId="9" hidden="1">{#N/A,#N/A,FALSE,"Plan1";#N/A,#N/A,FALSE,"Plan2"}</definedName>
    <definedName name="DKLFJDKFD" localSheetId="13" hidden="1">{#N/A,#N/A,FALSE,"Plan1";#N/A,#N/A,FALSE,"Plan2"}</definedName>
    <definedName name="DKLFJDKFD" localSheetId="0" hidden="1">{#N/A,#N/A,FALSE,"Plan1";#N/A,#N/A,FALSE,"Plan2"}</definedName>
    <definedName name="DKLFJDKFD" hidden="1">{#N/A,#N/A,FALSE,"Plan1";#N/A,#N/A,FALSE,"Plan2"}</definedName>
    <definedName name="dklfjgirtgid" localSheetId="3" hidden="1">{#N/A,#N/A,FALSE,"Plan1";#N/A,#N/A,FALSE,"Plan2"}</definedName>
    <definedName name="dklfjgirtgid" localSheetId="8" hidden="1">{#N/A,#N/A,FALSE,"Plan1";#N/A,#N/A,FALSE,"Plan2"}</definedName>
    <definedName name="dklfjgirtgid" localSheetId="2" hidden="1">{#N/A,#N/A,FALSE,"Plan1";#N/A,#N/A,FALSE,"Plan2"}</definedName>
    <definedName name="dklfjgirtgid" localSheetId="9" hidden="1">{#N/A,#N/A,FALSE,"Plan1";#N/A,#N/A,FALSE,"Plan2"}</definedName>
    <definedName name="dklfjgirtgid" localSheetId="13" hidden="1">{#N/A,#N/A,FALSE,"Plan1";#N/A,#N/A,FALSE,"Plan2"}</definedName>
    <definedName name="dklfjgirtgid" localSheetId="0" hidden="1">{#N/A,#N/A,FALSE,"Plan1";#N/A,#N/A,FALSE,"Plan2"}</definedName>
    <definedName name="dklfjgirtgid" hidden="1">{#N/A,#N/A,FALSE,"Plan1";#N/A,#N/A,FALSE,"Plan2"}</definedName>
    <definedName name="dklfm"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klfm" hidden="1">{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 localSheetId="3" hidden="1">{#N/A,#N/A,FALSE,"Plan1";#N/A,#N/A,FALSE,"Plan2"}</definedName>
    <definedName name="dmbfmndbmtrhed" localSheetId="8" hidden="1">{#N/A,#N/A,FALSE,"Plan1";#N/A,#N/A,FALSE,"Plan2"}</definedName>
    <definedName name="dmbfmndbmtrhed" localSheetId="2" hidden="1">{#N/A,#N/A,FALSE,"Plan1";#N/A,#N/A,FALSE,"Plan2"}</definedName>
    <definedName name="dmbfmndbmtrhed" localSheetId="9" hidden="1">{#N/A,#N/A,FALSE,"Plan1";#N/A,#N/A,FALSE,"Plan2"}</definedName>
    <definedName name="dmbfmndbmtrhed" localSheetId="13" hidden="1">{#N/A,#N/A,FALSE,"Plan1";#N/A,#N/A,FALSE,"Plan2"}</definedName>
    <definedName name="dmbfmndbmtrhed" localSheetId="0" hidden="1">{#N/A,#N/A,FALSE,"Plan1";#N/A,#N/A,FALSE,"Plan2"}</definedName>
    <definedName name="dmbfmndbmtrhed" hidden="1">{#N/A,#N/A,FALSE,"Plan1";#N/A,#N/A,FALSE,"Plan2"}</definedName>
    <definedName name="DNFJKDHTKRE" localSheetId="3" hidden="1">{#N/A,#N/A,FALSE,"Plan1";#N/A,#N/A,FALSE,"Plan2"}</definedName>
    <definedName name="DNFJKDHTKRE" localSheetId="8" hidden="1">{#N/A,#N/A,FALSE,"Plan1";#N/A,#N/A,FALSE,"Plan2"}</definedName>
    <definedName name="DNFJKDHTKRE" localSheetId="2" hidden="1">{#N/A,#N/A,FALSE,"Plan1";#N/A,#N/A,FALSE,"Plan2"}</definedName>
    <definedName name="DNFJKDHTKRE" localSheetId="9" hidden="1">{#N/A,#N/A,FALSE,"Plan1";#N/A,#N/A,FALSE,"Plan2"}</definedName>
    <definedName name="DNFJKDHTKRE" localSheetId="13" hidden="1">{#N/A,#N/A,FALSE,"Plan1";#N/A,#N/A,FALSE,"Plan2"}</definedName>
    <definedName name="DNFJKDHTKRE" localSheetId="0" hidden="1">{#N/A,#N/A,FALSE,"Plan1";#N/A,#N/A,FALSE,"Plan2"}</definedName>
    <definedName name="DNFJKDHTKRE" hidden="1">{#N/A,#N/A,FALSE,"Plan1";#N/A,#N/A,FALSE,"Plan2"}</definedName>
    <definedName name="dng" localSheetId="3" hidden="1">{#N/A,#N/A,FALSE,"GERAL";#N/A,#N/A,FALSE,"012-96";#N/A,#N/A,FALSE,"018-96";#N/A,#N/A,FALSE,"027-96";#N/A,#N/A,FALSE,"059-96";#N/A,#N/A,FALSE,"076-96";#N/A,#N/A,FALSE,"019-97";#N/A,#N/A,FALSE,"021-97";#N/A,#N/A,FALSE,"022-97";#N/A,#N/A,FALSE,"028-97"}</definedName>
    <definedName name="dng" localSheetId="8" hidden="1">{#N/A,#N/A,FALSE,"GERAL";#N/A,#N/A,FALSE,"012-96";#N/A,#N/A,FALSE,"018-96";#N/A,#N/A,FALSE,"027-96";#N/A,#N/A,FALSE,"059-96";#N/A,#N/A,FALSE,"076-96";#N/A,#N/A,FALSE,"019-97";#N/A,#N/A,FALSE,"021-97";#N/A,#N/A,FALSE,"022-97";#N/A,#N/A,FALSE,"028-97"}</definedName>
    <definedName name="dng" localSheetId="2" hidden="1">{#N/A,#N/A,FALSE,"GERAL";#N/A,#N/A,FALSE,"012-96";#N/A,#N/A,FALSE,"018-96";#N/A,#N/A,FALSE,"027-96";#N/A,#N/A,FALSE,"059-96";#N/A,#N/A,FALSE,"076-96";#N/A,#N/A,FALSE,"019-97";#N/A,#N/A,FALSE,"021-97";#N/A,#N/A,FALSE,"022-97";#N/A,#N/A,FALSE,"028-97"}</definedName>
    <definedName name="dng" localSheetId="9" hidden="1">{#N/A,#N/A,FALSE,"GERAL";#N/A,#N/A,FALSE,"012-96";#N/A,#N/A,FALSE,"018-96";#N/A,#N/A,FALSE,"027-96";#N/A,#N/A,FALSE,"059-96";#N/A,#N/A,FALSE,"076-96";#N/A,#N/A,FALSE,"019-97";#N/A,#N/A,FALSE,"021-97";#N/A,#N/A,FALSE,"022-97";#N/A,#N/A,FALSE,"028-97"}</definedName>
    <definedName name="dng" localSheetId="13" hidden="1">{#N/A,#N/A,FALSE,"GERAL";#N/A,#N/A,FALSE,"012-96";#N/A,#N/A,FALSE,"018-96";#N/A,#N/A,FALSE,"027-96";#N/A,#N/A,FALSE,"059-96";#N/A,#N/A,FALSE,"076-96";#N/A,#N/A,FALSE,"019-97";#N/A,#N/A,FALSE,"021-97";#N/A,#N/A,FALSE,"022-97";#N/A,#N/A,FALSE,"028-97"}</definedName>
    <definedName name="dng" localSheetId="0" hidden="1">{#N/A,#N/A,FALSE,"GERAL";#N/A,#N/A,FALSE,"012-96";#N/A,#N/A,FALSE,"018-96";#N/A,#N/A,FALSE,"027-96";#N/A,#N/A,FALSE,"059-96";#N/A,#N/A,FALSE,"076-96";#N/A,#N/A,FALSE,"019-97";#N/A,#N/A,FALSE,"021-97";#N/A,#N/A,FALSE,"022-97";#N/A,#N/A,FALSE,"028-97"}</definedName>
    <definedName name="dng" hidden="1">{#N/A,#N/A,FALSE,"GERAL";#N/A,#N/A,FALSE,"012-96";#N/A,#N/A,FALSE,"018-96";#N/A,#N/A,FALSE,"027-96";#N/A,#N/A,FALSE,"059-96";#N/A,#N/A,FALSE,"076-96";#N/A,#N/A,FALSE,"019-97";#N/A,#N/A,FALSE,"021-97";#N/A,#N/A,FALSE,"022-97";#N/A,#N/A,FALSE,"028-97"}</definedName>
    <definedName name="DOCUMENT" localSheetId="3">#REF!</definedName>
    <definedName name="DOCUMENT" localSheetId="2">#REF!</definedName>
    <definedName name="DOCUMENT">#REF!</definedName>
    <definedName name="DOIS" localSheetId="3">#REF!</definedName>
    <definedName name="DOIS" localSheetId="2">#REF!</definedName>
    <definedName name="DOIS">#REF!</definedName>
    <definedName name="dolar" localSheetId="3">#REF!</definedName>
    <definedName name="dolar" localSheetId="2">#REF!</definedName>
    <definedName name="dolar">#REF!</definedName>
    <definedName name="dolar_dez" localSheetId="2">#REF!</definedName>
    <definedName name="dolar_dez">#REF!</definedName>
    <definedName name="dolar_nov" localSheetId="2">#REF!</definedName>
    <definedName name="dolar_nov">#REF!</definedName>
    <definedName name="dolar_out" localSheetId="2">#REF!</definedName>
    <definedName name="dolar_out">#REF!</definedName>
    <definedName name="dolar2" localSheetId="2">#REF!</definedName>
    <definedName name="dolar2">#REF!</definedName>
    <definedName name="dolarabr" localSheetId="2">#REF!</definedName>
    <definedName name="dolarabr">#REF!</definedName>
    <definedName name="dolarabr02" localSheetId="2">#REF!</definedName>
    <definedName name="dolarabr02">#REF!</definedName>
    <definedName name="DolarAgo" localSheetId="2">#REF!</definedName>
    <definedName name="DolarAgo">#REF!</definedName>
    <definedName name="dolarago02" localSheetId="2">#REF!</definedName>
    <definedName name="dolarago02">#REF!</definedName>
    <definedName name="dolardez" localSheetId="2">#REF!</definedName>
    <definedName name="dolardez">#REF!</definedName>
    <definedName name="dolarfev" localSheetId="2">#REF!</definedName>
    <definedName name="dolarfev">#REF!</definedName>
    <definedName name="dolarfev02" localSheetId="2">#REF!</definedName>
    <definedName name="dolarfev02">#REF!</definedName>
    <definedName name="dolarfimdez" localSheetId="2">#REF!</definedName>
    <definedName name="dolarfimdez">#REF!</definedName>
    <definedName name="dolarFimJun" localSheetId="2">#REF!</definedName>
    <definedName name="dolarFimJun">#REF!</definedName>
    <definedName name="dolarfindez" localSheetId="2">#REF!</definedName>
    <definedName name="dolarfindez">#REF!</definedName>
    <definedName name="dolarfinmar" localSheetId="2">#REF!</definedName>
    <definedName name="dolarfinmar">#REF!</definedName>
    <definedName name="DolarFinSet" localSheetId="2">#REF!</definedName>
    <definedName name="DolarFinSet">#REF!</definedName>
    <definedName name="dolarjan" localSheetId="2">#REF!</definedName>
    <definedName name="dolarjan">#REF!</definedName>
    <definedName name="dolarjan02" localSheetId="2">#REF!</definedName>
    <definedName name="dolarjan02">#REF!</definedName>
    <definedName name="DolarJul" localSheetId="2">#REF!</definedName>
    <definedName name="DolarJul">#REF!</definedName>
    <definedName name="dolarjul02" localSheetId="2">#REF!</definedName>
    <definedName name="dolarjul02">#REF!</definedName>
    <definedName name="dolarjun" localSheetId="2">#REF!</definedName>
    <definedName name="dolarjun">#REF!</definedName>
    <definedName name="dolarjun02" localSheetId="2">#REF!</definedName>
    <definedName name="dolarjun02">#REF!</definedName>
    <definedName name="dolarmai" localSheetId="2">#REF!</definedName>
    <definedName name="dolarmai">#REF!</definedName>
    <definedName name="dolarmai02" localSheetId="2">#REF!</definedName>
    <definedName name="dolarmai02">#REF!</definedName>
    <definedName name="dolarmar" localSheetId="2">#REF!</definedName>
    <definedName name="dolarmar">#REF!</definedName>
    <definedName name="dolarmar02" localSheetId="2">#REF!</definedName>
    <definedName name="dolarmar02">#REF!</definedName>
    <definedName name="dolarnov" localSheetId="2">#REF!</definedName>
    <definedName name="dolarnov">#REF!</definedName>
    <definedName name="dolarout" localSheetId="2">#REF!</definedName>
    <definedName name="dolarout">#REF!</definedName>
    <definedName name="DolarSet" localSheetId="2">#REF!</definedName>
    <definedName name="DolarSet">#REF!</definedName>
    <definedName name="dolarset02" localSheetId="2">#REF!</definedName>
    <definedName name="dolarset02">#REF!</definedName>
    <definedName name="DOZE" localSheetId="2">#REF!</definedName>
    <definedName name="DOZE">#REF!</definedName>
    <definedName name="DRE" localSheetId="4">#REF!</definedName>
    <definedName name="DRE" localSheetId="2">#REF!</definedName>
    <definedName name="DRE" localSheetId="13">#REF!</definedName>
    <definedName name="DRE" localSheetId="0">#REF!</definedName>
    <definedName name="DRE">#REF!</definedName>
    <definedName name="drewr" localSheetId="3" hidden="1">{#N/A,#N/A,FALSE,"Plan1";#N/A,#N/A,FALSE,"Plan2"}</definedName>
    <definedName name="drewr" localSheetId="8" hidden="1">{#N/A,#N/A,FALSE,"Plan1";#N/A,#N/A,FALSE,"Plan2"}</definedName>
    <definedName name="drewr" localSheetId="2" hidden="1">{#N/A,#N/A,FALSE,"Plan1";#N/A,#N/A,FALSE,"Plan2"}</definedName>
    <definedName name="drewr" localSheetId="9" hidden="1">{#N/A,#N/A,FALSE,"Plan1";#N/A,#N/A,FALSE,"Plan2"}</definedName>
    <definedName name="drewr" localSheetId="13" hidden="1">{#N/A,#N/A,FALSE,"Plan1";#N/A,#N/A,FALSE,"Plan2"}</definedName>
    <definedName name="drewr" localSheetId="0" hidden="1">{#N/A,#N/A,FALSE,"Plan1";#N/A,#N/A,FALSE,"Plan2"}</definedName>
    <definedName name="drewr" hidden="1">{#N/A,#N/A,FALSE,"Plan1";#N/A,#N/A,FALSE,"Plan2"}</definedName>
    <definedName name="DRRJR" localSheetId="3" hidden="1">{#N/A,#N/A,FALSE,"Plan1";#N/A,#N/A,FALSE,"Plan2"}</definedName>
    <definedName name="DRRJR" localSheetId="8" hidden="1">{#N/A,#N/A,FALSE,"Plan1";#N/A,#N/A,FALSE,"Plan2"}</definedName>
    <definedName name="DRRJR" localSheetId="2" hidden="1">{#N/A,#N/A,FALSE,"Plan1";#N/A,#N/A,FALSE,"Plan2"}</definedName>
    <definedName name="DRRJR" localSheetId="9" hidden="1">{#N/A,#N/A,FALSE,"Plan1";#N/A,#N/A,FALSE,"Plan2"}</definedName>
    <definedName name="DRRJR" localSheetId="13" hidden="1">{#N/A,#N/A,FALSE,"Plan1";#N/A,#N/A,FALSE,"Plan2"}</definedName>
    <definedName name="DRRJR" localSheetId="0" hidden="1">{#N/A,#N/A,FALSE,"Plan1";#N/A,#N/A,FALSE,"Plan2"}</definedName>
    <definedName name="DRRJR" hidden="1">{#N/A,#N/A,FALSE,"Plan1";#N/A,#N/A,FALSE,"Plan2"}</definedName>
    <definedName name="drtr" localSheetId="3" hidden="1">#REF!</definedName>
    <definedName name="drtr" localSheetId="8" hidden="1">#REF!</definedName>
    <definedName name="drtr" localSheetId="9" hidden="1">#REF!</definedName>
    <definedName name="drtr" localSheetId="13" hidden="1">#REF!</definedName>
    <definedName name="drtr" localSheetId="0" hidden="1">#REF!</definedName>
    <definedName name="drtr" hidden="1">#REF!</definedName>
    <definedName name="drtrt" localSheetId="3" hidden="1">{"'Estimativa de Lançamento-JAN'!$A$1:$AI$85"}</definedName>
    <definedName name="drtrt" localSheetId="8" hidden="1">{"'Estimativa de Lançamento-JAN'!$A$1:$AI$85"}</definedName>
    <definedName name="drtrt" localSheetId="2" hidden="1">{"'Estimativa de Lançamento-JAN'!$A$1:$AI$85"}</definedName>
    <definedName name="drtrt" localSheetId="9" hidden="1">{"'Estimativa de Lançamento-JAN'!$A$1:$AI$85"}</definedName>
    <definedName name="drtrt" localSheetId="13" hidden="1">{"'Estimativa de Lançamento-JAN'!$A$1:$AI$85"}</definedName>
    <definedName name="drtrt" localSheetId="0" hidden="1">{"'Estimativa de Lançamento-JAN'!$A$1:$AI$85"}</definedName>
    <definedName name="drtrt" hidden="1">{"'Estimativa de Lançamento-JAN'!$A$1:$AI$85"}</definedName>
    <definedName name="dsdrf" localSheetId="3" hidden="1">{#N/A,#N/A,FALSE,"Plan1";#N/A,#N/A,FALSE,"Plan2"}</definedName>
    <definedName name="dsdrf" localSheetId="8" hidden="1">{#N/A,#N/A,FALSE,"Plan1";#N/A,#N/A,FALSE,"Plan2"}</definedName>
    <definedName name="dsdrf" localSheetId="2" hidden="1">{#N/A,#N/A,FALSE,"Plan1";#N/A,#N/A,FALSE,"Plan2"}</definedName>
    <definedName name="dsdrf" localSheetId="9" hidden="1">{#N/A,#N/A,FALSE,"Plan1";#N/A,#N/A,FALSE,"Plan2"}</definedName>
    <definedName name="dsdrf" localSheetId="13" hidden="1">{#N/A,#N/A,FALSE,"Plan1";#N/A,#N/A,FALSE,"Plan2"}</definedName>
    <definedName name="dsdrf" localSheetId="0" hidden="1">{#N/A,#N/A,FALSE,"Plan1";#N/A,#N/A,FALSE,"Plan2"}</definedName>
    <definedName name="dsdrf" hidden="1">{#N/A,#N/A,FALSE,"Plan1";#N/A,#N/A,FALSE,"Plan2"}</definedName>
    <definedName name="dsfdf" localSheetId="3" hidden="1">{#N/A,#N/A,FALSE,"Plan1";#N/A,#N/A,FALSE,"Plan2"}</definedName>
    <definedName name="dsfdf" localSheetId="8" hidden="1">{#N/A,#N/A,FALSE,"Plan1";#N/A,#N/A,FALSE,"Plan2"}</definedName>
    <definedName name="dsfdf" localSheetId="2" hidden="1">{#N/A,#N/A,FALSE,"Plan1";#N/A,#N/A,FALSE,"Plan2"}</definedName>
    <definedName name="dsfdf" localSheetId="9" hidden="1">{#N/A,#N/A,FALSE,"Plan1";#N/A,#N/A,FALSE,"Plan2"}</definedName>
    <definedName name="dsfdf" localSheetId="13" hidden="1">{#N/A,#N/A,FALSE,"Plan1";#N/A,#N/A,FALSE,"Plan2"}</definedName>
    <definedName name="dsfdf" localSheetId="0" hidden="1">{#N/A,#N/A,FALSE,"Plan1";#N/A,#N/A,FALSE,"Plan2"}</definedName>
    <definedName name="dsfdf" hidden="1">{#N/A,#N/A,FALSE,"Plan1";#N/A,#N/A,FALSE,"Plan2"}</definedName>
    <definedName name="dsfg" localSheetId="3" hidden="1">{#N/A,#N/A,FALSE,"Plan1";#N/A,#N/A,FALSE,"Plan2"}</definedName>
    <definedName name="dsfg" localSheetId="8" hidden="1">{#N/A,#N/A,FALSE,"Plan1";#N/A,#N/A,FALSE,"Plan2"}</definedName>
    <definedName name="dsfg" localSheetId="2" hidden="1">{#N/A,#N/A,FALSE,"Plan1";#N/A,#N/A,FALSE,"Plan2"}</definedName>
    <definedName name="dsfg" localSheetId="9" hidden="1">{#N/A,#N/A,FALSE,"Plan1";#N/A,#N/A,FALSE,"Plan2"}</definedName>
    <definedName name="dsfg" localSheetId="13" hidden="1">{#N/A,#N/A,FALSE,"Plan1";#N/A,#N/A,FALSE,"Plan2"}</definedName>
    <definedName name="dsfg" localSheetId="0" hidden="1">{#N/A,#N/A,FALSE,"Plan1";#N/A,#N/A,FALSE,"Plan2"}</definedName>
    <definedName name="dsfg" hidden="1">{#N/A,#N/A,FALSE,"Plan1";#N/A,#N/A,FALSE,"Plan2"}</definedName>
    <definedName name="DSFKDSKH" localSheetId="3" hidden="1">{#N/A,#N/A,FALSE,"Plan1";#N/A,#N/A,FALSE,"Plan2"}</definedName>
    <definedName name="DSFKDSKH" localSheetId="8" hidden="1">{#N/A,#N/A,FALSE,"Plan1";#N/A,#N/A,FALSE,"Plan2"}</definedName>
    <definedName name="DSFKDSKH" localSheetId="2" hidden="1">{#N/A,#N/A,FALSE,"Plan1";#N/A,#N/A,FALSE,"Plan2"}</definedName>
    <definedName name="DSFKDSKH" localSheetId="9" hidden="1">{#N/A,#N/A,FALSE,"Plan1";#N/A,#N/A,FALSE,"Plan2"}</definedName>
    <definedName name="DSFKDSKH" localSheetId="13" hidden="1">{#N/A,#N/A,FALSE,"Plan1";#N/A,#N/A,FALSE,"Plan2"}</definedName>
    <definedName name="DSFKDSKH" localSheetId="0" hidden="1">{#N/A,#N/A,FALSE,"Plan1";#N/A,#N/A,FALSE,"Plan2"}</definedName>
    <definedName name="DSFKDSKH" hidden="1">{#N/A,#N/A,FALSE,"Plan1";#N/A,#N/A,FALSE,"Plan2"}</definedName>
    <definedName name="DSF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FRT" hidden="1">{TRUE,TRUE,-1.25,-15.5,604.5,366.75,FALSE,FALSE,TRUE,TRUE,0,1,#N/A,1,#N/A,9.0125,24.4117647058824,1,FALSE,FALSE,3,TRUE,1,FALSE,100,"Swvu.PLANILHA2.","ACwvu.PLANILHA2.",#N/A,FALSE,FALSE,0.787401575,0.34,0.46,0.5,1,"","",FALSE,FALSE,FALSE,FALSE,1,#N/A,1,1,FALSE,FALSE,#N/A,#N/A,FALSE,FALSE,FALSE,9,65532,65532,FALSE,FALSE,TRUE,TRUE,TRUE}</definedName>
    <definedName name="dsfrtyy" localSheetId="3" hidden="1">{#N/A,#N/A,FALSE,"Plan1";#N/A,#N/A,FALSE,"Plan2"}</definedName>
    <definedName name="dsfrtyy" localSheetId="8" hidden="1">{#N/A,#N/A,FALSE,"Plan1";#N/A,#N/A,FALSE,"Plan2"}</definedName>
    <definedName name="dsfrtyy" localSheetId="2" hidden="1">{#N/A,#N/A,FALSE,"Plan1";#N/A,#N/A,FALSE,"Plan2"}</definedName>
    <definedName name="dsfrtyy" localSheetId="9" hidden="1">{#N/A,#N/A,FALSE,"Plan1";#N/A,#N/A,FALSE,"Plan2"}</definedName>
    <definedName name="dsfrtyy" localSheetId="13" hidden="1">{#N/A,#N/A,FALSE,"Plan1";#N/A,#N/A,FALSE,"Plan2"}</definedName>
    <definedName name="dsfrtyy" localSheetId="0" hidden="1">{#N/A,#N/A,FALSE,"Plan1";#N/A,#N/A,FALSE,"Plan2"}</definedName>
    <definedName name="dsfrtyy" hidden="1">{#N/A,#N/A,FALSE,"Plan1";#N/A,#N/A,FALSE,"Plan2"}</definedName>
    <definedName name="DSFSAD" localSheetId="3" hidden="1">{#N/A,#N/A,FALSE,"Plan1";#N/A,#N/A,FALSE,"Plan2"}</definedName>
    <definedName name="DSFSAD" localSheetId="8" hidden="1">{#N/A,#N/A,FALSE,"Plan1";#N/A,#N/A,FALSE,"Plan2"}</definedName>
    <definedName name="DSFSAD" localSheetId="2" hidden="1">{#N/A,#N/A,FALSE,"Plan1";#N/A,#N/A,FALSE,"Plan2"}</definedName>
    <definedName name="DSFSAD" localSheetId="9" hidden="1">{#N/A,#N/A,FALSE,"Plan1";#N/A,#N/A,FALSE,"Plan2"}</definedName>
    <definedName name="DSFSAD" localSheetId="13" hidden="1">{#N/A,#N/A,FALSE,"Plan1";#N/A,#N/A,FALSE,"Plan2"}</definedName>
    <definedName name="DSFSAD" localSheetId="0" hidden="1">{#N/A,#N/A,FALSE,"Plan1";#N/A,#N/A,FALSE,"Plan2"}</definedName>
    <definedName name="DSFSAD" hidden="1">{#N/A,#N/A,FALSE,"Plan1";#N/A,#N/A,FALSE,"Plan2"}</definedName>
    <definedName name="dsfsdf" localSheetId="3" hidden="1">{#N/A,#N/A,FALSE,"Plan1";#N/A,#N/A,FALSE,"Plan2"}</definedName>
    <definedName name="dsfsdf" localSheetId="8" hidden="1">{#N/A,#N/A,FALSE,"Plan1";#N/A,#N/A,FALSE,"Plan2"}</definedName>
    <definedName name="dsfsdf" localSheetId="2" hidden="1">{#N/A,#N/A,FALSE,"Plan1";#N/A,#N/A,FALSE,"Plan2"}</definedName>
    <definedName name="dsfsdf" localSheetId="9" hidden="1">{#N/A,#N/A,FALSE,"Plan1";#N/A,#N/A,FALSE,"Plan2"}</definedName>
    <definedName name="dsfsdf" localSheetId="13" hidden="1">{#N/A,#N/A,FALSE,"Plan1";#N/A,#N/A,FALSE,"Plan2"}</definedName>
    <definedName name="dsfsdf" localSheetId="0" hidden="1">{#N/A,#N/A,FALSE,"Plan1";#N/A,#N/A,FALSE,"Plan2"}</definedName>
    <definedName name="dsfsdf" hidden="1">{#N/A,#N/A,FALSE,"Plan1";#N/A,#N/A,FALSE,"Plan2"}</definedName>
    <definedName name="dsfsdgfb" localSheetId="3" hidden="1">{#N/A,#N/A,FALSE,"Plan1";#N/A,#N/A,FALSE,"Plan2"}</definedName>
    <definedName name="dsfsdgfb" localSheetId="8" hidden="1">{#N/A,#N/A,FALSE,"Plan1";#N/A,#N/A,FALSE,"Plan2"}</definedName>
    <definedName name="dsfsdgfb" localSheetId="2" hidden="1">{#N/A,#N/A,FALSE,"Plan1";#N/A,#N/A,FALSE,"Plan2"}</definedName>
    <definedName name="dsfsdgfb" localSheetId="9" hidden="1">{#N/A,#N/A,FALSE,"Plan1";#N/A,#N/A,FALSE,"Plan2"}</definedName>
    <definedName name="dsfsdgfb" localSheetId="13" hidden="1">{#N/A,#N/A,FALSE,"Plan1";#N/A,#N/A,FALSE,"Plan2"}</definedName>
    <definedName name="dsfsdgfb" localSheetId="0" hidden="1">{#N/A,#N/A,FALSE,"Plan1";#N/A,#N/A,FALSE,"Plan2"}</definedName>
    <definedName name="dsfsdgfb" hidden="1">{#N/A,#N/A,FALSE,"Plan1";#N/A,#N/A,FALSE,"Plan2"}</definedName>
    <definedName name="dsgfr" localSheetId="3" hidden="1">{#N/A,#N/A,FALSE,"Plan1";#N/A,#N/A,FALSE,"Plan2"}</definedName>
    <definedName name="dsgfr" localSheetId="8" hidden="1">{#N/A,#N/A,FALSE,"Plan1";#N/A,#N/A,FALSE,"Plan2"}</definedName>
    <definedName name="dsgfr" localSheetId="2" hidden="1">{#N/A,#N/A,FALSE,"Plan1";#N/A,#N/A,FALSE,"Plan2"}</definedName>
    <definedName name="dsgfr" localSheetId="9" hidden="1">{#N/A,#N/A,FALSE,"Plan1";#N/A,#N/A,FALSE,"Plan2"}</definedName>
    <definedName name="dsgfr" localSheetId="13" hidden="1">{#N/A,#N/A,FALSE,"Plan1";#N/A,#N/A,FALSE,"Plan2"}</definedName>
    <definedName name="dsgfr" localSheetId="0" hidden="1">{#N/A,#N/A,FALSE,"Plan1";#N/A,#N/A,FALSE,"Plan2"}</definedName>
    <definedName name="dsgfr" hidden="1">{#N/A,#N/A,FALSE,"Plan1";#N/A,#N/A,FALSE,"Plan2"}</definedName>
    <definedName name="dshfkhkrhesru" localSheetId="3" hidden="1">{#N/A,#N/A,FALSE,"Plan1";#N/A,#N/A,FALSE,"Plan2"}</definedName>
    <definedName name="dshfkhkrhesru" localSheetId="8" hidden="1">{#N/A,#N/A,FALSE,"Plan1";#N/A,#N/A,FALSE,"Plan2"}</definedName>
    <definedName name="dshfkhkrhesru" localSheetId="2" hidden="1">{#N/A,#N/A,FALSE,"Plan1";#N/A,#N/A,FALSE,"Plan2"}</definedName>
    <definedName name="dshfkhkrhesru" localSheetId="9" hidden="1">{#N/A,#N/A,FALSE,"Plan1";#N/A,#N/A,FALSE,"Plan2"}</definedName>
    <definedName name="dshfkhkrhesru" localSheetId="13" hidden="1">{#N/A,#N/A,FALSE,"Plan1";#N/A,#N/A,FALSE,"Plan2"}</definedName>
    <definedName name="dshfkhkrhesru" localSheetId="0" hidden="1">{#N/A,#N/A,FALSE,"Plan1";#N/A,#N/A,FALSE,"Plan2"}</definedName>
    <definedName name="dshfkhkrhesru" hidden="1">{#N/A,#N/A,FALSE,"Plan1";#N/A,#N/A,FALSE,"Plan2"}</definedName>
    <definedName name="dsjkthkr" localSheetId="3" hidden="1">{#N/A,#N/A,FALSE,"Plan1";#N/A,#N/A,FALSE,"Plan2"}</definedName>
    <definedName name="dsjkthkr" localSheetId="8" hidden="1">{#N/A,#N/A,FALSE,"Plan1";#N/A,#N/A,FALSE,"Plan2"}</definedName>
    <definedName name="dsjkthkr" localSheetId="2" hidden="1">{#N/A,#N/A,FALSE,"Plan1";#N/A,#N/A,FALSE,"Plan2"}</definedName>
    <definedName name="dsjkthkr" localSheetId="9" hidden="1">{#N/A,#N/A,FALSE,"Plan1";#N/A,#N/A,FALSE,"Plan2"}</definedName>
    <definedName name="dsjkthkr" localSheetId="13" hidden="1">{#N/A,#N/A,FALSE,"Plan1";#N/A,#N/A,FALSE,"Plan2"}</definedName>
    <definedName name="dsjkthkr" localSheetId="0" hidden="1">{#N/A,#N/A,FALSE,"Plan1";#N/A,#N/A,FALSE,"Plan2"}</definedName>
    <definedName name="dsjkthkr" hidden="1">{#N/A,#N/A,FALSE,"Plan1";#N/A,#N/A,FALSE,"Plan2"}</definedName>
    <definedName name="dskfdhksdfh" hidden="1">4</definedName>
    <definedName name="DSLFJSLFJ" localSheetId="3" hidden="1">{#N/A,#N/A,FALSE,"Plan1";#N/A,#N/A,FALSE,"Plan2"}</definedName>
    <definedName name="DSLFJSLFJ" localSheetId="8" hidden="1">{#N/A,#N/A,FALSE,"Plan1";#N/A,#N/A,FALSE,"Plan2"}</definedName>
    <definedName name="DSLFJSLFJ" localSheetId="2" hidden="1">{#N/A,#N/A,FALSE,"Plan1";#N/A,#N/A,FALSE,"Plan2"}</definedName>
    <definedName name="DSLFJSLFJ" localSheetId="9" hidden="1">{#N/A,#N/A,FALSE,"Plan1";#N/A,#N/A,FALSE,"Plan2"}</definedName>
    <definedName name="DSLFJSLFJ" localSheetId="13" hidden="1">{#N/A,#N/A,FALSE,"Plan1";#N/A,#N/A,FALSE,"Plan2"}</definedName>
    <definedName name="DSLFJSLFJ" localSheetId="0" hidden="1">{#N/A,#N/A,FALSE,"Plan1";#N/A,#N/A,FALSE,"Plan2"}</definedName>
    <definedName name="DSLFJSLFJ" hidden="1">{#N/A,#N/A,FALSE,"Plan1";#N/A,#N/A,FALSE,"Plan2"}</definedName>
    <definedName name="dslfkf" hidden="1">4</definedName>
    <definedName name="dsrff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srffg" hidden="1">{TRUE,TRUE,-1.25,-15.5,604.5,366.75,FALSE,FALSE,TRUE,TRUE,0,1,#N/A,1,#N/A,9.0125,24.4117647058824,1,FALSE,FALSE,3,TRUE,1,FALSE,100,"Swvu.PLANILHA2.","ACwvu.PLANILHA2.",#N/A,FALSE,FALSE,0.787401575,0.34,0.46,0.5,1,"","",FALSE,FALSE,FALSE,FALSE,1,#N/A,1,1,FALSE,FALSE,#N/A,#N/A,FALSE,FALSE,FALSE,9,65532,65532,FALSE,FALSE,TRUE,TRUE,TRUE}</definedName>
    <definedName name="dsrgdergdrg" localSheetId="3" hidden="1">{#N/A,#N/A,FALSE,"GERAL";#N/A,#N/A,FALSE,"012-96";#N/A,#N/A,FALSE,"018-96";#N/A,#N/A,FALSE,"027-96";#N/A,#N/A,FALSE,"059-96";#N/A,#N/A,FALSE,"076-96";#N/A,#N/A,FALSE,"019-97";#N/A,#N/A,FALSE,"021-97";#N/A,#N/A,FALSE,"022-97";#N/A,#N/A,FALSE,"028-97"}</definedName>
    <definedName name="dsrgdergdrg" localSheetId="8" hidden="1">{#N/A,#N/A,FALSE,"GERAL";#N/A,#N/A,FALSE,"012-96";#N/A,#N/A,FALSE,"018-96";#N/A,#N/A,FALSE,"027-96";#N/A,#N/A,FALSE,"059-96";#N/A,#N/A,FALSE,"076-96";#N/A,#N/A,FALSE,"019-97";#N/A,#N/A,FALSE,"021-97";#N/A,#N/A,FALSE,"022-97";#N/A,#N/A,FALSE,"028-97"}</definedName>
    <definedName name="dsrgdergdrg" localSheetId="2" hidden="1">{#N/A,#N/A,FALSE,"GERAL";#N/A,#N/A,FALSE,"012-96";#N/A,#N/A,FALSE,"018-96";#N/A,#N/A,FALSE,"027-96";#N/A,#N/A,FALSE,"059-96";#N/A,#N/A,FALSE,"076-96";#N/A,#N/A,FALSE,"019-97";#N/A,#N/A,FALSE,"021-97";#N/A,#N/A,FALSE,"022-97";#N/A,#N/A,FALSE,"028-97"}</definedName>
    <definedName name="dsrgdergdrg" localSheetId="9" hidden="1">{#N/A,#N/A,FALSE,"GERAL";#N/A,#N/A,FALSE,"012-96";#N/A,#N/A,FALSE,"018-96";#N/A,#N/A,FALSE,"027-96";#N/A,#N/A,FALSE,"059-96";#N/A,#N/A,FALSE,"076-96";#N/A,#N/A,FALSE,"019-97";#N/A,#N/A,FALSE,"021-97";#N/A,#N/A,FALSE,"022-97";#N/A,#N/A,FALSE,"028-97"}</definedName>
    <definedName name="dsrgdergdrg" localSheetId="13" hidden="1">{#N/A,#N/A,FALSE,"GERAL";#N/A,#N/A,FALSE,"012-96";#N/A,#N/A,FALSE,"018-96";#N/A,#N/A,FALSE,"027-96";#N/A,#N/A,FALSE,"059-96";#N/A,#N/A,FALSE,"076-96";#N/A,#N/A,FALSE,"019-97";#N/A,#N/A,FALSE,"021-97";#N/A,#N/A,FALSE,"022-97";#N/A,#N/A,FALSE,"028-97"}</definedName>
    <definedName name="dsrgdergdrg" localSheetId="0" hidden="1">{#N/A,#N/A,FALSE,"GERAL";#N/A,#N/A,FALSE,"012-96";#N/A,#N/A,FALSE,"018-96";#N/A,#N/A,FALSE,"027-96";#N/A,#N/A,FALSE,"059-96";#N/A,#N/A,FALSE,"076-96";#N/A,#N/A,FALSE,"019-97";#N/A,#N/A,FALSE,"021-97";#N/A,#N/A,FALSE,"022-97";#N/A,#N/A,FALSE,"028-97"}</definedName>
    <definedName name="dsrgdergdrg" hidden="1">{#N/A,#N/A,FALSE,"GERAL";#N/A,#N/A,FALSE,"012-96";#N/A,#N/A,FALSE,"018-96";#N/A,#N/A,FALSE,"027-96";#N/A,#N/A,FALSE,"059-96";#N/A,#N/A,FALSE,"076-96";#N/A,#N/A,FALSE,"019-97";#N/A,#N/A,FALSE,"021-97";#N/A,#N/A,FALSE,"022-97";#N/A,#N/A,FALSE,"028-97"}</definedName>
    <definedName name="dss" localSheetId="3" hidden="1">{#N/A,#N/A,FALSE,"Plan1";#N/A,#N/A,FALSE,"Plan2"}</definedName>
    <definedName name="dss" localSheetId="8" hidden="1">{#N/A,#N/A,FALSE,"Plan1";#N/A,#N/A,FALSE,"Plan2"}</definedName>
    <definedName name="dss" localSheetId="2" hidden="1">{#N/A,#N/A,FALSE,"Plan1";#N/A,#N/A,FALSE,"Plan2"}</definedName>
    <definedName name="dss" localSheetId="9" hidden="1">{#N/A,#N/A,FALSE,"Plan1";#N/A,#N/A,FALSE,"Plan2"}</definedName>
    <definedName name="dss" localSheetId="13" hidden="1">{#N/A,#N/A,FALSE,"Plan1";#N/A,#N/A,FALSE,"Plan2"}</definedName>
    <definedName name="dss" localSheetId="0" hidden="1">{#N/A,#N/A,FALSE,"Plan1";#N/A,#N/A,FALSE,"Plan2"}</definedName>
    <definedName name="dss" hidden="1">{#N/A,#N/A,FALSE,"Plan1";#N/A,#N/A,FALSE,"Plan2"}</definedName>
    <definedName name="dtgsrytt" localSheetId="3" hidden="1">{#N/A,#N/A,FALSE,"Plan1";#N/A,#N/A,FALSE,"Plan2"}</definedName>
    <definedName name="dtgsrytt" localSheetId="8" hidden="1">{#N/A,#N/A,FALSE,"Plan1";#N/A,#N/A,FALSE,"Plan2"}</definedName>
    <definedName name="dtgsrytt" localSheetId="2" hidden="1">{#N/A,#N/A,FALSE,"Plan1";#N/A,#N/A,FALSE,"Plan2"}</definedName>
    <definedName name="dtgsrytt" localSheetId="9" hidden="1">{#N/A,#N/A,FALSE,"Plan1";#N/A,#N/A,FALSE,"Plan2"}</definedName>
    <definedName name="dtgsrytt" localSheetId="13" hidden="1">{#N/A,#N/A,FALSE,"Plan1";#N/A,#N/A,FALSE,"Plan2"}</definedName>
    <definedName name="dtgsrytt" localSheetId="0" hidden="1">{#N/A,#N/A,FALSE,"Plan1";#N/A,#N/A,FALSE,"Plan2"}</definedName>
    <definedName name="dtgsrytt" hidden="1">{#N/A,#N/A,FALSE,"Plan1";#N/A,#N/A,FALSE,"Plan2"}</definedName>
    <definedName name="dtrjkhtrgkfh" localSheetId="3" hidden="1">{#N/A,#N/A,FALSE,"Plan1";#N/A,#N/A,FALSE,"Plan2"}</definedName>
    <definedName name="dtrjkhtrgkfh" localSheetId="8" hidden="1">{#N/A,#N/A,FALSE,"Plan1";#N/A,#N/A,FALSE,"Plan2"}</definedName>
    <definedName name="dtrjkhtrgkfh" localSheetId="2" hidden="1">{#N/A,#N/A,FALSE,"Plan1";#N/A,#N/A,FALSE,"Plan2"}</definedName>
    <definedName name="dtrjkhtrgkfh" localSheetId="9" hidden="1">{#N/A,#N/A,FALSE,"Plan1";#N/A,#N/A,FALSE,"Plan2"}</definedName>
    <definedName name="dtrjkhtrgkfh" localSheetId="13" hidden="1">{#N/A,#N/A,FALSE,"Plan1";#N/A,#N/A,FALSE,"Plan2"}</definedName>
    <definedName name="dtrjkhtrgkfh" localSheetId="0" hidden="1">{#N/A,#N/A,FALSE,"Plan1";#N/A,#N/A,FALSE,"Plan2"}</definedName>
    <definedName name="dtrjkhtrgkfh" hidden="1">{#N/A,#N/A,FALSE,"Plan1";#N/A,#N/A,FALSE,"Plan2"}</definedName>
    <definedName name="dttjuk" localSheetId="3" hidden="1">{#N/A,#N/A,FALSE,"Plan1";#N/A,#N/A,FALSE,"Plan2"}</definedName>
    <definedName name="dttjuk" localSheetId="8" hidden="1">{#N/A,#N/A,FALSE,"Plan1";#N/A,#N/A,FALSE,"Plan2"}</definedName>
    <definedName name="dttjuk" localSheetId="2" hidden="1">{#N/A,#N/A,FALSE,"Plan1";#N/A,#N/A,FALSE,"Plan2"}</definedName>
    <definedName name="dttjuk" localSheetId="9" hidden="1">{#N/A,#N/A,FALSE,"Plan1";#N/A,#N/A,FALSE,"Plan2"}</definedName>
    <definedName name="dttjuk" localSheetId="13" hidden="1">{#N/A,#N/A,FALSE,"Plan1";#N/A,#N/A,FALSE,"Plan2"}</definedName>
    <definedName name="dttjuk" localSheetId="0" hidden="1">{#N/A,#N/A,FALSE,"Plan1";#N/A,#N/A,FALSE,"Plan2"}</definedName>
    <definedName name="dttjuk" hidden="1">{#N/A,#N/A,FALSE,"Plan1";#N/A,#N/A,FALSE,"Plan2"}</definedName>
    <definedName name="dvtry"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dvtry" hidden="1">{TRUE,TRUE,-1.25,-15.5,604.5,366.75,FALSE,FALSE,TRUE,TRUE,0,1,#N/A,1,#N/A,9.0125,24.4117647058824,1,FALSE,FALSE,3,TRUE,1,FALSE,100,"Swvu.PLANILHA2.","ACwvu.PLANILHA2.",#N/A,FALSE,FALSE,0.787401575,0.34,0.46,0.5,1,"","",FALSE,FALSE,FALSE,FALSE,1,#N/A,1,1,FALSE,FALSE,#N/A,#N/A,FALSE,FALSE,FALSE,9,65532,65532,FALSE,FALSE,TRUE,TRUE,TRUE}</definedName>
    <definedName name="dwetrt" localSheetId="3" hidden="1">{#N/A,#N/A,FALSE,"Plan1";#N/A,#N/A,FALSE,"Plan2"}</definedName>
    <definedName name="dwetrt" localSheetId="8" hidden="1">{#N/A,#N/A,FALSE,"Plan1";#N/A,#N/A,FALSE,"Plan2"}</definedName>
    <definedName name="dwetrt" localSheetId="2" hidden="1">{#N/A,#N/A,FALSE,"Plan1";#N/A,#N/A,FALSE,"Plan2"}</definedName>
    <definedName name="dwetrt" localSheetId="9" hidden="1">{#N/A,#N/A,FALSE,"Plan1";#N/A,#N/A,FALSE,"Plan2"}</definedName>
    <definedName name="dwetrt" localSheetId="13" hidden="1">{#N/A,#N/A,FALSE,"Plan1";#N/A,#N/A,FALSE,"Plan2"}</definedName>
    <definedName name="dwetrt" localSheetId="0" hidden="1">{#N/A,#N/A,FALSE,"Plan1";#N/A,#N/A,FALSE,"Plan2"}</definedName>
    <definedName name="dwetrt" hidden="1">{#N/A,#N/A,FALSE,"Plan1";#N/A,#N/A,FALSE,"Plan2"}</definedName>
    <definedName name="dwqhdjwqgdwq" localSheetId="3">#REF!</definedName>
    <definedName name="dwqhdjwqgdwq" localSheetId="2">#REF!</definedName>
    <definedName name="dwqhdjwqgdwq">#REF!</definedName>
    <definedName name="DY"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 localSheetId="3" hidden="1">{#N/A,#N/A,FALSE,"Plan1";#N/A,#N/A,FALSE,"Plan2"}</definedName>
    <definedName name="DYHYGJDHZKGF" localSheetId="8" hidden="1">{#N/A,#N/A,FALSE,"Plan1";#N/A,#N/A,FALSE,"Plan2"}</definedName>
    <definedName name="DYHYGJDHZKGF" localSheetId="2" hidden="1">{#N/A,#N/A,FALSE,"Plan1";#N/A,#N/A,FALSE,"Plan2"}</definedName>
    <definedName name="DYHYGJDHZKGF" localSheetId="9" hidden="1">{#N/A,#N/A,FALSE,"Plan1";#N/A,#N/A,FALSE,"Plan2"}</definedName>
    <definedName name="DYHYGJDHZKGF" localSheetId="13" hidden="1">{#N/A,#N/A,FALSE,"Plan1";#N/A,#N/A,FALSE,"Plan2"}</definedName>
    <definedName name="DYHYGJDHZKGF" localSheetId="0" hidden="1">{#N/A,#N/A,FALSE,"Plan1";#N/A,#N/A,FALSE,"Plan2"}</definedName>
    <definedName name="DYHYGJDHZKGF" hidden="1">{#N/A,#N/A,FALSE,"Plan1";#N/A,#N/A,FALSE,"Plan2"}</definedName>
    <definedName name="dzdfr" localSheetId="3" hidden="1">{#N/A,#N/A,FALSE,"Plan1";#N/A,#N/A,FALSE,"Plan2"}</definedName>
    <definedName name="dzdfr" localSheetId="8" hidden="1">{#N/A,#N/A,FALSE,"Plan1";#N/A,#N/A,FALSE,"Plan2"}</definedName>
    <definedName name="dzdfr" localSheetId="2" hidden="1">{#N/A,#N/A,FALSE,"Plan1";#N/A,#N/A,FALSE,"Plan2"}</definedName>
    <definedName name="dzdfr" localSheetId="9" hidden="1">{#N/A,#N/A,FALSE,"Plan1";#N/A,#N/A,FALSE,"Plan2"}</definedName>
    <definedName name="dzdfr" localSheetId="13" hidden="1">{#N/A,#N/A,FALSE,"Plan1";#N/A,#N/A,FALSE,"Plan2"}</definedName>
    <definedName name="dzdfr" localSheetId="0" hidden="1">{#N/A,#N/A,FALSE,"Plan1";#N/A,#N/A,FALSE,"Plan2"}</definedName>
    <definedName name="dzdfr" hidden="1">{#N/A,#N/A,FALSE,"Plan1";#N/A,#N/A,FALSE,"Plan2"}</definedName>
    <definedName name="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 hidden="1">{TRUE,TRUE,-1.25,-15.5,604.5,366.75,FALSE,FALSE,TRUE,TRUE,0,1,#N/A,1,#N/A,9.0125,24.4117647058824,1,FALSE,FALSE,3,TRUE,1,FALSE,100,"Swvu.PLANILHA2.","ACwvu.PLANILHA2.",#N/A,FALSE,FALSE,0.787401575,0.34,0.46,0.5,1,"","",FALSE,FALSE,FALSE,FALSE,1,#N/A,1,1,FALSE,FALSE,#N/A,#N/A,FALSE,FALSE,FALSE,9,65532,65532,FALSE,FALSE,TRUE,TRUE,TRUE}</definedName>
    <definedName name="ea" localSheetId="3">#REF!</definedName>
    <definedName name="ea" localSheetId="4">#REF!</definedName>
    <definedName name="ea" localSheetId="8">#REF!</definedName>
    <definedName name="ea" localSheetId="2">#REF!</definedName>
    <definedName name="ea" localSheetId="9">#REF!</definedName>
    <definedName name="ea" localSheetId="13">#REF!</definedName>
    <definedName name="ea" localSheetId="0">#REF!</definedName>
    <definedName name="ea">#REF!</definedName>
    <definedName name="EC"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 localSheetId="3" hidden="1">{#N/A,#N/A,FALSE,"F-01"}</definedName>
    <definedName name="ECEW" localSheetId="8" hidden="1">{#N/A,#N/A,FALSE,"F-01"}</definedName>
    <definedName name="ECEW" localSheetId="2" hidden="1">{#N/A,#N/A,FALSE,"F-01"}</definedName>
    <definedName name="ECEW" localSheetId="9" hidden="1">{#N/A,#N/A,FALSE,"F-01"}</definedName>
    <definedName name="ECEW" localSheetId="13" hidden="1">{#N/A,#N/A,FALSE,"F-01"}</definedName>
    <definedName name="ECEW" localSheetId="0" hidden="1">{#N/A,#N/A,FALSE,"F-01"}</definedName>
    <definedName name="ECEW" hidden="1">{#N/A,#N/A,FALSE,"F-01"}</definedName>
    <definedName name="ECEW_1" localSheetId="3" hidden="1">{#N/A,#N/A,FALSE,"F-01"}</definedName>
    <definedName name="ECEW_1" localSheetId="8" hidden="1">{#N/A,#N/A,FALSE,"F-01"}</definedName>
    <definedName name="ECEW_1" localSheetId="2" hidden="1">{#N/A,#N/A,FALSE,"F-01"}</definedName>
    <definedName name="ECEW_1" localSheetId="9" hidden="1">{#N/A,#N/A,FALSE,"F-01"}</definedName>
    <definedName name="ECEW_1" localSheetId="13" hidden="1">{#N/A,#N/A,FALSE,"F-01"}</definedName>
    <definedName name="ECEW_1" localSheetId="0" hidden="1">{#N/A,#N/A,FALSE,"F-01"}</definedName>
    <definedName name="ECEW_1" hidden="1">{#N/A,#N/A,FALSE,"F-01"}</definedName>
    <definedName name="echart31" localSheetId="3" hidden="1">#REF!</definedName>
    <definedName name="echart31" localSheetId="8" hidden="1">#REF!</definedName>
    <definedName name="echart31" localSheetId="2" hidden="1">#REF!</definedName>
    <definedName name="echart31" localSheetId="9" hidden="1">#REF!</definedName>
    <definedName name="echart31" localSheetId="13" hidden="1">#REF!</definedName>
    <definedName name="echart31" localSheetId="0" hidden="1">#REF!</definedName>
    <definedName name="echart31" hidden="1">#REF!</definedName>
    <definedName name="EcoPark" localSheetId="3">#REF!</definedName>
    <definedName name="EcoPark" localSheetId="8">#REF!</definedName>
    <definedName name="EcoPark" localSheetId="2">#REF!</definedName>
    <definedName name="EcoPark" localSheetId="9">#REF!</definedName>
    <definedName name="EcoPark" localSheetId="13">#REF!</definedName>
    <definedName name="EcoPark">#REF!</definedName>
    <definedName name="ECS"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 localSheetId="3" hidden="1">{#N/A,#N/A,FALSE,"Plan1";#N/A,#N/A,FALSE,"Plan2"}</definedName>
    <definedName name="EDE" localSheetId="8" hidden="1">{#N/A,#N/A,FALSE,"Plan1";#N/A,#N/A,FALSE,"Plan2"}</definedName>
    <definedName name="EDE" localSheetId="2" hidden="1">{#N/A,#N/A,FALSE,"Plan1";#N/A,#N/A,FALSE,"Plan2"}</definedName>
    <definedName name="EDE" localSheetId="9" hidden="1">{#N/A,#N/A,FALSE,"Plan1";#N/A,#N/A,FALSE,"Plan2"}</definedName>
    <definedName name="EDE" localSheetId="13" hidden="1">{#N/A,#N/A,FALSE,"Plan1";#N/A,#N/A,FALSE,"Plan2"}</definedName>
    <definedName name="EDE" localSheetId="0" hidden="1">{#N/A,#N/A,FALSE,"Plan1";#N/A,#N/A,FALSE,"Plan2"}</definedName>
    <definedName name="EDE" hidden="1">{#N/A,#N/A,FALSE,"Plan1";#N/A,#N/A,FALSE,"Plan2"}</definedName>
    <definedName name="ee" localSheetId="3">#REF!</definedName>
    <definedName name="ee" localSheetId="2">#REF!</definedName>
    <definedName name="ee">#REF!</definedName>
    <definedName name="eee" localSheetId="5">{#N/A,#N/A,FALSE,"ET-CAPA";#N/A,#N/A,FALSE,"ET-PAG1";#N/A,#N/A,FALSE,"ET-PAG2";#N/A,#N/A,FALSE,"ET-PAG3";#N/A,#N/A,FALSE,"ET-PAG4";#N/A,#N/A,FALSE,"ET-PAG5"}</definedName>
    <definedName name="eee" localSheetId="3" hidden="1">{#N/A,#N/A,FALSE,"ET-CAPA";#N/A,#N/A,FALSE,"ET-PAG1";#N/A,#N/A,FALSE,"ET-PAG2";#N/A,#N/A,FALSE,"ET-PAG3";#N/A,#N/A,FALSE,"ET-PAG4";#N/A,#N/A,FALSE,"ET-PAG5"}</definedName>
    <definedName name="eee" localSheetId="4">{#N/A,#N/A,FALSE,"ET-CAPA";#N/A,#N/A,FALSE,"ET-PAG1";#N/A,#N/A,FALSE,"ET-PAG2";#N/A,#N/A,FALSE,"ET-PAG3";#N/A,#N/A,FALSE,"ET-PAG4";#N/A,#N/A,FALSE,"ET-PAG5"}</definedName>
    <definedName name="eee" localSheetId="8" hidden="1">{#N/A,#N/A,FALSE,"ET-CAPA";#N/A,#N/A,FALSE,"ET-PAG1";#N/A,#N/A,FALSE,"ET-PAG2";#N/A,#N/A,FALSE,"ET-PAG3";#N/A,#N/A,FALSE,"ET-PAG4";#N/A,#N/A,FALSE,"ET-PAG5"}</definedName>
    <definedName name="eee" localSheetId="2" hidden="1">{#N/A,#N/A,FALSE,"ET-CAPA";#N/A,#N/A,FALSE,"ET-PAG1";#N/A,#N/A,FALSE,"ET-PAG2";#N/A,#N/A,FALSE,"ET-PAG3";#N/A,#N/A,FALSE,"ET-PAG4";#N/A,#N/A,FALSE,"ET-PAG5"}</definedName>
    <definedName name="eee" localSheetId="9" hidden="1">{#N/A,#N/A,FALSE,"ET-CAPA";#N/A,#N/A,FALSE,"ET-PAG1";#N/A,#N/A,FALSE,"ET-PAG2";#N/A,#N/A,FALSE,"ET-PAG3";#N/A,#N/A,FALSE,"ET-PAG4";#N/A,#N/A,FALSE,"ET-PAG5"}</definedName>
    <definedName name="eee" localSheetId="13" hidden="1">{#N/A,#N/A,FALSE,"ET-CAPA";#N/A,#N/A,FALSE,"ET-PAG1";#N/A,#N/A,FALSE,"ET-PAG2";#N/A,#N/A,FALSE,"ET-PAG3";#N/A,#N/A,FALSE,"ET-PAG4";#N/A,#N/A,FALSE,"ET-PAG5"}</definedName>
    <definedName name="eee" localSheetId="0" hidden="1">{#N/A,#N/A,FALSE,"ET-CAPA";#N/A,#N/A,FALSE,"ET-PAG1";#N/A,#N/A,FALSE,"ET-PAG2";#N/A,#N/A,FALSE,"ET-PAG3";#N/A,#N/A,FALSE,"ET-PAG4";#N/A,#N/A,FALSE,"ET-PAG5"}</definedName>
    <definedName name="eee">{#N/A,#N/A,FALSE,"ET-CAPA";#N/A,#N/A,FALSE,"ET-PAG1";#N/A,#N/A,FALSE,"ET-PAG2";#N/A,#N/A,FALSE,"ET-PAG3";#N/A,#N/A,FALSE,"ET-PAG4";#N/A,#N/A,FALSE,"ET-PAG5"}</definedName>
    <definedName name="EF" localSheetId="3">#REF!</definedName>
    <definedName name="EF" localSheetId="2">#REF!</definedName>
    <definedName name="EF">#REF!</definedName>
    <definedName name="efestfr" localSheetId="3" hidden="1">{#N/A,#N/A,FALSE,"Plan1";#N/A,#N/A,FALSE,"Plan2"}</definedName>
    <definedName name="efestfr" localSheetId="8" hidden="1">{#N/A,#N/A,FALSE,"Plan1";#N/A,#N/A,FALSE,"Plan2"}</definedName>
    <definedName name="efestfr" localSheetId="2" hidden="1">{#N/A,#N/A,FALSE,"Plan1";#N/A,#N/A,FALSE,"Plan2"}</definedName>
    <definedName name="efestfr" localSheetId="9" hidden="1">{#N/A,#N/A,FALSE,"Plan1";#N/A,#N/A,FALSE,"Plan2"}</definedName>
    <definedName name="efestfr" localSheetId="13" hidden="1">{#N/A,#N/A,FALSE,"Plan1";#N/A,#N/A,FALSE,"Plan2"}</definedName>
    <definedName name="efestfr" localSheetId="0" hidden="1">{#N/A,#N/A,FALSE,"Plan1";#N/A,#N/A,FALSE,"Plan2"}</definedName>
    <definedName name="efestfr" hidden="1">{#N/A,#N/A,FALSE,"Plan1";#N/A,#N/A,FALSE,"Plan2"}</definedName>
    <definedName name="EFICIÊNCIA" localSheetId="3">#REF!</definedName>
    <definedName name="EFICIÊNCIA" localSheetId="2">#REF!</definedName>
    <definedName name="EFICIÊNCIA">#REF!</definedName>
    <definedName name="Eficiência1" localSheetId="3">#REF!</definedName>
    <definedName name="Eficiência1" localSheetId="2">#REF!</definedName>
    <definedName name="Eficiência1">#REF!</definedName>
    <definedName name="efrdrt" localSheetId="3" hidden="1">{#N/A,#N/A,FALSE,"Plan1";#N/A,#N/A,FALSE,"Plan2"}</definedName>
    <definedName name="efrdrt" localSheetId="8" hidden="1">{#N/A,#N/A,FALSE,"Plan1";#N/A,#N/A,FALSE,"Plan2"}</definedName>
    <definedName name="efrdrt" localSheetId="2" hidden="1">{#N/A,#N/A,FALSE,"Plan1";#N/A,#N/A,FALSE,"Plan2"}</definedName>
    <definedName name="efrdrt" localSheetId="9" hidden="1">{#N/A,#N/A,FALSE,"Plan1";#N/A,#N/A,FALSE,"Plan2"}</definedName>
    <definedName name="efrdrt" localSheetId="13" hidden="1">{#N/A,#N/A,FALSE,"Plan1";#N/A,#N/A,FALSE,"Plan2"}</definedName>
    <definedName name="efrdrt" localSheetId="0" hidden="1">{#N/A,#N/A,FALSE,"Plan1";#N/A,#N/A,FALSE,"Plan2"}</definedName>
    <definedName name="efrdrt" hidden="1">{#N/A,#N/A,FALSE,"Plan1";#N/A,#N/A,FALSE,"Plan2"}</definedName>
    <definedName name="efrg" localSheetId="3" hidden="1">{#N/A,#N/A,FALSE,"Plan1";#N/A,#N/A,FALSE,"Plan2"}</definedName>
    <definedName name="efrg" localSheetId="8" hidden="1">{#N/A,#N/A,FALSE,"Plan1";#N/A,#N/A,FALSE,"Plan2"}</definedName>
    <definedName name="efrg" localSheetId="2" hidden="1">{#N/A,#N/A,FALSE,"Plan1";#N/A,#N/A,FALSE,"Plan2"}</definedName>
    <definedName name="efrg" localSheetId="9" hidden="1">{#N/A,#N/A,FALSE,"Plan1";#N/A,#N/A,FALSE,"Plan2"}</definedName>
    <definedName name="efrg" localSheetId="13" hidden="1">{#N/A,#N/A,FALSE,"Plan1";#N/A,#N/A,FALSE,"Plan2"}</definedName>
    <definedName name="efrg" localSheetId="0" hidden="1">{#N/A,#N/A,FALSE,"Plan1";#N/A,#N/A,FALSE,"Plan2"}</definedName>
    <definedName name="efrg" hidden="1">{#N/A,#N/A,FALSE,"Plan1";#N/A,#N/A,FALSE,"Plan2"}</definedName>
    <definedName name="efsgfr" localSheetId="3" hidden="1">{#N/A,#N/A,FALSE,"Plan1";#N/A,#N/A,FALSE,"Plan2"}</definedName>
    <definedName name="efsgfr" localSheetId="8" hidden="1">{#N/A,#N/A,FALSE,"Plan1";#N/A,#N/A,FALSE,"Plan2"}</definedName>
    <definedName name="efsgfr" localSheetId="2" hidden="1">{#N/A,#N/A,FALSE,"Plan1";#N/A,#N/A,FALSE,"Plan2"}</definedName>
    <definedName name="efsgfr" localSheetId="9" hidden="1">{#N/A,#N/A,FALSE,"Plan1";#N/A,#N/A,FALSE,"Plan2"}</definedName>
    <definedName name="efsgfr" localSheetId="13" hidden="1">{#N/A,#N/A,FALSE,"Plan1";#N/A,#N/A,FALSE,"Plan2"}</definedName>
    <definedName name="efsgfr" localSheetId="0" hidden="1">{#N/A,#N/A,FALSE,"Plan1";#N/A,#N/A,FALSE,"Plan2"}</definedName>
    <definedName name="efsgfr" hidden="1">{#N/A,#N/A,FALSE,"Plan1";#N/A,#N/A,FALSE,"Plan2"}</definedName>
    <definedName name="eixo_x_fluxo_graf1" localSheetId="3">IFERROR(OFFSET(INDEX(#REF!,MATCH((INDEX(#REF!,MATCH(1,#REF!,0))),#REF!,0)),0,0,1,COUNTIF(#REF!,"&gt;=0")+COUNTIF(#REF!,"&lt;0")),0)</definedName>
    <definedName name="eixo_x_fluxo_graf1" localSheetId="8">IFERROR(OFFSET(INDEX(#REF!,MATCH((INDEX(#REF!,MATCH(1,#REF!,0))),#REF!,0)),0,0,1,COUNTIF(#REF!,"&gt;=0")+COUNTIF(#REF!,"&lt;0")),0)</definedName>
    <definedName name="eixo_x_fluxo_graf1" localSheetId="2">IFERROR(OFFSET(INDEX(#REF!,MATCH((INDEX(#REF!,MATCH(1,#REF!,0))),#REF!,0)),0,0,1,COUNTIF(#REF!,"&gt;=0")+COUNTIF(#REF!,"&lt;0")),0)</definedName>
    <definedName name="eixo_x_fluxo_graf1" localSheetId="9">IFERROR(OFFSET(INDEX(#REF!,MATCH((INDEX(#REF!,MATCH(1,#REF!,0))),#REF!,0)),0,0,1,COUNTIF(#REF!,"&gt;=0")+COUNTIF(#REF!,"&lt;0")),0)</definedName>
    <definedName name="eixo_x_fluxo_graf1" localSheetId="13">IFERROR(OFFSET(INDEX(#REF!,MATCH((INDEX(#REF!,MATCH(1,#REF!,0))),#REF!,0)),0,0,1,COUNTIF(#REF!,"&gt;=0")+COUNTIF(#REF!,"&lt;0")),0)</definedName>
    <definedName name="eixo_x_fluxo_graf1">IFERROR(OFFSET(INDEX(#REF!,MATCH((INDEX(#REF!,MATCH(1,#REF!,0))),#REF!,0)),0,0,1,COUNTIF(#REF!,"&gt;=0")+COUNTIF(#REF!,"&lt;0")),0)</definedName>
    <definedName name="eixo_x_graf2" localSheetId="3">IFERROR(OFFSET(INDEX(#REF!,MATCH((INDEX(#REF!,MATCH(1,#REF!,0))),#REF!,0)),0,0,1,COUNTIF(#REF!,"&gt;=0")+COUNTIF(#REF!,"&lt;0")),0)</definedName>
    <definedName name="eixo_x_graf2" localSheetId="8">IFERROR(OFFSET(INDEX(#REF!,MATCH((INDEX(#REF!,MATCH(1,#REF!,0))),#REF!,0)),0,0,1,COUNTIF(#REF!,"&gt;=0")+COUNTIF(#REF!,"&lt;0")),0)</definedName>
    <definedName name="eixo_x_graf2" localSheetId="2">IFERROR(OFFSET(INDEX(#REF!,MATCH((INDEX(#REF!,MATCH(1,#REF!,0))),#REF!,0)),0,0,1,COUNTIF(#REF!,"&gt;=0")+COUNTIF(#REF!,"&lt;0")),0)</definedName>
    <definedName name="eixo_x_graf2" localSheetId="9">IFERROR(OFFSET(INDEX(#REF!,MATCH((INDEX(#REF!,MATCH(1,#REF!,0))),#REF!,0)),0,0,1,COUNTIF(#REF!,"&gt;=0")+COUNTIF(#REF!,"&lt;0")),0)</definedName>
    <definedName name="eixo_x_graf2" localSheetId="13">IFERROR(OFFSET(INDEX(#REF!,MATCH((INDEX(#REF!,MATCH(1,#REF!,0))),#REF!,0)),0,0,1,COUNTIF(#REF!,"&gt;=0")+COUNTIF(#REF!,"&lt;0")),0)</definedName>
    <definedName name="eixo_x_graf2">IFERROR(OFFSET(INDEX(#REF!,MATCH((INDEX(#REF!,MATCH(1,#REF!,0))),#REF!,0)),0,0,1,COUNTIF(#REF!,"&gt;=0")+COUNTIF(#REF!,"&lt;0")),0)</definedName>
    <definedName name="eixo_x_graf3_distratos" localSheetId="3">#REF!</definedName>
    <definedName name="eixo_x_graf3_distratos" localSheetId="2">#REF!</definedName>
    <definedName name="eixo_x_graf3_distratos">#REF!</definedName>
    <definedName name="eixo_x_graf3_vendas" localSheetId="3">#REF!</definedName>
    <definedName name="eixo_x_graf3_vendas" localSheetId="2">#REF!</definedName>
    <definedName name="eixo_x_graf3_vendas">#REF!</definedName>
    <definedName name="eixo_y_cury_graf2" localSheetId="3">IFERROR(OFFSET(INDEX(#REF!,MATCH((INDEX(#REF!,MATCH(1,#REF!,0))),#REF!,0)),0,0,1,COUNTIF(#REF!,"&gt;=0")+COUNTIF(#REF!,"&lt;0")),0)</definedName>
    <definedName name="eixo_y_cury_graf2" localSheetId="8">IFERROR(OFFSET(INDEX(#REF!,MATCH((INDEX(#REF!,MATCH(1,#REF!,0))),#REF!,0)),0,0,1,COUNTIF(#REF!,"&gt;=0")+COUNTIF(#REF!,"&lt;0")),0)</definedName>
    <definedName name="eixo_y_cury_graf2" localSheetId="2">IFERROR(OFFSET(INDEX(#REF!,MATCH((INDEX(#REF!,MATCH(1,#REF!,0))),#REF!,0)),0,0,1,COUNTIF(#REF!,"&gt;=0")+COUNTIF(#REF!,"&lt;0")),0)</definedName>
    <definedName name="eixo_y_cury_graf2" localSheetId="9">IFERROR(OFFSET(INDEX(#REF!,MATCH((INDEX(#REF!,MATCH(1,#REF!,0))),#REF!,0)),0,0,1,COUNTIF(#REF!,"&gt;=0")+COUNTIF(#REF!,"&lt;0")),0)</definedName>
    <definedName name="eixo_y_cury_graf2" localSheetId="13">IFERROR(OFFSET(INDEX(#REF!,MATCH((INDEX(#REF!,MATCH(1,#REF!,0))),#REF!,0)),0,0,1,COUNTIF(#REF!,"&gt;=0")+COUNTIF(#REF!,"&lt;0")),0)</definedName>
    <definedName name="eixo_y_cury_graf2">IFERROR(OFFSET(INDEX(#REF!,MATCH((INDEX(#REF!,MATCH(1,#REF!,0))),#REF!,0)),0,0,1,COUNTIF(#REF!,"&gt;=0")+COUNTIF(#REF!,"&lt;0")),0)</definedName>
    <definedName name="eixo_y_fluxo_graf1" localSheetId="3">IFERROR(IF(#REF!="Nominal", OFFSET(INDEX(#REF!,MATCH((INDEX(#REF!,MATCH(1,#REF!,0))),#REF!,0)),0,0,1,COUNTIF(#REF!,"&gt;=0")+COUNTIF(#REF!,"&lt;0")), OFFSET(INDEX(#REF!,MATCH((INDEX(#REF!,MATCH(1,#REF!,0))),#REF!,0)),0,0,1,COUNTIF(#REF!,"&gt;=0")+COUNTIF(#REF!,"&lt;0"))),0)</definedName>
    <definedName name="eixo_y_fluxo_graf1" localSheetId="8">IFERROR(IF(#REF!="Nominal", OFFSET(INDEX(#REF!,MATCH((INDEX(#REF!,MATCH(1,#REF!,0))),#REF!,0)),0,0,1,COUNTIF(#REF!,"&gt;=0")+COUNTIF(#REF!,"&lt;0")), OFFSET(INDEX(#REF!,MATCH((INDEX(#REF!,MATCH(1,#REF!,0))),#REF!,0)),0,0,1,COUNTIF(#REF!,"&gt;=0")+COUNTIF(#REF!,"&lt;0"))),0)</definedName>
    <definedName name="eixo_y_fluxo_graf1" localSheetId="2">IFERROR(IF(#REF!="Nominal", OFFSET(INDEX(#REF!,MATCH((INDEX(#REF!,MATCH(1,#REF!,0))),#REF!,0)),0,0,1,COUNTIF(#REF!,"&gt;=0")+COUNTIF(#REF!,"&lt;0")), OFFSET(INDEX(#REF!,MATCH((INDEX(#REF!,MATCH(1,#REF!,0))),#REF!,0)),0,0,1,COUNTIF(#REF!,"&gt;=0")+COUNTIF(#REF!,"&lt;0"))),0)</definedName>
    <definedName name="eixo_y_fluxo_graf1" localSheetId="9">IFERROR(IF(#REF!="Nominal", OFFSET(INDEX(#REF!,MATCH((INDEX(#REF!,MATCH(1,#REF!,0))),#REF!,0)),0,0,1,COUNTIF(#REF!,"&gt;=0")+COUNTIF(#REF!,"&lt;0")), OFFSET(INDEX(#REF!,MATCH((INDEX(#REF!,MATCH(1,#REF!,0))),#REF!,0)),0,0,1,COUNTIF(#REF!,"&gt;=0")+COUNTIF(#REF!,"&lt;0"))),0)</definedName>
    <definedName name="eixo_y_fluxo_graf1" localSheetId="13">IFERROR(IF(#REF!="Nominal", OFFSET(INDEX(#REF!,MATCH((INDEX(#REF!,MATCH(1,#REF!,0))),#REF!,0)),0,0,1,COUNTIF(#REF!,"&gt;=0")+COUNTIF(#REF!,"&lt;0")), 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 localSheetId="3">IFERROR(IF(#REF!="Nominal", OFFSET(INDEX(#REF!,MATCH((INDEX(#REF!,MATCH(1,#REF!,0))),#REF!,0)),0,0,1,COUNTIF(#REF!,"&gt;=0")+COUNTIF(#REF!,"&lt;0")), OFFSET(INDEX(#REF!,MATCH((INDEX(#REF!,MATCH(1,#REF!,0))),#REF!,0)),0,0,1,COUNTIF(#REF!,"&gt;=0")+COUNTIF(#REF!,"&lt;0"))),0)</definedName>
    <definedName name="eixo_y_forecast_graf1" localSheetId="8">IFERROR(IF(#REF!="Nominal", OFFSET(INDEX(#REF!,MATCH((INDEX(#REF!,MATCH(1,#REF!,0))),#REF!,0)),0,0,1,COUNTIF(#REF!,"&gt;=0")+COUNTIF(#REF!,"&lt;0")), OFFSET(INDEX(#REF!,MATCH((INDEX(#REF!,MATCH(1,#REF!,0))),#REF!,0)),0,0,1,COUNTIF(#REF!,"&gt;=0")+COUNTIF(#REF!,"&lt;0"))),0)</definedName>
    <definedName name="eixo_y_forecast_graf1" localSheetId="2">IFERROR(IF(#REF!="Nominal", OFFSET(INDEX(#REF!,MATCH((INDEX(#REF!,MATCH(1,#REF!,0))),#REF!,0)),0,0,1,COUNTIF(#REF!,"&gt;=0")+COUNTIF(#REF!,"&lt;0")), OFFSET(INDEX(#REF!,MATCH((INDEX(#REF!,MATCH(1,#REF!,0))),#REF!,0)),0,0,1,COUNTIF(#REF!,"&gt;=0")+COUNTIF(#REF!,"&lt;0"))),0)</definedName>
    <definedName name="eixo_y_forecast_graf1" localSheetId="9">IFERROR(IF(#REF!="Nominal", OFFSET(INDEX(#REF!,MATCH((INDEX(#REF!,MATCH(1,#REF!,0))),#REF!,0)),0,0,1,COUNTIF(#REF!,"&gt;=0")+COUNTIF(#REF!,"&lt;0")), OFFSET(INDEX(#REF!,MATCH((INDEX(#REF!,MATCH(1,#REF!,0))),#REF!,0)),0,0,1,COUNTIF(#REF!,"&gt;=0")+COUNTIF(#REF!,"&lt;0"))),0)</definedName>
    <definedName name="eixo_y_forecast_graf1" localSheetId="13">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 localSheetId="3">IFERROR(IF(#REF!="Nominal", OFFSET(INDEX(#REF!,MATCH((INDEX(#REF!,MATCH(1,#REF!,0))),#REF!,0)),0,0,1,COUNTIF(#REF!,"&gt;=0")+COUNTIF(#REF!,"&lt;0")), OFFSET(INDEX(#REF!,MATCH((INDEX(#REF!,MATCH(1,#REF!,0))),#REF!,0)),0,0,1,COUNTIF(#REF!,"&gt;=0")+COUNTIF(#REF!,"&lt;0"))),0)</definedName>
    <definedName name="eixo_y_graf1_obrareal" localSheetId="2">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 localSheetId="3">IFERROR(IF(#REF!="Nominal", OFFSET(INDEX(#REF!,MATCH((INDEX(#REF!,MATCH(1,#REF!,0))),#REF!,0)),0,0,1,COUNTIF(#REF!,"&gt;=0")+COUNTIF(#REF!,"&lt;0")), OFFSET(INDEX(#REF!,MATCH((INDEX(#REF!,MATCH(1,#REF!,0))),#REF!,0)),0,0,1,COUNTIF(#REF!,"&gt;=0")+COUNTIF(#REF!,"&lt;0"))),0)</definedName>
    <definedName name="eixo_y_graf1_obraVL" localSheetId="2">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 localSheetId="3">#REF!</definedName>
    <definedName name="eixo_y_graf3" localSheetId="2">#REF!</definedName>
    <definedName name="eixo_y_graf3">#REF!</definedName>
    <definedName name="eixo_y_socio_graf2" localSheetId="3">IFERROR(OFFSET(INDEX(#REF!,MATCH((INDEX(#REF!,MATCH(1,#REF!,0))),#REF!,0)),0,0,1,COUNTIF(#REF!,"&gt;=0")+COUNTIF(#REF!,"&lt;0")),0)</definedName>
    <definedName name="eixo_y_socio_graf2" localSheetId="2">IFERROR(OFFSET(INDEX(#REF!,MATCH((INDEX(#REF!,MATCH(1,#REF!,0))),#REF!,0)),0,0,1,COUNTIF(#REF!,"&gt;=0")+COUNTIF(#REF!,"&lt;0")),0)</definedName>
    <definedName name="eixo_y_socio_graf2">IFERROR(OFFSET(INDEX(#REF!,MATCH((INDEX(#REF!,MATCH(1,#REF!,0))),#REF!,0)),0,0,1,COUNTIF(#REF!,"&gt;=0")+COUNTIF(#REF!,"&lt;0")),0)</definedName>
    <definedName name="eixo_y_viab_graf1" localSheetId="3">IFERROR(IF(#REF!="Nominal", OFFSET(INDEX(#REF!,MATCH((INDEX(#REF!,MATCH(1,#REF!,0))),#REF!,0)),0,0,1,COUNTIF(#REF!,"&gt;=0")+COUNTIF(#REF!,"&lt;0")), OFFSET(INDEX(#REF!,MATCH((INDEX(#REF!,MATCH(1,#REF!,0))),#REF!,0)),0,0,1,COUNTIF(#REF!,"&gt;=0")+COUNTIF(#REF!,"&lt;0"))),0)</definedName>
    <definedName name="eixo_y_viab_graf1" localSheetId="2">IFERROR(IF(#REF!="Nominal", OFFSET(INDEX(#REF!,MATCH((INDEX(#REF!,MATCH(1,#REF!,0))),#REF!,0)),0,0,1,COUNTIF(#REF!,"&gt;=0")+COUNTIF(#REF!,"&lt;0")), 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 localSheetId="3">#REF!</definedName>
    <definedName name="EM" localSheetId="2">#REF!</definedName>
    <definedName name="EM">#REF!</definedName>
    <definedName name="Empreend" localSheetId="3">#REF!</definedName>
    <definedName name="Empreend" localSheetId="2">#REF!</definedName>
    <definedName name="Empreend">#REF!</definedName>
    <definedName name="Empreendimentos" localSheetId="3">#REF!</definedName>
    <definedName name="Empreendimentos" localSheetId="2">#REF!</definedName>
    <definedName name="Empreendimentos">#REF!</definedName>
    <definedName name="empresas" localSheetId="2">#REF!</definedName>
    <definedName name="empresas">#REF!</definedName>
    <definedName name="encanador" localSheetId="2">#REF!</definedName>
    <definedName name="encanador">#REF!</definedName>
    <definedName name="EPI" localSheetId="2">#REF!</definedName>
    <definedName name="EPI">#REF!</definedName>
    <definedName name="EQUIP" localSheetId="2">#REF!</definedName>
    <definedName name="EQUIP">#REF!</definedName>
    <definedName name="equipamento" localSheetId="2">#REF!</definedName>
    <definedName name="equipamento">#REF!</definedName>
    <definedName name="ER" localSheetId="3" hidden="1">{#N/A,#N/A,FALSE,"GERAL";#N/A,#N/A,FALSE,"012-96";#N/A,#N/A,FALSE,"018-96";#N/A,#N/A,FALSE,"027-96";#N/A,#N/A,FALSE,"059-96";#N/A,#N/A,FALSE,"076-96";#N/A,#N/A,FALSE,"019-97";#N/A,#N/A,FALSE,"021-97";#N/A,#N/A,FALSE,"022-97";#N/A,#N/A,FALSE,"028-97"}</definedName>
    <definedName name="ER" localSheetId="8" hidden="1">{#N/A,#N/A,FALSE,"GERAL";#N/A,#N/A,FALSE,"012-96";#N/A,#N/A,FALSE,"018-96";#N/A,#N/A,FALSE,"027-96";#N/A,#N/A,FALSE,"059-96";#N/A,#N/A,FALSE,"076-96";#N/A,#N/A,FALSE,"019-97";#N/A,#N/A,FALSE,"021-97";#N/A,#N/A,FALSE,"022-97";#N/A,#N/A,FALSE,"028-97"}</definedName>
    <definedName name="ER" localSheetId="2" hidden="1">{#N/A,#N/A,FALSE,"GERAL";#N/A,#N/A,FALSE,"012-96";#N/A,#N/A,FALSE,"018-96";#N/A,#N/A,FALSE,"027-96";#N/A,#N/A,FALSE,"059-96";#N/A,#N/A,FALSE,"076-96";#N/A,#N/A,FALSE,"019-97";#N/A,#N/A,FALSE,"021-97";#N/A,#N/A,FALSE,"022-97";#N/A,#N/A,FALSE,"028-97"}</definedName>
    <definedName name="ER" localSheetId="9" hidden="1">{#N/A,#N/A,FALSE,"GERAL";#N/A,#N/A,FALSE,"012-96";#N/A,#N/A,FALSE,"018-96";#N/A,#N/A,FALSE,"027-96";#N/A,#N/A,FALSE,"059-96";#N/A,#N/A,FALSE,"076-96";#N/A,#N/A,FALSE,"019-97";#N/A,#N/A,FALSE,"021-97";#N/A,#N/A,FALSE,"022-97";#N/A,#N/A,FALSE,"028-97"}</definedName>
    <definedName name="ER" localSheetId="13" hidden="1">{#N/A,#N/A,FALSE,"GERAL";#N/A,#N/A,FALSE,"012-96";#N/A,#N/A,FALSE,"018-96";#N/A,#N/A,FALSE,"027-96";#N/A,#N/A,FALSE,"059-96";#N/A,#N/A,FALSE,"076-96";#N/A,#N/A,FALSE,"019-97";#N/A,#N/A,FALSE,"021-97";#N/A,#N/A,FALSE,"022-97";#N/A,#N/A,FALSE,"028-97"}</definedName>
    <definedName name="ER" localSheetId="0" hidden="1">{#N/A,#N/A,FALSE,"GERAL";#N/A,#N/A,FALSE,"012-96";#N/A,#N/A,FALSE,"018-96";#N/A,#N/A,FALSE,"027-96";#N/A,#N/A,FALSE,"059-96";#N/A,#N/A,FALSE,"076-96";#N/A,#N/A,FALSE,"019-97";#N/A,#N/A,FALSE,"021-97";#N/A,#N/A,FALSE,"022-97";#N/A,#N/A,FALSE,"028-97"}</definedName>
    <definedName name="ER" hidden="1">{#N/A,#N/A,FALSE,"GERAL";#N/A,#N/A,FALSE,"012-96";#N/A,#N/A,FALSE,"018-96";#N/A,#N/A,FALSE,"027-96";#N/A,#N/A,FALSE,"059-96";#N/A,#N/A,FALSE,"076-96";#N/A,#N/A,FALSE,"019-97";#N/A,#N/A,FALSE,"021-97";#N/A,#N/A,FALSE,"022-97";#N/A,#N/A,FALSE,"028-97"}</definedName>
    <definedName name="ergerg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ergerger" hidden="1">{TRUE,TRUE,-1.25,-15.5,604.5,366.75,FALSE,FALSE,TRUE,TRUE,0,1,#N/A,1,#N/A,9.0125,24.4117647058824,1,FALSE,FALSE,3,TRUE,1,FALSE,100,"Swvu.PLANILHA2.","ACwvu.PLANILHA2.",#N/A,FALSE,FALSE,0.787401575,0.34,0.46,0.5,1,"","",FALSE,FALSE,FALSE,FALSE,1,#N/A,1,1,FALSE,FALSE,#N/A,#N/A,FALSE,FALSE,FALSE,9,65532,65532,FALSE,FALSE,TRUE,TRUE,TRUE}</definedName>
    <definedName name="ergfhyu" localSheetId="3" hidden="1">{#N/A,#N/A,FALSE,"Plan1";#N/A,#N/A,FALSE,"Plan2"}</definedName>
    <definedName name="ergfhyu" localSheetId="8" hidden="1">{#N/A,#N/A,FALSE,"Plan1";#N/A,#N/A,FALSE,"Plan2"}</definedName>
    <definedName name="ergfhyu" localSheetId="2" hidden="1">{#N/A,#N/A,FALSE,"Plan1";#N/A,#N/A,FALSE,"Plan2"}</definedName>
    <definedName name="ergfhyu" localSheetId="9" hidden="1">{#N/A,#N/A,FALSE,"Plan1";#N/A,#N/A,FALSE,"Plan2"}</definedName>
    <definedName name="ergfhyu" localSheetId="13" hidden="1">{#N/A,#N/A,FALSE,"Plan1";#N/A,#N/A,FALSE,"Plan2"}</definedName>
    <definedName name="ergfhyu" localSheetId="0" hidden="1">{#N/A,#N/A,FALSE,"Plan1";#N/A,#N/A,FALSE,"Plan2"}</definedName>
    <definedName name="ergfhyu" hidden="1">{#N/A,#N/A,FALSE,"Plan1";#N/A,#N/A,FALSE,"Plan2"}</definedName>
    <definedName name="erne_cdi" localSheetId="3">#REF!</definedName>
    <definedName name="erne_cdi" localSheetId="2">#REF!</definedName>
    <definedName name="erne_cdi">#REF!</definedName>
    <definedName name="erne_hist" localSheetId="3">#REF!</definedName>
    <definedName name="erne_hist" localSheetId="2">#REF!</definedName>
    <definedName name="erne_hist">#REF!</definedName>
    <definedName name="erne_uss" localSheetId="3">#REF!</definedName>
    <definedName name="erne_uss" localSheetId="2">#REF!</definedName>
    <definedName name="erne_uss">#REF!</definedName>
    <definedName name="erte" localSheetId="0" hidden="1">#REF!</definedName>
    <definedName name="erte" hidden="1">#REF!</definedName>
    <definedName name="ESGFDSFD" localSheetId="3" hidden="1">{#N/A,#N/A,FALSE,"Plan1";#N/A,#N/A,FALSE,"Plan2"}</definedName>
    <definedName name="ESGFDSFD" localSheetId="8" hidden="1">{#N/A,#N/A,FALSE,"Plan1";#N/A,#N/A,FALSE,"Plan2"}</definedName>
    <definedName name="ESGFDSFD" localSheetId="2" hidden="1">{#N/A,#N/A,FALSE,"Plan1";#N/A,#N/A,FALSE,"Plan2"}</definedName>
    <definedName name="ESGFDSFD" localSheetId="9" hidden="1">{#N/A,#N/A,FALSE,"Plan1";#N/A,#N/A,FALSE,"Plan2"}</definedName>
    <definedName name="ESGFDSFD" localSheetId="13" hidden="1">{#N/A,#N/A,FALSE,"Plan1";#N/A,#N/A,FALSE,"Plan2"}</definedName>
    <definedName name="ESGFDSFD" localSheetId="0" hidden="1">{#N/A,#N/A,FALSE,"Plan1";#N/A,#N/A,FALSE,"Plan2"}</definedName>
    <definedName name="ESGFDSFD" hidden="1">{#N/A,#N/A,FALSE,"Plan1";#N/A,#N/A,FALSE,"Plan2"}</definedName>
    <definedName name="esp" localSheetId="3">#REF!</definedName>
    <definedName name="esp" localSheetId="2">#REF!</definedName>
    <definedName name="esp">#REF!</definedName>
    <definedName name="ESPESSURA" localSheetId="3">#REF!</definedName>
    <definedName name="ESPESSURA" localSheetId="2">#REF!</definedName>
    <definedName name="ESPESSURA">#REF!</definedName>
    <definedName name="estaca" localSheetId="3">#REF!</definedName>
    <definedName name="estaca" localSheetId="2">#REF!</definedName>
    <definedName name="estaca">#REF!</definedName>
    <definedName name="estaca3" localSheetId="2">#REF!</definedName>
    <definedName name="estaca3">#REF!</definedName>
    <definedName name="ESTADO" localSheetId="2">#REF!</definedName>
    <definedName name="ESTADO">#REF!</definedName>
    <definedName name="estados" localSheetId="2">#REF!</definedName>
    <definedName name="estados">#REF!</definedName>
    <definedName name="estagiário" localSheetId="2">#REF!</definedName>
    <definedName name="estagiário">#REF!</definedName>
    <definedName name="ESTOQUE" localSheetId="2">#REF!</definedName>
    <definedName name="ESTOQUE">#REF!</definedName>
    <definedName name="Etq_final" localSheetId="2">#REF!</definedName>
    <definedName name="Etq_final">#REF!</definedName>
    <definedName name="EU" localSheetId="3" hidden="1">{#N/A,#N/A,FALSE,"Plan1";#N/A,#N/A,FALSE,"Plan2"}</definedName>
    <definedName name="EU" localSheetId="8" hidden="1">{#N/A,#N/A,FALSE,"Plan1";#N/A,#N/A,FALSE,"Plan2"}</definedName>
    <definedName name="EU" localSheetId="2" hidden="1">{#N/A,#N/A,FALSE,"Plan1";#N/A,#N/A,FALSE,"Plan2"}</definedName>
    <definedName name="EU" localSheetId="9" hidden="1">{#N/A,#N/A,FALSE,"Plan1";#N/A,#N/A,FALSE,"Plan2"}</definedName>
    <definedName name="EU" localSheetId="13" hidden="1">{#N/A,#N/A,FALSE,"Plan1";#N/A,#N/A,FALSE,"Plan2"}</definedName>
    <definedName name="EU" localSheetId="0" hidden="1">{#N/A,#N/A,FALSE,"Plan1";#N/A,#N/A,FALSE,"Plan2"}</definedName>
    <definedName name="EU" hidden="1">{#N/A,#N/A,FALSE,"Plan1";#N/A,#N/A,FALSE,"Plan2"}</definedName>
    <definedName name="EV__LASTREFTIME__" hidden="1">39965.7223611111</definedName>
    <definedName name="EVL" localSheetId="3" hidden="1">{"Econ Consolidado",#N/A,FALSE,"Econ Consol";"Fluxo de Caixa",#N/A,FALSE,"Fluxo Caixa";"Investimentos",#N/A,FALSE,"Investimentos"}</definedName>
    <definedName name="EVL" localSheetId="8" hidden="1">{"Econ Consolidado",#N/A,FALSE,"Econ Consol";"Fluxo de Caixa",#N/A,FALSE,"Fluxo Caixa";"Investimentos",#N/A,FALSE,"Investimentos"}</definedName>
    <definedName name="EVL" localSheetId="2" hidden="1">{"Econ Consolidado",#N/A,FALSE,"Econ Consol";"Fluxo de Caixa",#N/A,FALSE,"Fluxo Caixa";"Investimentos",#N/A,FALSE,"Investimentos"}</definedName>
    <definedName name="EVL" localSheetId="9" hidden="1">{"Econ Consolidado",#N/A,FALSE,"Econ Consol";"Fluxo de Caixa",#N/A,FALSE,"Fluxo Caixa";"Investimentos",#N/A,FALSE,"Investimentos"}</definedName>
    <definedName name="EVL" localSheetId="13" hidden="1">{"Econ Consolidado",#N/A,FALSE,"Econ Consol";"Fluxo de Caixa",#N/A,FALSE,"Fluxo Caixa";"Investimentos",#N/A,FALSE,"Investimentos"}</definedName>
    <definedName name="EVL" localSheetId="0" hidden="1">{"Econ Consolidado",#N/A,FALSE,"Econ Consol";"Fluxo de Caixa",#N/A,FALSE,"Fluxo Caixa";"Investimentos",#N/A,FALSE,"Investimentos"}</definedName>
    <definedName name="EVL" hidden="1">{"Econ Consolidado",#N/A,FALSE,"Econ Consol";"Fluxo de Caixa",#N/A,FALSE,"Fluxo Caixa";"Investimentos",#N/A,FALSE,"Investimentos"}</definedName>
    <definedName name="Evol." localSheetId="3" hidden="1">{"Econ Consolidado",#N/A,FALSE,"Econ Consol";"Fluxo de Caixa",#N/A,FALSE,"Fluxo Caixa";"Investimentos",#N/A,FALSE,"Investimentos"}</definedName>
    <definedName name="Evol." localSheetId="8" hidden="1">{"Econ Consolidado",#N/A,FALSE,"Econ Consol";"Fluxo de Caixa",#N/A,FALSE,"Fluxo Caixa";"Investimentos",#N/A,FALSE,"Investimentos"}</definedName>
    <definedName name="Evol." localSheetId="2" hidden="1">{"Econ Consolidado",#N/A,FALSE,"Econ Consol";"Fluxo de Caixa",#N/A,FALSE,"Fluxo Caixa";"Investimentos",#N/A,FALSE,"Investimentos"}</definedName>
    <definedName name="Evol." localSheetId="9" hidden="1">{"Econ Consolidado",#N/A,FALSE,"Econ Consol";"Fluxo de Caixa",#N/A,FALSE,"Fluxo Caixa";"Investimentos",#N/A,FALSE,"Investimentos"}</definedName>
    <definedName name="Evol." localSheetId="13" hidden="1">{"Econ Consolidado",#N/A,FALSE,"Econ Consol";"Fluxo de Caixa",#N/A,FALSE,"Fluxo Caixa";"Investimentos",#N/A,FALSE,"Investimentos"}</definedName>
    <definedName name="Evol." localSheetId="0" hidden="1">{"Econ Consolidado",#N/A,FALSE,"Econ Consol";"Fluxo de Caixa",#N/A,FALSE,"Fluxo Caixa";"Investimentos",#N/A,FALSE,"Investimentos"}</definedName>
    <definedName name="Evol." hidden="1">{"Econ Consolidado",#N/A,FALSE,"Econ Consol";"Fluxo de Caixa",#N/A,FALSE,"Fluxo Caixa";"Investimentos",#N/A,FALSE,"Investimentos"}</definedName>
    <definedName name="ewfr" localSheetId="3" hidden="1">{#N/A,#N/A,FALSE,"Plan1";#N/A,#N/A,FALSE,"Plan2"}</definedName>
    <definedName name="ewfr" localSheetId="8" hidden="1">{#N/A,#N/A,FALSE,"Plan1";#N/A,#N/A,FALSE,"Plan2"}</definedName>
    <definedName name="ewfr" localSheetId="2" hidden="1">{#N/A,#N/A,FALSE,"Plan1";#N/A,#N/A,FALSE,"Plan2"}</definedName>
    <definedName name="ewfr" localSheetId="9" hidden="1">{#N/A,#N/A,FALSE,"Plan1";#N/A,#N/A,FALSE,"Plan2"}</definedName>
    <definedName name="ewfr" localSheetId="13" hidden="1">{#N/A,#N/A,FALSE,"Plan1";#N/A,#N/A,FALSE,"Plan2"}</definedName>
    <definedName name="ewfr" localSheetId="0" hidden="1">{#N/A,#N/A,FALSE,"Plan1";#N/A,#N/A,FALSE,"Plan2"}</definedName>
    <definedName name="ewfr" hidden="1">{#N/A,#N/A,FALSE,"Plan1";#N/A,#N/A,FALSE,"Plan2"}</definedName>
    <definedName name="exce_cdi" localSheetId="3">#REF!</definedName>
    <definedName name="exce_cdi" localSheetId="2">#REF!</definedName>
    <definedName name="exce_cdi">#REF!</definedName>
    <definedName name="exce_hist" localSheetId="3">#REF!</definedName>
    <definedName name="exce_hist" localSheetId="2">#REF!</definedName>
    <definedName name="exce_hist">#REF!</definedName>
    <definedName name="exce_uss" localSheetId="3">#REF!</definedName>
    <definedName name="exce_uss" localSheetId="2">#REF!</definedName>
    <definedName name="exce_uss">#REF!</definedName>
    <definedName name="Excel_BuiltIn__FilterDatabase_1" localSheetId="2">#REF!</definedName>
    <definedName name="Excel_BuiltIn__FilterDatabase_1">#REF!</definedName>
    <definedName name="Excel_BuiltIn__FilterDatabase_1_1" localSheetId="2">#REF!</definedName>
    <definedName name="Excel_BuiltIn__FilterDatabase_1_1">#REF!</definedName>
    <definedName name="Excel_BuiltIn__FilterDatabase_6" localSheetId="2">#REF!</definedName>
    <definedName name="Excel_BuiltIn__FilterDatabase_6">#REF!</definedName>
    <definedName name="Excel_BuiltIn_Print_Area_0" localSheetId="2">#REF!</definedName>
    <definedName name="Excel_BuiltIn_Print_Area_0">#REF!</definedName>
    <definedName name="Excel_BuiltIn_Print_Area_1_1" localSheetId="2">#REF!</definedName>
    <definedName name="Excel_BuiltIn_Print_Area_1_1">#REF!</definedName>
    <definedName name="Excel_BuiltIn_Print_Titles_1_1_1" localSheetId="2">#REF!</definedName>
    <definedName name="Excel_BuiltIn_Print_Titles_1_1_1">#REF!</definedName>
    <definedName name="Excel_BuiltIn_Print_Titles_1_1_4" localSheetId="2">#REF!</definedName>
    <definedName name="Excel_BuiltIn_Print_Titles_1_1_4">#REF!</definedName>
    <definedName name="Excel_BuiltIn_Print_Titles_1_1_5" localSheetId="2">#REF!</definedName>
    <definedName name="Excel_BuiltIn_Print_Titles_1_1_5">#REF!</definedName>
    <definedName name="Exrate" localSheetId="2">#REF!</definedName>
    <definedName name="Exrate">#REF!</definedName>
    <definedName name="eyruieyteta" localSheetId="3" hidden="1">{#N/A,#N/A,FALSE,"Plan1";#N/A,#N/A,FALSE,"Plan2"}</definedName>
    <definedName name="eyruieyteta" localSheetId="8" hidden="1">{#N/A,#N/A,FALSE,"Plan1";#N/A,#N/A,FALSE,"Plan2"}</definedName>
    <definedName name="eyruieyteta" localSheetId="2" hidden="1">{#N/A,#N/A,FALSE,"Plan1";#N/A,#N/A,FALSE,"Plan2"}</definedName>
    <definedName name="eyruieyteta" localSheetId="9" hidden="1">{#N/A,#N/A,FALSE,"Plan1";#N/A,#N/A,FALSE,"Plan2"}</definedName>
    <definedName name="eyruieyteta" localSheetId="13" hidden="1">{#N/A,#N/A,FALSE,"Plan1";#N/A,#N/A,FALSE,"Plan2"}</definedName>
    <definedName name="eyruieyteta" localSheetId="0" hidden="1">{#N/A,#N/A,FALSE,"Plan1";#N/A,#N/A,FALSE,"Plan2"}</definedName>
    <definedName name="eyruieyteta" hidden="1">{#N/A,#N/A,FALSE,"Plan1";#N/A,#N/A,FALSE,"Plan2"}</definedName>
    <definedName name="f" localSheetId="3" hidden="1">{#N/A,#N/A,FALSE,"Plan1";#N/A,#N/A,FALSE,"Plan2"}</definedName>
    <definedName name="f" localSheetId="8" hidden="1">{#N/A,#N/A,FALSE,"Plan1";#N/A,#N/A,FALSE,"Plan2"}</definedName>
    <definedName name="f" localSheetId="2">#REF!</definedName>
    <definedName name="f" localSheetId="9" hidden="1">{#N/A,#N/A,FALSE,"Plan1";#N/A,#N/A,FALSE,"Plan2"}</definedName>
    <definedName name="f" localSheetId="13" hidden="1">{#N/A,#N/A,FALSE,"Plan1";#N/A,#N/A,FALSE,"Plan2"}</definedName>
    <definedName name="f" localSheetId="0" hidden="1">{#N/A,#N/A,FALSE,"Plan1";#N/A,#N/A,FALSE,"Plan2"}</definedName>
    <definedName name="f" hidden="1">{#N/A,#N/A,FALSE,"Plan1";#N/A,#N/A,FALSE,"Plan2"}</definedName>
    <definedName name="FACULDADE" localSheetId="3">#REF!</definedName>
    <definedName name="FACULDADE" localSheetId="2">#REF!</definedName>
    <definedName name="FACULDADE">#REF!</definedName>
    <definedName name="FAL" localSheetId="3">#REF!</definedName>
    <definedName name="FAL" localSheetId="2">#REF!</definedName>
    <definedName name="FAL">#REF!</definedName>
    <definedName name="farialima" localSheetId="3">#REF!</definedName>
    <definedName name="farialima" localSheetId="2">#REF!</definedName>
    <definedName name="farialima">#REF!</definedName>
    <definedName name="FAS" localSheetId="3" hidden="1">{"'Total'!$A$1","'Total'!$A$3"}</definedName>
    <definedName name="FAS" localSheetId="8" hidden="1">{"'Total'!$A$1","'Total'!$A$3"}</definedName>
    <definedName name="FAS" localSheetId="2" hidden="1">{"'Total'!$A$1","'Total'!$A$3"}</definedName>
    <definedName name="FAS" localSheetId="9" hidden="1">{"'Total'!$A$1","'Total'!$A$3"}</definedName>
    <definedName name="FAS" localSheetId="13" hidden="1">{"'Total'!$A$1","'Total'!$A$3"}</definedName>
    <definedName name="FAS" localSheetId="0" hidden="1">{"'Total'!$A$1","'Total'!$A$3"}</definedName>
    <definedName name="FAS" hidden="1">{"'Total'!$A$1","'Total'!$A$3"}</definedName>
    <definedName name="fasfasf" localSheetId="3" hidden="1">{#N/A,#N/A,TRUE,"Quinzena 01 à 15-04-98 "}</definedName>
    <definedName name="fasfasf" localSheetId="8" hidden="1">{#N/A,#N/A,TRUE,"Quinzena 01 à 15-04-98 "}</definedName>
    <definedName name="fasfasf" localSheetId="2" hidden="1">{#N/A,#N/A,TRUE,"Quinzena 01 à 15-04-98 "}</definedName>
    <definedName name="fasfasf" localSheetId="9" hidden="1">{#N/A,#N/A,TRUE,"Quinzena 01 à 15-04-98 "}</definedName>
    <definedName name="fasfasf" localSheetId="13" hidden="1">{#N/A,#N/A,TRUE,"Quinzena 01 à 15-04-98 "}</definedName>
    <definedName name="fasfasf" localSheetId="0" hidden="1">{#N/A,#N/A,TRUE,"Quinzena 01 à 15-04-98 "}</definedName>
    <definedName name="fasfasf" hidden="1">{#N/A,#N/A,TRUE,"Quinzena 01 à 15-04-98 "}</definedName>
    <definedName name="FATOR_K" localSheetId="3">#REF!</definedName>
    <definedName name="FATOR_K" localSheetId="2">#REF!</definedName>
    <definedName name="FATOR_K">#REF!</definedName>
    <definedName name="FATORK" localSheetId="3">#REF!</definedName>
    <definedName name="FATORK" localSheetId="2">#REF!</definedName>
    <definedName name="FATORK">#REF!</definedName>
    <definedName name="FBancaria" localSheetId="3">#REF!</definedName>
    <definedName name="FBancaria" localSheetId="2">#REF!</definedName>
    <definedName name="FBancaria">#REF!</definedName>
    <definedName name="fchart31" localSheetId="0" hidden="1">#REF!</definedName>
    <definedName name="fchart31" hidden="1">#REF!</definedName>
    <definedName name="fddhght" localSheetId="3" hidden="1">{#N/A,#N/A,FALSE,"Plan1";#N/A,#N/A,FALSE,"Plan2"}</definedName>
    <definedName name="fddhght" localSheetId="8" hidden="1">{#N/A,#N/A,FALSE,"Plan1";#N/A,#N/A,FALSE,"Plan2"}</definedName>
    <definedName name="fddhght" localSheetId="2" hidden="1">{#N/A,#N/A,FALSE,"Plan1";#N/A,#N/A,FALSE,"Plan2"}</definedName>
    <definedName name="fddhght" localSheetId="9" hidden="1">{#N/A,#N/A,FALSE,"Plan1";#N/A,#N/A,FALSE,"Plan2"}</definedName>
    <definedName name="fddhght" localSheetId="13" hidden="1">{#N/A,#N/A,FALSE,"Plan1";#N/A,#N/A,FALSE,"Plan2"}</definedName>
    <definedName name="fddhght" localSheetId="0" hidden="1">{#N/A,#N/A,FALSE,"Plan1";#N/A,#N/A,FALSE,"Plan2"}</definedName>
    <definedName name="fddhght" hidden="1">{#N/A,#N/A,FALSE,"Plan1";#N/A,#N/A,FALSE,"Plan2"}</definedName>
    <definedName name="fdfgd" localSheetId="3" hidden="1">{#N/A,#N/A,FALSE,"Plan1";#N/A,#N/A,FALSE,"Plan2"}</definedName>
    <definedName name="fdfgd" localSheetId="8" hidden="1">{#N/A,#N/A,FALSE,"Plan1";#N/A,#N/A,FALSE,"Plan2"}</definedName>
    <definedName name="fdfgd" localSheetId="2" hidden="1">{#N/A,#N/A,FALSE,"Plan1";#N/A,#N/A,FALSE,"Plan2"}</definedName>
    <definedName name="fdfgd" localSheetId="9" hidden="1">{#N/A,#N/A,FALSE,"Plan1";#N/A,#N/A,FALSE,"Plan2"}</definedName>
    <definedName name="fdfgd" localSheetId="13" hidden="1">{#N/A,#N/A,FALSE,"Plan1";#N/A,#N/A,FALSE,"Plan2"}</definedName>
    <definedName name="fdfgd" localSheetId="0" hidden="1">{#N/A,#N/A,FALSE,"Plan1";#N/A,#N/A,FALSE,"Plan2"}</definedName>
    <definedName name="fdfgd" hidden="1">{#N/A,#N/A,FALSE,"Plan1";#N/A,#N/A,FALSE,"Plan2"}</definedName>
    <definedName name="fdfng" localSheetId="3" hidden="1">{#N/A,#N/A,FALSE,"GERAL";#N/A,#N/A,FALSE,"012-96";#N/A,#N/A,FALSE,"018-96";#N/A,#N/A,FALSE,"027-96";#N/A,#N/A,FALSE,"059-96";#N/A,#N/A,FALSE,"076-96";#N/A,#N/A,FALSE,"019-97";#N/A,#N/A,FALSE,"021-97";#N/A,#N/A,FALSE,"022-97";#N/A,#N/A,FALSE,"028-97"}</definedName>
    <definedName name="fdfng" localSheetId="8" hidden="1">{#N/A,#N/A,FALSE,"GERAL";#N/A,#N/A,FALSE,"012-96";#N/A,#N/A,FALSE,"018-96";#N/A,#N/A,FALSE,"027-96";#N/A,#N/A,FALSE,"059-96";#N/A,#N/A,FALSE,"076-96";#N/A,#N/A,FALSE,"019-97";#N/A,#N/A,FALSE,"021-97";#N/A,#N/A,FALSE,"022-97";#N/A,#N/A,FALSE,"028-97"}</definedName>
    <definedName name="fdfng" localSheetId="2" hidden="1">{#N/A,#N/A,FALSE,"GERAL";#N/A,#N/A,FALSE,"012-96";#N/A,#N/A,FALSE,"018-96";#N/A,#N/A,FALSE,"027-96";#N/A,#N/A,FALSE,"059-96";#N/A,#N/A,FALSE,"076-96";#N/A,#N/A,FALSE,"019-97";#N/A,#N/A,FALSE,"021-97";#N/A,#N/A,FALSE,"022-97";#N/A,#N/A,FALSE,"028-97"}</definedName>
    <definedName name="fdfng" localSheetId="9" hidden="1">{#N/A,#N/A,FALSE,"GERAL";#N/A,#N/A,FALSE,"012-96";#N/A,#N/A,FALSE,"018-96";#N/A,#N/A,FALSE,"027-96";#N/A,#N/A,FALSE,"059-96";#N/A,#N/A,FALSE,"076-96";#N/A,#N/A,FALSE,"019-97";#N/A,#N/A,FALSE,"021-97";#N/A,#N/A,FALSE,"022-97";#N/A,#N/A,FALSE,"028-97"}</definedName>
    <definedName name="fdfng" localSheetId="13" hidden="1">{#N/A,#N/A,FALSE,"GERAL";#N/A,#N/A,FALSE,"012-96";#N/A,#N/A,FALSE,"018-96";#N/A,#N/A,FALSE,"027-96";#N/A,#N/A,FALSE,"059-96";#N/A,#N/A,FALSE,"076-96";#N/A,#N/A,FALSE,"019-97";#N/A,#N/A,FALSE,"021-97";#N/A,#N/A,FALSE,"022-97";#N/A,#N/A,FALSE,"028-97"}</definedName>
    <definedName name="fdfng" localSheetId="0" hidden="1">{#N/A,#N/A,FALSE,"GERAL";#N/A,#N/A,FALSE,"012-96";#N/A,#N/A,FALSE,"018-96";#N/A,#N/A,FALSE,"027-96";#N/A,#N/A,FALSE,"059-96";#N/A,#N/A,FALSE,"076-96";#N/A,#N/A,FALSE,"019-97";#N/A,#N/A,FALSE,"021-97";#N/A,#N/A,FALSE,"022-97";#N/A,#N/A,FALSE,"028-97"}</definedName>
    <definedName name="fdfng" hidden="1">{#N/A,#N/A,FALSE,"GERAL";#N/A,#N/A,FALSE,"012-96";#N/A,#N/A,FALSE,"018-96";#N/A,#N/A,FALSE,"027-96";#N/A,#N/A,FALSE,"059-96";#N/A,#N/A,FALSE,"076-96";#N/A,#N/A,FALSE,"019-97";#N/A,#N/A,FALSE,"021-97";#N/A,#N/A,FALSE,"022-97";#N/A,#N/A,FALSE,"028-97"}</definedName>
    <definedName name="fdgaf" localSheetId="3" hidden="1">{#N/A,#N/A,FALSE,"Plan1";#N/A,#N/A,FALSE,"Plan2"}</definedName>
    <definedName name="fdgaf" localSheetId="8" hidden="1">{#N/A,#N/A,FALSE,"Plan1";#N/A,#N/A,FALSE,"Plan2"}</definedName>
    <definedName name="fdgaf" localSheetId="2" hidden="1">{#N/A,#N/A,FALSE,"Plan1";#N/A,#N/A,FALSE,"Plan2"}</definedName>
    <definedName name="fdgaf" localSheetId="9" hidden="1">{#N/A,#N/A,FALSE,"Plan1";#N/A,#N/A,FALSE,"Plan2"}</definedName>
    <definedName name="fdgaf" localSheetId="13" hidden="1">{#N/A,#N/A,FALSE,"Plan1";#N/A,#N/A,FALSE,"Plan2"}</definedName>
    <definedName name="fdgaf" localSheetId="0" hidden="1">{#N/A,#N/A,FALSE,"Plan1";#N/A,#N/A,FALSE,"Plan2"}</definedName>
    <definedName name="fdgaf" hidden="1">{#N/A,#N/A,FALSE,"Plan1";#N/A,#N/A,FALSE,"Plan2"}</definedName>
    <definedName name="fdgdf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dgdfg" hidden="1">{TRUE,TRUE,-1.25,-15.5,604.5,366.75,FALSE,FALSE,TRUE,TRUE,0,1,#N/A,1,#N/A,9.0125,24.4117647058824,1,FALSE,FALSE,3,TRUE,1,FALSE,100,"Swvu.PLANILHA2.","ACwvu.PLANILHA2.",#N/A,FALSE,FALSE,0.787401575,0.34,0.46,0.5,1,"","",FALSE,FALSE,FALSE,FALSE,1,#N/A,1,1,FALSE,FALSE,#N/A,#N/A,FALSE,FALSE,FALSE,9,65532,65532,FALSE,FALSE,TRUE,TRUE,TRUE}</definedName>
    <definedName name="FDGFDJHGZEDR" localSheetId="3" hidden="1">{#N/A,#N/A,FALSE,"Plan1";#N/A,#N/A,FALSE,"Plan2"}</definedName>
    <definedName name="FDGFDJHGZEDR" localSheetId="8" hidden="1">{#N/A,#N/A,FALSE,"Plan1";#N/A,#N/A,FALSE,"Plan2"}</definedName>
    <definedName name="FDGFDJHGZEDR" localSheetId="2" hidden="1">{#N/A,#N/A,FALSE,"Plan1";#N/A,#N/A,FALSE,"Plan2"}</definedName>
    <definedName name="FDGFDJHGZEDR" localSheetId="9" hidden="1">{#N/A,#N/A,FALSE,"Plan1";#N/A,#N/A,FALSE,"Plan2"}</definedName>
    <definedName name="FDGFDJHGZEDR" localSheetId="13" hidden="1">{#N/A,#N/A,FALSE,"Plan1";#N/A,#N/A,FALSE,"Plan2"}</definedName>
    <definedName name="FDGFDJHGZEDR" localSheetId="0" hidden="1">{#N/A,#N/A,FALSE,"Plan1";#N/A,#N/A,FALSE,"Plan2"}</definedName>
    <definedName name="FDGFDJHGZEDR" hidden="1">{#N/A,#N/A,FALSE,"Plan1";#N/A,#N/A,FALSE,"Plan2"}</definedName>
    <definedName name="fdgfyhygfuj" localSheetId="3" hidden="1">{#N/A,#N/A,FALSE,"Plan1";#N/A,#N/A,FALSE,"Plan2"}</definedName>
    <definedName name="fdgfyhygfuj" localSheetId="8" hidden="1">{#N/A,#N/A,FALSE,"Plan1";#N/A,#N/A,FALSE,"Plan2"}</definedName>
    <definedName name="fdgfyhygfuj" localSheetId="2" hidden="1">{#N/A,#N/A,FALSE,"Plan1";#N/A,#N/A,FALSE,"Plan2"}</definedName>
    <definedName name="fdgfyhygfuj" localSheetId="9" hidden="1">{#N/A,#N/A,FALSE,"Plan1";#N/A,#N/A,FALSE,"Plan2"}</definedName>
    <definedName name="fdgfyhygfuj" localSheetId="13" hidden="1">{#N/A,#N/A,FALSE,"Plan1";#N/A,#N/A,FALSE,"Plan2"}</definedName>
    <definedName name="fdgfyhygfuj" localSheetId="0" hidden="1">{#N/A,#N/A,FALSE,"Plan1";#N/A,#N/A,FALSE,"Plan2"}</definedName>
    <definedName name="fdgfyhygfuj" hidden="1">{#N/A,#N/A,FALSE,"Plan1";#N/A,#N/A,FALSE,"Plan2"}</definedName>
    <definedName name="fdhgfdf" localSheetId="3" hidden="1">{#N/A,#N/A,FALSE,"Plan1";#N/A,#N/A,FALSE,"Plan2"}</definedName>
    <definedName name="fdhgfdf" localSheetId="8" hidden="1">{#N/A,#N/A,FALSE,"Plan1";#N/A,#N/A,FALSE,"Plan2"}</definedName>
    <definedName name="fdhgfdf" localSheetId="2" hidden="1">{#N/A,#N/A,FALSE,"Plan1";#N/A,#N/A,FALSE,"Plan2"}</definedName>
    <definedName name="fdhgfdf" localSheetId="9" hidden="1">{#N/A,#N/A,FALSE,"Plan1";#N/A,#N/A,FALSE,"Plan2"}</definedName>
    <definedName name="fdhgfdf" localSheetId="13" hidden="1">{#N/A,#N/A,FALSE,"Plan1";#N/A,#N/A,FALSE,"Plan2"}</definedName>
    <definedName name="fdhgfdf" localSheetId="0" hidden="1">{#N/A,#N/A,FALSE,"Plan1";#N/A,#N/A,FALSE,"Plan2"}</definedName>
    <definedName name="fdhgfdf" hidden="1">{#N/A,#N/A,FALSE,"Plan1";#N/A,#N/A,FALSE,"Plan2"}</definedName>
    <definedName name="fdjfgdfjg" localSheetId="3" hidden="1">{#N/A,#N/A,FALSE,"Plan1";#N/A,#N/A,FALSE,"Plan2"}</definedName>
    <definedName name="fdjfgdfjg" localSheetId="8" hidden="1">{#N/A,#N/A,FALSE,"Plan1";#N/A,#N/A,FALSE,"Plan2"}</definedName>
    <definedName name="fdjfgdfjg" localSheetId="2" hidden="1">{#N/A,#N/A,FALSE,"Plan1";#N/A,#N/A,FALSE,"Plan2"}</definedName>
    <definedName name="fdjfgdfjg" localSheetId="9" hidden="1">{#N/A,#N/A,FALSE,"Plan1";#N/A,#N/A,FALSE,"Plan2"}</definedName>
    <definedName name="fdjfgdfjg" localSheetId="13" hidden="1">{#N/A,#N/A,FALSE,"Plan1";#N/A,#N/A,FALSE,"Plan2"}</definedName>
    <definedName name="fdjfgdfjg" localSheetId="0" hidden="1">{#N/A,#N/A,FALSE,"Plan1";#N/A,#N/A,FALSE,"Plan2"}</definedName>
    <definedName name="fdjfgdfjg" hidden="1">{#N/A,#N/A,FALSE,"Plan1";#N/A,#N/A,FALSE,"Plan2"}</definedName>
    <definedName name="fdjghkshtygt" localSheetId="3" hidden="1">{#N/A,#N/A,FALSE,"Plan1";#N/A,#N/A,FALSE,"Plan2"}</definedName>
    <definedName name="fdjghkshtygt" localSheetId="8" hidden="1">{#N/A,#N/A,FALSE,"Plan1";#N/A,#N/A,FALSE,"Plan2"}</definedName>
    <definedName name="fdjghkshtygt" localSheetId="2" hidden="1">{#N/A,#N/A,FALSE,"Plan1";#N/A,#N/A,FALSE,"Plan2"}</definedName>
    <definedName name="fdjghkshtygt" localSheetId="9" hidden="1">{#N/A,#N/A,FALSE,"Plan1";#N/A,#N/A,FALSE,"Plan2"}</definedName>
    <definedName name="fdjghkshtygt" localSheetId="13" hidden="1">{#N/A,#N/A,FALSE,"Plan1";#N/A,#N/A,FALSE,"Plan2"}</definedName>
    <definedName name="fdjghkshtygt" localSheetId="0" hidden="1">{#N/A,#N/A,FALSE,"Plan1";#N/A,#N/A,FALSE,"Plan2"}</definedName>
    <definedName name="fdjghkshtygt" hidden="1">{#N/A,#N/A,FALSE,"Plan1";#N/A,#N/A,FALSE,"Plan2"}</definedName>
    <definedName name="fdnhgf" localSheetId="3" hidden="1">{"'Estimativa de Lançamento-JAN'!$A$1:$AI$85"}</definedName>
    <definedName name="fdnhgf" localSheetId="8" hidden="1">{"'Estimativa de Lançamento-JAN'!$A$1:$AI$85"}</definedName>
    <definedName name="fdnhgf" localSheetId="2" hidden="1">{"'Estimativa de Lançamento-JAN'!$A$1:$AI$85"}</definedName>
    <definedName name="fdnhgf" localSheetId="9" hidden="1">{"'Estimativa de Lançamento-JAN'!$A$1:$AI$85"}</definedName>
    <definedName name="fdnhgf" localSheetId="13" hidden="1">{"'Estimativa de Lançamento-JAN'!$A$1:$AI$85"}</definedName>
    <definedName name="fdnhgf" localSheetId="0" hidden="1">{"'Estimativa de Lançamento-JAN'!$A$1:$AI$85"}</definedName>
    <definedName name="fdnhgf" hidden="1">{"'Estimativa de Lançamento-JAN'!$A$1:$AI$85"}</definedName>
    <definedName name="fdsf" localSheetId="3" hidden="1">{#N/A,#N/A,FALSE,"Plan1";#N/A,#N/A,FALSE,"Plan2"}</definedName>
    <definedName name="fdsf" localSheetId="8" hidden="1">{#N/A,#N/A,FALSE,"Plan1";#N/A,#N/A,FALSE,"Plan2"}</definedName>
    <definedName name="fdsf" localSheetId="2" hidden="1">{#N/A,#N/A,FALSE,"Plan1";#N/A,#N/A,FALSE,"Plan2"}</definedName>
    <definedName name="fdsf" localSheetId="9" hidden="1">{#N/A,#N/A,FALSE,"Plan1";#N/A,#N/A,FALSE,"Plan2"}</definedName>
    <definedName name="fdsf" localSheetId="13" hidden="1">{#N/A,#N/A,FALSE,"Plan1";#N/A,#N/A,FALSE,"Plan2"}</definedName>
    <definedName name="fdsf" localSheetId="0" hidden="1">{#N/A,#N/A,FALSE,"Plan1";#N/A,#N/A,FALSE,"Plan2"}</definedName>
    <definedName name="fdsf" hidden="1">{#N/A,#N/A,FALSE,"Plan1";#N/A,#N/A,FALSE,"Plan2"}</definedName>
    <definedName name="FE" localSheetId="3">#REF!</definedName>
    <definedName name="FE" localSheetId="2">#REF!</definedName>
    <definedName name="FE">#REF!</definedName>
    <definedName name="fefefefe" localSheetId="3">#REF!</definedName>
    <definedName name="fefefefe" localSheetId="2">#REF!</definedName>
    <definedName name="fefefefe">#REF!</definedName>
    <definedName name="FER" localSheetId="0" hidden="1">#REF!</definedName>
    <definedName name="FER" hidden="1">#REF!</definedName>
    <definedName name="fev17RJ" localSheetId="2">#REF!</definedName>
    <definedName name="fev17RJ">#REF!</definedName>
    <definedName name="FEVEREIRO2001" localSheetId="2">#REF!</definedName>
    <definedName name="FEVEREIRO2001">#REF!</definedName>
    <definedName name="ff" localSheetId="2">#REF!</definedName>
    <definedName name="ff">#REF!</definedName>
    <definedName name="fffefes" localSheetId="2">#REF!</definedName>
    <definedName name="fffefes">#REF!</definedName>
    <definedName name="fffff" localSheetId="3" hidden="1">{#N/A,#N/A,FALSE,"Plan1";#N/A,#N/A,FALSE,"Plan2"}</definedName>
    <definedName name="fffff" localSheetId="8" hidden="1">{#N/A,#N/A,FALSE,"Plan1";#N/A,#N/A,FALSE,"Plan2"}</definedName>
    <definedName name="fffff" localSheetId="2" hidden="1">{#N/A,#N/A,FALSE,"Plan1";#N/A,#N/A,FALSE,"Plan2"}</definedName>
    <definedName name="fffff" localSheetId="9" hidden="1">{#N/A,#N/A,FALSE,"Plan1";#N/A,#N/A,FALSE,"Plan2"}</definedName>
    <definedName name="fffff" localSheetId="13" hidden="1">{#N/A,#N/A,FALSE,"Plan1";#N/A,#N/A,FALSE,"Plan2"}</definedName>
    <definedName name="fffff" localSheetId="0" hidden="1">{#N/A,#N/A,FALSE,"Plan1";#N/A,#N/A,FALSE,"Plan2"}</definedName>
    <definedName name="fffff" hidden="1">{#N/A,#N/A,FALSE,"Plan1";#N/A,#N/A,FALSE,"Plan2"}</definedName>
    <definedName name="FFFFFFF" localSheetId="3">#REF!</definedName>
    <definedName name="FFFFFFF" localSheetId="4">#REF!</definedName>
    <definedName name="FFFFFFF" localSheetId="8">#REF!</definedName>
    <definedName name="FFFFFFF" localSheetId="2">#REF!</definedName>
    <definedName name="FFFFFFF" localSheetId="9">#REF!</definedName>
    <definedName name="FFFFFFF" localSheetId="13">#REF!</definedName>
    <definedName name="FFFFFFF" localSheetId="0">#REF!</definedName>
    <definedName name="FFFFFFF">#REF!</definedName>
    <definedName name="FFTY" localSheetId="3" hidden="1">{#N/A,#N/A,FALSE,"GERAL";#N/A,#N/A,FALSE,"012-96";#N/A,#N/A,FALSE,"018-96";#N/A,#N/A,FALSE,"027-96";#N/A,#N/A,FALSE,"059-96";#N/A,#N/A,FALSE,"076-96";#N/A,#N/A,FALSE,"019-97";#N/A,#N/A,FALSE,"021-97";#N/A,#N/A,FALSE,"022-97";#N/A,#N/A,FALSE,"028-97"}</definedName>
    <definedName name="FFTY" localSheetId="8" hidden="1">{#N/A,#N/A,FALSE,"GERAL";#N/A,#N/A,FALSE,"012-96";#N/A,#N/A,FALSE,"018-96";#N/A,#N/A,FALSE,"027-96";#N/A,#N/A,FALSE,"059-96";#N/A,#N/A,FALSE,"076-96";#N/A,#N/A,FALSE,"019-97";#N/A,#N/A,FALSE,"021-97";#N/A,#N/A,FALSE,"022-97";#N/A,#N/A,FALSE,"028-97"}</definedName>
    <definedName name="FFTY" localSheetId="2" hidden="1">{#N/A,#N/A,FALSE,"GERAL";#N/A,#N/A,FALSE,"012-96";#N/A,#N/A,FALSE,"018-96";#N/A,#N/A,FALSE,"027-96";#N/A,#N/A,FALSE,"059-96";#N/A,#N/A,FALSE,"076-96";#N/A,#N/A,FALSE,"019-97";#N/A,#N/A,FALSE,"021-97";#N/A,#N/A,FALSE,"022-97";#N/A,#N/A,FALSE,"028-97"}</definedName>
    <definedName name="FFTY" localSheetId="9" hidden="1">{#N/A,#N/A,FALSE,"GERAL";#N/A,#N/A,FALSE,"012-96";#N/A,#N/A,FALSE,"018-96";#N/A,#N/A,FALSE,"027-96";#N/A,#N/A,FALSE,"059-96";#N/A,#N/A,FALSE,"076-96";#N/A,#N/A,FALSE,"019-97";#N/A,#N/A,FALSE,"021-97";#N/A,#N/A,FALSE,"022-97";#N/A,#N/A,FALSE,"028-97"}</definedName>
    <definedName name="FFTY" localSheetId="13" hidden="1">{#N/A,#N/A,FALSE,"GERAL";#N/A,#N/A,FALSE,"012-96";#N/A,#N/A,FALSE,"018-96";#N/A,#N/A,FALSE,"027-96";#N/A,#N/A,FALSE,"059-96";#N/A,#N/A,FALSE,"076-96";#N/A,#N/A,FALSE,"019-97";#N/A,#N/A,FALSE,"021-97";#N/A,#N/A,FALSE,"022-97";#N/A,#N/A,FALSE,"028-97"}</definedName>
    <definedName name="FFTY" localSheetId="0"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g" localSheetId="3" hidden="1">{#N/A,#N/A,FALSE,"Plan1";#N/A,#N/A,FALSE,"Plan2"}</definedName>
    <definedName name="fg" localSheetId="8" hidden="1">{#N/A,#N/A,FALSE,"Plan1";#N/A,#N/A,FALSE,"Plan2"}</definedName>
    <definedName name="fg" localSheetId="2" hidden="1">{#N/A,#N/A,FALSE,"Plan1";#N/A,#N/A,FALSE,"Plan2"}</definedName>
    <definedName name="fg" localSheetId="9" hidden="1">{#N/A,#N/A,FALSE,"Plan1";#N/A,#N/A,FALSE,"Plan2"}</definedName>
    <definedName name="fg" localSheetId="13" hidden="1">{#N/A,#N/A,FALSE,"Plan1";#N/A,#N/A,FALSE,"Plan2"}</definedName>
    <definedName name="fg" localSheetId="0" hidden="1">{#N/A,#N/A,FALSE,"Plan1";#N/A,#N/A,FALSE,"Plan2"}</definedName>
    <definedName name="fg" hidden="1">{#N/A,#N/A,FALSE,"Plan1";#N/A,#N/A,FALSE,"Plan2"}</definedName>
    <definedName name="fgg" localSheetId="3" hidden="1">{"'장비'!$A$3:$M$12"}</definedName>
    <definedName name="fgg" localSheetId="8" hidden="1">{"'장비'!$A$3:$M$12"}</definedName>
    <definedName name="fgg" localSheetId="2" hidden="1">{"'장비'!$A$3:$M$12"}</definedName>
    <definedName name="fgg" localSheetId="9" hidden="1">{"'장비'!$A$3:$M$12"}</definedName>
    <definedName name="fgg" localSheetId="13" hidden="1">{"'장비'!$A$3:$M$12"}</definedName>
    <definedName name="fgg" localSheetId="0" hidden="1">{"'장비'!$A$3:$M$12"}</definedName>
    <definedName name="fgg" hidden="1">{"'장비'!$A$3:$M$12"}</definedName>
    <definedName name="fghfh" localSheetId="3" hidden="1">{"'Estimativa de Lançamento-JAN'!$A$1:$AI$85"}</definedName>
    <definedName name="fghfh" localSheetId="8" hidden="1">{"'Estimativa de Lançamento-JAN'!$A$1:$AI$85"}</definedName>
    <definedName name="fghfh" localSheetId="2" hidden="1">{"'Estimativa de Lançamento-JAN'!$A$1:$AI$85"}</definedName>
    <definedName name="fghfh" localSheetId="9" hidden="1">{"'Estimativa de Lançamento-JAN'!$A$1:$AI$85"}</definedName>
    <definedName name="fghfh" localSheetId="13" hidden="1">{"'Estimativa de Lançamento-JAN'!$A$1:$AI$85"}</definedName>
    <definedName name="fghfh" localSheetId="0" hidden="1">{"'Estimativa de Lançamento-JAN'!$A$1:$AI$85"}</definedName>
    <definedName name="fghfh" hidden="1">{"'Estimativa de Lançamento-JAN'!$A$1:$AI$85"}</definedName>
    <definedName name="fghgfh" localSheetId="3" hidden="1">{#N/A,#N/A,FALSE,"Plan1";#N/A,#N/A,FALSE,"Plan2"}</definedName>
    <definedName name="fghgfh" localSheetId="8" hidden="1">{#N/A,#N/A,FALSE,"Plan1";#N/A,#N/A,FALSE,"Plan2"}</definedName>
    <definedName name="fghgfh" localSheetId="2" hidden="1">{#N/A,#N/A,FALSE,"Plan1";#N/A,#N/A,FALSE,"Plan2"}</definedName>
    <definedName name="fghgfh" localSheetId="9" hidden="1">{#N/A,#N/A,FALSE,"Plan1";#N/A,#N/A,FALSE,"Plan2"}</definedName>
    <definedName name="fghgfh" localSheetId="13" hidden="1">{#N/A,#N/A,FALSE,"Plan1";#N/A,#N/A,FALSE,"Plan2"}</definedName>
    <definedName name="fghgfh" localSheetId="0" hidden="1">{#N/A,#N/A,FALSE,"Plan1";#N/A,#N/A,FALSE,"Plan2"}</definedName>
    <definedName name="fghgfh" hidden="1">{#N/A,#N/A,FALSE,"Plan1";#N/A,#N/A,FALSE,"Plan2"}</definedName>
    <definedName name="FGJHFGK" localSheetId="3" hidden="1">{#N/A,#N/A,FALSE,"Plan1";#N/A,#N/A,FALSE,"Plan2"}</definedName>
    <definedName name="FGJHFGK" localSheetId="8" hidden="1">{#N/A,#N/A,FALSE,"Plan1";#N/A,#N/A,FALSE,"Plan2"}</definedName>
    <definedName name="FGJHFGK" localSheetId="2" hidden="1">{#N/A,#N/A,FALSE,"Plan1";#N/A,#N/A,FALSE,"Plan2"}</definedName>
    <definedName name="FGJHFGK" localSheetId="9" hidden="1">{#N/A,#N/A,FALSE,"Plan1";#N/A,#N/A,FALSE,"Plan2"}</definedName>
    <definedName name="FGJHFGK" localSheetId="13" hidden="1">{#N/A,#N/A,FALSE,"Plan1";#N/A,#N/A,FALSE,"Plan2"}</definedName>
    <definedName name="FGJHFGK" localSheetId="0" hidden="1">{#N/A,#N/A,FALSE,"Plan1";#N/A,#N/A,FALSE,"Plan2"}</definedName>
    <definedName name="FGJHFGK" hidden="1">{#N/A,#N/A,FALSE,"Plan1";#N/A,#N/A,FALSE,"Plan2"}</definedName>
    <definedName name="fgktyhdf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gktyhdft" hidden="1">{TRUE,TRUE,-1.25,-15.5,604.5,366.75,FALSE,FALSE,TRUE,TRUE,0,1,#N/A,1,#N/A,9.0125,24.4117647058824,1,FALSE,FALSE,3,TRUE,1,FALSE,100,"Swvu.PLANILHA2.","ACwvu.PLANILHA2.",#N/A,FALSE,FALSE,0.787401575,0.34,0.46,0.5,1,"","",FALSE,FALSE,FALSE,FALSE,1,#N/A,1,1,FALSE,FALSE,#N/A,#N/A,FALSE,FALSE,FALSE,9,65532,65532,FALSE,FALSE,TRUE,TRUE,TRUE}</definedName>
    <definedName name="fgtrgty" localSheetId="3" hidden="1">{#N/A,#N/A,FALSE,"Plan1";#N/A,#N/A,FALSE,"Plan2"}</definedName>
    <definedName name="fgtrgty" localSheetId="8" hidden="1">{#N/A,#N/A,FALSE,"Plan1";#N/A,#N/A,FALSE,"Plan2"}</definedName>
    <definedName name="fgtrgty" localSheetId="2" hidden="1">{#N/A,#N/A,FALSE,"Plan1";#N/A,#N/A,FALSE,"Plan2"}</definedName>
    <definedName name="fgtrgty" localSheetId="9" hidden="1">{#N/A,#N/A,FALSE,"Plan1";#N/A,#N/A,FALSE,"Plan2"}</definedName>
    <definedName name="fgtrgty" localSheetId="13" hidden="1">{#N/A,#N/A,FALSE,"Plan1";#N/A,#N/A,FALSE,"Plan2"}</definedName>
    <definedName name="fgtrgty" localSheetId="0" hidden="1">{#N/A,#N/A,FALSE,"Plan1";#N/A,#N/A,FALSE,"Plan2"}</definedName>
    <definedName name="fgtrgty" hidden="1">{#N/A,#N/A,FALSE,"Plan1";#N/A,#N/A,FALSE,"Plan2"}</definedName>
    <definedName name="fgty" localSheetId="3" hidden="1">#REF!</definedName>
    <definedName name="fgty" localSheetId="8" hidden="1">#REF!</definedName>
    <definedName name="fgty" localSheetId="2" hidden="1">#REF!</definedName>
    <definedName name="fgty" localSheetId="9" hidden="1">#REF!</definedName>
    <definedName name="fgty" localSheetId="13" hidden="1">#REF!</definedName>
    <definedName name="fgty" localSheetId="0" hidden="1">#REF!</definedName>
    <definedName name="fgty" hidden="1">#REF!</definedName>
    <definedName name="fhgjfgyt" localSheetId="3" hidden="1">{#N/A,#N/A,FALSE,"Plan1";#N/A,#N/A,FALSE,"Plan2"}</definedName>
    <definedName name="fhgjfgyt" localSheetId="8" hidden="1">{#N/A,#N/A,FALSE,"Plan1";#N/A,#N/A,FALSE,"Plan2"}</definedName>
    <definedName name="fhgjfgyt" localSheetId="2" hidden="1">{#N/A,#N/A,FALSE,"Plan1";#N/A,#N/A,FALSE,"Plan2"}</definedName>
    <definedName name="fhgjfgyt" localSheetId="9" hidden="1">{#N/A,#N/A,FALSE,"Plan1";#N/A,#N/A,FALSE,"Plan2"}</definedName>
    <definedName name="fhgjfgyt" localSheetId="13" hidden="1">{#N/A,#N/A,FALSE,"Plan1";#N/A,#N/A,FALSE,"Plan2"}</definedName>
    <definedName name="fhgjfgyt" localSheetId="0" hidden="1">{#N/A,#N/A,FALSE,"Plan1";#N/A,#N/A,FALSE,"Plan2"}</definedName>
    <definedName name="fhgjfgyt" hidden="1">{#N/A,#N/A,FALSE,"Plan1";#N/A,#N/A,FALSE,"Plan2"}</definedName>
    <definedName name="fhgjkhtrfg" localSheetId="3" hidden="1">{#N/A,#N/A,FALSE,"Plan1";#N/A,#N/A,FALSE,"Plan2"}</definedName>
    <definedName name="fhgjkhtrfg" localSheetId="8" hidden="1">{#N/A,#N/A,FALSE,"Plan1";#N/A,#N/A,FALSE,"Plan2"}</definedName>
    <definedName name="fhgjkhtrfg" localSheetId="2" hidden="1">{#N/A,#N/A,FALSE,"Plan1";#N/A,#N/A,FALSE,"Plan2"}</definedName>
    <definedName name="fhgjkhtrfg" localSheetId="9" hidden="1">{#N/A,#N/A,FALSE,"Plan1";#N/A,#N/A,FALSE,"Plan2"}</definedName>
    <definedName name="fhgjkhtrfg" localSheetId="13" hidden="1">{#N/A,#N/A,FALSE,"Plan1";#N/A,#N/A,FALSE,"Plan2"}</definedName>
    <definedName name="fhgjkhtrfg" localSheetId="0" hidden="1">{#N/A,#N/A,FALSE,"Plan1";#N/A,#N/A,FALSE,"Plan2"}</definedName>
    <definedName name="fhgjkhtrfg" hidden="1">{#N/A,#N/A,FALSE,"Plan1";#N/A,#N/A,FALSE,"Plan2"}</definedName>
    <definedName name="FHGTGSRSG" localSheetId="3" hidden="1">{#N/A,#N/A,FALSE,"Plan1";#N/A,#N/A,FALSE,"Plan2"}</definedName>
    <definedName name="FHGTGSRSG" localSheetId="8" hidden="1">{#N/A,#N/A,FALSE,"Plan1";#N/A,#N/A,FALSE,"Plan2"}</definedName>
    <definedName name="FHGTGSRSG" localSheetId="2" hidden="1">{#N/A,#N/A,FALSE,"Plan1";#N/A,#N/A,FALSE,"Plan2"}</definedName>
    <definedName name="FHGTGSRSG" localSheetId="9" hidden="1">{#N/A,#N/A,FALSE,"Plan1";#N/A,#N/A,FALSE,"Plan2"}</definedName>
    <definedName name="FHGTGSRSG" localSheetId="13" hidden="1">{#N/A,#N/A,FALSE,"Plan1";#N/A,#N/A,FALSE,"Plan2"}</definedName>
    <definedName name="FHGTGSRSG" localSheetId="0" hidden="1">{#N/A,#N/A,FALSE,"Plan1";#N/A,#N/A,FALSE,"Plan2"}</definedName>
    <definedName name="FHGTGSRSG" hidden="1">{#N/A,#N/A,FALSE,"Plan1";#N/A,#N/A,FALSE,"Plan2"}</definedName>
    <definedName name="FIELD"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EL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 localSheetId="3" hidden="1">{#N/A,#N/A,TRUE,"Quinzena 01 à 15-04-98 "}</definedName>
    <definedName name="FILTRO" localSheetId="8" hidden="1">{#N/A,#N/A,TRUE,"Quinzena 01 à 15-04-98 "}</definedName>
    <definedName name="FILTRO" localSheetId="2" hidden="1">{#N/A,#N/A,TRUE,"Quinzena 01 à 15-04-98 "}</definedName>
    <definedName name="FILTRO" localSheetId="9" hidden="1">{#N/A,#N/A,TRUE,"Quinzena 01 à 15-04-98 "}</definedName>
    <definedName name="FILTRO" localSheetId="13" hidden="1">{#N/A,#N/A,TRUE,"Quinzena 01 à 15-04-98 "}</definedName>
    <definedName name="FILTRO" localSheetId="0" hidden="1">{#N/A,#N/A,TRUE,"Quinzena 01 à 15-04-98 "}</definedName>
    <definedName name="FILTRO" hidden="1">{#N/A,#N/A,TRUE,"Quinzena 01 à 15-04-98 "}</definedName>
    <definedName name="Filtro_Rel_Sienge" localSheetId="3">#REF!</definedName>
    <definedName name="Filtro_Rel_Sienge" localSheetId="2">#REF!</definedName>
    <definedName name="Filtro_Rel_Sienge">#REF!</definedName>
    <definedName name="Firs_hist" localSheetId="3">#REF!</definedName>
    <definedName name="Firs_hist" localSheetId="2">#REF!</definedName>
    <definedName name="Firs_hist">#REF!</definedName>
    <definedName name="First_cdi" localSheetId="3">#REF!</definedName>
    <definedName name="First_cdi" localSheetId="2">#REF!</definedName>
    <definedName name="First_cdi">#REF!</definedName>
    <definedName name="First_uss" localSheetId="2">#REF!</definedName>
    <definedName name="First_uss">#REF!</definedName>
    <definedName name="fjdhfgjdhtgu" localSheetId="3" hidden="1">{#N/A,#N/A,FALSE,"Plan1";#N/A,#N/A,FALSE,"Plan2"}</definedName>
    <definedName name="fjdhfgjdhtgu" localSheetId="8" hidden="1">{#N/A,#N/A,FALSE,"Plan1";#N/A,#N/A,FALSE,"Plan2"}</definedName>
    <definedName name="fjdhfgjdhtgu" localSheetId="2" hidden="1">{#N/A,#N/A,FALSE,"Plan1";#N/A,#N/A,FALSE,"Plan2"}</definedName>
    <definedName name="fjdhfgjdhtgu" localSheetId="9" hidden="1">{#N/A,#N/A,FALSE,"Plan1";#N/A,#N/A,FALSE,"Plan2"}</definedName>
    <definedName name="fjdhfgjdhtgu" localSheetId="13" hidden="1">{#N/A,#N/A,FALSE,"Plan1";#N/A,#N/A,FALSE,"Plan2"}</definedName>
    <definedName name="fjdhfgjdhtgu" localSheetId="0" hidden="1">{#N/A,#N/A,FALSE,"Plan1";#N/A,#N/A,FALSE,"Plan2"}</definedName>
    <definedName name="fjdhfgjdhtgu" hidden="1">{#N/A,#N/A,FALSE,"Plan1";#N/A,#N/A,FALSE,"Plan2"}</definedName>
    <definedName name="fjfjg" localSheetId="3" hidden="1">{#N/A,#N/A,FALSE,"명세표"}</definedName>
    <definedName name="fjfjg" localSheetId="8" hidden="1">{#N/A,#N/A,FALSE,"명세표"}</definedName>
    <definedName name="fjfjg" localSheetId="2" hidden="1">{#N/A,#N/A,FALSE,"명세표"}</definedName>
    <definedName name="fjfjg" localSheetId="9" hidden="1">{#N/A,#N/A,FALSE,"명세표"}</definedName>
    <definedName name="fjfjg" localSheetId="13" hidden="1">{#N/A,#N/A,FALSE,"명세표"}</definedName>
    <definedName name="fjfjg" localSheetId="0" hidden="1">{#N/A,#N/A,FALSE,"명세표"}</definedName>
    <definedName name="fjfjg" hidden="1">{#N/A,#N/A,FALSE,"명세표"}</definedName>
    <definedName name="FJGH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GHJ" hidden="1">{TRUE,TRUE,-1.25,-15.5,604.5,366.75,FALSE,FALSE,TRUE,TRUE,0,1,#N/A,1,#N/A,9.0125,24.4117647058824,1,FALSE,FALSE,3,TRUE,1,FALSE,100,"Swvu.PLANILHA2.","ACwvu.PLANILHA2.",#N/A,FALSE,FALSE,0.787401575,0.34,0.46,0.5,1,"","",FALSE,FALSE,FALSE,FALSE,1,#N/A,1,1,FALSE,FALSE,#N/A,#N/A,FALSE,FALSE,FALSE,9,65532,65532,FALSE,FALSE,TRUE,TRUE,TRUE}</definedName>
    <definedName name="FJHJHG" localSheetId="3" hidden="1">{#N/A,#N/A,FALSE,"Plan1";#N/A,#N/A,FALSE,"Plan2"}</definedName>
    <definedName name="FJHJHG" localSheetId="8" hidden="1">{#N/A,#N/A,FALSE,"Plan1";#N/A,#N/A,FALSE,"Plan2"}</definedName>
    <definedName name="FJHJHG" localSheetId="2" hidden="1">{#N/A,#N/A,FALSE,"Plan1";#N/A,#N/A,FALSE,"Plan2"}</definedName>
    <definedName name="FJHJHG" localSheetId="9" hidden="1">{#N/A,#N/A,FALSE,"Plan1";#N/A,#N/A,FALSE,"Plan2"}</definedName>
    <definedName name="FJHJHG" localSheetId="13" hidden="1">{#N/A,#N/A,FALSE,"Plan1";#N/A,#N/A,FALSE,"Plan2"}</definedName>
    <definedName name="FJHJHG" localSheetId="0" hidden="1">{#N/A,#N/A,FALSE,"Plan1";#N/A,#N/A,FALSE,"Plan2"}</definedName>
    <definedName name="FJHJHG" hidden="1">{#N/A,#N/A,FALSE,"Plan1";#N/A,#N/A,FALSE,"Plan2"}</definedName>
    <definedName name="fjtgfh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fjtgfhf" hidden="1">{TRUE,TRUE,-1.25,-15.5,604.5,366.75,FALSE,FALSE,TRUE,TRUE,0,1,#N/A,1,#N/A,9.0125,24.4117647058824,1,FALSE,FALSE,3,TRUE,1,FALSE,100,"Swvu.PLANILHA2.","ACwvu.PLANILHA2.",#N/A,FALSE,FALSE,0.787401575,0.34,0.46,0.5,1,"","",FALSE,FALSE,FALSE,FALSE,1,#N/A,1,1,FALSE,FALSE,#N/A,#N/A,FALSE,FALSE,FALSE,9,65532,65532,FALSE,FALSE,TRUE,TRUE,TRUE}</definedName>
    <definedName name="FKF"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 localSheetId="3" hidden="1">{#N/A,#N/A,FALSE,"Plan1";#N/A,#N/A,FALSE,"Plan2"}</definedName>
    <definedName name="fkfw" localSheetId="8" hidden="1">{#N/A,#N/A,FALSE,"Plan1";#N/A,#N/A,FALSE,"Plan2"}</definedName>
    <definedName name="fkfw" localSheetId="2" hidden="1">{#N/A,#N/A,FALSE,"Plan1";#N/A,#N/A,FALSE,"Plan2"}</definedName>
    <definedName name="fkfw" localSheetId="9" hidden="1">{#N/A,#N/A,FALSE,"Plan1";#N/A,#N/A,FALSE,"Plan2"}</definedName>
    <definedName name="fkfw" localSheetId="13" hidden="1">{#N/A,#N/A,FALSE,"Plan1";#N/A,#N/A,FALSE,"Plan2"}</definedName>
    <definedName name="fkfw" localSheetId="0" hidden="1">{#N/A,#N/A,FALSE,"Plan1";#N/A,#N/A,FALSE,"Plan2"}</definedName>
    <definedName name="fkfw" hidden="1">{#N/A,#N/A,FALSE,"Plan1";#N/A,#N/A,FALSE,"Plan2"}</definedName>
    <definedName name="f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2">#REF!</definedName>
    <definedName name="fl"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_1" localSheetId="3">#REF!</definedName>
    <definedName name="FL_1" localSheetId="2">#REF!</definedName>
    <definedName name="FL_1">#REF!</definedName>
    <definedName name="FL_2" localSheetId="3">#REF!</definedName>
    <definedName name="FL_2" localSheetId="2">#REF!</definedName>
    <definedName name="FL_2">#REF!</definedName>
    <definedName name="FL_3" localSheetId="3">#REF!</definedName>
    <definedName name="FL_3" localSheetId="2">#REF!</definedName>
    <definedName name="FL_3">#REF!</definedName>
    <definedName name="Fluxo_captação" localSheetId="2">#REF!</definedName>
    <definedName name="Fluxo_captação">#REF!</definedName>
    <definedName name="FOLHA2" localSheetId="2">#REF!</definedName>
    <definedName name="FOLHA2">#REF!</definedName>
    <definedName name="Format" localSheetId="2">#REF!</definedName>
    <definedName name="Format">#REF!</definedName>
    <definedName name="Formato_da_Loja" localSheetId="2">#REF!</definedName>
    <definedName name="Formato_da_Loja">#REF!</definedName>
    <definedName name="FORMULA" localSheetId="2">#REF!</definedName>
    <definedName name="FORMULA">#REF!</definedName>
    <definedName name="FORNECEDOR" localSheetId="3">OFFSET(#REF!,6,0,COUNTA(#REF!))</definedName>
    <definedName name="FORNECEDOR" localSheetId="2">OFFSET(#REF!,6,0,COUNTA(#REF!))</definedName>
    <definedName name="FORNECEDOR">OFFSET(#REF!,6,0,COUNTA(#REF!))</definedName>
    <definedName name="FORNECEDOR_2" localSheetId="2">OFFSET(#REF!,6,0,COUNTA(#REF!))</definedName>
    <definedName name="FORNECEDOR_2">OFFSET(#REF!,6,0,COUNTA(#REF!))</definedName>
    <definedName name="FORNECEDOR_3" localSheetId="2">OFFSET(#REF!,6,0,COUNTA(#REF!))</definedName>
    <definedName name="FORNECEDOR_3">OFFSET(#REF!,6,0,COUNTA(#REF!))</definedName>
    <definedName name="FORNECEDOR_4" localSheetId="2">OFFSET(#REF!,6,0,COUNTA(#REF!))</definedName>
    <definedName name="FORNECEDOR_4">OFFSET(#REF!,6,0,COUNTA(#REF!))</definedName>
    <definedName name="FORNECEDOR_5" localSheetId="2">OFFSET(#REF!,6,0,COUNTA(#REF!))</definedName>
    <definedName name="FORNECEDOR_5">OFFSET(#REF!,6,0,COUNTA(#REF!))</definedName>
    <definedName name="FORNECEDOR_7" localSheetId="2">OFFSET(#REF!,6,0,COUNTA(#REF!))</definedName>
    <definedName name="FORNECEDOR_7">OFFSET(#REF!,6,0,COUNTA(#REF!))</definedName>
    <definedName name="FORNECEDOR_8" localSheetId="2">OFFSET(#REF!,6,0,COUNTA(#REF!))</definedName>
    <definedName name="FORNECEDOR_8">OFFSET(#REF!,6,0,COUNTA(#REF!))</definedName>
    <definedName name="frçt4r" localSheetId="3" hidden="1">{#N/A,#N/A,FALSE,"Plan1";#N/A,#N/A,FALSE,"Plan2"}</definedName>
    <definedName name="frçt4r" localSheetId="8" hidden="1">{#N/A,#N/A,FALSE,"Plan1";#N/A,#N/A,FALSE,"Plan2"}</definedName>
    <definedName name="frçt4r" localSheetId="2" hidden="1">{#N/A,#N/A,FALSE,"Plan1";#N/A,#N/A,FALSE,"Plan2"}</definedName>
    <definedName name="frçt4r" localSheetId="9" hidden="1">{#N/A,#N/A,FALSE,"Plan1";#N/A,#N/A,FALSE,"Plan2"}</definedName>
    <definedName name="frçt4r" localSheetId="13" hidden="1">{#N/A,#N/A,FALSE,"Plan1";#N/A,#N/A,FALSE,"Plan2"}</definedName>
    <definedName name="frçt4r" localSheetId="0" hidden="1">{#N/A,#N/A,FALSE,"Plan1";#N/A,#N/A,FALSE,"Plan2"}</definedName>
    <definedName name="frçt4r" hidden="1">{#N/A,#N/A,FALSE,"Plan1";#N/A,#N/A,FALSE,"Plan2"}</definedName>
    <definedName name="frdtty" localSheetId="3" hidden="1">{#N/A,#N/A,FALSE,"Plan1";#N/A,#N/A,FALSE,"Plan2"}</definedName>
    <definedName name="frdtty" localSheetId="8" hidden="1">{#N/A,#N/A,FALSE,"Plan1";#N/A,#N/A,FALSE,"Plan2"}</definedName>
    <definedName name="frdtty" localSheetId="2" hidden="1">{#N/A,#N/A,FALSE,"Plan1";#N/A,#N/A,FALSE,"Plan2"}</definedName>
    <definedName name="frdtty" localSheetId="9" hidden="1">{#N/A,#N/A,FALSE,"Plan1";#N/A,#N/A,FALSE,"Plan2"}</definedName>
    <definedName name="frdtty" localSheetId="13" hidden="1">{#N/A,#N/A,FALSE,"Plan1";#N/A,#N/A,FALSE,"Plan2"}</definedName>
    <definedName name="frdtty" localSheetId="0" hidden="1">{#N/A,#N/A,FALSE,"Plan1";#N/A,#N/A,FALSE,"Plan2"}</definedName>
    <definedName name="frdtty" hidden="1">{#N/A,#N/A,FALSE,"Plan1";#N/A,#N/A,FALSE,"Plan2"}</definedName>
    <definedName name="fsdfsf" localSheetId="3" hidden="1">{#N/A,#N/A,FALSE,"GERAL";#N/A,#N/A,FALSE,"012-96";#N/A,#N/A,FALSE,"018-96";#N/A,#N/A,FALSE,"027-96";#N/A,#N/A,FALSE,"059-96";#N/A,#N/A,FALSE,"076-96";#N/A,#N/A,FALSE,"019-97";#N/A,#N/A,FALSE,"021-97";#N/A,#N/A,FALSE,"022-97";#N/A,#N/A,FALSE,"028-97"}</definedName>
    <definedName name="fsdfsf" localSheetId="8" hidden="1">{#N/A,#N/A,FALSE,"GERAL";#N/A,#N/A,FALSE,"012-96";#N/A,#N/A,FALSE,"018-96";#N/A,#N/A,FALSE,"027-96";#N/A,#N/A,FALSE,"059-96";#N/A,#N/A,FALSE,"076-96";#N/A,#N/A,FALSE,"019-97";#N/A,#N/A,FALSE,"021-97";#N/A,#N/A,FALSE,"022-97";#N/A,#N/A,FALSE,"028-97"}</definedName>
    <definedName name="fsdfsf" localSheetId="2" hidden="1">{#N/A,#N/A,FALSE,"GERAL";#N/A,#N/A,FALSE,"012-96";#N/A,#N/A,FALSE,"018-96";#N/A,#N/A,FALSE,"027-96";#N/A,#N/A,FALSE,"059-96";#N/A,#N/A,FALSE,"076-96";#N/A,#N/A,FALSE,"019-97";#N/A,#N/A,FALSE,"021-97";#N/A,#N/A,FALSE,"022-97";#N/A,#N/A,FALSE,"028-97"}</definedName>
    <definedName name="fsdfsf" localSheetId="9" hidden="1">{#N/A,#N/A,FALSE,"GERAL";#N/A,#N/A,FALSE,"012-96";#N/A,#N/A,FALSE,"018-96";#N/A,#N/A,FALSE,"027-96";#N/A,#N/A,FALSE,"059-96";#N/A,#N/A,FALSE,"076-96";#N/A,#N/A,FALSE,"019-97";#N/A,#N/A,FALSE,"021-97";#N/A,#N/A,FALSE,"022-97";#N/A,#N/A,FALSE,"028-97"}</definedName>
    <definedName name="fsdfsf" localSheetId="13" hidden="1">{#N/A,#N/A,FALSE,"GERAL";#N/A,#N/A,FALSE,"012-96";#N/A,#N/A,FALSE,"018-96";#N/A,#N/A,FALSE,"027-96";#N/A,#N/A,FALSE,"059-96";#N/A,#N/A,FALSE,"076-96";#N/A,#N/A,FALSE,"019-97";#N/A,#N/A,FALSE,"021-97";#N/A,#N/A,FALSE,"022-97";#N/A,#N/A,FALSE,"028-97"}</definedName>
    <definedName name="fsdfsf" localSheetId="0" hidden="1">{#N/A,#N/A,FALSE,"GERAL";#N/A,#N/A,FALSE,"012-96";#N/A,#N/A,FALSE,"018-96";#N/A,#N/A,FALSE,"027-96";#N/A,#N/A,FALSE,"059-96";#N/A,#N/A,FALSE,"076-96";#N/A,#N/A,FALSE,"019-97";#N/A,#N/A,FALSE,"021-97";#N/A,#N/A,FALSE,"022-97";#N/A,#N/A,FALSE,"028-97"}</definedName>
    <definedName name="fsdfsf" hidden="1">{#N/A,#N/A,FALSE,"GERAL";#N/A,#N/A,FALSE,"012-96";#N/A,#N/A,FALSE,"018-96";#N/A,#N/A,FALSE,"027-96";#N/A,#N/A,FALSE,"059-96";#N/A,#N/A,FALSE,"076-96";#N/A,#N/A,FALSE,"019-97";#N/A,#N/A,FALSE,"021-97";#N/A,#N/A,FALSE,"022-97";#N/A,#N/A,FALSE,"028-97"}</definedName>
    <definedName name="fuihgjk" localSheetId="3" hidden="1">{#N/A,#N/A,FALSE,"Plan1";#N/A,#N/A,FALSE,"Plan2"}</definedName>
    <definedName name="fuihgjk" localSheetId="8" hidden="1">{#N/A,#N/A,FALSE,"Plan1";#N/A,#N/A,FALSE,"Plan2"}</definedName>
    <definedName name="fuihgjk" localSheetId="2" hidden="1">{#N/A,#N/A,FALSE,"Plan1";#N/A,#N/A,FALSE,"Plan2"}</definedName>
    <definedName name="fuihgjk" localSheetId="9" hidden="1">{#N/A,#N/A,FALSE,"Plan1";#N/A,#N/A,FALSE,"Plan2"}</definedName>
    <definedName name="fuihgjk" localSheetId="13" hidden="1">{#N/A,#N/A,FALSE,"Plan1";#N/A,#N/A,FALSE,"Plan2"}</definedName>
    <definedName name="fuihgjk" localSheetId="0" hidden="1">{#N/A,#N/A,FALSE,"Plan1";#N/A,#N/A,FALSE,"Plan2"}</definedName>
    <definedName name="fuihgjk" hidden="1">{#N/A,#N/A,FALSE,"Plan1";#N/A,#N/A,FALSE,"Plan2"}</definedName>
    <definedName name="fuste" localSheetId="3">#REF!</definedName>
    <definedName name="fuste" localSheetId="2">#REF!</definedName>
    <definedName name="fuste">#REF!</definedName>
    <definedName name="fxjghkfg" localSheetId="3" hidden="1">{#N/A,#N/A,FALSE,"Plan1";#N/A,#N/A,FALSE,"Plan2"}</definedName>
    <definedName name="fxjghkfg" localSheetId="8" hidden="1">{#N/A,#N/A,FALSE,"Plan1";#N/A,#N/A,FALSE,"Plan2"}</definedName>
    <definedName name="fxjghkfg" localSheetId="2" hidden="1">{#N/A,#N/A,FALSE,"Plan1";#N/A,#N/A,FALSE,"Plan2"}</definedName>
    <definedName name="fxjghkfg" localSheetId="9" hidden="1">{#N/A,#N/A,FALSE,"Plan1";#N/A,#N/A,FALSE,"Plan2"}</definedName>
    <definedName name="fxjghkfg" localSheetId="13" hidden="1">{#N/A,#N/A,FALSE,"Plan1";#N/A,#N/A,FALSE,"Plan2"}</definedName>
    <definedName name="fxjghkfg" localSheetId="0" hidden="1">{#N/A,#N/A,FALSE,"Plan1";#N/A,#N/A,FALSE,"Plan2"}</definedName>
    <definedName name="fxjghkfg" hidden="1">{#N/A,#N/A,FALSE,"Plan1";#N/A,#N/A,FALSE,"Plan2"}</definedName>
    <definedName name="g_10" localSheetId="3">#REF!</definedName>
    <definedName name="g_10" localSheetId="2">#REF!</definedName>
    <definedName name="g_10">#REF!</definedName>
    <definedName name="g_11" localSheetId="3">#REF!</definedName>
    <definedName name="g_11" localSheetId="2">#REF!</definedName>
    <definedName name="g_11">#REF!</definedName>
    <definedName name="g_12" localSheetId="3">#REF!</definedName>
    <definedName name="g_12" localSheetId="2">#REF!</definedName>
    <definedName name="g_12">#REF!</definedName>
    <definedName name="g_13" localSheetId="2">#REF!</definedName>
    <definedName name="g_13">#REF!</definedName>
    <definedName name="g_15" localSheetId="2">#REF!</definedName>
    <definedName name="g_15">#REF!</definedName>
    <definedName name="g_16" localSheetId="2">#REF!</definedName>
    <definedName name="g_16">#REF!</definedName>
    <definedName name="g_17" localSheetId="2">#REF!</definedName>
    <definedName name="g_17">#REF!</definedName>
    <definedName name="g_19" localSheetId="2">#REF!</definedName>
    <definedName name="g_19">#REF!</definedName>
    <definedName name="g_21" localSheetId="2">#REF!</definedName>
    <definedName name="g_21">#REF!</definedName>
    <definedName name="g_25" localSheetId="2">#REF!</definedName>
    <definedName name="g_25">#REF!</definedName>
    <definedName name="g_27" localSheetId="2">#REF!</definedName>
    <definedName name="g_27">#REF!</definedName>
    <definedName name="g_31" localSheetId="2">#REF!</definedName>
    <definedName name="g_31">#REF!</definedName>
    <definedName name="g_32" localSheetId="2">#REF!</definedName>
    <definedName name="g_32">#REF!</definedName>
    <definedName name="g_33" localSheetId="2">#REF!</definedName>
    <definedName name="g_33">#REF!</definedName>
    <definedName name="g_34" localSheetId="2">#REF!</definedName>
    <definedName name="g_34">#REF!</definedName>
    <definedName name="G_35" localSheetId="2">#REF!</definedName>
    <definedName name="G_35">#REF!</definedName>
    <definedName name="g_37" localSheetId="2">#REF!</definedName>
    <definedName name="g_37">#REF!</definedName>
    <definedName name="g_41" localSheetId="2">#REF!</definedName>
    <definedName name="g_41">#REF!</definedName>
    <definedName name="g_42" localSheetId="2">#REF!</definedName>
    <definedName name="g_42">#REF!</definedName>
    <definedName name="g_45" localSheetId="2">#REF!</definedName>
    <definedName name="g_45">#REF!</definedName>
    <definedName name="g_47" localSheetId="2">#REF!</definedName>
    <definedName name="g_47">#REF!</definedName>
    <definedName name="g_51" localSheetId="2">#REF!</definedName>
    <definedName name="g_51">#REF!</definedName>
    <definedName name="g_52" localSheetId="2">#REF!</definedName>
    <definedName name="g_52">#REF!</definedName>
    <definedName name="g_53" localSheetId="2">#REF!</definedName>
    <definedName name="g_53">#REF!</definedName>
    <definedName name="G_54" localSheetId="2">#REF!</definedName>
    <definedName name="G_54">#REF!</definedName>
    <definedName name="G_55" localSheetId="2">#REF!</definedName>
    <definedName name="G_55">#REF!</definedName>
    <definedName name="G_56" localSheetId="2">#REF!</definedName>
    <definedName name="G_56">#REF!</definedName>
    <definedName name="G_57" localSheetId="2">#REF!</definedName>
    <definedName name="G_57">#REF!</definedName>
    <definedName name="G_58" localSheetId="2">#REF!</definedName>
    <definedName name="G_58">#REF!</definedName>
    <definedName name="G_59" localSheetId="2">#REF!</definedName>
    <definedName name="G_59">#REF!</definedName>
    <definedName name="G_61" localSheetId="2">#REF!</definedName>
    <definedName name="G_61">#REF!</definedName>
    <definedName name="G_63" localSheetId="2">#REF!</definedName>
    <definedName name="G_63">#REF!</definedName>
    <definedName name="G_65" localSheetId="2">#REF!</definedName>
    <definedName name="G_65">#REF!</definedName>
    <definedName name="G_67" localSheetId="2">#REF!</definedName>
    <definedName name="G_67">#REF!</definedName>
    <definedName name="g_68" localSheetId="2">#REF!</definedName>
    <definedName name="g_68">#REF!</definedName>
    <definedName name="g_69" localSheetId="2">#REF!</definedName>
    <definedName name="g_69">#REF!</definedName>
    <definedName name="G_71" localSheetId="2">#REF!</definedName>
    <definedName name="G_71">#REF!</definedName>
    <definedName name="G_73" localSheetId="2">#REF!</definedName>
    <definedName name="G_73">#REF!</definedName>
    <definedName name="G_75" localSheetId="2">#REF!</definedName>
    <definedName name="G_75">#REF!</definedName>
    <definedName name="G_77" localSheetId="2">#REF!</definedName>
    <definedName name="G_77">#REF!</definedName>
    <definedName name="G_78" localSheetId="2">#REF!</definedName>
    <definedName name="G_78">#REF!</definedName>
    <definedName name="G_81" localSheetId="2">#REF!</definedName>
    <definedName name="G_81">#REF!</definedName>
    <definedName name="G_83" localSheetId="2">#REF!</definedName>
    <definedName name="G_83">#REF!</definedName>
    <definedName name="G_85" localSheetId="2">#REF!</definedName>
    <definedName name="G_85">#REF!</definedName>
    <definedName name="G_87" localSheetId="2">#REF!</definedName>
    <definedName name="G_87">#REF!</definedName>
    <definedName name="G_90" localSheetId="2">#REF!</definedName>
    <definedName name="G_90">#REF!</definedName>
    <definedName name="G_91" localSheetId="2">#REF!</definedName>
    <definedName name="G_91">#REF!</definedName>
    <definedName name="G_92" localSheetId="2">#REF!</definedName>
    <definedName name="G_92">#REF!</definedName>
    <definedName name="G_94" localSheetId="2">#REF!</definedName>
    <definedName name="G_94">#REF!</definedName>
    <definedName name="G_95" localSheetId="2">#REF!</definedName>
    <definedName name="G_95">#REF!</definedName>
    <definedName name="G_96" localSheetId="2">#REF!</definedName>
    <definedName name="G_96">#REF!</definedName>
    <definedName name="galo" localSheetId="3" hidden="1">{#N/A,#N/A,FALSE,"GERAL";#N/A,#N/A,FALSE,"012-96";#N/A,#N/A,FALSE,"018-96";#N/A,#N/A,FALSE,"027-96";#N/A,#N/A,FALSE,"059-96";#N/A,#N/A,FALSE,"076-96";#N/A,#N/A,FALSE,"019-97";#N/A,#N/A,FALSE,"021-97";#N/A,#N/A,FALSE,"022-97";#N/A,#N/A,FALSE,"028-97"}</definedName>
    <definedName name="galo" localSheetId="8" hidden="1">{#N/A,#N/A,FALSE,"GERAL";#N/A,#N/A,FALSE,"012-96";#N/A,#N/A,FALSE,"018-96";#N/A,#N/A,FALSE,"027-96";#N/A,#N/A,FALSE,"059-96";#N/A,#N/A,FALSE,"076-96";#N/A,#N/A,FALSE,"019-97";#N/A,#N/A,FALSE,"021-97";#N/A,#N/A,FALSE,"022-97";#N/A,#N/A,FALSE,"028-97"}</definedName>
    <definedName name="galo" localSheetId="2" hidden="1">{#N/A,#N/A,FALSE,"GERAL";#N/A,#N/A,FALSE,"012-96";#N/A,#N/A,FALSE,"018-96";#N/A,#N/A,FALSE,"027-96";#N/A,#N/A,FALSE,"059-96";#N/A,#N/A,FALSE,"076-96";#N/A,#N/A,FALSE,"019-97";#N/A,#N/A,FALSE,"021-97";#N/A,#N/A,FALSE,"022-97";#N/A,#N/A,FALSE,"028-97"}</definedName>
    <definedName name="galo" localSheetId="9" hidden="1">{#N/A,#N/A,FALSE,"GERAL";#N/A,#N/A,FALSE,"012-96";#N/A,#N/A,FALSE,"018-96";#N/A,#N/A,FALSE,"027-96";#N/A,#N/A,FALSE,"059-96";#N/A,#N/A,FALSE,"076-96";#N/A,#N/A,FALSE,"019-97";#N/A,#N/A,FALSE,"021-97";#N/A,#N/A,FALSE,"022-97";#N/A,#N/A,FALSE,"028-97"}</definedName>
    <definedName name="galo" localSheetId="13" hidden="1">{#N/A,#N/A,FALSE,"GERAL";#N/A,#N/A,FALSE,"012-96";#N/A,#N/A,FALSE,"018-96";#N/A,#N/A,FALSE,"027-96";#N/A,#N/A,FALSE,"059-96";#N/A,#N/A,FALSE,"076-96";#N/A,#N/A,FALSE,"019-97";#N/A,#N/A,FALSE,"021-97";#N/A,#N/A,FALSE,"022-97";#N/A,#N/A,FALSE,"028-97"}</definedName>
    <definedName name="galo" localSheetId="0"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ARAGEM" localSheetId="3">#REF!</definedName>
    <definedName name="GARAGEM" localSheetId="2">#REF!</definedName>
    <definedName name="GARAGEM">#REF!</definedName>
    <definedName name="garcia" localSheetId="3">#REF!</definedName>
    <definedName name="garcia" localSheetId="2">#REF!</definedName>
    <definedName name="garcia">#REF!</definedName>
    <definedName name="GASTOS_JULHO" localSheetId="3">#REF!</definedName>
    <definedName name="GASTOS_JULHO" localSheetId="2">#REF!</definedName>
    <definedName name="GASTOS_JULHO">#REF!</definedName>
    <definedName name="gbdjkvhgd" localSheetId="3" hidden="1">{#N/A,#N/A,FALSE,"Plan1";#N/A,#N/A,FALSE,"Plan2"}</definedName>
    <definedName name="gbdjkvhgd" localSheetId="8" hidden="1">{#N/A,#N/A,FALSE,"Plan1";#N/A,#N/A,FALSE,"Plan2"}</definedName>
    <definedName name="gbdjkvhgd" localSheetId="2" hidden="1">{#N/A,#N/A,FALSE,"Plan1";#N/A,#N/A,FALSE,"Plan2"}</definedName>
    <definedName name="gbdjkvhgd" localSheetId="9" hidden="1">{#N/A,#N/A,FALSE,"Plan1";#N/A,#N/A,FALSE,"Plan2"}</definedName>
    <definedName name="gbdjkvhgd" localSheetId="13" hidden="1">{#N/A,#N/A,FALSE,"Plan1";#N/A,#N/A,FALSE,"Plan2"}</definedName>
    <definedName name="gbdjkvhgd" localSheetId="0" hidden="1">{#N/A,#N/A,FALSE,"Plan1";#N/A,#N/A,FALSE,"Plan2"}</definedName>
    <definedName name="gbdjkvhgd" hidden="1">{#N/A,#N/A,FALSE,"Plan1";#N/A,#N/A,FALSE,"Plan2"}</definedName>
    <definedName name="gbdsjgsjfdgj" localSheetId="3" hidden="1">{#N/A,#N/A,FALSE,"Plan1";#N/A,#N/A,FALSE,"Plan2"}</definedName>
    <definedName name="gbdsjgsjfdgj" localSheetId="8" hidden="1">{#N/A,#N/A,FALSE,"Plan1";#N/A,#N/A,FALSE,"Plan2"}</definedName>
    <definedName name="gbdsjgsjfdgj" localSheetId="2" hidden="1">{#N/A,#N/A,FALSE,"Plan1";#N/A,#N/A,FALSE,"Plan2"}</definedName>
    <definedName name="gbdsjgsjfdgj" localSheetId="9" hidden="1">{#N/A,#N/A,FALSE,"Plan1";#N/A,#N/A,FALSE,"Plan2"}</definedName>
    <definedName name="gbdsjgsjfdgj" localSheetId="13" hidden="1">{#N/A,#N/A,FALSE,"Plan1";#N/A,#N/A,FALSE,"Plan2"}</definedName>
    <definedName name="gbdsjgsjfdgj" localSheetId="0" hidden="1">{#N/A,#N/A,FALSE,"Plan1";#N/A,#N/A,FALSE,"Plan2"}</definedName>
    <definedName name="gbdsjgsjfdgj" hidden="1">{#N/A,#N/A,FALSE,"Plan1";#N/A,#N/A,FALSE,"Plan2"}</definedName>
    <definedName name="gdfdhgfjgj" localSheetId="3" hidden="1">{#N/A,#N/A,FALSE,"Plan1";#N/A,#N/A,FALSE,"Plan2"}</definedName>
    <definedName name="gdfdhgfjgj" localSheetId="8" hidden="1">{#N/A,#N/A,FALSE,"Plan1";#N/A,#N/A,FALSE,"Plan2"}</definedName>
    <definedName name="gdfdhgfjgj" localSheetId="2" hidden="1">{#N/A,#N/A,FALSE,"Plan1";#N/A,#N/A,FALSE,"Plan2"}</definedName>
    <definedName name="gdfdhgfjgj" localSheetId="9" hidden="1">{#N/A,#N/A,FALSE,"Plan1";#N/A,#N/A,FALSE,"Plan2"}</definedName>
    <definedName name="gdfdhgfjgj" localSheetId="13" hidden="1">{#N/A,#N/A,FALSE,"Plan1";#N/A,#N/A,FALSE,"Plan2"}</definedName>
    <definedName name="gdfdhgfjgj" localSheetId="0" hidden="1">{#N/A,#N/A,FALSE,"Plan1";#N/A,#N/A,FALSE,"Plan2"}</definedName>
    <definedName name="gdfdhgfjgj" hidden="1">{#N/A,#N/A,FALSE,"Plan1";#N/A,#N/A,FALSE,"Plan2"}</definedName>
    <definedName name="gdfgdstggt" localSheetId="3" hidden="1">{#N/A,#N/A,FALSE,"Plan1";#N/A,#N/A,FALSE,"Plan2"}</definedName>
    <definedName name="gdfgdstggt" localSheetId="8" hidden="1">{#N/A,#N/A,FALSE,"Plan1";#N/A,#N/A,FALSE,"Plan2"}</definedName>
    <definedName name="gdfgdstggt" localSheetId="2" hidden="1">{#N/A,#N/A,FALSE,"Plan1";#N/A,#N/A,FALSE,"Plan2"}</definedName>
    <definedName name="gdfgdstggt" localSheetId="9" hidden="1">{#N/A,#N/A,FALSE,"Plan1";#N/A,#N/A,FALSE,"Plan2"}</definedName>
    <definedName name="gdfgdstggt" localSheetId="13" hidden="1">{#N/A,#N/A,FALSE,"Plan1";#N/A,#N/A,FALSE,"Plan2"}</definedName>
    <definedName name="gdfgdstggt" localSheetId="0" hidden="1">{#N/A,#N/A,FALSE,"Plan1";#N/A,#N/A,FALSE,"Plan2"}</definedName>
    <definedName name="gdfgdstggt" hidden="1">{#N/A,#N/A,FALSE,"Plan1";#N/A,#N/A,FALSE,"Plan2"}</definedName>
    <definedName name="GDFHGRJGFJDRF" localSheetId="3" hidden="1">{"Econ Consolidado",#N/A,FALSE,"Econ Consol";"Fluxo de Caixa",#N/A,FALSE,"Fluxo Caixa";"Investimentos",#N/A,FALSE,"Investimentos"}</definedName>
    <definedName name="GDFHGRJGFJDRF" localSheetId="8" hidden="1">{"Econ Consolidado",#N/A,FALSE,"Econ Consol";"Fluxo de Caixa",#N/A,FALSE,"Fluxo Caixa";"Investimentos",#N/A,FALSE,"Investimentos"}</definedName>
    <definedName name="GDFHGRJGFJDRF" localSheetId="2" hidden="1">{"Econ Consolidado",#N/A,FALSE,"Econ Consol";"Fluxo de Caixa",#N/A,FALSE,"Fluxo Caixa";"Investimentos",#N/A,FALSE,"Investimentos"}</definedName>
    <definedName name="GDFHGRJGFJDRF" localSheetId="9" hidden="1">{"Econ Consolidado",#N/A,FALSE,"Econ Consol";"Fluxo de Caixa",#N/A,FALSE,"Fluxo Caixa";"Investimentos",#N/A,FALSE,"Investimentos"}</definedName>
    <definedName name="GDFHGRJGFJDRF" localSheetId="13" hidden="1">{"Econ Consolidado",#N/A,FALSE,"Econ Consol";"Fluxo de Caixa",#N/A,FALSE,"Fluxo Caixa";"Investimentos",#N/A,FALSE,"Investimentos"}</definedName>
    <definedName name="GDFHGRJGFJDRF" localSheetId="0" hidden="1">{"Econ Consolidado",#N/A,FALSE,"Econ Consol";"Fluxo de Caixa",#N/A,FALSE,"Fluxo Caixa";"Investimentos",#N/A,FALSE,"Investimentos"}</definedName>
    <definedName name="GDFHGRJGFJDRF" hidden="1">{"Econ Consolidado",#N/A,FALSE,"Econ Consol";"Fluxo de Caixa",#N/A,FALSE,"Fluxo Caixa";"Investimentos",#N/A,FALSE,"Investimentos"}</definedName>
    <definedName name="gdfigfhuyuy" localSheetId="3" hidden="1">{#N/A,#N/A,FALSE,"Plan1";#N/A,#N/A,FALSE,"Plan2"}</definedName>
    <definedName name="gdfigfhuyuy" localSheetId="8" hidden="1">{#N/A,#N/A,FALSE,"Plan1";#N/A,#N/A,FALSE,"Plan2"}</definedName>
    <definedName name="gdfigfhuyuy" localSheetId="2" hidden="1">{#N/A,#N/A,FALSE,"Plan1";#N/A,#N/A,FALSE,"Plan2"}</definedName>
    <definedName name="gdfigfhuyuy" localSheetId="9" hidden="1">{#N/A,#N/A,FALSE,"Plan1";#N/A,#N/A,FALSE,"Plan2"}</definedName>
    <definedName name="gdfigfhuyuy" localSheetId="13" hidden="1">{#N/A,#N/A,FALSE,"Plan1";#N/A,#N/A,FALSE,"Plan2"}</definedName>
    <definedName name="gdfigfhuyuy" localSheetId="0" hidden="1">{#N/A,#N/A,FALSE,"Plan1";#N/A,#N/A,FALSE,"Plan2"}</definedName>
    <definedName name="gdfigfhuyuy" hidden="1">{#N/A,#N/A,FALSE,"Plan1";#N/A,#N/A,FALSE,"Plan2"}</definedName>
    <definedName name="gdfsgfew" localSheetId="3" hidden="1">{#N/A,#N/A,FALSE,"Plan1";#N/A,#N/A,FALSE,"Plan2"}</definedName>
    <definedName name="gdfsgfew" localSheetId="8" hidden="1">{#N/A,#N/A,FALSE,"Plan1";#N/A,#N/A,FALSE,"Plan2"}</definedName>
    <definedName name="gdfsgfew" localSheetId="2" hidden="1">{#N/A,#N/A,FALSE,"Plan1";#N/A,#N/A,FALSE,"Plan2"}</definedName>
    <definedName name="gdfsgfew" localSheetId="9" hidden="1">{#N/A,#N/A,FALSE,"Plan1";#N/A,#N/A,FALSE,"Plan2"}</definedName>
    <definedName name="gdfsgfew" localSheetId="13" hidden="1">{#N/A,#N/A,FALSE,"Plan1";#N/A,#N/A,FALSE,"Plan2"}</definedName>
    <definedName name="gdfsgfew" localSheetId="0" hidden="1">{#N/A,#N/A,FALSE,"Plan1";#N/A,#N/A,FALSE,"Plan2"}</definedName>
    <definedName name="gdfsgfew" hidden="1">{#N/A,#N/A,FALSE,"Plan1";#N/A,#N/A,FALSE,"Plan2"}</definedName>
    <definedName name="gdhfgdhfgf" localSheetId="3" hidden="1">{#N/A,#N/A,FALSE,"Plan1";#N/A,#N/A,FALSE,"Plan2"}</definedName>
    <definedName name="gdhfgdhfgf" localSheetId="8" hidden="1">{#N/A,#N/A,FALSE,"Plan1";#N/A,#N/A,FALSE,"Plan2"}</definedName>
    <definedName name="gdhfgdhfgf" localSheetId="2" hidden="1">{#N/A,#N/A,FALSE,"Plan1";#N/A,#N/A,FALSE,"Plan2"}</definedName>
    <definedName name="gdhfgdhfgf" localSheetId="9" hidden="1">{#N/A,#N/A,FALSE,"Plan1";#N/A,#N/A,FALSE,"Plan2"}</definedName>
    <definedName name="gdhfgdhfgf" localSheetId="13" hidden="1">{#N/A,#N/A,FALSE,"Plan1";#N/A,#N/A,FALSE,"Plan2"}</definedName>
    <definedName name="gdhfgdhfgf" localSheetId="0" hidden="1">{#N/A,#N/A,FALSE,"Plan1";#N/A,#N/A,FALSE,"Plan2"}</definedName>
    <definedName name="gdhfgdhfgf" hidden="1">{#N/A,#N/A,FALSE,"Plan1";#N/A,#N/A,FALSE,"Plan2"}</definedName>
    <definedName name="gdsfhefrwrw" localSheetId="3" hidden="1">{#N/A,#N/A,FALSE,"Plan1";#N/A,#N/A,FALSE,"Plan2"}</definedName>
    <definedName name="gdsfhefrwrw" localSheetId="8" hidden="1">{#N/A,#N/A,FALSE,"Plan1";#N/A,#N/A,FALSE,"Plan2"}</definedName>
    <definedName name="gdsfhefrwrw" localSheetId="2" hidden="1">{#N/A,#N/A,FALSE,"Plan1";#N/A,#N/A,FALSE,"Plan2"}</definedName>
    <definedName name="gdsfhefrwrw" localSheetId="9" hidden="1">{#N/A,#N/A,FALSE,"Plan1";#N/A,#N/A,FALSE,"Plan2"}</definedName>
    <definedName name="gdsfhefrwrw" localSheetId="13" hidden="1">{#N/A,#N/A,FALSE,"Plan1";#N/A,#N/A,FALSE,"Plan2"}</definedName>
    <definedName name="gdsfhefrwrw" localSheetId="0" hidden="1">{#N/A,#N/A,FALSE,"Plan1";#N/A,#N/A,FALSE,"Plan2"}</definedName>
    <definedName name="gdsfhefrwrw" hidden="1">{#N/A,#N/A,FALSE,"Plan1";#N/A,#N/A,FALSE,"Plan2"}</definedName>
    <definedName name="GER_TECNICO" localSheetId="3">#REF!</definedName>
    <definedName name="GER_TECNICO" localSheetId="2">#REF!</definedName>
    <definedName name="GER_TECNICO">#REF!</definedName>
    <definedName name="Gerentes" localSheetId="3">#REF!</definedName>
    <definedName name="Gerentes" localSheetId="2">#REF!</definedName>
    <definedName name="Gerentes">#REF!</definedName>
    <definedName name="geshrjhed" localSheetId="3" hidden="1">{#N/A,#N/A,FALSE,"Plan1";#N/A,#N/A,FALSE,"Plan2"}</definedName>
    <definedName name="geshrjhed" localSheetId="8" hidden="1">{#N/A,#N/A,FALSE,"Plan1";#N/A,#N/A,FALSE,"Plan2"}</definedName>
    <definedName name="geshrjhed" localSheetId="2" hidden="1">{#N/A,#N/A,FALSE,"Plan1";#N/A,#N/A,FALSE,"Plan2"}</definedName>
    <definedName name="geshrjhed" localSheetId="9" hidden="1">{#N/A,#N/A,FALSE,"Plan1";#N/A,#N/A,FALSE,"Plan2"}</definedName>
    <definedName name="geshrjhed" localSheetId="13" hidden="1">{#N/A,#N/A,FALSE,"Plan1";#N/A,#N/A,FALSE,"Plan2"}</definedName>
    <definedName name="geshrjhed" localSheetId="0" hidden="1">{#N/A,#N/A,FALSE,"Plan1";#N/A,#N/A,FALSE,"Plan2"}</definedName>
    <definedName name="geshrjhed" hidden="1">{#N/A,#N/A,FALSE,"Plan1";#N/A,#N/A,FALSE,"Plan2"}</definedName>
    <definedName name="gestao" localSheetId="3" hidden="1">OFFSET(INDEX(#REF!,MATCH(#REF!,#REF!,0)),1,0,COUNTA(#REF!)-1)</definedName>
    <definedName name="gestao" localSheetId="8" hidden="1">OFFSET(INDEX(#REF!,MATCH(#REF!,#REF!,0)),1,0,COUNTA(#REF!)-1)</definedName>
    <definedName name="gestao" localSheetId="2" hidden="1">OFFSET(INDEX(#REF!,MATCH(#REF!,#REF!,0)),1,0,COUNTA(#REF!)-1)</definedName>
    <definedName name="gestao" localSheetId="9" hidden="1">OFFSET(INDEX(#REF!,MATCH(#REF!,#REF!,0)),1,0,COUNTA(#REF!)-1)</definedName>
    <definedName name="gestao" localSheetId="13" hidden="1">OFFSET(INDEX(#REF!,MATCH(#REF!,#REF!,0)),1,0,COUNTA(#REF!)-1)</definedName>
    <definedName name="gestao" localSheetId="0" hidden="1">OFFSET(INDEX(#REF!,MATCH(#REF!,#REF!,0)),1,0,COUNTA(#REF!)-1)</definedName>
    <definedName name="gestao" hidden="1">OFFSET(INDEX(#REF!,MATCH(#REF!,#REF!,0)),1,0,COUNTA(#REF!)-1)</definedName>
    <definedName name="gfdcgnkf" localSheetId="3" hidden="1">{#N/A,#N/A,FALSE,"Plan1";#N/A,#N/A,FALSE,"Plan2"}</definedName>
    <definedName name="gfdcgnkf" localSheetId="8" hidden="1">{#N/A,#N/A,FALSE,"Plan1";#N/A,#N/A,FALSE,"Plan2"}</definedName>
    <definedName name="gfdcgnkf" localSheetId="2" hidden="1">{#N/A,#N/A,FALSE,"Plan1";#N/A,#N/A,FALSE,"Plan2"}</definedName>
    <definedName name="gfdcgnkf" localSheetId="9" hidden="1">{#N/A,#N/A,FALSE,"Plan1";#N/A,#N/A,FALSE,"Plan2"}</definedName>
    <definedName name="gfdcgnkf" localSheetId="13" hidden="1">{#N/A,#N/A,FALSE,"Plan1";#N/A,#N/A,FALSE,"Plan2"}</definedName>
    <definedName name="gfdcgnkf" localSheetId="0" hidden="1">{#N/A,#N/A,FALSE,"Plan1";#N/A,#N/A,FALSE,"Plan2"}</definedName>
    <definedName name="gfdcgnkf" hidden="1">{#N/A,#N/A,FALSE,"Plan1";#N/A,#N/A,FALSE,"Plan2"}</definedName>
    <definedName name="gfdjtgur" localSheetId="3" hidden="1">{#N/A,#N/A,FALSE,"Plan1";#N/A,#N/A,FALSE,"Plan2"}</definedName>
    <definedName name="gfdjtgur" localSheetId="8" hidden="1">{#N/A,#N/A,FALSE,"Plan1";#N/A,#N/A,FALSE,"Plan2"}</definedName>
    <definedName name="gfdjtgur" localSheetId="2" hidden="1">{#N/A,#N/A,FALSE,"Plan1";#N/A,#N/A,FALSE,"Plan2"}</definedName>
    <definedName name="gfdjtgur" localSheetId="9" hidden="1">{#N/A,#N/A,FALSE,"Plan1";#N/A,#N/A,FALSE,"Plan2"}</definedName>
    <definedName name="gfdjtgur" localSheetId="13" hidden="1">{#N/A,#N/A,FALSE,"Plan1";#N/A,#N/A,FALSE,"Plan2"}</definedName>
    <definedName name="gfdjtgur" localSheetId="0" hidden="1">{#N/A,#N/A,FALSE,"Plan1";#N/A,#N/A,FALSE,"Plan2"}</definedName>
    <definedName name="gfdjtgur" hidden="1">{#N/A,#N/A,FALSE,"Plan1";#N/A,#N/A,FALSE,"Plan2"}</definedName>
    <definedName name="gfdrtg" localSheetId="3" hidden="1">#REF!</definedName>
    <definedName name="gfdrtg" localSheetId="8" hidden="1">#REF!</definedName>
    <definedName name="gfdrtg" localSheetId="2" hidden="1">#REF!</definedName>
    <definedName name="gfdrtg" localSheetId="9" hidden="1">#REF!</definedName>
    <definedName name="gfdrtg" localSheetId="13" hidden="1">#REF!</definedName>
    <definedName name="gfdrtg" localSheetId="0" hidden="1">#REF!</definedName>
    <definedName name="gfdrtg" hidden="1">#REF!</definedName>
    <definedName name="gfgdhxgfdhf" localSheetId="3" hidden="1">{#N/A,#N/A,FALSE,"Plan1";#N/A,#N/A,FALSE,"Plan2"}</definedName>
    <definedName name="gfgdhxgfdhf" localSheetId="8" hidden="1">{#N/A,#N/A,FALSE,"Plan1";#N/A,#N/A,FALSE,"Plan2"}</definedName>
    <definedName name="gfgdhxgfdhf" localSheetId="2" hidden="1">{#N/A,#N/A,FALSE,"Plan1";#N/A,#N/A,FALSE,"Plan2"}</definedName>
    <definedName name="gfgdhxgfdhf" localSheetId="9" hidden="1">{#N/A,#N/A,FALSE,"Plan1";#N/A,#N/A,FALSE,"Plan2"}</definedName>
    <definedName name="gfgdhxgfdhf" localSheetId="13" hidden="1">{#N/A,#N/A,FALSE,"Plan1";#N/A,#N/A,FALSE,"Plan2"}</definedName>
    <definedName name="gfgdhxgfdhf" localSheetId="0" hidden="1">{#N/A,#N/A,FALSE,"Plan1";#N/A,#N/A,FALSE,"Plan2"}</definedName>
    <definedName name="gfgdhxgfdhf" hidden="1">{#N/A,#N/A,FALSE,"Plan1";#N/A,#N/A,FALSE,"Plan2"}</definedName>
    <definedName name="gfhfdtgjb" localSheetId="3" hidden="1">{#N/A,#N/A,FALSE,"Plan1";#N/A,#N/A,FALSE,"Plan2"}</definedName>
    <definedName name="gfhfdtgjb" localSheetId="8" hidden="1">{#N/A,#N/A,FALSE,"Plan1";#N/A,#N/A,FALSE,"Plan2"}</definedName>
    <definedName name="gfhfdtgjb" localSheetId="2" hidden="1">{#N/A,#N/A,FALSE,"Plan1";#N/A,#N/A,FALSE,"Plan2"}</definedName>
    <definedName name="gfhfdtgjb" localSheetId="9" hidden="1">{#N/A,#N/A,FALSE,"Plan1";#N/A,#N/A,FALSE,"Plan2"}</definedName>
    <definedName name="gfhfdtgjb" localSheetId="13" hidden="1">{#N/A,#N/A,FALSE,"Plan1";#N/A,#N/A,FALSE,"Plan2"}</definedName>
    <definedName name="gfhfdtgjb" localSheetId="0" hidden="1">{#N/A,#N/A,FALSE,"Plan1";#N/A,#N/A,FALSE,"Plan2"}</definedName>
    <definedName name="gfhfdtgjb" hidden="1">{#N/A,#N/A,FALSE,"Plan1";#N/A,#N/A,FALSE,"Plan2"}</definedName>
    <definedName name="gfjdshrtjhtged" localSheetId="3" hidden="1">{#N/A,#N/A,FALSE,"Plan1";#N/A,#N/A,FALSE,"Plan2"}</definedName>
    <definedName name="gfjdshrtjhtged" localSheetId="8" hidden="1">{#N/A,#N/A,FALSE,"Plan1";#N/A,#N/A,FALSE,"Plan2"}</definedName>
    <definedName name="gfjdshrtjhtged" localSheetId="2" hidden="1">{#N/A,#N/A,FALSE,"Plan1";#N/A,#N/A,FALSE,"Plan2"}</definedName>
    <definedName name="gfjdshrtjhtged" localSheetId="9" hidden="1">{#N/A,#N/A,FALSE,"Plan1";#N/A,#N/A,FALSE,"Plan2"}</definedName>
    <definedName name="gfjdshrtjhtged" localSheetId="13" hidden="1">{#N/A,#N/A,FALSE,"Plan1";#N/A,#N/A,FALSE,"Plan2"}</definedName>
    <definedName name="gfjdshrtjhtged" localSheetId="0" hidden="1">{#N/A,#N/A,FALSE,"Plan1";#N/A,#N/A,FALSE,"Plan2"}</definedName>
    <definedName name="gfjdshrtjhtged" hidden="1">{#N/A,#N/A,FALSE,"Plan1";#N/A,#N/A,FALSE,"Plan2"}</definedName>
    <definedName name="gfjgkddgfd" localSheetId="3" hidden="1">{#N/A,#N/A,FALSE,"Plan1";#N/A,#N/A,FALSE,"Plan2"}</definedName>
    <definedName name="gfjgkddgfd" localSheetId="8" hidden="1">{#N/A,#N/A,FALSE,"Plan1";#N/A,#N/A,FALSE,"Plan2"}</definedName>
    <definedName name="gfjgkddgfd" localSheetId="2" hidden="1">{#N/A,#N/A,FALSE,"Plan1";#N/A,#N/A,FALSE,"Plan2"}</definedName>
    <definedName name="gfjgkddgfd" localSheetId="9" hidden="1">{#N/A,#N/A,FALSE,"Plan1";#N/A,#N/A,FALSE,"Plan2"}</definedName>
    <definedName name="gfjgkddgfd" localSheetId="13" hidden="1">{#N/A,#N/A,FALSE,"Plan1";#N/A,#N/A,FALSE,"Plan2"}</definedName>
    <definedName name="gfjgkddgfd" localSheetId="0" hidden="1">{#N/A,#N/A,FALSE,"Plan1";#N/A,#N/A,FALSE,"Plan2"}</definedName>
    <definedName name="gfjgkddgfd" hidden="1">{#N/A,#N/A,FALSE,"Plan1";#N/A,#N/A,FALSE,"Plan2"}</definedName>
    <definedName name="gfsghjdgygr" localSheetId="3" hidden="1">{#N/A,#N/A,FALSE,"Plan1";#N/A,#N/A,FALSE,"Plan2"}</definedName>
    <definedName name="gfsghjdgygr" localSheetId="8" hidden="1">{#N/A,#N/A,FALSE,"Plan1";#N/A,#N/A,FALSE,"Plan2"}</definedName>
    <definedName name="gfsghjdgygr" localSheetId="2" hidden="1">{#N/A,#N/A,FALSE,"Plan1";#N/A,#N/A,FALSE,"Plan2"}</definedName>
    <definedName name="gfsghjdgygr" localSheetId="9" hidden="1">{#N/A,#N/A,FALSE,"Plan1";#N/A,#N/A,FALSE,"Plan2"}</definedName>
    <definedName name="gfsghjdgygr" localSheetId="13" hidden="1">{#N/A,#N/A,FALSE,"Plan1";#N/A,#N/A,FALSE,"Plan2"}</definedName>
    <definedName name="gfsghjdgygr" localSheetId="0" hidden="1">{#N/A,#N/A,FALSE,"Plan1";#N/A,#N/A,FALSE,"Plan2"}</definedName>
    <definedName name="gfsghjdgygr" hidden="1">{#N/A,#N/A,FALSE,"Plan1";#N/A,#N/A,FALSE,"Plan2"}</definedName>
    <definedName name="gftfy" localSheetId="3" hidden="1">{#N/A,#N/A,FALSE,"Plan1";#N/A,#N/A,FALSE,"Plan2"}</definedName>
    <definedName name="gftfy" localSheetId="8" hidden="1">{#N/A,#N/A,FALSE,"Plan1";#N/A,#N/A,FALSE,"Plan2"}</definedName>
    <definedName name="gftfy" localSheetId="2" hidden="1">{#N/A,#N/A,FALSE,"Plan1";#N/A,#N/A,FALSE,"Plan2"}</definedName>
    <definedName name="gftfy" localSheetId="9" hidden="1">{#N/A,#N/A,FALSE,"Plan1";#N/A,#N/A,FALSE,"Plan2"}</definedName>
    <definedName name="gftfy" localSheetId="13" hidden="1">{#N/A,#N/A,FALSE,"Plan1";#N/A,#N/A,FALSE,"Plan2"}</definedName>
    <definedName name="gftfy" localSheetId="0" hidden="1">{#N/A,#N/A,FALSE,"Plan1";#N/A,#N/A,FALSE,"Plan2"}</definedName>
    <definedName name="gftfy" hidden="1">{#N/A,#N/A,FALSE,"Plan1";#N/A,#N/A,FALSE,"Plan2"}</definedName>
    <definedName name="gfty" localSheetId="3" hidden="1">{#N/A,#N/A,FALSE,"Plan1";#N/A,#N/A,FALSE,"Plan2"}</definedName>
    <definedName name="gfty" localSheetId="8" hidden="1">{#N/A,#N/A,FALSE,"Plan1";#N/A,#N/A,FALSE,"Plan2"}</definedName>
    <definedName name="gfty" localSheetId="2" hidden="1">{#N/A,#N/A,FALSE,"Plan1";#N/A,#N/A,FALSE,"Plan2"}</definedName>
    <definedName name="gfty" localSheetId="9" hidden="1">{#N/A,#N/A,FALSE,"Plan1";#N/A,#N/A,FALSE,"Plan2"}</definedName>
    <definedName name="gfty" localSheetId="13" hidden="1">{#N/A,#N/A,FALSE,"Plan1";#N/A,#N/A,FALSE,"Plan2"}</definedName>
    <definedName name="gfty" localSheetId="0" hidden="1">{#N/A,#N/A,FALSE,"Plan1";#N/A,#N/A,FALSE,"Plan2"}</definedName>
    <definedName name="gfty" hidden="1">{#N/A,#N/A,FALSE,"Plan1";#N/A,#N/A,FALSE,"Plan2"}</definedName>
    <definedName name="GFUJU9" localSheetId="3" hidden="1">{#N/A,#N/A,FALSE,"Plan1";#N/A,#N/A,FALSE,"Plan2"}</definedName>
    <definedName name="GFUJU9" localSheetId="8" hidden="1">{#N/A,#N/A,FALSE,"Plan1";#N/A,#N/A,FALSE,"Plan2"}</definedName>
    <definedName name="GFUJU9" localSheetId="2" hidden="1">{#N/A,#N/A,FALSE,"Plan1";#N/A,#N/A,FALSE,"Plan2"}</definedName>
    <definedName name="GFUJU9" localSheetId="9" hidden="1">{#N/A,#N/A,FALSE,"Plan1";#N/A,#N/A,FALSE,"Plan2"}</definedName>
    <definedName name="GFUJU9" localSheetId="13" hidden="1">{#N/A,#N/A,FALSE,"Plan1";#N/A,#N/A,FALSE,"Plan2"}</definedName>
    <definedName name="GFUJU9" localSheetId="0" hidden="1">{#N/A,#N/A,FALSE,"Plan1";#N/A,#N/A,FALSE,"Plan2"}</definedName>
    <definedName name="GFUJU9" hidden="1">{#N/A,#N/A,FALSE,"Plan1";#N/A,#N/A,FALSE,"Plan2"}</definedName>
    <definedName name="ggg"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 localSheetId="3" hidden="1">{"'장비'!$A$3:$M$12"}</definedName>
    <definedName name="gggg" localSheetId="8" hidden="1">{"'장비'!$A$3:$M$12"}</definedName>
    <definedName name="GGGG" localSheetId="2" hidden="1">{#N/A,#N/A,FALSE,"Plan1";#N/A,#N/A,FALSE,"Plan2"}</definedName>
    <definedName name="gggg" localSheetId="9" hidden="1">{"'장비'!$A$3:$M$12"}</definedName>
    <definedName name="gggg" localSheetId="13" hidden="1">{"'장비'!$A$3:$M$12"}</definedName>
    <definedName name="GGGG" localSheetId="0" hidden="1">{#N/A,#N/A,FALSE,"Plan1";#N/A,#N/A,FALSE,"Plan2"}</definedName>
    <definedName name="gggg" hidden="1">{"'장비'!$A$3:$M$12"}</definedName>
    <definedName name="ggggggggg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ggggggggg" hidden="1">{TRUE,TRUE,-1.25,-15.5,604.5,366.75,FALSE,FALSE,TRUE,TRUE,0,1,#N/A,1,#N/A,9.0125,24.4117647058824,1,FALSE,FALSE,3,TRUE,1,FALSE,100,"Swvu.PLANILHA2.","ACwvu.PLANILHA2.",#N/A,FALSE,FALSE,0.787401575,0.34,0.46,0.5,1,"","",FALSE,FALSE,FALSE,FALSE,1,#N/A,1,1,FALSE,FALSE,#N/A,#N/A,FALSE,FALSE,FALSE,9,65532,65532,FALSE,FALSE,TRUE,TRUE,TRUE}</definedName>
    <definedName name="gh" localSheetId="3" hidden="1">{"'장비'!$A$3:$M$12"}</definedName>
    <definedName name="gh" localSheetId="8" hidden="1">{"'장비'!$A$3:$M$12"}</definedName>
    <definedName name="gh" localSheetId="2" hidden="1">{"'장비'!$A$3:$M$12"}</definedName>
    <definedName name="gh" localSheetId="9" hidden="1">{"'장비'!$A$3:$M$12"}</definedName>
    <definedName name="gh" localSheetId="13" hidden="1">{"'장비'!$A$3:$M$12"}</definedName>
    <definedName name="gh" localSheetId="0" hidden="1">{"'장비'!$A$3:$M$12"}</definedName>
    <definedName name="gh" hidden="1">{"'장비'!$A$3:$M$12"}</definedName>
    <definedName name="ghfgdfrtert" localSheetId="3" hidden="1">{#N/A,#N/A,FALSE,"Plan1";#N/A,#N/A,FALSE,"Plan2"}</definedName>
    <definedName name="ghfgdfrtert" localSheetId="8" hidden="1">{#N/A,#N/A,FALSE,"Plan1";#N/A,#N/A,FALSE,"Plan2"}</definedName>
    <definedName name="ghfgdfrtert" localSheetId="2" hidden="1">{#N/A,#N/A,FALSE,"Plan1";#N/A,#N/A,FALSE,"Plan2"}</definedName>
    <definedName name="ghfgdfrtert" localSheetId="9" hidden="1">{#N/A,#N/A,FALSE,"Plan1";#N/A,#N/A,FALSE,"Plan2"}</definedName>
    <definedName name="ghfgdfrtert" localSheetId="13" hidden="1">{#N/A,#N/A,FALSE,"Plan1";#N/A,#N/A,FALSE,"Plan2"}</definedName>
    <definedName name="ghfgdfrtert" localSheetId="0" hidden="1">{#N/A,#N/A,FALSE,"Plan1";#N/A,#N/A,FALSE,"Plan2"}</definedName>
    <definedName name="ghfgdfrtert" hidden="1">{#N/A,#N/A,FALSE,"Plan1";#N/A,#N/A,FALSE,"Plan2"}</definedName>
    <definedName name="ghfhghft" localSheetId="3" hidden="1">{#N/A,#N/A,FALSE,"Plan1";#N/A,#N/A,FALSE,"Plan2"}</definedName>
    <definedName name="ghfhghft" localSheetId="8" hidden="1">{#N/A,#N/A,FALSE,"Plan1";#N/A,#N/A,FALSE,"Plan2"}</definedName>
    <definedName name="ghfhghft" localSheetId="2" hidden="1">{#N/A,#N/A,FALSE,"Plan1";#N/A,#N/A,FALSE,"Plan2"}</definedName>
    <definedName name="ghfhghft" localSheetId="9" hidden="1">{#N/A,#N/A,FALSE,"Plan1";#N/A,#N/A,FALSE,"Plan2"}</definedName>
    <definedName name="ghfhghft" localSheetId="13" hidden="1">{#N/A,#N/A,FALSE,"Plan1";#N/A,#N/A,FALSE,"Plan2"}</definedName>
    <definedName name="ghfhghft" localSheetId="0" hidden="1">{#N/A,#N/A,FALSE,"Plan1";#N/A,#N/A,FALSE,"Plan2"}</definedName>
    <definedName name="ghfhghft" hidden="1">{#N/A,#N/A,FALSE,"Plan1";#N/A,#N/A,FALSE,"Plan2"}</definedName>
    <definedName name="ghjg" localSheetId="3" hidden="1">{"'Estimativa de Lançamento-JAN'!$A$1:$AI$85"}</definedName>
    <definedName name="ghjg" localSheetId="8" hidden="1">{"'Estimativa de Lançamento-JAN'!$A$1:$AI$85"}</definedName>
    <definedName name="ghjg" localSheetId="2" hidden="1">{"'Estimativa de Lançamento-JAN'!$A$1:$AI$85"}</definedName>
    <definedName name="ghjg" localSheetId="9" hidden="1">{"'Estimativa de Lançamento-JAN'!$A$1:$AI$85"}</definedName>
    <definedName name="ghjg" localSheetId="13" hidden="1">{"'Estimativa de Lançamento-JAN'!$A$1:$AI$85"}</definedName>
    <definedName name="ghjg" localSheetId="0" hidden="1">{"'Estimativa de Lançamento-JAN'!$A$1:$AI$85"}</definedName>
    <definedName name="ghjg" hidden="1">{"'Estimativa de Lançamento-JAN'!$A$1:$AI$85"}</definedName>
    <definedName name="ghkfhgh" localSheetId="3" hidden="1">{#N/A,#N/A,FALSE,"Plan1";#N/A,#N/A,FALSE,"Plan2"}</definedName>
    <definedName name="ghkfhgh" localSheetId="8" hidden="1">{#N/A,#N/A,FALSE,"Plan1";#N/A,#N/A,FALSE,"Plan2"}</definedName>
    <definedName name="ghkfhgh" localSheetId="2" hidden="1">{#N/A,#N/A,FALSE,"Plan1";#N/A,#N/A,FALSE,"Plan2"}</definedName>
    <definedName name="ghkfhgh" localSheetId="9" hidden="1">{#N/A,#N/A,FALSE,"Plan1";#N/A,#N/A,FALSE,"Plan2"}</definedName>
    <definedName name="ghkfhgh" localSheetId="13" hidden="1">{#N/A,#N/A,FALSE,"Plan1";#N/A,#N/A,FALSE,"Plan2"}</definedName>
    <definedName name="ghkfhgh" localSheetId="0" hidden="1">{#N/A,#N/A,FALSE,"Plan1";#N/A,#N/A,FALSE,"Plan2"}</definedName>
    <definedName name="ghkfhgh" hidden="1">{#N/A,#N/A,FALSE,"Plan1";#N/A,#N/A,FALSE,"Plan2"}</definedName>
    <definedName name="ghkjh" localSheetId="3" hidden="1">{#N/A,#N/A,FALSE,"ENG'G(보호계전기)"}</definedName>
    <definedName name="ghkjh" localSheetId="8" hidden="1">{#N/A,#N/A,FALSE,"ENG'G(보호계전기)"}</definedName>
    <definedName name="ghkjh" localSheetId="2" hidden="1">{#N/A,#N/A,FALSE,"ENG'G(보호계전기)"}</definedName>
    <definedName name="ghkjh" localSheetId="9" hidden="1">{#N/A,#N/A,FALSE,"ENG'G(보호계전기)"}</definedName>
    <definedName name="ghkjh" localSheetId="13" hidden="1">{#N/A,#N/A,FALSE,"ENG'G(보호계전기)"}</definedName>
    <definedName name="ghkjh" localSheetId="0" hidden="1">{#N/A,#N/A,FALSE,"ENG'G(보호계전기)"}</definedName>
    <definedName name="ghkjh" hidden="1">{#N/A,#N/A,FALSE,"ENG'G(보호계전기)"}</definedName>
    <definedName name="GJ" localSheetId="3" hidden="1">{#N/A,#N/A,FALSE,"GERAL";#N/A,#N/A,FALSE,"012-96";#N/A,#N/A,FALSE,"018-96";#N/A,#N/A,FALSE,"027-96";#N/A,#N/A,FALSE,"059-96";#N/A,#N/A,FALSE,"076-96";#N/A,#N/A,FALSE,"019-97";#N/A,#N/A,FALSE,"021-97";#N/A,#N/A,FALSE,"022-97";#N/A,#N/A,FALSE,"028-97"}</definedName>
    <definedName name="GJ" localSheetId="8" hidden="1">{#N/A,#N/A,FALSE,"GERAL";#N/A,#N/A,FALSE,"012-96";#N/A,#N/A,FALSE,"018-96";#N/A,#N/A,FALSE,"027-96";#N/A,#N/A,FALSE,"059-96";#N/A,#N/A,FALSE,"076-96";#N/A,#N/A,FALSE,"019-97";#N/A,#N/A,FALSE,"021-97";#N/A,#N/A,FALSE,"022-97";#N/A,#N/A,FALSE,"028-97"}</definedName>
    <definedName name="GJ" localSheetId="2" hidden="1">{#N/A,#N/A,FALSE,"GERAL";#N/A,#N/A,FALSE,"012-96";#N/A,#N/A,FALSE,"018-96";#N/A,#N/A,FALSE,"027-96";#N/A,#N/A,FALSE,"059-96";#N/A,#N/A,FALSE,"076-96";#N/A,#N/A,FALSE,"019-97";#N/A,#N/A,FALSE,"021-97";#N/A,#N/A,FALSE,"022-97";#N/A,#N/A,FALSE,"028-97"}</definedName>
    <definedName name="GJ" localSheetId="9" hidden="1">{#N/A,#N/A,FALSE,"GERAL";#N/A,#N/A,FALSE,"012-96";#N/A,#N/A,FALSE,"018-96";#N/A,#N/A,FALSE,"027-96";#N/A,#N/A,FALSE,"059-96";#N/A,#N/A,FALSE,"076-96";#N/A,#N/A,FALSE,"019-97";#N/A,#N/A,FALSE,"021-97";#N/A,#N/A,FALSE,"022-97";#N/A,#N/A,FALSE,"028-97"}</definedName>
    <definedName name="GJ" localSheetId="13" hidden="1">{#N/A,#N/A,FALSE,"GERAL";#N/A,#N/A,FALSE,"012-96";#N/A,#N/A,FALSE,"018-96";#N/A,#N/A,FALSE,"027-96";#N/A,#N/A,FALSE,"059-96";#N/A,#N/A,FALSE,"076-96";#N/A,#N/A,FALSE,"019-97";#N/A,#N/A,FALSE,"021-97";#N/A,#N/A,FALSE,"022-97";#N/A,#N/A,FALSE,"028-97"}</definedName>
    <definedName name="GJ" localSheetId="0" hidden="1">{#N/A,#N/A,FALSE,"GERAL";#N/A,#N/A,FALSE,"012-96";#N/A,#N/A,FALSE,"018-96";#N/A,#N/A,FALSE,"027-96";#N/A,#N/A,FALSE,"059-96";#N/A,#N/A,FALSE,"076-96";#N/A,#N/A,FALSE,"019-97";#N/A,#N/A,FALSE,"021-97";#N/A,#N/A,FALSE,"022-97";#N/A,#N/A,FALSE,"028-97"}</definedName>
    <definedName name="GJ" hidden="1">{#N/A,#N/A,FALSE,"GERAL";#N/A,#N/A,FALSE,"012-96";#N/A,#N/A,FALSE,"018-96";#N/A,#N/A,FALSE,"027-96";#N/A,#N/A,FALSE,"059-96";#N/A,#N/A,FALSE,"076-96";#N/A,#N/A,FALSE,"019-97";#N/A,#N/A,FALSE,"021-97";#N/A,#N/A,FALSE,"022-97";#N/A,#N/A,FALSE,"028-97"}</definedName>
    <definedName name="gjfhjktgcf" localSheetId="3" hidden="1">{#N/A,#N/A,FALSE,"Plan1";#N/A,#N/A,FALSE,"Plan2"}</definedName>
    <definedName name="gjfhjktgcf" localSheetId="8" hidden="1">{#N/A,#N/A,FALSE,"Plan1";#N/A,#N/A,FALSE,"Plan2"}</definedName>
    <definedName name="gjfhjktgcf" localSheetId="2" hidden="1">{#N/A,#N/A,FALSE,"Plan1";#N/A,#N/A,FALSE,"Plan2"}</definedName>
    <definedName name="gjfhjktgcf" localSheetId="9" hidden="1">{#N/A,#N/A,FALSE,"Plan1";#N/A,#N/A,FALSE,"Plan2"}</definedName>
    <definedName name="gjfhjktgcf" localSheetId="13" hidden="1">{#N/A,#N/A,FALSE,"Plan1";#N/A,#N/A,FALSE,"Plan2"}</definedName>
    <definedName name="gjfhjktgcf" localSheetId="0" hidden="1">{#N/A,#N/A,FALSE,"Plan1";#N/A,#N/A,FALSE,"Plan2"}</definedName>
    <definedName name="gjfhjktgcf" hidden="1">{#N/A,#N/A,FALSE,"Plan1";#N/A,#N/A,FALSE,"Plan2"}</definedName>
    <definedName name="GJ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J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JG" hidden="1">{TRUE,TRUE,-1.25,-15.5,604.5,366.75,FALSE,FALSE,TRUE,TRUE,0,1,#N/A,1,#N/A,9.0125,24.4117647058824,1,FALSE,FALSE,3,TRUE,1,FALSE,100,"Swvu.PLANILHA2.","ACwvu.PLANILHA2.",#N/A,FALSE,FALSE,0.787401575,0.34,0.46,0.5,1,"","",FALSE,FALSE,FALSE,FALSE,1,#N/A,1,1,FALSE,FALSE,#N/A,#N/A,FALSE,FALSE,FALSE,9,65532,65532,FALSE,FALSE,TRUE,TRUE,TRUE}</definedName>
    <definedName name="gjgh" localSheetId="3" hidden="1">{#N/A,#N/A,FALSE,"GERAL";#N/A,#N/A,FALSE,"012-96";#N/A,#N/A,FALSE,"018-96";#N/A,#N/A,FALSE,"027-96";#N/A,#N/A,FALSE,"059-96";#N/A,#N/A,FALSE,"076-96";#N/A,#N/A,FALSE,"019-97";#N/A,#N/A,FALSE,"021-97";#N/A,#N/A,FALSE,"022-97";#N/A,#N/A,FALSE,"028-97"}</definedName>
    <definedName name="gjgh" localSheetId="8" hidden="1">{#N/A,#N/A,FALSE,"GERAL";#N/A,#N/A,FALSE,"012-96";#N/A,#N/A,FALSE,"018-96";#N/A,#N/A,FALSE,"027-96";#N/A,#N/A,FALSE,"059-96";#N/A,#N/A,FALSE,"076-96";#N/A,#N/A,FALSE,"019-97";#N/A,#N/A,FALSE,"021-97";#N/A,#N/A,FALSE,"022-97";#N/A,#N/A,FALSE,"028-97"}</definedName>
    <definedName name="gjgh" localSheetId="2" hidden="1">{#N/A,#N/A,FALSE,"GERAL";#N/A,#N/A,FALSE,"012-96";#N/A,#N/A,FALSE,"018-96";#N/A,#N/A,FALSE,"027-96";#N/A,#N/A,FALSE,"059-96";#N/A,#N/A,FALSE,"076-96";#N/A,#N/A,FALSE,"019-97";#N/A,#N/A,FALSE,"021-97";#N/A,#N/A,FALSE,"022-97";#N/A,#N/A,FALSE,"028-97"}</definedName>
    <definedName name="gjgh" localSheetId="9" hidden="1">{#N/A,#N/A,FALSE,"GERAL";#N/A,#N/A,FALSE,"012-96";#N/A,#N/A,FALSE,"018-96";#N/A,#N/A,FALSE,"027-96";#N/A,#N/A,FALSE,"059-96";#N/A,#N/A,FALSE,"076-96";#N/A,#N/A,FALSE,"019-97";#N/A,#N/A,FALSE,"021-97";#N/A,#N/A,FALSE,"022-97";#N/A,#N/A,FALSE,"028-97"}</definedName>
    <definedName name="gjgh" localSheetId="13" hidden="1">{#N/A,#N/A,FALSE,"GERAL";#N/A,#N/A,FALSE,"012-96";#N/A,#N/A,FALSE,"018-96";#N/A,#N/A,FALSE,"027-96";#N/A,#N/A,FALSE,"059-96";#N/A,#N/A,FALSE,"076-96";#N/A,#N/A,FALSE,"019-97";#N/A,#N/A,FALSE,"021-97";#N/A,#N/A,FALSE,"022-97";#N/A,#N/A,FALSE,"028-97"}</definedName>
    <definedName name="gjgh" localSheetId="0" hidden="1">{#N/A,#N/A,FALSE,"GERAL";#N/A,#N/A,FALSE,"012-96";#N/A,#N/A,FALSE,"018-96";#N/A,#N/A,FALSE,"027-96";#N/A,#N/A,FALSE,"059-96";#N/A,#N/A,FALSE,"076-96";#N/A,#N/A,FALSE,"019-97";#N/A,#N/A,FALSE,"021-97";#N/A,#N/A,FALSE,"022-97";#N/A,#N/A,FALSE,"028-97"}</definedName>
    <definedName name="gjgh" hidden="1">{#N/A,#N/A,FALSE,"GERAL";#N/A,#N/A,FALSE,"012-96";#N/A,#N/A,FALSE,"018-96";#N/A,#N/A,FALSE,"027-96";#N/A,#N/A,FALSE,"059-96";#N/A,#N/A,FALSE,"076-96";#N/A,#N/A,FALSE,"019-97";#N/A,#N/A,FALSE,"021-97";#N/A,#N/A,FALSE,"022-97";#N/A,#N/A,FALSE,"028-97"}</definedName>
    <definedName name="GJK" localSheetId="3" hidden="1">{#N/A,#N/A,FALSE,"GERAL";#N/A,#N/A,FALSE,"012-96";#N/A,#N/A,FALSE,"018-96";#N/A,#N/A,FALSE,"027-96";#N/A,#N/A,FALSE,"059-96";#N/A,#N/A,FALSE,"076-96";#N/A,#N/A,FALSE,"019-97";#N/A,#N/A,FALSE,"021-97";#N/A,#N/A,FALSE,"022-97";#N/A,#N/A,FALSE,"028-97"}</definedName>
    <definedName name="GJK" localSheetId="8" hidden="1">{#N/A,#N/A,FALSE,"GERAL";#N/A,#N/A,FALSE,"012-96";#N/A,#N/A,FALSE,"018-96";#N/A,#N/A,FALSE,"027-96";#N/A,#N/A,FALSE,"059-96";#N/A,#N/A,FALSE,"076-96";#N/A,#N/A,FALSE,"019-97";#N/A,#N/A,FALSE,"021-97";#N/A,#N/A,FALSE,"022-97";#N/A,#N/A,FALSE,"028-97"}</definedName>
    <definedName name="GJK" localSheetId="2" hidden="1">{#N/A,#N/A,FALSE,"GERAL";#N/A,#N/A,FALSE,"012-96";#N/A,#N/A,FALSE,"018-96";#N/A,#N/A,FALSE,"027-96";#N/A,#N/A,FALSE,"059-96";#N/A,#N/A,FALSE,"076-96";#N/A,#N/A,FALSE,"019-97";#N/A,#N/A,FALSE,"021-97";#N/A,#N/A,FALSE,"022-97";#N/A,#N/A,FALSE,"028-97"}</definedName>
    <definedName name="GJK" localSheetId="9" hidden="1">{#N/A,#N/A,FALSE,"GERAL";#N/A,#N/A,FALSE,"012-96";#N/A,#N/A,FALSE,"018-96";#N/A,#N/A,FALSE,"027-96";#N/A,#N/A,FALSE,"059-96";#N/A,#N/A,FALSE,"076-96";#N/A,#N/A,FALSE,"019-97";#N/A,#N/A,FALSE,"021-97";#N/A,#N/A,FALSE,"022-97";#N/A,#N/A,FALSE,"028-97"}</definedName>
    <definedName name="GJK" localSheetId="13" hidden="1">{#N/A,#N/A,FALSE,"GERAL";#N/A,#N/A,FALSE,"012-96";#N/A,#N/A,FALSE,"018-96";#N/A,#N/A,FALSE,"027-96";#N/A,#N/A,FALSE,"059-96";#N/A,#N/A,FALSE,"076-96";#N/A,#N/A,FALSE,"019-97";#N/A,#N/A,FALSE,"021-97";#N/A,#N/A,FALSE,"022-97";#N/A,#N/A,FALSE,"028-97"}</definedName>
    <definedName name="GJK" localSheetId="0"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jkhgjhjfggfjhfg" localSheetId="3" hidden="1">{#N/A,#N/A,FALSE,"Plan1";#N/A,#N/A,FALSE,"Plan2"}</definedName>
    <definedName name="gjkhgjhjfggfjhfg" localSheetId="8" hidden="1">{#N/A,#N/A,FALSE,"Plan1";#N/A,#N/A,FALSE,"Plan2"}</definedName>
    <definedName name="gjkhgjhjfggfjhfg" localSheetId="2" hidden="1">{#N/A,#N/A,FALSE,"Plan1";#N/A,#N/A,FALSE,"Plan2"}</definedName>
    <definedName name="gjkhgjhjfggfjhfg" localSheetId="9" hidden="1">{#N/A,#N/A,FALSE,"Plan1";#N/A,#N/A,FALSE,"Plan2"}</definedName>
    <definedName name="gjkhgjhjfggfjhfg" localSheetId="13" hidden="1">{#N/A,#N/A,FALSE,"Plan1";#N/A,#N/A,FALSE,"Plan2"}</definedName>
    <definedName name="gjkhgjhjfggfjhfg" localSheetId="0" hidden="1">{#N/A,#N/A,FALSE,"Plan1";#N/A,#N/A,FALSE,"Plan2"}</definedName>
    <definedName name="gjkhgjhjfggfjhfg" hidden="1">{#N/A,#N/A,FALSE,"Plan1";#N/A,#N/A,FALSE,"Plan2"}</definedName>
    <definedName name="glgl" localSheetId="3" hidden="1">{#N/A,#N/A,FALSE,"Plan1";#N/A,#N/A,FALSE,"Plan2"}</definedName>
    <definedName name="glgl" localSheetId="8" hidden="1">{#N/A,#N/A,FALSE,"Plan1";#N/A,#N/A,FALSE,"Plan2"}</definedName>
    <definedName name="glgl" localSheetId="2" hidden="1">{#N/A,#N/A,FALSE,"Plan1";#N/A,#N/A,FALSE,"Plan2"}</definedName>
    <definedName name="glgl" localSheetId="9" hidden="1">{#N/A,#N/A,FALSE,"Plan1";#N/A,#N/A,FALSE,"Plan2"}</definedName>
    <definedName name="glgl" localSheetId="13" hidden="1">{#N/A,#N/A,FALSE,"Plan1";#N/A,#N/A,FALSE,"Plan2"}</definedName>
    <definedName name="glgl" localSheetId="0" hidden="1">{#N/A,#N/A,FALSE,"Plan1";#N/A,#N/A,FALSE,"Plan2"}</definedName>
    <definedName name="glgl" hidden="1">{#N/A,#N/A,FALSE,"Plan1";#N/A,#N/A,FALSE,"Plan2"}</definedName>
    <definedName name="global" localSheetId="3" hidden="1">{"'Estimativa de Lançamento-JAN'!$A$1:$AI$85"}</definedName>
    <definedName name="global" localSheetId="8" hidden="1">{"'Estimativa de Lançamento-JAN'!$A$1:$AI$85"}</definedName>
    <definedName name="GLOBAL" localSheetId="2">#REF!</definedName>
    <definedName name="global" localSheetId="9" hidden="1">{"'Estimativa de Lançamento-JAN'!$A$1:$AI$85"}</definedName>
    <definedName name="global" localSheetId="13" hidden="1">{"'Estimativa de Lançamento-JAN'!$A$1:$AI$85"}</definedName>
    <definedName name="global" localSheetId="0" hidden="1">{"'Estimativa de Lançamento-JAN'!$A$1:$AI$85"}</definedName>
    <definedName name="global" hidden="1">{"'Estimativa de Lançamento-JAN'!$A$1:$AI$85"}</definedName>
    <definedName name="gnfrth"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nfrth" hidden="1">{TRUE,TRUE,-1.25,-15.5,604.5,366.75,FALSE,FALSE,TRUE,TRUE,0,1,#N/A,1,#N/A,9.0125,24.4117647058824,1,FALSE,FALSE,3,TRUE,1,FALSE,100,"Swvu.PLANILHA2.","ACwvu.PLANILHA2.",#N/A,FALSE,FALSE,0.787401575,0.34,0.46,0.5,1,"","",FALSE,FALSE,FALSE,FALSE,1,#N/A,1,1,FALSE,FALSE,#N/A,#N/A,FALSE,FALSE,FALSE,9,65532,65532,FALSE,FALSE,TRUE,TRUE,TRUE}</definedName>
    <definedName name="grec_cdi" localSheetId="3">#REF!</definedName>
    <definedName name="grec_cdi" localSheetId="2">#REF!</definedName>
    <definedName name="grec_cdi">#REF!</definedName>
    <definedName name="grec_hist" localSheetId="3">#REF!</definedName>
    <definedName name="grec_hist" localSheetId="2">#REF!</definedName>
    <definedName name="grec_hist">#REF!</definedName>
    <definedName name="grec_uss" localSheetId="3">#REF!</definedName>
    <definedName name="grec_uss" localSheetId="2">#REF!</definedName>
    <definedName name="grec_uss">#REF!</definedName>
    <definedName name="grua" localSheetId="2">#REF!</definedName>
    <definedName name="grua">#REF!</definedName>
    <definedName name="GSDWJSTG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GSDWJSTGE" hidden="1">{TRUE,TRUE,-1.25,-15.5,604.5,366.75,FALSE,FALSE,TRUE,TRUE,0,1,#N/A,1,#N/A,9.0125,24.4117647058824,1,FALSE,FALSE,3,TRUE,1,FALSE,100,"Swvu.PLANILHA2.","ACwvu.PLANILHA2.",#N/A,FALSE,FALSE,0.787401575,0.34,0.46,0.5,1,"","",FALSE,FALSE,FALSE,FALSE,1,#N/A,1,1,FALSE,FALSE,#N/A,#N/A,FALSE,FALSE,FALSE,9,65532,65532,FALSE,FALSE,TRUE,TRUE,TRUE}</definedName>
    <definedName name="gtuigsdyugsdf" localSheetId="3" hidden="1">{#N/A,#N/A,FALSE,"Plan1";#N/A,#N/A,FALSE,"Plan2"}</definedName>
    <definedName name="gtuigsdyugsdf" localSheetId="8" hidden="1">{#N/A,#N/A,FALSE,"Plan1";#N/A,#N/A,FALSE,"Plan2"}</definedName>
    <definedName name="gtuigsdyugsdf" localSheetId="2" hidden="1">{#N/A,#N/A,FALSE,"Plan1";#N/A,#N/A,FALSE,"Plan2"}</definedName>
    <definedName name="gtuigsdyugsdf" localSheetId="9" hidden="1">{#N/A,#N/A,FALSE,"Plan1";#N/A,#N/A,FALSE,"Plan2"}</definedName>
    <definedName name="gtuigsdyugsdf" localSheetId="13" hidden="1">{#N/A,#N/A,FALSE,"Plan1";#N/A,#N/A,FALSE,"Plan2"}</definedName>
    <definedName name="gtuigsdyugsdf" localSheetId="0" hidden="1">{#N/A,#N/A,FALSE,"Plan1";#N/A,#N/A,FALSE,"Plan2"}</definedName>
    <definedName name="gtuigsdyugsdf" hidden="1">{#N/A,#N/A,FALSE,"Plan1";#N/A,#N/A,FALSE,"Plan2"}</definedName>
    <definedName name="GUI" localSheetId="3" hidden="1">{#N/A,#N/A,FALSE,"GERAL";#N/A,#N/A,FALSE,"012-96";#N/A,#N/A,FALSE,"018-96";#N/A,#N/A,FALSE,"027-96";#N/A,#N/A,FALSE,"059-96";#N/A,#N/A,FALSE,"076-96";#N/A,#N/A,FALSE,"019-97";#N/A,#N/A,FALSE,"021-97";#N/A,#N/A,FALSE,"022-97";#N/A,#N/A,FALSE,"028-97"}</definedName>
    <definedName name="GUI" localSheetId="8" hidden="1">{#N/A,#N/A,FALSE,"GERAL";#N/A,#N/A,FALSE,"012-96";#N/A,#N/A,FALSE,"018-96";#N/A,#N/A,FALSE,"027-96";#N/A,#N/A,FALSE,"059-96";#N/A,#N/A,FALSE,"076-96";#N/A,#N/A,FALSE,"019-97";#N/A,#N/A,FALSE,"021-97";#N/A,#N/A,FALSE,"022-97";#N/A,#N/A,FALSE,"028-97"}</definedName>
    <definedName name="GUI" localSheetId="2" hidden="1">{#N/A,#N/A,FALSE,"GERAL";#N/A,#N/A,FALSE,"012-96";#N/A,#N/A,FALSE,"018-96";#N/A,#N/A,FALSE,"027-96";#N/A,#N/A,FALSE,"059-96";#N/A,#N/A,FALSE,"076-96";#N/A,#N/A,FALSE,"019-97";#N/A,#N/A,FALSE,"021-97";#N/A,#N/A,FALSE,"022-97";#N/A,#N/A,FALSE,"028-97"}</definedName>
    <definedName name="GUI" localSheetId="9" hidden="1">{#N/A,#N/A,FALSE,"GERAL";#N/A,#N/A,FALSE,"012-96";#N/A,#N/A,FALSE,"018-96";#N/A,#N/A,FALSE,"027-96";#N/A,#N/A,FALSE,"059-96";#N/A,#N/A,FALSE,"076-96";#N/A,#N/A,FALSE,"019-97";#N/A,#N/A,FALSE,"021-97";#N/A,#N/A,FALSE,"022-97";#N/A,#N/A,FALSE,"028-97"}</definedName>
    <definedName name="GUI" localSheetId="13" hidden="1">{#N/A,#N/A,FALSE,"GERAL";#N/A,#N/A,FALSE,"012-96";#N/A,#N/A,FALSE,"018-96";#N/A,#N/A,FALSE,"027-96";#N/A,#N/A,FALSE,"059-96";#N/A,#N/A,FALSE,"076-96";#N/A,#N/A,FALSE,"019-97";#N/A,#N/A,FALSE,"021-97";#N/A,#N/A,FALSE,"022-97";#N/A,#N/A,FALSE,"028-97"}</definedName>
    <definedName name="GUI" localSheetId="0"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GV" localSheetId="3" hidden="1">{#N/A,#N/A,FALSE,"CCTV"}</definedName>
    <definedName name="GV" localSheetId="8" hidden="1">{#N/A,#N/A,FALSE,"CCTV"}</definedName>
    <definedName name="GV" localSheetId="2" hidden="1">{#N/A,#N/A,FALSE,"CCTV"}</definedName>
    <definedName name="GV" localSheetId="9" hidden="1">{#N/A,#N/A,FALSE,"CCTV"}</definedName>
    <definedName name="GV" localSheetId="13" hidden="1">{#N/A,#N/A,FALSE,"CCTV"}</definedName>
    <definedName name="GV" localSheetId="0" hidden="1">{#N/A,#N/A,FALSE,"CCTV"}</definedName>
    <definedName name="GV" hidden="1">{#N/A,#N/A,FALSE,"CCTV"}</definedName>
    <definedName name="h" localSheetId="3">#REF!</definedName>
    <definedName name="h" localSheetId="2">#REF!</definedName>
    <definedName name="h">#REF!</definedName>
    <definedName name="hbjgjuae" localSheetId="3">#REF!</definedName>
    <definedName name="hbjgjuae" localSheetId="2">#REF!</definedName>
    <definedName name="hbjgjuae">#REF!</definedName>
    <definedName name="hcjfkhdghfktg" localSheetId="3" hidden="1">{#N/A,#N/A,FALSE,"Plan1";#N/A,#N/A,FALSE,"Plan2"}</definedName>
    <definedName name="hcjfkhdghfktg" localSheetId="8" hidden="1">{#N/A,#N/A,FALSE,"Plan1";#N/A,#N/A,FALSE,"Plan2"}</definedName>
    <definedName name="hcjfkhdghfktg" localSheetId="2" hidden="1">{#N/A,#N/A,FALSE,"Plan1";#N/A,#N/A,FALSE,"Plan2"}</definedName>
    <definedName name="hcjfkhdghfktg" localSheetId="9" hidden="1">{#N/A,#N/A,FALSE,"Plan1";#N/A,#N/A,FALSE,"Plan2"}</definedName>
    <definedName name="hcjfkhdghfktg" localSheetId="13" hidden="1">{#N/A,#N/A,FALSE,"Plan1";#N/A,#N/A,FALSE,"Plan2"}</definedName>
    <definedName name="hcjfkhdghfktg" localSheetId="0" hidden="1">{#N/A,#N/A,FALSE,"Plan1";#N/A,#N/A,FALSE,"Plan2"}</definedName>
    <definedName name="hcjfkhdghfktg" hidden="1">{#N/A,#N/A,FALSE,"Plan1";#N/A,#N/A,FALSE,"Plan2"}</definedName>
    <definedName name="hckhjfdkgfdg" localSheetId="3" hidden="1">#REF!</definedName>
    <definedName name="hckhjfdkgfdg" localSheetId="8" hidden="1">#REF!</definedName>
    <definedName name="hckhjfdkgfdg" localSheetId="2" hidden="1">#REF!</definedName>
    <definedName name="hckhjfdkgfdg" localSheetId="9" hidden="1">#REF!</definedName>
    <definedName name="hckhjfdkgfdg" localSheetId="13" hidden="1">#REF!</definedName>
    <definedName name="hckhjfdkgfdg" localSheetId="0" hidden="1">#REF!</definedName>
    <definedName name="hckhjfdkgfdg" hidden="1">#REF!</definedName>
    <definedName name="hddfndgdfg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ddfndgdfgf" hidden="1">{TRUE,TRUE,-1.25,-15.5,604.5,366.75,FALSE,FALSE,TRUE,TRUE,0,1,#N/A,1,#N/A,9.0125,24.4117647058824,1,FALSE,FALSE,3,TRUE,1,FALSE,100,"Swvu.PLANILHA2.","ACwvu.PLANILHA2.",#N/A,FALSE,FALSE,0.787401575,0.34,0.46,0.5,1,"","",FALSE,FALSE,FALSE,FALSE,1,#N/A,1,1,FALSE,FALSE,#N/A,#N/A,FALSE,FALSE,FALSE,9,65532,65532,FALSE,FALSE,TRUE,TRUE,TRUE}</definedName>
    <definedName name="HDFGHGST" localSheetId="3" hidden="1">{#N/A,#N/A,FALSE,"Plan1";#N/A,#N/A,FALSE,"Plan2"}</definedName>
    <definedName name="HDFGHGST" localSheetId="8" hidden="1">{#N/A,#N/A,FALSE,"Plan1";#N/A,#N/A,FALSE,"Plan2"}</definedName>
    <definedName name="HDFGHGST" localSheetId="2" hidden="1">{#N/A,#N/A,FALSE,"Plan1";#N/A,#N/A,FALSE,"Plan2"}</definedName>
    <definedName name="HDFGHGST" localSheetId="9" hidden="1">{#N/A,#N/A,FALSE,"Plan1";#N/A,#N/A,FALSE,"Plan2"}</definedName>
    <definedName name="HDFGHGST" localSheetId="13" hidden="1">{#N/A,#N/A,FALSE,"Plan1";#N/A,#N/A,FALSE,"Plan2"}</definedName>
    <definedName name="HDFGHGST" localSheetId="0" hidden="1">{#N/A,#N/A,FALSE,"Plan1";#N/A,#N/A,FALSE,"Plan2"}</definedName>
    <definedName name="HDFGHGST" hidden="1">{#N/A,#N/A,FALSE,"Plan1";#N/A,#N/A,FALSE,"Plan2"}</definedName>
    <definedName name="HDFGJKHKFDHTY" localSheetId="3" hidden="1">{#N/A,#N/A,FALSE,"Plan1";#N/A,#N/A,FALSE,"Plan2"}</definedName>
    <definedName name="HDFGJKHKFDHTY" localSheetId="8" hidden="1">{#N/A,#N/A,FALSE,"Plan1";#N/A,#N/A,FALSE,"Plan2"}</definedName>
    <definedName name="HDFGJKHKFDHTY" localSheetId="2" hidden="1">{#N/A,#N/A,FALSE,"Plan1";#N/A,#N/A,FALSE,"Plan2"}</definedName>
    <definedName name="HDFGJKHKFDHTY" localSheetId="9" hidden="1">{#N/A,#N/A,FALSE,"Plan1";#N/A,#N/A,FALSE,"Plan2"}</definedName>
    <definedName name="HDFGJKHKFDHTY" localSheetId="13" hidden="1">{#N/A,#N/A,FALSE,"Plan1";#N/A,#N/A,FALSE,"Plan2"}</definedName>
    <definedName name="HDFGJKHKFDHTY" localSheetId="0" hidden="1">{#N/A,#N/A,FALSE,"Plan1";#N/A,#N/A,FALSE,"Plan2"}</definedName>
    <definedName name="HDFGJKHKFDHTY" hidden="1">{#N/A,#N/A,FALSE,"Plan1";#N/A,#N/A,FALSE,"Plan2"}</definedName>
    <definedName name="hdfhdhrtgd" localSheetId="3" hidden="1">{#N/A,#N/A,FALSE,"Plan1";#N/A,#N/A,FALSE,"Plan2"}</definedName>
    <definedName name="hdfhdhrtgd" localSheetId="8" hidden="1">{#N/A,#N/A,FALSE,"Plan1";#N/A,#N/A,FALSE,"Plan2"}</definedName>
    <definedName name="hdfhdhrtgd" localSheetId="2" hidden="1">{#N/A,#N/A,FALSE,"Plan1";#N/A,#N/A,FALSE,"Plan2"}</definedName>
    <definedName name="hdfhdhrtgd" localSheetId="9" hidden="1">{#N/A,#N/A,FALSE,"Plan1";#N/A,#N/A,FALSE,"Plan2"}</definedName>
    <definedName name="hdfhdhrtgd" localSheetId="13" hidden="1">{#N/A,#N/A,FALSE,"Plan1";#N/A,#N/A,FALSE,"Plan2"}</definedName>
    <definedName name="hdfhdhrtgd" localSheetId="0" hidden="1">{#N/A,#N/A,FALSE,"Plan1";#N/A,#N/A,FALSE,"Plan2"}</definedName>
    <definedName name="hdfhdhrtgd" hidden="1">{#N/A,#N/A,FALSE,"Plan1";#N/A,#N/A,FALSE,"Plan2"}</definedName>
    <definedName name="hdfhftde" localSheetId="3" hidden="1">{#N/A,#N/A,FALSE,"Plan1";#N/A,#N/A,FALSE,"Plan2"}</definedName>
    <definedName name="hdfhftde" localSheetId="8" hidden="1">{#N/A,#N/A,FALSE,"Plan1";#N/A,#N/A,FALSE,"Plan2"}</definedName>
    <definedName name="hdfhftde" localSheetId="2" hidden="1">{#N/A,#N/A,FALSE,"Plan1";#N/A,#N/A,FALSE,"Plan2"}</definedName>
    <definedName name="hdfhftde" localSheetId="9" hidden="1">{#N/A,#N/A,FALSE,"Plan1";#N/A,#N/A,FALSE,"Plan2"}</definedName>
    <definedName name="hdfhftde" localSheetId="13" hidden="1">{#N/A,#N/A,FALSE,"Plan1";#N/A,#N/A,FALSE,"Plan2"}</definedName>
    <definedName name="hdfhftde" localSheetId="0" hidden="1">{#N/A,#N/A,FALSE,"Plan1";#N/A,#N/A,FALSE,"Plan2"}</definedName>
    <definedName name="hdfhftde" hidden="1">{#N/A,#N/A,FALSE,"Plan1";#N/A,#N/A,FALSE,"Plan2"}</definedName>
    <definedName name="hdfhgkdhgtrf" localSheetId="3" hidden="1">{#N/A,#N/A,FALSE,"Plan1";#N/A,#N/A,FALSE,"Plan2"}</definedName>
    <definedName name="hdfhgkdhgtrf" localSheetId="8" hidden="1">{#N/A,#N/A,FALSE,"Plan1";#N/A,#N/A,FALSE,"Plan2"}</definedName>
    <definedName name="hdfhgkdhgtrf" localSheetId="2" hidden="1">{#N/A,#N/A,FALSE,"Plan1";#N/A,#N/A,FALSE,"Plan2"}</definedName>
    <definedName name="hdfhgkdhgtrf" localSheetId="9" hidden="1">{#N/A,#N/A,FALSE,"Plan1";#N/A,#N/A,FALSE,"Plan2"}</definedName>
    <definedName name="hdfhgkdhgtrf" localSheetId="13" hidden="1">{#N/A,#N/A,FALSE,"Plan1";#N/A,#N/A,FALSE,"Plan2"}</definedName>
    <definedName name="hdfhgkdhgtrf" localSheetId="0" hidden="1">{#N/A,#N/A,FALSE,"Plan1";#N/A,#N/A,FALSE,"Plan2"}</definedName>
    <definedName name="hdfhgkdhgtrf" hidden="1">{#N/A,#N/A,FALSE,"Plan1";#N/A,#N/A,FALSE,"Plan2"}</definedName>
    <definedName name="hdfjhdkzhgdr" localSheetId="3" hidden="1">{#N/A,#N/A,FALSE,"Plan1";#N/A,#N/A,FALSE,"Plan2"}</definedName>
    <definedName name="hdfjhdkzhgdr" localSheetId="8" hidden="1">{#N/A,#N/A,FALSE,"Plan1";#N/A,#N/A,FALSE,"Plan2"}</definedName>
    <definedName name="hdfjhdkzhgdr" localSheetId="2" hidden="1">{#N/A,#N/A,FALSE,"Plan1";#N/A,#N/A,FALSE,"Plan2"}</definedName>
    <definedName name="hdfjhdkzhgdr" localSheetId="9" hidden="1">{#N/A,#N/A,FALSE,"Plan1";#N/A,#N/A,FALSE,"Plan2"}</definedName>
    <definedName name="hdfjhdkzhgdr" localSheetId="13" hidden="1">{#N/A,#N/A,FALSE,"Plan1";#N/A,#N/A,FALSE,"Plan2"}</definedName>
    <definedName name="hdfjhdkzhgdr" localSheetId="0" hidden="1">{#N/A,#N/A,FALSE,"Plan1";#N/A,#N/A,FALSE,"Plan2"}</definedName>
    <definedName name="hdfjhdkzhgdr" hidden="1">{#N/A,#N/A,FALSE,"Plan1";#N/A,#N/A,FALSE,"Plan2"}</definedName>
    <definedName name="hdfjkgvjgtd" localSheetId="3" hidden="1">{#N/A,#N/A,FALSE,"Plan1";#N/A,#N/A,FALSE,"Plan2"}</definedName>
    <definedName name="hdfjkgvjgtd" localSheetId="8" hidden="1">{#N/A,#N/A,FALSE,"Plan1";#N/A,#N/A,FALSE,"Plan2"}</definedName>
    <definedName name="hdfjkgvjgtd" localSheetId="2" hidden="1">{#N/A,#N/A,FALSE,"Plan1";#N/A,#N/A,FALSE,"Plan2"}</definedName>
    <definedName name="hdfjkgvjgtd" localSheetId="9" hidden="1">{#N/A,#N/A,FALSE,"Plan1";#N/A,#N/A,FALSE,"Plan2"}</definedName>
    <definedName name="hdfjkgvjgtd" localSheetId="13" hidden="1">{#N/A,#N/A,FALSE,"Plan1";#N/A,#N/A,FALSE,"Plan2"}</definedName>
    <definedName name="hdfjkgvjgtd" localSheetId="0" hidden="1">{#N/A,#N/A,FALSE,"Plan1";#N/A,#N/A,FALSE,"Plan2"}</definedName>
    <definedName name="hdfjkgvjgtd" hidden="1">{#N/A,#N/A,FALSE,"Plan1";#N/A,#N/A,FALSE,"Plan2"}</definedName>
    <definedName name="hdfjkhdhrute" localSheetId="3" hidden="1">{#N/A,#N/A,FALSE,"Plan1";#N/A,#N/A,FALSE,"Plan2"}</definedName>
    <definedName name="hdfjkhdhrute" localSheetId="8" hidden="1">{#N/A,#N/A,FALSE,"Plan1";#N/A,#N/A,FALSE,"Plan2"}</definedName>
    <definedName name="hdfjkhdhrute" localSheetId="2" hidden="1">{#N/A,#N/A,FALSE,"Plan1";#N/A,#N/A,FALSE,"Plan2"}</definedName>
    <definedName name="hdfjkhdhrute" localSheetId="9" hidden="1">{#N/A,#N/A,FALSE,"Plan1";#N/A,#N/A,FALSE,"Plan2"}</definedName>
    <definedName name="hdfjkhdhrute" localSheetId="13" hidden="1">{#N/A,#N/A,FALSE,"Plan1";#N/A,#N/A,FALSE,"Plan2"}</definedName>
    <definedName name="hdfjkhdhrute" localSheetId="0" hidden="1">{#N/A,#N/A,FALSE,"Plan1";#N/A,#N/A,FALSE,"Plan2"}</definedName>
    <definedName name="hdfjkhdhrute" hidden="1">{#N/A,#N/A,FALSE,"Plan1";#N/A,#N/A,FALSE,"Plan2"}</definedName>
    <definedName name="HDFKGVF" localSheetId="3" hidden="1">{#N/A,#N/A,FALSE,"Plan1";#N/A,#N/A,FALSE,"Plan2"}</definedName>
    <definedName name="HDFKGVF" localSheetId="8" hidden="1">{#N/A,#N/A,FALSE,"Plan1";#N/A,#N/A,FALSE,"Plan2"}</definedName>
    <definedName name="HDFKGVF" localSheetId="2" hidden="1">{#N/A,#N/A,FALSE,"Plan1";#N/A,#N/A,FALSE,"Plan2"}</definedName>
    <definedName name="HDFKGVF" localSheetId="9" hidden="1">{#N/A,#N/A,FALSE,"Plan1";#N/A,#N/A,FALSE,"Plan2"}</definedName>
    <definedName name="HDFKGVF" localSheetId="13" hidden="1">{#N/A,#N/A,FALSE,"Plan1";#N/A,#N/A,FALSE,"Plan2"}</definedName>
    <definedName name="HDFKGVF" localSheetId="0" hidden="1">{#N/A,#N/A,FALSE,"Plan1";#N/A,#N/A,FALSE,"Plan2"}</definedName>
    <definedName name="HDFKGVF" hidden="1">{#N/A,#N/A,FALSE,"Plan1";#N/A,#N/A,FALSE,"Plan2"}</definedName>
    <definedName name="hdgfhdgtdrt" localSheetId="3" hidden="1">{#N/A,#N/A,FALSE,"Plan1";#N/A,#N/A,FALSE,"Plan2"}</definedName>
    <definedName name="hdgfhdgtdrt" localSheetId="8" hidden="1">{#N/A,#N/A,FALSE,"Plan1";#N/A,#N/A,FALSE,"Plan2"}</definedName>
    <definedName name="hdgfhdgtdrt" localSheetId="2" hidden="1">{#N/A,#N/A,FALSE,"Plan1";#N/A,#N/A,FALSE,"Plan2"}</definedName>
    <definedName name="hdgfhdgtdrt" localSheetId="9" hidden="1">{#N/A,#N/A,FALSE,"Plan1";#N/A,#N/A,FALSE,"Plan2"}</definedName>
    <definedName name="hdgfhdgtdrt" localSheetId="13" hidden="1">{#N/A,#N/A,FALSE,"Plan1";#N/A,#N/A,FALSE,"Plan2"}</definedName>
    <definedName name="hdgfhdgtdrt" localSheetId="0" hidden="1">{#N/A,#N/A,FALSE,"Plan1";#N/A,#N/A,FALSE,"Plan2"}</definedName>
    <definedName name="hdgfhdgtdrt" hidden="1">{#N/A,#N/A,FALSE,"Plan1";#N/A,#N/A,FALSE,"Plan2"}</definedName>
    <definedName name="hdghgtgtrgd" localSheetId="3" hidden="1">{#N/A,#N/A,FALSE,"Plan1";#N/A,#N/A,FALSE,"Plan2"}</definedName>
    <definedName name="hdghgtgtrgd" localSheetId="8" hidden="1">{#N/A,#N/A,FALSE,"Plan1";#N/A,#N/A,FALSE,"Plan2"}</definedName>
    <definedName name="hdghgtgtrgd" localSheetId="2" hidden="1">{#N/A,#N/A,FALSE,"Plan1";#N/A,#N/A,FALSE,"Plan2"}</definedName>
    <definedName name="hdghgtgtrgd" localSheetId="9" hidden="1">{#N/A,#N/A,FALSE,"Plan1";#N/A,#N/A,FALSE,"Plan2"}</definedName>
    <definedName name="hdghgtgtrgd" localSheetId="13" hidden="1">{#N/A,#N/A,FALSE,"Plan1";#N/A,#N/A,FALSE,"Plan2"}</definedName>
    <definedName name="hdghgtgtrgd" localSheetId="0" hidden="1">{#N/A,#N/A,FALSE,"Plan1";#N/A,#N/A,FALSE,"Plan2"}</definedName>
    <definedName name="hdghgtgtrgd" hidden="1">{#N/A,#N/A,FALSE,"Plan1";#N/A,#N/A,FALSE,"Plan2"}</definedName>
    <definedName name="HDHDGHTUHDTG" localSheetId="3" hidden="1">{#N/A,#N/A,FALSE,"Plan1";#N/A,#N/A,FALSE,"Plan2"}</definedName>
    <definedName name="HDHDGHTUHDTG" localSheetId="8" hidden="1">{#N/A,#N/A,FALSE,"Plan1";#N/A,#N/A,FALSE,"Plan2"}</definedName>
    <definedName name="HDHDGHTUHDTG" localSheetId="2" hidden="1">{#N/A,#N/A,FALSE,"Plan1";#N/A,#N/A,FALSE,"Plan2"}</definedName>
    <definedName name="HDHDGHTUHDTG" localSheetId="9" hidden="1">{#N/A,#N/A,FALSE,"Plan1";#N/A,#N/A,FALSE,"Plan2"}</definedName>
    <definedName name="HDHDGHTUHDTG" localSheetId="13" hidden="1">{#N/A,#N/A,FALSE,"Plan1";#N/A,#N/A,FALSE,"Plan2"}</definedName>
    <definedName name="HDHDGHTUHDTG" localSheetId="0" hidden="1">{#N/A,#N/A,FALSE,"Plan1";#N/A,#N/A,FALSE,"Plan2"}</definedName>
    <definedName name="HDHDGHTUHDTG" hidden="1">{#N/A,#N/A,FALSE,"Plan1";#N/A,#N/A,FALSE,"Plan2"}</definedName>
    <definedName name="hdhghfthrrhy" localSheetId="3" hidden="1">{#N/A,#N/A,FALSE,"Plan1";#N/A,#N/A,FALSE,"Plan2"}</definedName>
    <definedName name="hdhghfthrrhy" localSheetId="8" hidden="1">{#N/A,#N/A,FALSE,"Plan1";#N/A,#N/A,FALSE,"Plan2"}</definedName>
    <definedName name="hdhghfthrrhy" localSheetId="2" hidden="1">{#N/A,#N/A,FALSE,"Plan1";#N/A,#N/A,FALSE,"Plan2"}</definedName>
    <definedName name="hdhghfthrrhy" localSheetId="9" hidden="1">{#N/A,#N/A,FALSE,"Plan1";#N/A,#N/A,FALSE,"Plan2"}</definedName>
    <definedName name="hdhghfthrrhy" localSheetId="13" hidden="1">{#N/A,#N/A,FALSE,"Plan1";#N/A,#N/A,FALSE,"Plan2"}</definedName>
    <definedName name="hdhghfthrrhy" localSheetId="0" hidden="1">{#N/A,#N/A,FALSE,"Plan1";#N/A,#N/A,FALSE,"Plan2"}</definedName>
    <definedName name="hdhghfthrrhy" hidden="1">{#N/A,#N/A,FALSE,"Plan1";#N/A,#N/A,FALSE,"Plan2"}</definedName>
    <definedName name="hdkfjhydjh" localSheetId="3" hidden="1">{#N/A,#N/A,FALSE,"Plan1";#N/A,#N/A,FALSE,"Plan2"}</definedName>
    <definedName name="hdkfjhydjh" localSheetId="8" hidden="1">{#N/A,#N/A,FALSE,"Plan1";#N/A,#N/A,FALSE,"Plan2"}</definedName>
    <definedName name="hdkfjhydjh" localSheetId="2" hidden="1">{#N/A,#N/A,FALSE,"Plan1";#N/A,#N/A,FALSE,"Plan2"}</definedName>
    <definedName name="hdkfjhydjh" localSheetId="9" hidden="1">{#N/A,#N/A,FALSE,"Plan1";#N/A,#N/A,FALSE,"Plan2"}</definedName>
    <definedName name="hdkfjhydjh" localSheetId="13" hidden="1">{#N/A,#N/A,FALSE,"Plan1";#N/A,#N/A,FALSE,"Plan2"}</definedName>
    <definedName name="hdkfjhydjh" localSheetId="0" hidden="1">{#N/A,#N/A,FALSE,"Plan1";#N/A,#N/A,FALSE,"Plan2"}</definedName>
    <definedName name="hdkfjhydjh" hidden="1">{#N/A,#N/A,FALSE,"Plan1";#N/A,#N/A,FALSE,"Plan2"}</definedName>
    <definedName name="hdsgfgrrdgr" localSheetId="3" hidden="1">{#N/A,#N/A,FALSE,"Plan1";#N/A,#N/A,FALSE,"Plan2"}</definedName>
    <definedName name="hdsgfgrrdgr" localSheetId="8" hidden="1">{#N/A,#N/A,FALSE,"Plan1";#N/A,#N/A,FALSE,"Plan2"}</definedName>
    <definedName name="hdsgfgrrdgr" localSheetId="2" hidden="1">{#N/A,#N/A,FALSE,"Plan1";#N/A,#N/A,FALSE,"Plan2"}</definedName>
    <definedName name="hdsgfgrrdgr" localSheetId="9" hidden="1">{#N/A,#N/A,FALSE,"Plan1";#N/A,#N/A,FALSE,"Plan2"}</definedName>
    <definedName name="hdsgfgrrdgr" localSheetId="13" hidden="1">{#N/A,#N/A,FALSE,"Plan1";#N/A,#N/A,FALSE,"Plan2"}</definedName>
    <definedName name="hdsgfgrrdgr" localSheetId="0" hidden="1">{#N/A,#N/A,FALSE,"Plan1";#N/A,#N/A,FALSE,"Plan2"}</definedName>
    <definedName name="hdsgfgrrdgr" hidden="1">{#N/A,#N/A,FALSE,"Plan1";#N/A,#N/A,FALSE,"Plan2"}</definedName>
    <definedName name="hdtertkkdsa" localSheetId="3" hidden="1">{#N/A,#N/A,FALSE,"Plan1";#N/A,#N/A,FALSE,"Plan2"}</definedName>
    <definedName name="hdtertkkdsa" localSheetId="8" hidden="1">{#N/A,#N/A,FALSE,"Plan1";#N/A,#N/A,FALSE,"Plan2"}</definedName>
    <definedName name="hdtertkkdsa" localSheetId="2" hidden="1">{#N/A,#N/A,FALSE,"Plan1";#N/A,#N/A,FALSE,"Plan2"}</definedName>
    <definedName name="hdtertkkdsa" localSheetId="9" hidden="1">{#N/A,#N/A,FALSE,"Plan1";#N/A,#N/A,FALSE,"Plan2"}</definedName>
    <definedName name="hdtertkkdsa" localSheetId="13" hidden="1">{#N/A,#N/A,FALSE,"Plan1";#N/A,#N/A,FALSE,"Plan2"}</definedName>
    <definedName name="hdtertkkdsa" localSheetId="0" hidden="1">{#N/A,#N/A,FALSE,"Plan1";#N/A,#N/A,FALSE,"Plan2"}</definedName>
    <definedName name="hdtertkkdsa" hidden="1">{#N/A,#N/A,FALSE,"Plan1";#N/A,#N/A,FALSE,"Plan2"}</definedName>
    <definedName name="Header" localSheetId="3">#REF!</definedName>
    <definedName name="Header" localSheetId="2">#REF!</definedName>
    <definedName name="Header">#REF!</definedName>
    <definedName name="HEDHA" localSheetId="3" hidden="1">{#N/A,#N/A,FALSE,"Plan1";#N/A,#N/A,FALSE,"Plan2"}</definedName>
    <definedName name="HEDHA" localSheetId="8" hidden="1">{#N/A,#N/A,FALSE,"Plan1";#N/A,#N/A,FALSE,"Plan2"}</definedName>
    <definedName name="HEDHA" localSheetId="2" hidden="1">{#N/A,#N/A,FALSE,"Plan1";#N/A,#N/A,FALSE,"Plan2"}</definedName>
    <definedName name="HEDHA" localSheetId="9" hidden="1">{#N/A,#N/A,FALSE,"Plan1";#N/A,#N/A,FALSE,"Plan2"}</definedName>
    <definedName name="HEDHA" localSheetId="13" hidden="1">{#N/A,#N/A,FALSE,"Plan1";#N/A,#N/A,FALSE,"Plan2"}</definedName>
    <definedName name="HEDHA" localSheetId="0" hidden="1">{#N/A,#N/A,FALSE,"Plan1";#N/A,#N/A,FALSE,"Plan2"}</definedName>
    <definedName name="HEDHA" hidden="1">{#N/A,#N/A,FALSE,"Plan1";#N/A,#N/A,FALSE,"Plan2"}</definedName>
    <definedName name="heif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eife" hidden="1">{TRUE,TRUE,-1.25,-15.5,604.5,366.75,FALSE,FALSE,TRUE,TRUE,0,1,#N/A,1,#N/A,9.0125,24.4117647058824,1,FALSE,FALSE,3,TRUE,1,FALSE,100,"Swvu.PLANILHA2.","ACwvu.PLANILHA2.",#N/A,FALSE,FALSE,0.787401575,0.34,0.46,0.5,1,"","",FALSE,FALSE,FALSE,FALSE,1,#N/A,1,1,FALSE,FALSE,#N/A,#N/A,FALSE,FALSE,FALSE,9,65532,65532,FALSE,FALSE,TRUE,TRUE,TRUE}</definedName>
    <definedName name="HELP" localSheetId="3">#REF!</definedName>
    <definedName name="HELP" localSheetId="2">#REF!</definedName>
    <definedName name="HELP">#REF!</definedName>
    <definedName name="herkfdshfker" localSheetId="3" hidden="1">{#N/A,#N/A,FALSE,"Plan1";#N/A,#N/A,FALSE,"Plan2"}</definedName>
    <definedName name="herkfdshfker" localSheetId="8" hidden="1">{#N/A,#N/A,FALSE,"Plan1";#N/A,#N/A,FALSE,"Plan2"}</definedName>
    <definedName name="herkfdshfker" localSheetId="2" hidden="1">{#N/A,#N/A,FALSE,"Plan1";#N/A,#N/A,FALSE,"Plan2"}</definedName>
    <definedName name="herkfdshfker" localSheetId="9" hidden="1">{#N/A,#N/A,FALSE,"Plan1";#N/A,#N/A,FALSE,"Plan2"}</definedName>
    <definedName name="herkfdshfker" localSheetId="13" hidden="1">{#N/A,#N/A,FALSE,"Plan1";#N/A,#N/A,FALSE,"Plan2"}</definedName>
    <definedName name="herkfdshfker" localSheetId="0" hidden="1">{#N/A,#N/A,FALSE,"Plan1";#N/A,#N/A,FALSE,"Plan2"}</definedName>
    <definedName name="herkfdshfker" hidden="1">{#N/A,#N/A,FALSE,"Plan1";#N/A,#N/A,FALSE,"Plan2"}</definedName>
    <definedName name="hersdtretyt" localSheetId="3" hidden="1">{#N/A,#N/A,FALSE,"Plan1";#N/A,#N/A,FALSE,"Plan2"}</definedName>
    <definedName name="hersdtretyt" localSheetId="8" hidden="1">{#N/A,#N/A,FALSE,"Plan1";#N/A,#N/A,FALSE,"Plan2"}</definedName>
    <definedName name="hersdtretyt" localSheetId="2" hidden="1">{#N/A,#N/A,FALSE,"Plan1";#N/A,#N/A,FALSE,"Plan2"}</definedName>
    <definedName name="hersdtretyt" localSheetId="9" hidden="1">{#N/A,#N/A,FALSE,"Plan1";#N/A,#N/A,FALSE,"Plan2"}</definedName>
    <definedName name="hersdtretyt" localSheetId="13" hidden="1">{#N/A,#N/A,FALSE,"Plan1";#N/A,#N/A,FALSE,"Plan2"}</definedName>
    <definedName name="hersdtretyt" localSheetId="0" hidden="1">{#N/A,#N/A,FALSE,"Plan1";#N/A,#N/A,FALSE,"Plan2"}</definedName>
    <definedName name="hersdtretyt" hidden="1">{#N/A,#N/A,FALSE,"Plan1";#N/A,#N/A,FALSE,"Plan2"}</definedName>
    <definedName name="HFDJTHTRS"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FDJTHTRS" hidden="1">{TRUE,TRUE,-1.25,-15.5,604.5,366.75,FALSE,FALSE,TRUE,TRUE,0,1,#N/A,1,#N/A,9.0125,24.4117647058824,1,FALSE,FALSE,3,TRUE,1,FALSE,100,"Swvu.PLANILHA2.","ACwvu.PLANILHA2.",#N/A,FALSE,FALSE,0.787401575,0.34,0.46,0.5,1,"","",FALSE,FALSE,FALSE,FALSE,1,#N/A,1,1,FALSE,FALSE,#N/A,#N/A,FALSE,FALSE,FALSE,9,65532,65532,FALSE,FALSE,TRUE,TRUE,TRUE}</definedName>
    <definedName name="HFDKHGFR" localSheetId="3" hidden="1">{#N/A,#N/A,FALSE,"Plan1";#N/A,#N/A,FALSE,"Plan2"}</definedName>
    <definedName name="HFDKHGFR" localSheetId="8" hidden="1">{#N/A,#N/A,FALSE,"Plan1";#N/A,#N/A,FALSE,"Plan2"}</definedName>
    <definedName name="HFDKHGFR" localSheetId="2" hidden="1">{#N/A,#N/A,FALSE,"Plan1";#N/A,#N/A,FALSE,"Plan2"}</definedName>
    <definedName name="HFDKHGFR" localSheetId="9" hidden="1">{#N/A,#N/A,FALSE,"Plan1";#N/A,#N/A,FALSE,"Plan2"}</definedName>
    <definedName name="HFDKHGFR" localSheetId="13" hidden="1">{#N/A,#N/A,FALSE,"Plan1";#N/A,#N/A,FALSE,"Plan2"}</definedName>
    <definedName name="HFDKHGFR" localSheetId="0" hidden="1">{#N/A,#N/A,FALSE,"Plan1";#N/A,#N/A,FALSE,"Plan2"}</definedName>
    <definedName name="HFDKHGFR" hidden="1">{#N/A,#N/A,FALSE,"Plan1";#N/A,#N/A,FALSE,"Plan2"}</definedName>
    <definedName name="hfdkhgkfdhtj" localSheetId="3" hidden="1">{#N/A,#N/A,FALSE,"Plan1";#N/A,#N/A,FALSE,"Plan2"}</definedName>
    <definedName name="hfdkhgkfdhtj" localSheetId="8" hidden="1">{#N/A,#N/A,FALSE,"Plan1";#N/A,#N/A,FALSE,"Plan2"}</definedName>
    <definedName name="hfdkhgkfdhtj" localSheetId="2" hidden="1">{#N/A,#N/A,FALSE,"Plan1";#N/A,#N/A,FALSE,"Plan2"}</definedName>
    <definedName name="hfdkhgkfdhtj" localSheetId="9" hidden="1">{#N/A,#N/A,FALSE,"Plan1";#N/A,#N/A,FALSE,"Plan2"}</definedName>
    <definedName name="hfdkhgkfdhtj" localSheetId="13" hidden="1">{#N/A,#N/A,FALSE,"Plan1";#N/A,#N/A,FALSE,"Plan2"}</definedName>
    <definedName name="hfdkhgkfdhtj" localSheetId="0" hidden="1">{#N/A,#N/A,FALSE,"Plan1";#N/A,#N/A,FALSE,"Plan2"}</definedName>
    <definedName name="hfdkhgkfdhtj" hidden="1">{#N/A,#N/A,FALSE,"Plan1";#N/A,#N/A,FALSE,"Plan2"}</definedName>
    <definedName name="hfgfktgkhyt" localSheetId="3" hidden="1">{#N/A,#N/A,FALSE,"Plan1";#N/A,#N/A,FALSE,"Plan2"}</definedName>
    <definedName name="hfgfktgkhyt" localSheetId="8" hidden="1">{#N/A,#N/A,FALSE,"Plan1";#N/A,#N/A,FALSE,"Plan2"}</definedName>
    <definedName name="hfgfktgkhyt" localSheetId="2" hidden="1">{#N/A,#N/A,FALSE,"Plan1";#N/A,#N/A,FALSE,"Plan2"}</definedName>
    <definedName name="hfgfktgkhyt" localSheetId="9" hidden="1">{#N/A,#N/A,FALSE,"Plan1";#N/A,#N/A,FALSE,"Plan2"}</definedName>
    <definedName name="hfgfktgkhyt" localSheetId="13" hidden="1">{#N/A,#N/A,FALSE,"Plan1";#N/A,#N/A,FALSE,"Plan2"}</definedName>
    <definedName name="hfgfktgkhyt" localSheetId="0" hidden="1">{#N/A,#N/A,FALSE,"Plan1";#N/A,#N/A,FALSE,"Plan2"}</definedName>
    <definedName name="hfgfktgkhyt" hidden="1">{#N/A,#N/A,FALSE,"Plan1";#N/A,#N/A,FALSE,"Plan2"}</definedName>
    <definedName name="hfghdkhrgkjg" localSheetId="3" hidden="1">{#N/A,#N/A,FALSE,"Plan1";#N/A,#N/A,FALSE,"Plan2"}</definedName>
    <definedName name="hfghdkhrgkjg" localSheetId="8" hidden="1">{#N/A,#N/A,FALSE,"Plan1";#N/A,#N/A,FALSE,"Plan2"}</definedName>
    <definedName name="hfghdkhrgkjg" localSheetId="2" hidden="1">{#N/A,#N/A,FALSE,"Plan1";#N/A,#N/A,FALSE,"Plan2"}</definedName>
    <definedName name="hfghdkhrgkjg" localSheetId="9" hidden="1">{#N/A,#N/A,FALSE,"Plan1";#N/A,#N/A,FALSE,"Plan2"}</definedName>
    <definedName name="hfghdkhrgkjg" localSheetId="13" hidden="1">{#N/A,#N/A,FALSE,"Plan1";#N/A,#N/A,FALSE,"Plan2"}</definedName>
    <definedName name="hfghdkhrgkjg" localSheetId="0" hidden="1">{#N/A,#N/A,FALSE,"Plan1";#N/A,#N/A,FALSE,"Plan2"}</definedName>
    <definedName name="hfghdkhrgkjg" hidden="1">{#N/A,#N/A,FALSE,"Plan1";#N/A,#N/A,FALSE,"Plan2"}</definedName>
    <definedName name="hfighfth" localSheetId="3" hidden="1">{#N/A,#N/A,FALSE,"Plan1";#N/A,#N/A,FALSE,"Plan2"}</definedName>
    <definedName name="hfighfth" localSheetId="8" hidden="1">{#N/A,#N/A,FALSE,"Plan1";#N/A,#N/A,FALSE,"Plan2"}</definedName>
    <definedName name="hfighfth" localSheetId="2" hidden="1">{#N/A,#N/A,FALSE,"Plan1";#N/A,#N/A,FALSE,"Plan2"}</definedName>
    <definedName name="hfighfth" localSheetId="9" hidden="1">{#N/A,#N/A,FALSE,"Plan1";#N/A,#N/A,FALSE,"Plan2"}</definedName>
    <definedName name="hfighfth" localSheetId="13" hidden="1">{#N/A,#N/A,FALSE,"Plan1";#N/A,#N/A,FALSE,"Plan2"}</definedName>
    <definedName name="hfighfth" localSheetId="0" hidden="1">{#N/A,#N/A,FALSE,"Plan1";#N/A,#N/A,FALSE,"Plan2"}</definedName>
    <definedName name="hfighfth" hidden="1">{#N/A,#N/A,FALSE,"Plan1";#N/A,#N/A,FALSE,"Plan2"}</definedName>
    <definedName name="hfjghtfuyrf" localSheetId="3" hidden="1">{#N/A,#N/A,FALSE,"Plan1";#N/A,#N/A,FALSE,"Plan2"}</definedName>
    <definedName name="hfjghtfuyrf" localSheetId="8" hidden="1">{#N/A,#N/A,FALSE,"Plan1";#N/A,#N/A,FALSE,"Plan2"}</definedName>
    <definedName name="hfjghtfuyrf" localSheetId="2" hidden="1">{#N/A,#N/A,FALSE,"Plan1";#N/A,#N/A,FALSE,"Plan2"}</definedName>
    <definedName name="hfjghtfuyrf" localSheetId="9" hidden="1">{#N/A,#N/A,FALSE,"Plan1";#N/A,#N/A,FALSE,"Plan2"}</definedName>
    <definedName name="hfjghtfuyrf" localSheetId="13" hidden="1">{#N/A,#N/A,FALSE,"Plan1";#N/A,#N/A,FALSE,"Plan2"}</definedName>
    <definedName name="hfjghtfuyrf" localSheetId="0" hidden="1">{#N/A,#N/A,FALSE,"Plan1";#N/A,#N/A,FALSE,"Plan2"}</definedName>
    <definedName name="hfjghtfuyrf" hidden="1">{#N/A,#N/A,FALSE,"Plan1";#N/A,#N/A,FALSE,"Plan2"}</definedName>
    <definedName name="HFKJHDJGHFJ" localSheetId="3" hidden="1">{#N/A,#N/A,FALSE,"Plan1";#N/A,#N/A,FALSE,"Plan2"}</definedName>
    <definedName name="HFKJHDJGHFJ" localSheetId="8" hidden="1">{#N/A,#N/A,FALSE,"Plan1";#N/A,#N/A,FALSE,"Plan2"}</definedName>
    <definedName name="HFKJHDJGHFJ" localSheetId="2" hidden="1">{#N/A,#N/A,FALSE,"Plan1";#N/A,#N/A,FALSE,"Plan2"}</definedName>
    <definedName name="HFKJHDJGHFJ" localSheetId="9" hidden="1">{#N/A,#N/A,FALSE,"Plan1";#N/A,#N/A,FALSE,"Plan2"}</definedName>
    <definedName name="HFKJHDJGHFJ" localSheetId="13" hidden="1">{#N/A,#N/A,FALSE,"Plan1";#N/A,#N/A,FALSE,"Plan2"}</definedName>
    <definedName name="HFKJHDJGHFJ" localSheetId="0" hidden="1">{#N/A,#N/A,FALSE,"Plan1";#N/A,#N/A,FALSE,"Plan2"}</definedName>
    <definedName name="HFKJHDJGHFJ" hidden="1">{#N/A,#N/A,FALSE,"Plan1";#N/A,#N/A,FALSE,"Plan2"}</definedName>
    <definedName name="hgdesgfgsj" localSheetId="3" hidden="1">{#N/A,#N/A,FALSE,"Plan1";#N/A,#N/A,FALSE,"Plan2"}</definedName>
    <definedName name="hgdesgfgsj" localSheetId="8" hidden="1">{#N/A,#N/A,FALSE,"Plan1";#N/A,#N/A,FALSE,"Plan2"}</definedName>
    <definedName name="hgdesgfgsj" localSheetId="2" hidden="1">{#N/A,#N/A,FALSE,"Plan1";#N/A,#N/A,FALSE,"Plan2"}</definedName>
    <definedName name="hgdesgfgsj" localSheetId="9" hidden="1">{#N/A,#N/A,FALSE,"Plan1";#N/A,#N/A,FALSE,"Plan2"}</definedName>
    <definedName name="hgdesgfgsj" localSheetId="13" hidden="1">{#N/A,#N/A,FALSE,"Plan1";#N/A,#N/A,FALSE,"Plan2"}</definedName>
    <definedName name="hgdesgfgsj" localSheetId="0" hidden="1">{#N/A,#N/A,FALSE,"Plan1";#N/A,#N/A,FALSE,"Plan2"}</definedName>
    <definedName name="hgdesgfgsj" hidden="1">{#N/A,#N/A,FALSE,"Plan1";#N/A,#N/A,FALSE,"Plan2"}</definedName>
    <definedName name="hgdgfd" localSheetId="3" hidden="1">{#N/A,#N/A,FALSE,"Plan1";#N/A,#N/A,FALSE,"Plan2"}</definedName>
    <definedName name="hgdgfd" localSheetId="8" hidden="1">{#N/A,#N/A,FALSE,"Plan1";#N/A,#N/A,FALSE,"Plan2"}</definedName>
    <definedName name="hgdgfd" localSheetId="2" hidden="1">{#N/A,#N/A,FALSE,"Plan1";#N/A,#N/A,FALSE,"Plan2"}</definedName>
    <definedName name="hgdgfd" localSheetId="9" hidden="1">{#N/A,#N/A,FALSE,"Plan1";#N/A,#N/A,FALSE,"Plan2"}</definedName>
    <definedName name="hgdgfd" localSheetId="13" hidden="1">{#N/A,#N/A,FALSE,"Plan1";#N/A,#N/A,FALSE,"Plan2"}</definedName>
    <definedName name="hgdgfd" localSheetId="0" hidden="1">{#N/A,#N/A,FALSE,"Plan1";#N/A,#N/A,FALSE,"Plan2"}</definedName>
    <definedName name="hgdgfd" hidden="1">{#N/A,#N/A,FALSE,"Plan1";#N/A,#N/A,FALSE,"Plan2"}</definedName>
    <definedName name="hgfhjkdfhj" localSheetId="3" hidden="1">{#N/A,#N/A,FALSE,"Plan1";#N/A,#N/A,FALSE,"Plan2"}</definedName>
    <definedName name="hgfhjkdfhj" localSheetId="8" hidden="1">{#N/A,#N/A,FALSE,"Plan1";#N/A,#N/A,FALSE,"Plan2"}</definedName>
    <definedName name="hgfhjkdfhj" localSheetId="2" hidden="1">{#N/A,#N/A,FALSE,"Plan1";#N/A,#N/A,FALSE,"Plan2"}</definedName>
    <definedName name="hgfhjkdfhj" localSheetId="9" hidden="1">{#N/A,#N/A,FALSE,"Plan1";#N/A,#N/A,FALSE,"Plan2"}</definedName>
    <definedName name="hgfhjkdfhj" localSheetId="13" hidden="1">{#N/A,#N/A,FALSE,"Plan1";#N/A,#N/A,FALSE,"Plan2"}</definedName>
    <definedName name="hgfhjkdfhj" localSheetId="0" hidden="1">{#N/A,#N/A,FALSE,"Plan1";#N/A,#N/A,FALSE,"Plan2"}</definedName>
    <definedName name="hgfhjkdfhj" hidden="1">{#N/A,#N/A,FALSE,"Plan1";#N/A,#N/A,FALSE,"Plan2"}</definedName>
    <definedName name="hgg" localSheetId="3" hidden="1">{#N/A,#N/A,FALSE,"Plan1";#N/A,#N/A,FALSE,"Plan2"}</definedName>
    <definedName name="hgg" localSheetId="8" hidden="1">{#N/A,#N/A,FALSE,"Plan1";#N/A,#N/A,FALSE,"Plan2"}</definedName>
    <definedName name="hgg" localSheetId="2" hidden="1">{#N/A,#N/A,FALSE,"Plan1";#N/A,#N/A,FALSE,"Plan2"}</definedName>
    <definedName name="hgg" localSheetId="9" hidden="1">{#N/A,#N/A,FALSE,"Plan1";#N/A,#N/A,FALSE,"Plan2"}</definedName>
    <definedName name="hgg" localSheetId="13" hidden="1">{#N/A,#N/A,FALSE,"Plan1";#N/A,#N/A,FALSE,"Plan2"}</definedName>
    <definedName name="hgg" localSheetId="0" hidden="1">{#N/A,#N/A,FALSE,"Plan1";#N/A,#N/A,FALSE,"Plan2"}</definedName>
    <definedName name="hgg" hidden="1">{#N/A,#N/A,FALSE,"Plan1";#N/A,#N/A,FALSE,"Plan2"}</definedName>
    <definedName name="hgjdfgghg" localSheetId="3" hidden="1">{#N/A,#N/A,FALSE,"Plan1";#N/A,#N/A,FALSE,"Plan2"}</definedName>
    <definedName name="hgjdfgghg" localSheetId="8" hidden="1">{#N/A,#N/A,FALSE,"Plan1";#N/A,#N/A,FALSE,"Plan2"}</definedName>
    <definedName name="hgjdfgghg" localSheetId="2" hidden="1">{#N/A,#N/A,FALSE,"Plan1";#N/A,#N/A,FALSE,"Plan2"}</definedName>
    <definedName name="hgjdfgghg" localSheetId="9" hidden="1">{#N/A,#N/A,FALSE,"Plan1";#N/A,#N/A,FALSE,"Plan2"}</definedName>
    <definedName name="hgjdfgghg" localSheetId="13" hidden="1">{#N/A,#N/A,FALSE,"Plan1";#N/A,#N/A,FALSE,"Plan2"}</definedName>
    <definedName name="hgjdfgghg" localSheetId="0" hidden="1">{#N/A,#N/A,FALSE,"Plan1";#N/A,#N/A,FALSE,"Plan2"}</definedName>
    <definedName name="hgjdfgghg" hidden="1">{#N/A,#N/A,FALSE,"Plan1";#N/A,#N/A,FALSE,"Plan2"}</definedName>
    <definedName name="hgjkfdhg" localSheetId="3" hidden="1">{#N/A,#N/A,FALSE,"Plan1";#N/A,#N/A,FALSE,"Plan2"}</definedName>
    <definedName name="hgjkfdhg" localSheetId="8" hidden="1">{#N/A,#N/A,FALSE,"Plan1";#N/A,#N/A,FALSE,"Plan2"}</definedName>
    <definedName name="hgjkfdhg" localSheetId="2" hidden="1">{#N/A,#N/A,FALSE,"Plan1";#N/A,#N/A,FALSE,"Plan2"}</definedName>
    <definedName name="hgjkfdhg" localSheetId="9" hidden="1">{#N/A,#N/A,FALSE,"Plan1";#N/A,#N/A,FALSE,"Plan2"}</definedName>
    <definedName name="hgjkfdhg" localSheetId="13" hidden="1">{#N/A,#N/A,FALSE,"Plan1";#N/A,#N/A,FALSE,"Plan2"}</definedName>
    <definedName name="hgjkfdhg" localSheetId="0" hidden="1">{#N/A,#N/A,FALSE,"Plan1";#N/A,#N/A,FALSE,"Plan2"}</definedName>
    <definedName name="hgjkfdhg" hidden="1">{#N/A,#N/A,FALSE,"Plan1";#N/A,#N/A,FALSE,"Plan2"}</definedName>
    <definedName name="hgkdfhkfk" localSheetId="3" hidden="1">{#N/A,#N/A,FALSE,"Plan1";#N/A,#N/A,FALSE,"Plan2"}</definedName>
    <definedName name="hgkdfhkfk" localSheetId="8" hidden="1">{#N/A,#N/A,FALSE,"Plan1";#N/A,#N/A,FALSE,"Plan2"}</definedName>
    <definedName name="hgkdfhkfk" localSheetId="2" hidden="1">{#N/A,#N/A,FALSE,"Plan1";#N/A,#N/A,FALSE,"Plan2"}</definedName>
    <definedName name="hgkdfhkfk" localSheetId="9" hidden="1">{#N/A,#N/A,FALSE,"Plan1";#N/A,#N/A,FALSE,"Plan2"}</definedName>
    <definedName name="hgkdfhkfk" localSheetId="13" hidden="1">{#N/A,#N/A,FALSE,"Plan1";#N/A,#N/A,FALSE,"Plan2"}</definedName>
    <definedName name="hgkdfhkfk" localSheetId="0" hidden="1">{#N/A,#N/A,FALSE,"Plan1";#N/A,#N/A,FALSE,"Plan2"}</definedName>
    <definedName name="hgkdfhkfk" hidden="1">{#N/A,#N/A,FALSE,"Plan1";#N/A,#N/A,FALSE,"Plan2"}</definedName>
    <definedName name="hgkjhdfhtrdyt" localSheetId="3" hidden="1">{#N/A,#N/A,FALSE,"Plan1";#N/A,#N/A,FALSE,"Plan2"}</definedName>
    <definedName name="hgkjhdfhtrdyt" localSheetId="8" hidden="1">{#N/A,#N/A,FALSE,"Plan1";#N/A,#N/A,FALSE,"Plan2"}</definedName>
    <definedName name="hgkjhdfhtrdyt" localSheetId="2" hidden="1">{#N/A,#N/A,FALSE,"Plan1";#N/A,#N/A,FALSE,"Plan2"}</definedName>
    <definedName name="hgkjhdfhtrdyt" localSheetId="9" hidden="1">{#N/A,#N/A,FALSE,"Plan1";#N/A,#N/A,FALSE,"Plan2"}</definedName>
    <definedName name="hgkjhdfhtrdyt" localSheetId="13" hidden="1">{#N/A,#N/A,FALSE,"Plan1";#N/A,#N/A,FALSE,"Plan2"}</definedName>
    <definedName name="hgkjhdfhtrdyt" localSheetId="0" hidden="1">{#N/A,#N/A,FALSE,"Plan1";#N/A,#N/A,FALSE,"Plan2"}</definedName>
    <definedName name="hgkjhdfhtrdyt" hidden="1">{#N/A,#N/A,FALSE,"Plan1";#N/A,#N/A,FALSE,"Plan2"}</definedName>
    <definedName name="hgkjhdfkhgtfhg" localSheetId="3" hidden="1">{#N/A,#N/A,FALSE,"Plan1";#N/A,#N/A,FALSE,"Plan2"}</definedName>
    <definedName name="hgkjhdfkhgtfhg" localSheetId="8" hidden="1">{#N/A,#N/A,FALSE,"Plan1";#N/A,#N/A,FALSE,"Plan2"}</definedName>
    <definedName name="hgkjhdfkhgtfhg" localSheetId="2" hidden="1">{#N/A,#N/A,FALSE,"Plan1";#N/A,#N/A,FALSE,"Plan2"}</definedName>
    <definedName name="hgkjhdfkhgtfhg" localSheetId="9" hidden="1">{#N/A,#N/A,FALSE,"Plan1";#N/A,#N/A,FALSE,"Plan2"}</definedName>
    <definedName name="hgkjhdfkhgtfhg" localSheetId="13" hidden="1">{#N/A,#N/A,FALSE,"Plan1";#N/A,#N/A,FALSE,"Plan2"}</definedName>
    <definedName name="hgkjhdfkhgtfhg" localSheetId="0" hidden="1">{#N/A,#N/A,FALSE,"Plan1";#N/A,#N/A,FALSE,"Plan2"}</definedName>
    <definedName name="hgkjhdfkhgtfhg" hidden="1">{#N/A,#N/A,FALSE,"Plan1";#N/A,#N/A,FALSE,"Plan2"}</definedName>
    <definedName name="hgkjhkfhsdkdhgk" localSheetId="3" hidden="1">{#N/A,#N/A,FALSE,"Plan1";#N/A,#N/A,FALSE,"Plan2"}</definedName>
    <definedName name="hgkjhkfhsdkdhgk" localSheetId="8" hidden="1">{#N/A,#N/A,FALSE,"Plan1";#N/A,#N/A,FALSE,"Plan2"}</definedName>
    <definedName name="hgkjhkfhsdkdhgk" localSheetId="2" hidden="1">{#N/A,#N/A,FALSE,"Plan1";#N/A,#N/A,FALSE,"Plan2"}</definedName>
    <definedName name="hgkjhkfhsdkdhgk" localSheetId="9" hidden="1">{#N/A,#N/A,FALSE,"Plan1";#N/A,#N/A,FALSE,"Plan2"}</definedName>
    <definedName name="hgkjhkfhsdkdhgk" localSheetId="13" hidden="1">{#N/A,#N/A,FALSE,"Plan1";#N/A,#N/A,FALSE,"Plan2"}</definedName>
    <definedName name="hgkjhkfhsdkdhgk" localSheetId="0" hidden="1">{#N/A,#N/A,FALSE,"Plan1";#N/A,#N/A,FALSE,"Plan2"}</definedName>
    <definedName name="hgkjhkfhsdkdhgk" hidden="1">{#N/A,#N/A,FALSE,"Plan1";#N/A,#N/A,FALSE,"Plan2"}</definedName>
    <definedName name="hgsufgdhghd" localSheetId="3" hidden="1">{#N/A,#N/A,FALSE,"Plan1";#N/A,#N/A,FALSE,"Plan2"}</definedName>
    <definedName name="hgsufgdhghd" localSheetId="8" hidden="1">{#N/A,#N/A,FALSE,"Plan1";#N/A,#N/A,FALSE,"Plan2"}</definedName>
    <definedName name="hgsufgdhghd" localSheetId="2" hidden="1">{#N/A,#N/A,FALSE,"Plan1";#N/A,#N/A,FALSE,"Plan2"}</definedName>
    <definedName name="hgsufgdhghd" localSheetId="9" hidden="1">{#N/A,#N/A,FALSE,"Plan1";#N/A,#N/A,FALSE,"Plan2"}</definedName>
    <definedName name="hgsufgdhghd" localSheetId="13" hidden="1">{#N/A,#N/A,FALSE,"Plan1";#N/A,#N/A,FALSE,"Plan2"}</definedName>
    <definedName name="hgsufgdhghd" localSheetId="0" hidden="1">{#N/A,#N/A,FALSE,"Plan1";#N/A,#N/A,FALSE,"Plan2"}</definedName>
    <definedName name="hgsufgdhghd" hidden="1">{#N/A,#N/A,FALSE,"Plan1";#N/A,#N/A,FALSE,"Plan2"}</definedName>
    <definedName name="HHGFHTYUT" localSheetId="3" hidden="1">{#N/A,#N/A,FALSE,"Plan1";#N/A,#N/A,FALSE,"Plan2"}</definedName>
    <definedName name="HHGFHTYUT" localSheetId="8" hidden="1">{#N/A,#N/A,FALSE,"Plan1";#N/A,#N/A,FALSE,"Plan2"}</definedName>
    <definedName name="HHGFHTYUT" localSheetId="2" hidden="1">{#N/A,#N/A,FALSE,"Plan1";#N/A,#N/A,FALSE,"Plan2"}</definedName>
    <definedName name="HHGFHTYUT" localSheetId="9" hidden="1">{#N/A,#N/A,FALSE,"Plan1";#N/A,#N/A,FALSE,"Plan2"}</definedName>
    <definedName name="HHGFHTYUT" localSheetId="13" hidden="1">{#N/A,#N/A,FALSE,"Plan1";#N/A,#N/A,FALSE,"Plan2"}</definedName>
    <definedName name="HHGFHTYUT" localSheetId="0" hidden="1">{#N/A,#N/A,FALSE,"Plan1";#N/A,#N/A,FALSE,"Plan2"}</definedName>
    <definedName name="HHGFHTYUT" hidden="1">{#N/A,#N/A,FALSE,"Plan1";#N/A,#N/A,FALSE,"Plan2"}</definedName>
    <definedName name="hhh" localSheetId="3" hidden="1">{"'Total'!$A$1","'Total'!$A$3"}</definedName>
    <definedName name="hhh" localSheetId="8" hidden="1">{"'Total'!$A$1","'Total'!$A$3"}</definedName>
    <definedName name="hhh" localSheetId="2" hidden="1">{"'Total'!$A$1","'Total'!$A$3"}</definedName>
    <definedName name="hhh" localSheetId="9" hidden="1">{"'Total'!$A$1","'Total'!$A$3"}</definedName>
    <definedName name="hhh" localSheetId="13" hidden="1">{"'Total'!$A$1","'Total'!$A$3"}</definedName>
    <definedName name="hhh" localSheetId="0" hidden="1">{"'Total'!$A$1","'Total'!$A$3"}</definedName>
    <definedName name="hhh" hidden="1">{"'Total'!$A$1","'Total'!$A$3"}</definedName>
    <definedName name="HHIHLK" localSheetId="3" hidden="1">#REF!</definedName>
    <definedName name="HHIHLK" localSheetId="8" hidden="1">#REF!</definedName>
    <definedName name="HHIHLK" localSheetId="2" hidden="1">#REF!</definedName>
    <definedName name="HHIHLK" localSheetId="9" hidden="1">#REF!</definedName>
    <definedName name="HHIHLK" localSheetId="13" hidden="1">#REF!</definedName>
    <definedName name="HHIHLK" localSheetId="0" hidden="1">#REF!</definedName>
    <definedName name="HHIHLK" hidden="1">#REF!</definedName>
    <definedName name="hik" localSheetId="3" hidden="1">{#N/A,#N/A,FALSE,"TABLE"}</definedName>
    <definedName name="hik" localSheetId="8" hidden="1">{#N/A,#N/A,FALSE,"TABLE"}</definedName>
    <definedName name="hik" localSheetId="2" hidden="1">{#N/A,#N/A,FALSE,"TABLE"}</definedName>
    <definedName name="hik" localSheetId="9" hidden="1">{#N/A,#N/A,FALSE,"TABLE"}</definedName>
    <definedName name="hik" localSheetId="13" hidden="1">{#N/A,#N/A,FALSE,"TABLE"}</definedName>
    <definedName name="hik" localSheetId="0" hidden="1">{#N/A,#N/A,FALSE,"TABLE"}</definedName>
    <definedName name="hik" hidden="1">{#N/A,#N/A,FALSE,"TABLE"}</definedName>
    <definedName name="hist" localSheetId="3">#REF!</definedName>
    <definedName name="hist" localSheetId="2">#REF!</definedName>
    <definedName name="hist">#REF!</definedName>
    <definedName name="HIST1" localSheetId="3">#REF!</definedName>
    <definedName name="HIST1" localSheetId="2">#REF!</definedName>
    <definedName name="HIST1">#REF!</definedName>
    <definedName name="HISTEQ" localSheetId="3">#REF!</definedName>
    <definedName name="HISTEQ" localSheetId="2">#REF!</definedName>
    <definedName name="HISTEQ">#REF!</definedName>
    <definedName name="HISTOGRAMA" localSheetId="2">#REF!</definedName>
    <definedName name="HISTOGRAMA">#REF!</definedName>
    <definedName name="hjdgtjdjxrfg" localSheetId="3" hidden="1">{#N/A,#N/A,FALSE,"Plan1";#N/A,#N/A,FALSE,"Plan2"}</definedName>
    <definedName name="hjdgtjdjxrfg" localSheetId="8" hidden="1">{#N/A,#N/A,FALSE,"Plan1";#N/A,#N/A,FALSE,"Plan2"}</definedName>
    <definedName name="hjdgtjdjxrfg" localSheetId="2" hidden="1">{#N/A,#N/A,FALSE,"Plan1";#N/A,#N/A,FALSE,"Plan2"}</definedName>
    <definedName name="hjdgtjdjxrfg" localSheetId="9" hidden="1">{#N/A,#N/A,FALSE,"Plan1";#N/A,#N/A,FALSE,"Plan2"}</definedName>
    <definedName name="hjdgtjdjxrfg" localSheetId="13" hidden="1">{#N/A,#N/A,FALSE,"Plan1";#N/A,#N/A,FALSE,"Plan2"}</definedName>
    <definedName name="hjdgtjdjxrfg" localSheetId="0" hidden="1">{#N/A,#N/A,FALSE,"Plan1";#N/A,#N/A,FALSE,"Plan2"}</definedName>
    <definedName name="hjdgtjdjxrfg" hidden="1">{#N/A,#N/A,FALSE,"Plan1";#N/A,#N/A,FALSE,"Plan2"}</definedName>
    <definedName name="HJFDGD" localSheetId="3" hidden="1">{#N/A,#N/A,FALSE,"Plan1";#N/A,#N/A,FALSE,"Plan2"}</definedName>
    <definedName name="HJFDGD" localSheetId="8" hidden="1">{#N/A,#N/A,FALSE,"Plan1";#N/A,#N/A,FALSE,"Plan2"}</definedName>
    <definedName name="HJFDGD" localSheetId="2" hidden="1">{#N/A,#N/A,FALSE,"Plan1";#N/A,#N/A,FALSE,"Plan2"}</definedName>
    <definedName name="HJFDGD" localSheetId="9" hidden="1">{#N/A,#N/A,FALSE,"Plan1";#N/A,#N/A,FALSE,"Plan2"}</definedName>
    <definedName name="HJFDGD" localSheetId="13" hidden="1">{#N/A,#N/A,FALSE,"Plan1";#N/A,#N/A,FALSE,"Plan2"}</definedName>
    <definedName name="HJFDGD" localSheetId="0" hidden="1">{#N/A,#N/A,FALSE,"Plan1";#N/A,#N/A,FALSE,"Plan2"}</definedName>
    <definedName name="HJFDGD" hidden="1">{#N/A,#N/A,FALSE,"Plan1";#N/A,#N/A,FALSE,"Plan2"}</definedName>
    <definedName name="HJGASD" localSheetId="3" hidden="1">{#N/A,#N/A,FALSE,"Plan1";#N/A,#N/A,FALSE,"Plan2"}</definedName>
    <definedName name="HJGASD" localSheetId="8" hidden="1">{#N/A,#N/A,FALSE,"Plan1";#N/A,#N/A,FALSE,"Plan2"}</definedName>
    <definedName name="HJGASD" localSheetId="2" hidden="1">{#N/A,#N/A,FALSE,"Plan1";#N/A,#N/A,FALSE,"Plan2"}</definedName>
    <definedName name="HJGASD" localSheetId="9" hidden="1">{#N/A,#N/A,FALSE,"Plan1";#N/A,#N/A,FALSE,"Plan2"}</definedName>
    <definedName name="HJGASD" localSheetId="13" hidden="1">{#N/A,#N/A,FALSE,"Plan1";#N/A,#N/A,FALSE,"Plan2"}</definedName>
    <definedName name="HJGASD" localSheetId="0" hidden="1">{#N/A,#N/A,FALSE,"Plan1";#N/A,#N/A,FALSE,"Plan2"}</definedName>
    <definedName name="HJGASD" hidden="1">{#N/A,#N/A,FALSE,"Plan1";#N/A,#N/A,FALSE,"Plan2"}</definedName>
    <definedName name="HJGFGTFDG" localSheetId="3" hidden="1">{#N/A,#N/A,FALSE,"Plan1";#N/A,#N/A,FALSE,"Plan2"}</definedName>
    <definedName name="HJGFGTFDG" localSheetId="8" hidden="1">{#N/A,#N/A,FALSE,"Plan1";#N/A,#N/A,FALSE,"Plan2"}</definedName>
    <definedName name="HJGFGTFDG" localSheetId="2" hidden="1">{#N/A,#N/A,FALSE,"Plan1";#N/A,#N/A,FALSE,"Plan2"}</definedName>
    <definedName name="HJGFGTFDG" localSheetId="9" hidden="1">{#N/A,#N/A,FALSE,"Plan1";#N/A,#N/A,FALSE,"Plan2"}</definedName>
    <definedName name="HJGFGTFDG" localSheetId="13" hidden="1">{#N/A,#N/A,FALSE,"Plan1";#N/A,#N/A,FALSE,"Plan2"}</definedName>
    <definedName name="HJGFGTFDG" localSheetId="0" hidden="1">{#N/A,#N/A,FALSE,"Plan1";#N/A,#N/A,FALSE,"Plan2"}</definedName>
    <definedName name="HJGFGTFDG" hidden="1">{#N/A,#N/A,FALSE,"Plan1";#N/A,#N/A,FALSE,"Plan2"}</definedName>
    <definedName name="hjgfhdsgfhsd" localSheetId="3" hidden="1">{#N/A,#N/A,FALSE,"Plan1";#N/A,#N/A,FALSE,"Plan2"}</definedName>
    <definedName name="hjgfhdsgfhsd" localSheetId="8" hidden="1">{#N/A,#N/A,FALSE,"Plan1";#N/A,#N/A,FALSE,"Plan2"}</definedName>
    <definedName name="hjgfhdsgfhsd" localSheetId="2" hidden="1">{#N/A,#N/A,FALSE,"Plan1";#N/A,#N/A,FALSE,"Plan2"}</definedName>
    <definedName name="hjgfhdsgfhsd" localSheetId="9" hidden="1">{#N/A,#N/A,FALSE,"Plan1";#N/A,#N/A,FALSE,"Plan2"}</definedName>
    <definedName name="hjgfhdsgfhsd" localSheetId="13" hidden="1">{#N/A,#N/A,FALSE,"Plan1";#N/A,#N/A,FALSE,"Plan2"}</definedName>
    <definedName name="hjgfhdsgfhsd" localSheetId="0" hidden="1">{#N/A,#N/A,FALSE,"Plan1";#N/A,#N/A,FALSE,"Plan2"}</definedName>
    <definedName name="hjgfhdsgfhsd" hidden="1">{#N/A,#N/A,FALSE,"Plan1";#N/A,#N/A,FALSE,"Plan2"}</definedName>
    <definedName name="hjgxfjgdjyftr" localSheetId="3" hidden="1">{#N/A,#N/A,FALSE,"Plan1";#N/A,#N/A,FALSE,"Plan2"}</definedName>
    <definedName name="hjgxfjgdjyftr" localSheetId="8" hidden="1">{#N/A,#N/A,FALSE,"Plan1";#N/A,#N/A,FALSE,"Plan2"}</definedName>
    <definedName name="hjgxfjgdjyftr" localSheetId="2" hidden="1">{#N/A,#N/A,FALSE,"Plan1";#N/A,#N/A,FALSE,"Plan2"}</definedName>
    <definedName name="hjgxfjgdjyftr" localSheetId="9" hidden="1">{#N/A,#N/A,FALSE,"Plan1";#N/A,#N/A,FALSE,"Plan2"}</definedName>
    <definedName name="hjgxfjgdjyftr" localSheetId="13" hidden="1">{#N/A,#N/A,FALSE,"Plan1";#N/A,#N/A,FALSE,"Plan2"}</definedName>
    <definedName name="hjgxfjgdjyftr" localSheetId="0" hidden="1">{#N/A,#N/A,FALSE,"Plan1";#N/A,#N/A,FALSE,"Plan2"}</definedName>
    <definedName name="hjgxfjgdjyftr" hidden="1">{#N/A,#N/A,FALSE,"Plan1";#N/A,#N/A,FALSE,"Plan2"}</definedName>
    <definedName name="hjgyugasd" localSheetId="3" hidden="1">{#N/A,#N/A,FALSE,"Plan1";#N/A,#N/A,FALSE,"Plan2"}</definedName>
    <definedName name="hjgyugasd" localSheetId="8" hidden="1">{#N/A,#N/A,FALSE,"Plan1";#N/A,#N/A,FALSE,"Plan2"}</definedName>
    <definedName name="hjgyugasd" localSheetId="2" hidden="1">{#N/A,#N/A,FALSE,"Plan1";#N/A,#N/A,FALSE,"Plan2"}</definedName>
    <definedName name="hjgyugasd" localSheetId="9" hidden="1">{#N/A,#N/A,FALSE,"Plan1";#N/A,#N/A,FALSE,"Plan2"}</definedName>
    <definedName name="hjgyugasd" localSheetId="13" hidden="1">{#N/A,#N/A,FALSE,"Plan1";#N/A,#N/A,FALSE,"Plan2"}</definedName>
    <definedName name="hjgyugasd" localSheetId="0" hidden="1">{#N/A,#N/A,FALSE,"Plan1";#N/A,#N/A,FALSE,"Plan2"}</definedName>
    <definedName name="hjgyugasd" hidden="1">{#N/A,#N/A,FALSE,"Plan1";#N/A,#N/A,FALSE,"Plan2"}</definedName>
    <definedName name="hjjfyfy" localSheetId="3" hidden="1">{#N/A,#N/A,FALSE,"Plan1";#N/A,#N/A,FALSE,"Plan2"}</definedName>
    <definedName name="hjjfyfy" localSheetId="8" hidden="1">{#N/A,#N/A,FALSE,"Plan1";#N/A,#N/A,FALSE,"Plan2"}</definedName>
    <definedName name="hjjfyfy" localSheetId="2" hidden="1">{#N/A,#N/A,FALSE,"Plan1";#N/A,#N/A,FALSE,"Plan2"}</definedName>
    <definedName name="hjjfyfy" localSheetId="9" hidden="1">{#N/A,#N/A,FALSE,"Plan1";#N/A,#N/A,FALSE,"Plan2"}</definedName>
    <definedName name="hjjfyfy" localSheetId="13" hidden="1">{#N/A,#N/A,FALSE,"Plan1";#N/A,#N/A,FALSE,"Plan2"}</definedName>
    <definedName name="hjjfyfy" localSheetId="0" hidden="1">{#N/A,#N/A,FALSE,"Plan1";#N/A,#N/A,FALSE,"Plan2"}</definedName>
    <definedName name="hjjfyfy" hidden="1">{#N/A,#N/A,FALSE,"Plan1";#N/A,#N/A,FALSE,"Plan2"}</definedName>
    <definedName name="hjkchkvjhdjkgh" localSheetId="3" hidden="1">{#N/A,#N/A,FALSE,"Plan1";#N/A,#N/A,FALSE,"Plan2"}</definedName>
    <definedName name="hjkchkvjhdjkgh" localSheetId="8" hidden="1">{#N/A,#N/A,FALSE,"Plan1";#N/A,#N/A,FALSE,"Plan2"}</definedName>
    <definedName name="hjkchkvjhdjkgh" localSheetId="2" hidden="1">{#N/A,#N/A,FALSE,"Plan1";#N/A,#N/A,FALSE,"Plan2"}</definedName>
    <definedName name="hjkchkvjhdjkgh" localSheetId="9" hidden="1">{#N/A,#N/A,FALSE,"Plan1";#N/A,#N/A,FALSE,"Plan2"}</definedName>
    <definedName name="hjkchkvjhdjkgh" localSheetId="13" hidden="1">{#N/A,#N/A,FALSE,"Plan1";#N/A,#N/A,FALSE,"Plan2"}</definedName>
    <definedName name="hjkchkvjhdjkgh" localSheetId="0" hidden="1">{#N/A,#N/A,FALSE,"Plan1";#N/A,#N/A,FALSE,"Plan2"}</definedName>
    <definedName name="hjkchkvjhdjkgh" hidden="1">{#N/A,#N/A,FALSE,"Plan1";#N/A,#N/A,FALSE,"Plan2"}</definedName>
    <definedName name="hjkfjdyht" localSheetId="3" hidden="1">{#N/A,#N/A,FALSE,"Plan1";#N/A,#N/A,FALSE,"Plan2"}</definedName>
    <definedName name="hjkfjdyht" localSheetId="8" hidden="1">{#N/A,#N/A,FALSE,"Plan1";#N/A,#N/A,FALSE,"Plan2"}</definedName>
    <definedName name="hjkfjdyht" localSheetId="2" hidden="1">{#N/A,#N/A,FALSE,"Plan1";#N/A,#N/A,FALSE,"Plan2"}</definedName>
    <definedName name="hjkfjdyht" localSheetId="9" hidden="1">{#N/A,#N/A,FALSE,"Plan1";#N/A,#N/A,FALSE,"Plan2"}</definedName>
    <definedName name="hjkfjdyht" localSheetId="13" hidden="1">{#N/A,#N/A,FALSE,"Plan1";#N/A,#N/A,FALSE,"Plan2"}</definedName>
    <definedName name="hjkfjdyht" localSheetId="0" hidden="1">{#N/A,#N/A,FALSE,"Plan1";#N/A,#N/A,FALSE,"Plan2"}</definedName>
    <definedName name="hjkfjdyht" hidden="1">{#N/A,#N/A,FALSE,"Plan1";#N/A,#N/A,FALSE,"Plan2"}</definedName>
    <definedName name="hjsdffe"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jsdffe" hidden="1">{TRUE,TRUE,-1.25,-15.5,604.5,366.75,FALSE,FALSE,TRUE,TRUE,0,1,#N/A,1,#N/A,9.0125,24.4117647058824,1,FALSE,FALSE,3,TRUE,1,FALSE,100,"Swvu.PLANILHA2.","ACwvu.PLANILHA2.",#N/A,FALSE,FALSE,0.787401575,0.34,0.46,0.5,1,"","",FALSE,FALSE,FALSE,FALSE,1,#N/A,1,1,FALSE,FALSE,#N/A,#N/A,FALSE,FALSE,FALSE,9,65532,65532,FALSE,FALSE,TRUE,TRUE,TRUE}</definedName>
    <definedName name="hjsdkhk" localSheetId="3" hidden="1">{#N/A,#N/A,FALSE,"Plan1";#N/A,#N/A,FALSE,"Plan2"}</definedName>
    <definedName name="hjsdkhk" localSheetId="8" hidden="1">{#N/A,#N/A,FALSE,"Plan1";#N/A,#N/A,FALSE,"Plan2"}</definedName>
    <definedName name="hjsdkhk" localSheetId="2" hidden="1">{#N/A,#N/A,FALSE,"Plan1";#N/A,#N/A,FALSE,"Plan2"}</definedName>
    <definedName name="hjsdkhk" localSheetId="9" hidden="1">{#N/A,#N/A,FALSE,"Plan1";#N/A,#N/A,FALSE,"Plan2"}</definedName>
    <definedName name="hjsdkhk" localSheetId="13" hidden="1">{#N/A,#N/A,FALSE,"Plan1";#N/A,#N/A,FALSE,"Plan2"}</definedName>
    <definedName name="hjsdkhk" localSheetId="0" hidden="1">{#N/A,#N/A,FALSE,"Plan1";#N/A,#N/A,FALSE,"Plan2"}</definedName>
    <definedName name="hjsdkhk" hidden="1">{#N/A,#N/A,FALSE,"Plan1";#N/A,#N/A,FALSE,"Plan2"}</definedName>
    <definedName name="hjsdsdrjfrh" hidden="1">2</definedName>
    <definedName name="hjsrdfre" localSheetId="3" hidden="1">{"Econ Consolidado",#N/A,FALSE,"Econ Consol";"Fluxo de Caixa",#N/A,FALSE,"Fluxo Caixa";"Investimentos",#N/A,FALSE,"Investimentos"}</definedName>
    <definedName name="hjsrdfre" localSheetId="8" hidden="1">{"Econ Consolidado",#N/A,FALSE,"Econ Consol";"Fluxo de Caixa",#N/A,FALSE,"Fluxo Caixa";"Investimentos",#N/A,FALSE,"Investimentos"}</definedName>
    <definedName name="hjsrdfre" localSheetId="2" hidden="1">{"Econ Consolidado",#N/A,FALSE,"Econ Consol";"Fluxo de Caixa",#N/A,FALSE,"Fluxo Caixa";"Investimentos",#N/A,FALSE,"Investimentos"}</definedName>
    <definedName name="hjsrdfre" localSheetId="9" hidden="1">{"Econ Consolidado",#N/A,FALSE,"Econ Consol";"Fluxo de Caixa",#N/A,FALSE,"Fluxo Caixa";"Investimentos",#N/A,FALSE,"Investimentos"}</definedName>
    <definedName name="hjsrdfre" localSheetId="13" hidden="1">{"Econ Consolidado",#N/A,FALSE,"Econ Consol";"Fluxo de Caixa",#N/A,FALSE,"Fluxo Caixa";"Investimentos",#N/A,FALSE,"Investimentos"}</definedName>
    <definedName name="hjsrdfre" localSheetId="0" hidden="1">{"Econ Consolidado",#N/A,FALSE,"Econ Consol";"Fluxo de Caixa",#N/A,FALSE,"Fluxo Caixa";"Investimentos",#N/A,FALSE,"Investimentos"}</definedName>
    <definedName name="hjsrdfre" hidden="1">{"Econ Consolidado",#N/A,FALSE,"Econ Consol";"Fluxo de Caixa",#N/A,FALSE,"Fluxo Caixa";"Investimentos",#N/A,FALSE,"Investimentos"}</definedName>
    <definedName name="HKewewsr" localSheetId="3" hidden="1">{#N/A,#N/A,FALSE,"Plan1";#N/A,#N/A,FALSE,"Plan2"}</definedName>
    <definedName name="HKewewsr" localSheetId="8" hidden="1">{#N/A,#N/A,FALSE,"Plan1";#N/A,#N/A,FALSE,"Plan2"}</definedName>
    <definedName name="HKewewsr" localSheetId="2" hidden="1">{#N/A,#N/A,FALSE,"Plan1";#N/A,#N/A,FALSE,"Plan2"}</definedName>
    <definedName name="HKewewsr" localSheetId="9" hidden="1">{#N/A,#N/A,FALSE,"Plan1";#N/A,#N/A,FALSE,"Plan2"}</definedName>
    <definedName name="HKewewsr" localSheetId="13" hidden="1">{#N/A,#N/A,FALSE,"Plan1";#N/A,#N/A,FALSE,"Plan2"}</definedName>
    <definedName name="HKewewsr" localSheetId="0" hidden="1">{#N/A,#N/A,FALSE,"Plan1";#N/A,#N/A,FALSE,"Plan2"}</definedName>
    <definedName name="HKewewsr" hidden="1">{#N/A,#N/A,FALSE,"Plan1";#N/A,#N/A,FALSE,"Plan2"}</definedName>
    <definedName name="hkhdskacd" localSheetId="3" hidden="1">{#N/A,#N/A,FALSE,"Plan1";#N/A,#N/A,FALSE,"Plan2"}</definedName>
    <definedName name="hkhdskacd" localSheetId="8" hidden="1">{#N/A,#N/A,FALSE,"Plan1";#N/A,#N/A,FALSE,"Plan2"}</definedName>
    <definedName name="hkhdskacd" localSheetId="2" hidden="1">{#N/A,#N/A,FALSE,"Plan1";#N/A,#N/A,FALSE,"Plan2"}</definedName>
    <definedName name="hkhdskacd" localSheetId="9" hidden="1">{#N/A,#N/A,FALSE,"Plan1";#N/A,#N/A,FALSE,"Plan2"}</definedName>
    <definedName name="hkhdskacd" localSheetId="13" hidden="1">{#N/A,#N/A,FALSE,"Plan1";#N/A,#N/A,FALSE,"Plan2"}</definedName>
    <definedName name="hkhdskacd" localSheetId="0" hidden="1">{#N/A,#N/A,FALSE,"Plan1";#N/A,#N/A,FALSE,"Plan2"}</definedName>
    <definedName name="hkhdskacd" hidden="1">{#N/A,#N/A,FALSE,"Plan1";#N/A,#N/A,FALSE,"Plan2"}</definedName>
    <definedName name="hkjfgfhgfh" localSheetId="3" hidden="1">{#N/A,#N/A,FALSE,"Plan1";#N/A,#N/A,FALSE,"Plan2"}</definedName>
    <definedName name="hkjfgfhgfh" localSheetId="8" hidden="1">{#N/A,#N/A,FALSE,"Plan1";#N/A,#N/A,FALSE,"Plan2"}</definedName>
    <definedName name="hkjfgfhgfh" localSheetId="2" hidden="1">{#N/A,#N/A,FALSE,"Plan1";#N/A,#N/A,FALSE,"Plan2"}</definedName>
    <definedName name="hkjfgfhgfh" localSheetId="9" hidden="1">{#N/A,#N/A,FALSE,"Plan1";#N/A,#N/A,FALSE,"Plan2"}</definedName>
    <definedName name="hkjfgfhgfh" localSheetId="13" hidden="1">{#N/A,#N/A,FALSE,"Plan1";#N/A,#N/A,FALSE,"Plan2"}</definedName>
    <definedName name="hkjfgfhgfh" localSheetId="0" hidden="1">{#N/A,#N/A,FALSE,"Plan1";#N/A,#N/A,FALSE,"Plan2"}</definedName>
    <definedName name="hkjfgfhgfh" hidden="1">{#N/A,#N/A,FALSE,"Plan1";#N/A,#N/A,FALSE,"Plan2"}</definedName>
    <definedName name="hkjfhgjkfhghfg" localSheetId="3" hidden="1">{#N/A,#N/A,FALSE,"Plan1";#N/A,#N/A,FALSE,"Plan2"}</definedName>
    <definedName name="hkjfhgjkfhghfg" localSheetId="8" hidden="1">{#N/A,#N/A,FALSE,"Plan1";#N/A,#N/A,FALSE,"Plan2"}</definedName>
    <definedName name="hkjfhgjkfhghfg" localSheetId="2" hidden="1">{#N/A,#N/A,FALSE,"Plan1";#N/A,#N/A,FALSE,"Plan2"}</definedName>
    <definedName name="hkjfhgjkfhghfg" localSheetId="9" hidden="1">{#N/A,#N/A,FALSE,"Plan1";#N/A,#N/A,FALSE,"Plan2"}</definedName>
    <definedName name="hkjfhgjkfhghfg" localSheetId="13" hidden="1">{#N/A,#N/A,FALSE,"Plan1";#N/A,#N/A,FALSE,"Plan2"}</definedName>
    <definedName name="hkjfhgjkfhghfg" localSheetId="0" hidden="1">{#N/A,#N/A,FALSE,"Plan1";#N/A,#N/A,FALSE,"Plan2"}</definedName>
    <definedName name="hkjfhgjkfhghfg" hidden="1">{#N/A,#N/A,FALSE,"Plan1";#N/A,#N/A,FALSE,"Plan2"}</definedName>
    <definedName name="HKLZHFRH" localSheetId="3" hidden="1">{#N/A,#N/A,FALSE,"Plan1";#N/A,#N/A,FALSE,"Plan2"}</definedName>
    <definedName name="HKLZHFRH" localSheetId="8" hidden="1">{#N/A,#N/A,FALSE,"Plan1";#N/A,#N/A,FALSE,"Plan2"}</definedName>
    <definedName name="HKLZHFRH" localSheetId="2" hidden="1">{#N/A,#N/A,FALSE,"Plan1";#N/A,#N/A,FALSE,"Plan2"}</definedName>
    <definedName name="HKLZHFRH" localSheetId="9" hidden="1">{#N/A,#N/A,FALSE,"Plan1";#N/A,#N/A,FALSE,"Plan2"}</definedName>
    <definedName name="HKLZHFRH" localSheetId="13" hidden="1">{#N/A,#N/A,FALSE,"Plan1";#N/A,#N/A,FALSE,"Plan2"}</definedName>
    <definedName name="HKLZHFRH" localSheetId="0" hidden="1">{#N/A,#N/A,FALSE,"Plan1";#N/A,#N/A,FALSE,"Plan2"}</definedName>
    <definedName name="HKLZHFRH" hidden="1">{#N/A,#N/A,FALSE,"Plan1";#N/A,#N/A,FALSE,"Plan2"}</definedName>
    <definedName name="ho" localSheetId="3" hidden="1">{#N/A,#N/A,FALSE,"TABLE"}</definedName>
    <definedName name="ho" localSheetId="8" hidden="1">{#N/A,#N/A,FALSE,"TABLE"}</definedName>
    <definedName name="ho" localSheetId="2" hidden="1">{#N/A,#N/A,FALSE,"TABLE"}</definedName>
    <definedName name="ho" localSheetId="9" hidden="1">{#N/A,#N/A,FALSE,"TABLE"}</definedName>
    <definedName name="ho" localSheetId="13" hidden="1">{#N/A,#N/A,FALSE,"TABLE"}</definedName>
    <definedName name="ho" localSheetId="0" hidden="1">{#N/A,#N/A,FALSE,"TABLE"}</definedName>
    <definedName name="ho" hidden="1">{#N/A,#N/A,FALSE,"TABLE"}</definedName>
    <definedName name="HOJE" localSheetId="3">#REF!</definedName>
    <definedName name="HOJE" localSheetId="2">#REF!</definedName>
    <definedName name="HOJE">#REF!</definedName>
    <definedName name="HONORARIOS" localSheetId="3">#REF!</definedName>
    <definedName name="HONORARIOS" localSheetId="2">#REF!</definedName>
    <definedName name="HONORARIOS">#REF!</definedName>
    <definedName name="HOSPEDES" localSheetId="3">#REF!</definedName>
    <definedName name="HOSPEDES" localSheetId="2">#REF!</definedName>
    <definedName name="HOSPEDES">#REF!</definedName>
    <definedName name="HOTEL" localSheetId="2">#REF!</definedName>
    <definedName name="HOTEL">#REF!</definedName>
    <definedName name="hrterte" localSheetId="3" hidden="1">{#N/A,#N/A,FALSE,"Plan1";#N/A,#N/A,FALSE,"Plan2"}</definedName>
    <definedName name="hrterte" localSheetId="8" hidden="1">{#N/A,#N/A,FALSE,"Plan1";#N/A,#N/A,FALSE,"Plan2"}</definedName>
    <definedName name="hrterte" localSheetId="2" hidden="1">{#N/A,#N/A,FALSE,"Plan1";#N/A,#N/A,FALSE,"Plan2"}</definedName>
    <definedName name="hrterte" localSheetId="9" hidden="1">{#N/A,#N/A,FALSE,"Plan1";#N/A,#N/A,FALSE,"Plan2"}</definedName>
    <definedName name="hrterte" localSheetId="13" hidden="1">{#N/A,#N/A,FALSE,"Plan1";#N/A,#N/A,FALSE,"Plan2"}</definedName>
    <definedName name="hrterte" localSheetId="0" hidden="1">{#N/A,#N/A,FALSE,"Plan1";#N/A,#N/A,FALSE,"Plan2"}</definedName>
    <definedName name="hrterte" hidden="1">{#N/A,#N/A,FALSE,"Plan1";#N/A,#N/A,FALSE,"Plan2"}</definedName>
    <definedName name="hsdf" localSheetId="3" hidden="1">{#N/A,#N/A,FALSE,"Plan1";#N/A,#N/A,FALSE,"Plan2"}</definedName>
    <definedName name="hsdf" localSheetId="8" hidden="1">{#N/A,#N/A,FALSE,"Plan1";#N/A,#N/A,FALSE,"Plan2"}</definedName>
    <definedName name="hsdf" localSheetId="2" hidden="1">{#N/A,#N/A,FALSE,"Plan1";#N/A,#N/A,FALSE,"Plan2"}</definedName>
    <definedName name="hsdf" localSheetId="9" hidden="1">{#N/A,#N/A,FALSE,"Plan1";#N/A,#N/A,FALSE,"Plan2"}</definedName>
    <definedName name="hsdf" localSheetId="13" hidden="1">{#N/A,#N/A,FALSE,"Plan1";#N/A,#N/A,FALSE,"Plan2"}</definedName>
    <definedName name="hsdf" localSheetId="0" hidden="1">{#N/A,#N/A,FALSE,"Plan1";#N/A,#N/A,FALSE,"Plan2"}</definedName>
    <definedName name="hsdf" hidden="1">{#N/A,#N/A,FALSE,"Plan1";#N/A,#N/A,FALSE,"Plan2"}</definedName>
    <definedName name="hsdfgdgudrt" localSheetId="3" hidden="1">{#N/A,#N/A,FALSE,"Plan1";#N/A,#N/A,FALSE,"Plan2"}</definedName>
    <definedName name="hsdfgdgudrt" localSheetId="8" hidden="1">{#N/A,#N/A,FALSE,"Plan1";#N/A,#N/A,FALSE,"Plan2"}</definedName>
    <definedName name="hsdfgdgudrt" localSheetId="2" hidden="1">{#N/A,#N/A,FALSE,"Plan1";#N/A,#N/A,FALSE,"Plan2"}</definedName>
    <definedName name="hsdfgdgudrt" localSheetId="9" hidden="1">{#N/A,#N/A,FALSE,"Plan1";#N/A,#N/A,FALSE,"Plan2"}</definedName>
    <definedName name="hsdfgdgudrt" localSheetId="13" hidden="1">{#N/A,#N/A,FALSE,"Plan1";#N/A,#N/A,FALSE,"Plan2"}</definedName>
    <definedName name="hsdfgdgudrt" localSheetId="0" hidden="1">{#N/A,#N/A,FALSE,"Plan1";#N/A,#N/A,FALSE,"Plan2"}</definedName>
    <definedName name="hsdfgdgudrt" hidden="1">{#N/A,#N/A,FALSE,"Plan1";#N/A,#N/A,FALSE,"Plan2"}</definedName>
    <definedName name="hsdfjkdhur" localSheetId="3" hidden="1">{#N/A,#N/A,FALSE,"Plan1";#N/A,#N/A,FALSE,"Plan2"}</definedName>
    <definedName name="hsdfjkdhur" localSheetId="8" hidden="1">{#N/A,#N/A,FALSE,"Plan1";#N/A,#N/A,FALSE,"Plan2"}</definedName>
    <definedName name="hsdfjkdhur" localSheetId="2" hidden="1">{#N/A,#N/A,FALSE,"Plan1";#N/A,#N/A,FALSE,"Plan2"}</definedName>
    <definedName name="hsdfjkdhur" localSheetId="9" hidden="1">{#N/A,#N/A,FALSE,"Plan1";#N/A,#N/A,FALSE,"Plan2"}</definedName>
    <definedName name="hsdfjkdhur" localSheetId="13" hidden="1">{#N/A,#N/A,FALSE,"Plan1";#N/A,#N/A,FALSE,"Plan2"}</definedName>
    <definedName name="hsdfjkdhur" localSheetId="0" hidden="1">{#N/A,#N/A,FALSE,"Plan1";#N/A,#N/A,FALSE,"Plan2"}</definedName>
    <definedName name="hsdfjkdhur" hidden="1">{#N/A,#N/A,FALSE,"Plan1";#N/A,#N/A,FALSE,"Plan2"}</definedName>
    <definedName name="hsdgftdht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hsdgftdhtr" hidden="1">{TRUE,TRUE,-1.25,-15.5,604.5,366.75,FALSE,FALSE,TRUE,TRUE,0,1,#N/A,1,#N/A,9.0125,24.4117647058824,1,FALSE,FALSE,3,TRUE,1,FALSE,100,"Swvu.PLANILHA2.","ACwvu.PLANILHA2.",#N/A,FALSE,FALSE,0.787401575,0.34,0.46,0.5,1,"","",FALSE,FALSE,FALSE,FALSE,1,#N/A,1,1,FALSE,FALSE,#N/A,#N/A,FALSE,FALSE,FALSE,9,65532,65532,FALSE,FALSE,TRUE,TRUE,TRUE}</definedName>
    <definedName name="hsdjffd" localSheetId="3" hidden="1">{#N/A,#N/A,FALSE,"Plan1";#N/A,#N/A,FALSE,"Plan2"}</definedName>
    <definedName name="hsdjffd" localSheetId="8" hidden="1">{#N/A,#N/A,FALSE,"Plan1";#N/A,#N/A,FALSE,"Plan2"}</definedName>
    <definedName name="hsdjffd" localSheetId="2" hidden="1">{#N/A,#N/A,FALSE,"Plan1";#N/A,#N/A,FALSE,"Plan2"}</definedName>
    <definedName name="hsdjffd" localSheetId="9" hidden="1">{#N/A,#N/A,FALSE,"Plan1";#N/A,#N/A,FALSE,"Plan2"}</definedName>
    <definedName name="hsdjffd" localSheetId="13" hidden="1">{#N/A,#N/A,FALSE,"Plan1";#N/A,#N/A,FALSE,"Plan2"}</definedName>
    <definedName name="hsdjffd" localSheetId="0" hidden="1">{#N/A,#N/A,FALSE,"Plan1";#N/A,#N/A,FALSE,"Plan2"}</definedName>
    <definedName name="hsdjffd" hidden="1">{#N/A,#N/A,FALSE,"Plan1";#N/A,#N/A,FALSE,"Plan2"}</definedName>
    <definedName name="hsdjffe" localSheetId="3" hidden="1">{#N/A,#N/A,FALSE,"Plan1";#N/A,#N/A,FALSE,"Plan2"}</definedName>
    <definedName name="hsdjffe" localSheetId="8" hidden="1">{#N/A,#N/A,FALSE,"Plan1";#N/A,#N/A,FALSE,"Plan2"}</definedName>
    <definedName name="hsdjffe" localSheetId="2" hidden="1">{#N/A,#N/A,FALSE,"Plan1";#N/A,#N/A,FALSE,"Plan2"}</definedName>
    <definedName name="hsdjffe" localSheetId="9" hidden="1">{#N/A,#N/A,FALSE,"Plan1";#N/A,#N/A,FALSE,"Plan2"}</definedName>
    <definedName name="hsdjffe" localSheetId="13" hidden="1">{#N/A,#N/A,FALSE,"Plan1";#N/A,#N/A,FALSE,"Plan2"}</definedName>
    <definedName name="hsdjffe" localSheetId="0" hidden="1">{#N/A,#N/A,FALSE,"Plan1";#N/A,#N/A,FALSE,"Plan2"}</definedName>
    <definedName name="hsdjffe" hidden="1">{#N/A,#N/A,FALSE,"Plan1";#N/A,#N/A,FALSE,"Plan2"}</definedName>
    <definedName name="HSFIHDTR" localSheetId="3" hidden="1">{"Econ Consolidado",#N/A,FALSE,"Econ Consol";"Fluxo de Caixa",#N/A,FALSE,"Fluxo Caixa";"Investimentos",#N/A,FALSE,"Investimentos"}</definedName>
    <definedName name="HSFIHDTR" localSheetId="8" hidden="1">{"Econ Consolidado",#N/A,FALSE,"Econ Consol";"Fluxo de Caixa",#N/A,FALSE,"Fluxo Caixa";"Investimentos",#N/A,FALSE,"Investimentos"}</definedName>
    <definedName name="HSFIHDTR" localSheetId="2" hidden="1">{"Econ Consolidado",#N/A,FALSE,"Econ Consol";"Fluxo de Caixa",#N/A,FALSE,"Fluxo Caixa";"Investimentos",#N/A,FALSE,"Investimentos"}</definedName>
    <definedName name="HSFIHDTR" localSheetId="9" hidden="1">{"Econ Consolidado",#N/A,FALSE,"Econ Consol";"Fluxo de Caixa",#N/A,FALSE,"Fluxo Caixa";"Investimentos",#N/A,FALSE,"Investimentos"}</definedName>
    <definedName name="HSFIHDTR" localSheetId="13" hidden="1">{"Econ Consolidado",#N/A,FALSE,"Econ Consol";"Fluxo de Caixa",#N/A,FALSE,"Fluxo Caixa";"Investimentos",#N/A,FALSE,"Investimentos"}</definedName>
    <definedName name="HSFIHDTR" localSheetId="0" hidden="1">{"Econ Consolidado",#N/A,FALSE,"Econ Consol";"Fluxo de Caixa",#N/A,FALSE,"Fluxo Caixa";"Investimentos",#N/A,FALSE,"Investimentos"}</definedName>
    <definedName name="HSFIHDTR" hidden="1">{"Econ Consolidado",#N/A,FALSE,"Econ Consol";"Fluxo de Caixa",#N/A,FALSE,"Fluxo Caixa";"Investimentos",#N/A,FALSE,"Investimentos"}</definedName>
    <definedName name="hsfjkdshrgf" localSheetId="3" hidden="1">{#N/A,#N/A,FALSE,"Plan1";#N/A,#N/A,FALSE,"Plan2"}</definedName>
    <definedName name="hsfjkdshrgf" localSheetId="8" hidden="1">{#N/A,#N/A,FALSE,"Plan1";#N/A,#N/A,FALSE,"Plan2"}</definedName>
    <definedName name="hsfjkdshrgf" localSheetId="2" hidden="1">{#N/A,#N/A,FALSE,"Plan1";#N/A,#N/A,FALSE,"Plan2"}</definedName>
    <definedName name="hsfjkdshrgf" localSheetId="9" hidden="1">{#N/A,#N/A,FALSE,"Plan1";#N/A,#N/A,FALSE,"Plan2"}</definedName>
    <definedName name="hsfjkdshrgf" localSheetId="13" hidden="1">{#N/A,#N/A,FALSE,"Plan1";#N/A,#N/A,FALSE,"Plan2"}</definedName>
    <definedName name="hsfjkdshrgf" localSheetId="0" hidden="1">{#N/A,#N/A,FALSE,"Plan1";#N/A,#N/A,FALSE,"Plan2"}</definedName>
    <definedName name="hsfjkdshrgf" hidden="1">{#N/A,#N/A,FALSE,"Plan1";#N/A,#N/A,FALSE,"Plan2"}</definedName>
    <definedName name="hthhrtetdre" localSheetId="3" hidden="1">{#N/A,#N/A,FALSE,"Plan1";#N/A,#N/A,FALSE,"Plan2"}</definedName>
    <definedName name="hthhrtetdre" localSheetId="8" hidden="1">{#N/A,#N/A,FALSE,"Plan1";#N/A,#N/A,FALSE,"Plan2"}</definedName>
    <definedName name="hthhrtetdre" localSheetId="2" hidden="1">{#N/A,#N/A,FALSE,"Plan1";#N/A,#N/A,FALSE,"Plan2"}</definedName>
    <definedName name="hthhrtetdre" localSheetId="9" hidden="1">{#N/A,#N/A,FALSE,"Plan1";#N/A,#N/A,FALSE,"Plan2"}</definedName>
    <definedName name="hthhrtetdre" localSheetId="13" hidden="1">{#N/A,#N/A,FALSE,"Plan1";#N/A,#N/A,FALSE,"Plan2"}</definedName>
    <definedName name="hthhrtetdre" localSheetId="0" hidden="1">{#N/A,#N/A,FALSE,"Plan1";#N/A,#N/A,FALSE,"Plan2"}</definedName>
    <definedName name="hthhrtetdre" hidden="1">{#N/A,#N/A,FALSE,"Plan1";#N/A,#N/A,FALSE,"Plan2"}</definedName>
    <definedName name="HTM" localSheetId="3">#REF!</definedName>
    <definedName name="HTM" localSheetId="2">#REF!</definedName>
    <definedName name="HTM">#REF!</definedName>
    <definedName name="HTML_CodePage" hidden="1">949</definedName>
    <definedName name="HTML_Control" localSheetId="3" hidden="1">{"'장비'!$A$3:$M$12"}</definedName>
    <definedName name="HTML_Control" localSheetId="8" hidden="1">{"'장비'!$A$3:$M$12"}</definedName>
    <definedName name="HTML_Control" localSheetId="2" hidden="1">{"'장비'!$A$3:$M$12"}</definedName>
    <definedName name="HTML_Control" localSheetId="9" hidden="1">{"'장비'!$A$3:$M$12"}</definedName>
    <definedName name="HTML_Control" localSheetId="13" hidden="1">{"'장비'!$A$3:$M$12"}</definedName>
    <definedName name="HTML_Control" localSheetId="0"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2_CONTROL" localSheetId="3" hidden="1">{"'Estimativa de Lançamento-JAN'!$A$1:$AI$85"}</definedName>
    <definedName name="HTML2_CONTROL" localSheetId="8" hidden="1">{"'Estimativa de Lançamento-JAN'!$A$1:$AI$85"}</definedName>
    <definedName name="HTML2_CONTROL" localSheetId="2" hidden="1">{"'Estimativa de Lançamento-JAN'!$A$1:$AI$85"}</definedName>
    <definedName name="HTML2_CONTROL" localSheetId="9" hidden="1">{"'Estimativa de Lançamento-JAN'!$A$1:$AI$85"}</definedName>
    <definedName name="HTML2_CONTROL" localSheetId="13" hidden="1">{"'Estimativa de Lançamento-JAN'!$A$1:$AI$85"}</definedName>
    <definedName name="HTML2_CONTROL" localSheetId="0" hidden="1">{"'Estimativa de Lançamento-JAN'!$A$1:$AI$85"}</definedName>
    <definedName name="HTML2_CONTROL" hidden="1">{"'Estimativa de Lançamento-JAN'!$A$1:$AI$85"}</definedName>
    <definedName name="HTML3_CONTROL" localSheetId="3" hidden="1">{"'Estimativa de Lançamento-JAN'!$A$1:$AI$85"}</definedName>
    <definedName name="HTML3_CONTROL" localSheetId="8" hidden="1">{"'Estimativa de Lançamento-JAN'!$A$1:$AI$85"}</definedName>
    <definedName name="HTML3_CONTROL" localSheetId="2" hidden="1">{"'Estimativa de Lançamento-JAN'!$A$1:$AI$85"}</definedName>
    <definedName name="HTML3_CONTROL" localSheetId="9" hidden="1">{"'Estimativa de Lançamento-JAN'!$A$1:$AI$85"}</definedName>
    <definedName name="HTML3_CONTROL" localSheetId="13" hidden="1">{"'Estimativa de Lançamento-JAN'!$A$1:$AI$85"}</definedName>
    <definedName name="HTML3_CONTROL" localSheetId="0" hidden="1">{"'Estimativa de Lançamento-JAN'!$A$1:$AI$85"}</definedName>
    <definedName name="HTML3_CONTROL" hidden="1">{"'Estimativa de Lançamento-JAN'!$A$1:$AI$85"}</definedName>
    <definedName name="HTMLControl" localSheetId="3" hidden="1">{"'Edit'!$A$1:$V$2277"}</definedName>
    <definedName name="HTMLControl" localSheetId="8" hidden="1">{"'Edit'!$A$1:$V$2277"}</definedName>
    <definedName name="HTMLControl" localSheetId="2" hidden="1">{"'Edit'!$A$1:$V$2277"}</definedName>
    <definedName name="HTMLControl" localSheetId="9" hidden="1">{"'Edit'!$A$1:$V$2277"}</definedName>
    <definedName name="HTMLControl" localSheetId="13" hidden="1">{"'Edit'!$A$1:$V$2277"}</definedName>
    <definedName name="HTMLControl" localSheetId="0" hidden="1">{"'Edit'!$A$1:$V$2277"}</definedName>
    <definedName name="HTMLControl" hidden="1">{"'Edit'!$A$1:$V$2277"}</definedName>
    <definedName name="HTN" localSheetId="2">#REF!</definedName>
    <definedName name="HTN">#REF!</definedName>
    <definedName name="HVJKHGKFXHFD" localSheetId="3" hidden="1">{#N/A,#N/A,FALSE,"Plan1";#N/A,#N/A,FALSE,"Plan2"}</definedName>
    <definedName name="HVJKHGKFXHFD" localSheetId="8" hidden="1">{#N/A,#N/A,FALSE,"Plan1";#N/A,#N/A,FALSE,"Plan2"}</definedName>
    <definedName name="HVJKHGKFXHFD" localSheetId="2" hidden="1">{#N/A,#N/A,FALSE,"Plan1";#N/A,#N/A,FALSE,"Plan2"}</definedName>
    <definedName name="HVJKHGKFXHFD" localSheetId="9" hidden="1">{#N/A,#N/A,FALSE,"Plan1";#N/A,#N/A,FALSE,"Plan2"}</definedName>
    <definedName name="HVJKHGKFXHFD" localSheetId="13" hidden="1">{#N/A,#N/A,FALSE,"Plan1";#N/A,#N/A,FALSE,"Plan2"}</definedName>
    <definedName name="HVJKHGKFXHFD" localSheetId="0" hidden="1">{#N/A,#N/A,FALSE,"Plan1";#N/A,#N/A,FALSE,"Plan2"}</definedName>
    <definedName name="HVJKHGKFXHFD" hidden="1">{#N/A,#N/A,FALSE,"Plan1";#N/A,#N/A,FALSE,"Plan2"}</definedName>
    <definedName name="hwekjhekhf" localSheetId="3" hidden="1">{#N/A,#N/A,FALSE,"Plan1";#N/A,#N/A,FALSE,"Plan2"}</definedName>
    <definedName name="hwekjhekhf" localSheetId="8" hidden="1">{#N/A,#N/A,FALSE,"Plan1";#N/A,#N/A,FALSE,"Plan2"}</definedName>
    <definedName name="hwekjhekhf" localSheetId="2" hidden="1">{#N/A,#N/A,FALSE,"Plan1";#N/A,#N/A,FALSE,"Plan2"}</definedName>
    <definedName name="hwekjhekhf" localSheetId="9" hidden="1">{#N/A,#N/A,FALSE,"Plan1";#N/A,#N/A,FALSE,"Plan2"}</definedName>
    <definedName name="hwekjhekhf" localSheetId="13" hidden="1">{#N/A,#N/A,FALSE,"Plan1";#N/A,#N/A,FALSE,"Plan2"}</definedName>
    <definedName name="hwekjhekhf" localSheetId="0" hidden="1">{#N/A,#N/A,FALSE,"Plan1";#N/A,#N/A,FALSE,"Plan2"}</definedName>
    <definedName name="hwekjhekhf" hidden="1">{#N/A,#N/A,FALSE,"Plan1";#N/A,#N/A,FALSE,"Plan2"}</definedName>
    <definedName name="HXFRE" localSheetId="3" hidden="1">{#N/A,#N/A,FALSE,"Plan1";#N/A,#N/A,FALSE,"Plan2"}</definedName>
    <definedName name="HXFRE" localSheetId="8" hidden="1">{#N/A,#N/A,FALSE,"Plan1";#N/A,#N/A,FALSE,"Plan2"}</definedName>
    <definedName name="HXFRE" localSheetId="2" hidden="1">{#N/A,#N/A,FALSE,"Plan1";#N/A,#N/A,FALSE,"Plan2"}</definedName>
    <definedName name="HXFRE" localSheetId="9" hidden="1">{#N/A,#N/A,FALSE,"Plan1";#N/A,#N/A,FALSE,"Plan2"}</definedName>
    <definedName name="HXFRE" localSheetId="13" hidden="1">{#N/A,#N/A,FALSE,"Plan1";#N/A,#N/A,FALSE,"Plan2"}</definedName>
    <definedName name="HXFRE" localSheetId="0" hidden="1">{#N/A,#N/A,FALSE,"Plan1";#N/A,#N/A,FALSE,"Plan2"}</definedName>
    <definedName name="HXFRE" hidden="1">{#N/A,#N/A,FALSE,"Plan1";#N/A,#N/A,FALSE,"Plan2"}</definedName>
    <definedName name="HXKJFGDKHG" localSheetId="3" hidden="1">{#N/A,#N/A,FALSE,"Plan1";#N/A,#N/A,FALSE,"Plan2"}</definedName>
    <definedName name="HXKJFGDKHG" localSheetId="8" hidden="1">{#N/A,#N/A,FALSE,"Plan1";#N/A,#N/A,FALSE,"Plan2"}</definedName>
    <definedName name="HXKJFGDKHG" localSheetId="2" hidden="1">{#N/A,#N/A,FALSE,"Plan1";#N/A,#N/A,FALSE,"Plan2"}</definedName>
    <definedName name="HXKJFGDKHG" localSheetId="9" hidden="1">{#N/A,#N/A,FALSE,"Plan1";#N/A,#N/A,FALSE,"Plan2"}</definedName>
    <definedName name="HXKJFGDKHG" localSheetId="13" hidden="1">{#N/A,#N/A,FALSE,"Plan1";#N/A,#N/A,FALSE,"Plan2"}</definedName>
    <definedName name="HXKJFGDKHG" localSheetId="0" hidden="1">{#N/A,#N/A,FALSE,"Plan1";#N/A,#N/A,FALSE,"Plan2"}</definedName>
    <definedName name="HXKJFGDKHG" hidden="1">{#N/A,#N/A,FALSE,"Plan1";#N/A,#N/A,FALSE,"Plan2"}</definedName>
    <definedName name="I" localSheetId="3">#REF!</definedName>
    <definedName name="I" localSheetId="2">#REF!</definedName>
    <definedName name="I">#REF!</definedName>
    <definedName name="ibir_cdi" localSheetId="3">#REF!</definedName>
    <definedName name="ibir_cdi" localSheetId="2">#REF!</definedName>
    <definedName name="ibir_cdi">#REF!</definedName>
    <definedName name="ibir_hist" localSheetId="3">#REF!</definedName>
    <definedName name="ibir_hist" localSheetId="2">#REF!</definedName>
    <definedName name="ibir_hist">#REF!</definedName>
    <definedName name="ibir_uss" localSheetId="2">#REF!</definedName>
    <definedName name="ibir_uss">#REF!</definedName>
    <definedName name="IC" localSheetId="0" hidden="1">#REF!</definedName>
    <definedName name="IC" hidden="1">#REF!</definedName>
    <definedName name="icoa_cdi" localSheetId="2">#REF!</definedName>
    <definedName name="icoa_cdi">#REF!</definedName>
    <definedName name="icoa_hist" localSheetId="2">#REF!</definedName>
    <definedName name="icoa_hist">#REF!</definedName>
    <definedName name="icoa_uss" localSheetId="2">#REF!</definedName>
    <definedName name="icoa_uss">#REF!</definedName>
    <definedName name="Identificação" localSheetId="2">#REF!</definedName>
    <definedName name="Identificação">#REF!</definedName>
    <definedName name="idfhgkjhfkthy" localSheetId="3" hidden="1">{#N/A,#N/A,FALSE,"Plan1";#N/A,#N/A,FALSE,"Plan2"}</definedName>
    <definedName name="idfhgkjhfkthy" localSheetId="8" hidden="1">{#N/A,#N/A,FALSE,"Plan1";#N/A,#N/A,FALSE,"Plan2"}</definedName>
    <definedName name="idfhgkjhfkthy" localSheetId="2" hidden="1">{#N/A,#N/A,FALSE,"Plan1";#N/A,#N/A,FALSE,"Plan2"}</definedName>
    <definedName name="idfhgkjhfkthy" localSheetId="9" hidden="1">{#N/A,#N/A,FALSE,"Plan1";#N/A,#N/A,FALSE,"Plan2"}</definedName>
    <definedName name="idfhgkjhfkthy" localSheetId="13" hidden="1">{#N/A,#N/A,FALSE,"Plan1";#N/A,#N/A,FALSE,"Plan2"}</definedName>
    <definedName name="idfhgkjhfkthy" localSheetId="0" hidden="1">{#N/A,#N/A,FALSE,"Plan1";#N/A,#N/A,FALSE,"Plan2"}</definedName>
    <definedName name="idfhgkjhfkthy" hidden="1">{#N/A,#N/A,FALSE,"Plan1";#N/A,#N/A,FALSE,"Plan2"}</definedName>
    <definedName name="ieroweft" localSheetId="3" hidden="1">{#N/A,#N/A,FALSE,"Plan1";#N/A,#N/A,FALSE,"Plan2"}</definedName>
    <definedName name="ieroweft" localSheetId="8" hidden="1">{#N/A,#N/A,FALSE,"Plan1";#N/A,#N/A,FALSE,"Plan2"}</definedName>
    <definedName name="ieroweft" localSheetId="2" hidden="1">{#N/A,#N/A,FALSE,"Plan1";#N/A,#N/A,FALSE,"Plan2"}</definedName>
    <definedName name="ieroweft" localSheetId="9" hidden="1">{#N/A,#N/A,FALSE,"Plan1";#N/A,#N/A,FALSE,"Plan2"}</definedName>
    <definedName name="ieroweft" localSheetId="13" hidden="1">{#N/A,#N/A,FALSE,"Plan1";#N/A,#N/A,FALSE,"Plan2"}</definedName>
    <definedName name="ieroweft" localSheetId="0" hidden="1">{#N/A,#N/A,FALSE,"Plan1";#N/A,#N/A,FALSE,"Plan2"}</definedName>
    <definedName name="ieroweft" hidden="1">{#N/A,#N/A,FALSE,"Plan1";#N/A,#N/A,FALSE,"Plan2"}</definedName>
    <definedName name="iewpotqi5poejy" localSheetId="3" hidden="1">{#N/A,#N/A,FALSE,"Plan1";#N/A,#N/A,FALSE,"Plan2"}</definedName>
    <definedName name="iewpotqi5poejy" localSheetId="8" hidden="1">{#N/A,#N/A,FALSE,"Plan1";#N/A,#N/A,FALSE,"Plan2"}</definedName>
    <definedName name="iewpotqi5poejy" localSheetId="2" hidden="1">{#N/A,#N/A,FALSE,"Plan1";#N/A,#N/A,FALSE,"Plan2"}</definedName>
    <definedName name="iewpotqi5poejy" localSheetId="9" hidden="1">{#N/A,#N/A,FALSE,"Plan1";#N/A,#N/A,FALSE,"Plan2"}</definedName>
    <definedName name="iewpotqi5poejy" localSheetId="13" hidden="1">{#N/A,#N/A,FALSE,"Plan1";#N/A,#N/A,FALSE,"Plan2"}</definedName>
    <definedName name="iewpotqi5poejy" localSheetId="0" hidden="1">{#N/A,#N/A,FALSE,"Plan1";#N/A,#N/A,FALSE,"Plan2"}</definedName>
    <definedName name="iewpotqi5poejy" hidden="1">{#N/A,#N/A,FALSE,"Plan1";#N/A,#N/A,FALSE,"Plan2"}</definedName>
    <definedName name="ihdfifguhgfuiyh"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fifguhgfuiyh"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hdsitrrt" hidden="1">{TRUE,TRUE,-1.25,-15.5,604.5,366.75,FALSE,FALSE,TRUE,TRUE,0,1,#N/A,1,#N/A,9.0125,24.4117647058824,1,FALSE,FALSE,3,TRUE,1,FALSE,100,"Swvu.PLANILHA2.","ACwvu.PLANILHA2.",#N/A,FALSE,FALSE,0.787401575,0.34,0.46,0.5,1,"","",FALSE,FALSE,FALSE,FALSE,1,#N/A,1,1,FALSE,FALSE,#N/A,#N/A,FALSE,FALSE,FALSE,9,65532,65532,FALSE,FALSE,TRUE,TRUE,TRUE}</definedName>
    <definedName name="iheidhgufr" localSheetId="3" hidden="1">#REF!</definedName>
    <definedName name="iheidhgufr" localSheetId="8" hidden="1">#REF!</definedName>
    <definedName name="iheidhgufr" localSheetId="2" hidden="1">#REF!</definedName>
    <definedName name="iheidhgufr" localSheetId="9" hidden="1">#REF!</definedName>
    <definedName name="iheidhgufr" localSheetId="13" hidden="1">#REF!</definedName>
    <definedName name="iheidhgufr" localSheetId="0" hidden="1">#REF!</definedName>
    <definedName name="iheidhgufr" hidden="1">#REF!</definedName>
    <definedName name="ihfdkjhktgrd" localSheetId="3" hidden="1">{#N/A,#N/A,FALSE,"Plan1";#N/A,#N/A,FALSE,"Plan2"}</definedName>
    <definedName name="ihfdkjhktgrd" localSheetId="8" hidden="1">{#N/A,#N/A,FALSE,"Plan1";#N/A,#N/A,FALSE,"Plan2"}</definedName>
    <definedName name="ihfdkjhktgrd" localSheetId="2" hidden="1">{#N/A,#N/A,FALSE,"Plan1";#N/A,#N/A,FALSE,"Plan2"}</definedName>
    <definedName name="ihfdkjhktgrd" localSheetId="9" hidden="1">{#N/A,#N/A,FALSE,"Plan1";#N/A,#N/A,FALSE,"Plan2"}</definedName>
    <definedName name="ihfdkjhktgrd" localSheetId="13" hidden="1">{#N/A,#N/A,FALSE,"Plan1";#N/A,#N/A,FALSE,"Plan2"}</definedName>
    <definedName name="ihfdkjhktgrd" localSheetId="0" hidden="1">{#N/A,#N/A,FALSE,"Plan1";#N/A,#N/A,FALSE,"Plan2"}</definedName>
    <definedName name="ihfdkjhktgrd" hidden="1">{#N/A,#N/A,FALSE,"Plan1";#N/A,#N/A,FALSE,"Plan2"}</definedName>
    <definedName name="ihrtetw4r" localSheetId="3" hidden="1">{#N/A,#N/A,FALSE,"Plan1";#N/A,#N/A,FALSE,"Plan2"}</definedName>
    <definedName name="ihrtetw4r" localSheetId="8" hidden="1">{#N/A,#N/A,FALSE,"Plan1";#N/A,#N/A,FALSE,"Plan2"}</definedName>
    <definedName name="ihrtetw4r" localSheetId="2" hidden="1">{#N/A,#N/A,FALSE,"Plan1";#N/A,#N/A,FALSE,"Plan2"}</definedName>
    <definedName name="ihrtetw4r" localSheetId="9" hidden="1">{#N/A,#N/A,FALSE,"Plan1";#N/A,#N/A,FALSE,"Plan2"}</definedName>
    <definedName name="ihrtetw4r" localSheetId="13" hidden="1">{#N/A,#N/A,FALSE,"Plan1";#N/A,#N/A,FALSE,"Plan2"}</definedName>
    <definedName name="ihrtetw4r" localSheetId="0" hidden="1">{#N/A,#N/A,FALSE,"Plan1";#N/A,#N/A,FALSE,"Plan2"}</definedName>
    <definedName name="ihrtetw4r" hidden="1">{#N/A,#N/A,FALSE,"Plan1";#N/A,#N/A,FALSE,"Plan2"}</definedName>
    <definedName name="II" localSheetId="3">#REF!</definedName>
    <definedName name="II" localSheetId="2">#REF!</definedName>
    <definedName name="II">#REF!</definedName>
    <definedName name="IIASDSAWE" localSheetId="3" hidden="1">{"Econ Consolidado",#N/A,FALSE,"Econ Consol";"Fluxo de Caixa",#N/A,FALSE,"Fluxo Caixa";"Investimentos",#N/A,FALSE,"Investimentos"}</definedName>
    <definedName name="IIASDSAWE" localSheetId="8" hidden="1">{"Econ Consolidado",#N/A,FALSE,"Econ Consol";"Fluxo de Caixa",#N/A,FALSE,"Fluxo Caixa";"Investimentos",#N/A,FALSE,"Investimentos"}</definedName>
    <definedName name="IIASDSAWE" localSheetId="2" hidden="1">{"Econ Consolidado",#N/A,FALSE,"Econ Consol";"Fluxo de Caixa",#N/A,FALSE,"Fluxo Caixa";"Investimentos",#N/A,FALSE,"Investimentos"}</definedName>
    <definedName name="IIASDSAWE" localSheetId="9" hidden="1">{"Econ Consolidado",#N/A,FALSE,"Econ Consol";"Fluxo de Caixa",#N/A,FALSE,"Fluxo Caixa";"Investimentos",#N/A,FALSE,"Investimentos"}</definedName>
    <definedName name="IIASDSAWE" localSheetId="13" hidden="1">{"Econ Consolidado",#N/A,FALSE,"Econ Consol";"Fluxo de Caixa",#N/A,FALSE,"Fluxo Caixa";"Investimentos",#N/A,FALSE,"Investimentos"}</definedName>
    <definedName name="IIASDSAWE" localSheetId="0" hidden="1">{"Econ Consolidado",#N/A,FALSE,"Econ Consol";"Fluxo de Caixa",#N/A,FALSE,"Fluxo Caixa";"Investimentos",#N/A,FALSE,"Investimentos"}</definedName>
    <definedName name="IIASDSAWE" hidden="1">{"Econ Consolidado",#N/A,FALSE,"Econ Consol";"Fluxo de Caixa",#N/A,FALSE,"Fluxo Caixa";"Investimentos",#N/A,FALSE,"Investimentos"}</definedName>
    <definedName name="III" localSheetId="3">#REF!</definedName>
    <definedName name="III" localSheetId="2">#REF!</definedName>
    <definedName name="III">#REF!</definedName>
    <definedName name="iinstalações" localSheetId="3" hidden="1">{#N/A,#N/A,FALSE,"GERAL";#N/A,#N/A,FALSE,"012-96";#N/A,#N/A,FALSE,"018-96";#N/A,#N/A,FALSE,"027-96";#N/A,#N/A,FALSE,"059-96";#N/A,#N/A,FALSE,"076-96";#N/A,#N/A,FALSE,"019-97";#N/A,#N/A,FALSE,"021-97";#N/A,#N/A,FALSE,"022-97";#N/A,#N/A,FALSE,"028-97"}</definedName>
    <definedName name="iinstalações" localSheetId="8" hidden="1">{#N/A,#N/A,FALSE,"GERAL";#N/A,#N/A,FALSE,"012-96";#N/A,#N/A,FALSE,"018-96";#N/A,#N/A,FALSE,"027-96";#N/A,#N/A,FALSE,"059-96";#N/A,#N/A,FALSE,"076-96";#N/A,#N/A,FALSE,"019-97";#N/A,#N/A,FALSE,"021-97";#N/A,#N/A,FALSE,"022-97";#N/A,#N/A,FALSE,"028-97"}</definedName>
    <definedName name="iinstalações" localSheetId="2" hidden="1">{#N/A,#N/A,FALSE,"GERAL";#N/A,#N/A,FALSE,"012-96";#N/A,#N/A,FALSE,"018-96";#N/A,#N/A,FALSE,"027-96";#N/A,#N/A,FALSE,"059-96";#N/A,#N/A,FALSE,"076-96";#N/A,#N/A,FALSE,"019-97";#N/A,#N/A,FALSE,"021-97";#N/A,#N/A,FALSE,"022-97";#N/A,#N/A,FALSE,"028-97"}</definedName>
    <definedName name="iinstalações" localSheetId="9" hidden="1">{#N/A,#N/A,FALSE,"GERAL";#N/A,#N/A,FALSE,"012-96";#N/A,#N/A,FALSE,"018-96";#N/A,#N/A,FALSE,"027-96";#N/A,#N/A,FALSE,"059-96";#N/A,#N/A,FALSE,"076-96";#N/A,#N/A,FALSE,"019-97";#N/A,#N/A,FALSE,"021-97";#N/A,#N/A,FALSE,"022-97";#N/A,#N/A,FALSE,"028-97"}</definedName>
    <definedName name="iinstalações" localSheetId="13" hidden="1">{#N/A,#N/A,FALSE,"GERAL";#N/A,#N/A,FALSE,"012-96";#N/A,#N/A,FALSE,"018-96";#N/A,#N/A,FALSE,"027-96";#N/A,#N/A,FALSE,"059-96";#N/A,#N/A,FALSE,"076-96";#N/A,#N/A,FALSE,"019-97";#N/A,#N/A,FALSE,"021-97";#N/A,#N/A,FALSE,"022-97";#N/A,#N/A,FALSE,"028-97"}</definedName>
    <definedName name="iinstalações" localSheetId="0" hidden="1">{#N/A,#N/A,FALSE,"GERAL";#N/A,#N/A,FALSE,"012-96";#N/A,#N/A,FALSE,"018-96";#N/A,#N/A,FALSE,"027-96";#N/A,#N/A,FALSE,"059-96";#N/A,#N/A,FALSE,"076-96";#N/A,#N/A,FALSE,"019-97";#N/A,#N/A,FALSE,"021-97";#N/A,#N/A,FALSE,"022-97";#N/A,#N/A,FALSE,"028-97"}</definedName>
    <definedName name="iinstalações" hidden="1">{#N/A,#N/A,FALSE,"GERAL";#N/A,#N/A,FALSE,"012-96";#N/A,#N/A,FALSE,"018-96";#N/A,#N/A,FALSE,"027-96";#N/A,#N/A,FALSE,"059-96";#N/A,#N/A,FALSE,"076-96";#N/A,#N/A,FALSE,"019-97";#N/A,#N/A,FALSE,"021-97";#N/A,#N/A,FALSE,"022-97";#N/A,#N/A,FALSE,"028-97"}</definedName>
    <definedName name="ilhweilrji4e" localSheetId="3" hidden="1">{#N/A,#N/A,FALSE,"Plan1";#N/A,#N/A,FALSE,"Plan2"}</definedName>
    <definedName name="ilhweilrji4e" localSheetId="8" hidden="1">{#N/A,#N/A,FALSE,"Plan1";#N/A,#N/A,FALSE,"Plan2"}</definedName>
    <definedName name="ilhweilrji4e" localSheetId="2" hidden="1">{#N/A,#N/A,FALSE,"Plan1";#N/A,#N/A,FALSE,"Plan2"}</definedName>
    <definedName name="ilhweilrji4e" localSheetId="9" hidden="1">{#N/A,#N/A,FALSE,"Plan1";#N/A,#N/A,FALSE,"Plan2"}</definedName>
    <definedName name="ilhweilrji4e" localSheetId="13" hidden="1">{#N/A,#N/A,FALSE,"Plan1";#N/A,#N/A,FALSE,"Plan2"}</definedName>
    <definedName name="ilhweilrji4e" localSheetId="0" hidden="1">{#N/A,#N/A,FALSE,"Plan1";#N/A,#N/A,FALSE,"Plan2"}</definedName>
    <definedName name="ilhweilrji4e" hidden="1">{#N/A,#N/A,FALSE,"Plan1";#N/A,#N/A,FALSE,"Plan2"}</definedName>
    <definedName name="ilsdr4wf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lsdr4wfr" hidden="1">{TRUE,TRUE,-1.25,-15.5,604.5,366.75,FALSE,FALSE,TRUE,TRUE,0,1,#N/A,1,#N/A,9.0125,24.4117647058824,1,FALSE,FALSE,3,TRUE,1,FALSE,100,"Swvu.PLANILHA2.","ACwvu.PLANILHA2.",#N/A,FALSE,FALSE,0.787401575,0.34,0.46,0.5,1,"","",FALSE,FALSE,FALSE,FALSE,1,#N/A,1,1,FALSE,FALSE,#N/A,#N/A,FALSE,FALSE,FALSE,9,65532,65532,FALSE,FALSE,TRUE,TRUE,TRUE}</definedName>
    <definedName name="IM" localSheetId="3">#REF!</definedName>
    <definedName name="IM" localSheetId="2">#REF!</definedName>
    <definedName name="IM">#REF!</definedName>
    <definedName name="IMP" localSheetId="3" hidden="1">#REF!</definedName>
    <definedName name="IMP" localSheetId="8" hidden="1">#REF!</definedName>
    <definedName name="IMP" localSheetId="2" hidden="1">#REF!</definedName>
    <definedName name="IMP" localSheetId="9" hidden="1">#REF!</definedName>
    <definedName name="IMP" localSheetId="13" hidden="1">#REF!</definedName>
    <definedName name="IMP" localSheetId="0" hidden="1">#REF!</definedName>
    <definedName name="IMP" hidden="1">#REF!</definedName>
    <definedName name="IMPERMEABILIZ." localSheetId="2">#REF!</definedName>
    <definedName name="IMPERMEABILIZ.">#REF!</definedName>
    <definedName name="IMPF" localSheetId="2">#REF!</definedName>
    <definedName name="IMPF">#REF!</definedName>
    <definedName name="IMPI" localSheetId="2">#REF!</definedName>
    <definedName name="IMPI">#REF!</definedName>
    <definedName name="IMPOSTO" localSheetId="2">#REF!</definedName>
    <definedName name="IMPOSTO">#REF!</definedName>
    <definedName name="INCC" localSheetId="2">#REF!</definedName>
    <definedName name="INCC">#REF!</definedName>
    <definedName name="Incorido_Aplicado_X_Físico" localSheetId="2">#REF!</definedName>
    <definedName name="Incorido_Aplicado_X_Físico">#REF!</definedName>
    <definedName name="INCORPORAÇÃO" localSheetId="2">#REF!</definedName>
    <definedName name="INCORPORAÇÃO">#REF!</definedName>
    <definedName name="Index" localSheetId="2" hidden="1">#REF!</definedName>
    <definedName name="Index" localSheetId="0" hidden="1">#REF!</definedName>
    <definedName name="Index" hidden="1">#REF!</definedName>
    <definedName name="Indice" localSheetId="2">#REF!</definedName>
    <definedName name="Indice">#REF!</definedName>
    <definedName name="indice_correcao_proj" localSheetId="2">#REF!</definedName>
    <definedName name="indice_correcao_proj">#REF!</definedName>
    <definedName name="infra" localSheetId="2">#REF!</definedName>
    <definedName name="infra">#REF!</definedName>
    <definedName name="Infra_OBra_Sienge" localSheetId="2">#REF!</definedName>
    <definedName name="Infra_OBra_Sienge">#REF!</definedName>
    <definedName name="Infra_Projetos_Sienge" localSheetId="2">#REF!</definedName>
    <definedName name="Infra_Projetos_Sienge">#REF!</definedName>
    <definedName name="INFRA2" localSheetId="2">#REF!</definedName>
    <definedName name="INFRA2">#REF!</definedName>
    <definedName name="Insatalações" localSheetId="3" hidden="1">{#N/A,#N/A,FALSE,"GERAL";#N/A,#N/A,FALSE,"012-96";#N/A,#N/A,FALSE,"018-96";#N/A,#N/A,FALSE,"027-96";#N/A,#N/A,FALSE,"059-96";#N/A,#N/A,FALSE,"076-96";#N/A,#N/A,FALSE,"019-97";#N/A,#N/A,FALSE,"021-97";#N/A,#N/A,FALSE,"022-97";#N/A,#N/A,FALSE,"028-97"}</definedName>
    <definedName name="Insatalações" localSheetId="8" hidden="1">{#N/A,#N/A,FALSE,"GERAL";#N/A,#N/A,FALSE,"012-96";#N/A,#N/A,FALSE,"018-96";#N/A,#N/A,FALSE,"027-96";#N/A,#N/A,FALSE,"059-96";#N/A,#N/A,FALSE,"076-96";#N/A,#N/A,FALSE,"019-97";#N/A,#N/A,FALSE,"021-97";#N/A,#N/A,FALSE,"022-97";#N/A,#N/A,FALSE,"028-97"}</definedName>
    <definedName name="Insatalações" localSheetId="2" hidden="1">{#N/A,#N/A,FALSE,"GERAL";#N/A,#N/A,FALSE,"012-96";#N/A,#N/A,FALSE,"018-96";#N/A,#N/A,FALSE,"027-96";#N/A,#N/A,FALSE,"059-96";#N/A,#N/A,FALSE,"076-96";#N/A,#N/A,FALSE,"019-97";#N/A,#N/A,FALSE,"021-97";#N/A,#N/A,FALSE,"022-97";#N/A,#N/A,FALSE,"028-97"}</definedName>
    <definedName name="Insatalações" localSheetId="9" hidden="1">{#N/A,#N/A,FALSE,"GERAL";#N/A,#N/A,FALSE,"012-96";#N/A,#N/A,FALSE,"018-96";#N/A,#N/A,FALSE,"027-96";#N/A,#N/A,FALSE,"059-96";#N/A,#N/A,FALSE,"076-96";#N/A,#N/A,FALSE,"019-97";#N/A,#N/A,FALSE,"021-97";#N/A,#N/A,FALSE,"022-97";#N/A,#N/A,FALSE,"028-97"}</definedName>
    <definedName name="Insatalações" localSheetId="13" hidden="1">{#N/A,#N/A,FALSE,"GERAL";#N/A,#N/A,FALSE,"012-96";#N/A,#N/A,FALSE,"018-96";#N/A,#N/A,FALSE,"027-96";#N/A,#N/A,FALSE,"059-96";#N/A,#N/A,FALSE,"076-96";#N/A,#N/A,FALSE,"019-97";#N/A,#N/A,FALSE,"021-97";#N/A,#N/A,FALSE,"022-97";#N/A,#N/A,FALSE,"028-97"}</definedName>
    <definedName name="Insatalações" localSheetId="0" hidden="1">{#N/A,#N/A,FALSE,"GERAL";#N/A,#N/A,FALSE,"012-96";#N/A,#N/A,FALSE,"018-96";#N/A,#N/A,FALSE,"027-96";#N/A,#N/A,FALSE,"059-96";#N/A,#N/A,FALSE,"076-96";#N/A,#N/A,FALSE,"019-97";#N/A,#N/A,FALSE,"021-97";#N/A,#N/A,FALSE,"022-97";#N/A,#N/A,FALSE,"028-97"}</definedName>
    <definedName name="Insatalações" hidden="1">{#N/A,#N/A,FALSE,"GERAL";#N/A,#N/A,FALSE,"012-96";#N/A,#N/A,FALSE,"018-96";#N/A,#N/A,FALSE,"027-96";#N/A,#N/A,FALSE,"059-96";#N/A,#N/A,FALSE,"076-96";#N/A,#N/A,FALSE,"019-97";#N/A,#N/A,FALSE,"021-97";#N/A,#N/A,FALSE,"022-97";#N/A,#N/A,FALSE,"028-97"}</definedName>
    <definedName name="INSS_Bloqueado_Fin_Medição" localSheetId="3">#REF!</definedName>
    <definedName name="INSS_Bloqueado_Fin_Medição" localSheetId="2">#REF!</definedName>
    <definedName name="INSS_Bloqueado_Fin_Medição">#REF!</definedName>
    <definedName name="Inss_Bloqueado_Previsão_Fin_Medições" localSheetId="3">#REF!</definedName>
    <definedName name="Inss_Bloqueado_Previsão_Fin_Medições" localSheetId="2">#REF!</definedName>
    <definedName name="Inss_Bloqueado_Previsão_Fin_Medições">#REF!</definedName>
    <definedName name="instalaçoes2" localSheetId="3" hidden="1">{#N/A,#N/A,FALSE,"GERAL";#N/A,#N/A,FALSE,"012-96";#N/A,#N/A,FALSE,"018-96";#N/A,#N/A,FALSE,"027-96";#N/A,#N/A,FALSE,"059-96";#N/A,#N/A,FALSE,"076-96";#N/A,#N/A,FALSE,"019-97";#N/A,#N/A,FALSE,"021-97";#N/A,#N/A,FALSE,"022-97";#N/A,#N/A,FALSE,"028-97"}</definedName>
    <definedName name="instalaçoes2" localSheetId="8" hidden="1">{#N/A,#N/A,FALSE,"GERAL";#N/A,#N/A,FALSE,"012-96";#N/A,#N/A,FALSE,"018-96";#N/A,#N/A,FALSE,"027-96";#N/A,#N/A,FALSE,"059-96";#N/A,#N/A,FALSE,"076-96";#N/A,#N/A,FALSE,"019-97";#N/A,#N/A,FALSE,"021-97";#N/A,#N/A,FALSE,"022-97";#N/A,#N/A,FALSE,"028-97"}</definedName>
    <definedName name="instalaçoes2" localSheetId="2" hidden="1">{#N/A,#N/A,FALSE,"GERAL";#N/A,#N/A,FALSE,"012-96";#N/A,#N/A,FALSE,"018-96";#N/A,#N/A,FALSE,"027-96";#N/A,#N/A,FALSE,"059-96";#N/A,#N/A,FALSE,"076-96";#N/A,#N/A,FALSE,"019-97";#N/A,#N/A,FALSE,"021-97";#N/A,#N/A,FALSE,"022-97";#N/A,#N/A,FALSE,"028-97"}</definedName>
    <definedName name="instalaçoes2" localSheetId="9" hidden="1">{#N/A,#N/A,FALSE,"GERAL";#N/A,#N/A,FALSE,"012-96";#N/A,#N/A,FALSE,"018-96";#N/A,#N/A,FALSE,"027-96";#N/A,#N/A,FALSE,"059-96";#N/A,#N/A,FALSE,"076-96";#N/A,#N/A,FALSE,"019-97";#N/A,#N/A,FALSE,"021-97";#N/A,#N/A,FALSE,"022-97";#N/A,#N/A,FALSE,"028-97"}</definedName>
    <definedName name="instalaçoes2" localSheetId="13" hidden="1">{#N/A,#N/A,FALSE,"GERAL";#N/A,#N/A,FALSE,"012-96";#N/A,#N/A,FALSE,"018-96";#N/A,#N/A,FALSE,"027-96";#N/A,#N/A,FALSE,"059-96";#N/A,#N/A,FALSE,"076-96";#N/A,#N/A,FALSE,"019-97";#N/A,#N/A,FALSE,"021-97";#N/A,#N/A,FALSE,"022-97";#N/A,#N/A,FALSE,"028-97"}</definedName>
    <definedName name="instalaçoes2" localSheetId="0" hidden="1">{#N/A,#N/A,FALSE,"GERAL";#N/A,#N/A,FALSE,"012-96";#N/A,#N/A,FALSE,"018-96";#N/A,#N/A,FALSE,"027-96";#N/A,#N/A,FALSE,"059-96";#N/A,#N/A,FALSE,"076-96";#N/A,#N/A,FALSE,"019-97";#N/A,#N/A,FALSE,"021-97";#N/A,#N/A,FALSE,"022-97";#N/A,#N/A,FALSE,"028-97"}</definedName>
    <definedName name="instalaçoes2" hidden="1">{#N/A,#N/A,FALSE,"GERAL";#N/A,#N/A,FALSE,"012-96";#N/A,#N/A,FALSE,"018-96";#N/A,#N/A,FALSE,"027-96";#N/A,#N/A,FALSE,"059-96";#N/A,#N/A,FALSE,"076-96";#N/A,#N/A,FALSE,"019-97";#N/A,#N/A,FALSE,"021-97";#N/A,#N/A,FALSE,"022-97";#N/A,#N/A,FALSE,"028-97"}</definedName>
    <definedName name="INSU" localSheetId="3">OFFSET(#REF!,0,0,COUNTA(#REF!),1)</definedName>
    <definedName name="INSU" localSheetId="2">OFFSET(#REF!,0,0,COUNTA(#REF!),1)</definedName>
    <definedName name="INSU">OFFSET(#REF!,0,0,COUNTA(#REF!),1)</definedName>
    <definedName name="INSUMOS" localSheetId="3">#REF!</definedName>
    <definedName name="INSUMOS" localSheetId="2">#REF!</definedName>
    <definedName name="INSUMOS">#REF!</definedName>
    <definedName name="INT.FILTRO.NBASE" localSheetId="3">#REF!</definedName>
    <definedName name="INT.FILTRO.NBASE" localSheetId="2">#REF!</definedName>
    <definedName name="INT.FILTRO.NBASE">#REF!</definedName>
    <definedName name="INTEGRA" localSheetId="3" hidden="1">{"'Edit'!$A$1:$V$2277"}</definedName>
    <definedName name="INTEGRA" localSheetId="8" hidden="1">{"'Edit'!$A$1:$V$2277"}</definedName>
    <definedName name="INTEGRA" localSheetId="2" hidden="1">{"'Edit'!$A$1:$V$2277"}</definedName>
    <definedName name="INTEGRA" localSheetId="9" hidden="1">{"'Edit'!$A$1:$V$2277"}</definedName>
    <definedName name="INTEGRA" localSheetId="13" hidden="1">{"'Edit'!$A$1:$V$2277"}</definedName>
    <definedName name="INTEGRA" localSheetId="0" hidden="1">{"'Edit'!$A$1:$V$2277"}</definedName>
    <definedName name="INTEGRA" hidden="1">{"'Edit'!$A$1:$V$2277"}</definedName>
    <definedName name="IO">196.003</definedName>
    <definedName name="ioeriotyt" localSheetId="3" hidden="1">{#N/A,#N/A,FALSE,"Plan1";#N/A,#N/A,FALSE,"Plan2"}</definedName>
    <definedName name="ioeriotyt" localSheetId="8" hidden="1">{#N/A,#N/A,FALSE,"Plan1";#N/A,#N/A,FALSE,"Plan2"}</definedName>
    <definedName name="ioeriotyt" localSheetId="2" hidden="1">{#N/A,#N/A,FALSE,"Plan1";#N/A,#N/A,FALSE,"Plan2"}</definedName>
    <definedName name="ioeriotyt" localSheetId="9" hidden="1">{#N/A,#N/A,FALSE,"Plan1";#N/A,#N/A,FALSE,"Plan2"}</definedName>
    <definedName name="ioeriotyt" localSheetId="13" hidden="1">{#N/A,#N/A,FALSE,"Plan1";#N/A,#N/A,FALSE,"Plan2"}</definedName>
    <definedName name="ioeriotyt" localSheetId="0" hidden="1">{#N/A,#N/A,FALSE,"Plan1";#N/A,#N/A,FALSE,"Plan2"}</definedName>
    <definedName name="ioeriotyt" hidden="1">{#N/A,#N/A,FALSE,"Plan1";#N/A,#N/A,FALSE,"Plan2"}</definedName>
    <definedName name="iohudtorh" localSheetId="3" hidden="1">{#N/A,#N/A,FALSE,"Plan1";#N/A,#N/A,FALSE,"Plan2"}</definedName>
    <definedName name="iohudtorh" localSheetId="8" hidden="1">{#N/A,#N/A,FALSE,"Plan1";#N/A,#N/A,FALSE,"Plan2"}</definedName>
    <definedName name="iohudtorh" localSheetId="2" hidden="1">{#N/A,#N/A,FALSE,"Plan1";#N/A,#N/A,FALSE,"Plan2"}</definedName>
    <definedName name="iohudtorh" localSheetId="9" hidden="1">{#N/A,#N/A,FALSE,"Plan1";#N/A,#N/A,FALSE,"Plan2"}</definedName>
    <definedName name="iohudtorh" localSheetId="13" hidden="1">{#N/A,#N/A,FALSE,"Plan1";#N/A,#N/A,FALSE,"Plan2"}</definedName>
    <definedName name="iohudtorh" localSheetId="0" hidden="1">{#N/A,#N/A,FALSE,"Plan1";#N/A,#N/A,FALSE,"Plan2"}</definedName>
    <definedName name="iohudtorh" hidden="1">{#N/A,#N/A,FALSE,"Plan1";#N/A,#N/A,FALSE,"Plan2"}</definedName>
    <definedName name="iojtkheayed" localSheetId="3" hidden="1">{#N/A,#N/A,FALSE,"Plan1";#N/A,#N/A,FALSE,"Plan2"}</definedName>
    <definedName name="iojtkheayed" localSheetId="8" hidden="1">{#N/A,#N/A,FALSE,"Plan1";#N/A,#N/A,FALSE,"Plan2"}</definedName>
    <definedName name="iojtkheayed" localSheetId="2" hidden="1">{#N/A,#N/A,FALSE,"Plan1";#N/A,#N/A,FALSE,"Plan2"}</definedName>
    <definedName name="iojtkheayed" localSheetId="9" hidden="1">{#N/A,#N/A,FALSE,"Plan1";#N/A,#N/A,FALSE,"Plan2"}</definedName>
    <definedName name="iojtkheayed" localSheetId="13" hidden="1">{#N/A,#N/A,FALSE,"Plan1";#N/A,#N/A,FALSE,"Plan2"}</definedName>
    <definedName name="iojtkheayed" localSheetId="0" hidden="1">{#N/A,#N/A,FALSE,"Plan1";#N/A,#N/A,FALSE,"Plan2"}</definedName>
    <definedName name="iojtkheayed" hidden="1">{#N/A,#N/A,FALSE,"Plan1";#N/A,#N/A,FALSE,"Plan2"}</definedName>
    <definedName name="iouweroieuw4" localSheetId="3" hidden="1">{#N/A,#N/A,FALSE,"Plan1";#N/A,#N/A,FALSE,"Plan2"}</definedName>
    <definedName name="iouweroieuw4" localSheetId="8" hidden="1">{#N/A,#N/A,FALSE,"Plan1";#N/A,#N/A,FALSE,"Plan2"}</definedName>
    <definedName name="iouweroieuw4" localSheetId="2" hidden="1">{#N/A,#N/A,FALSE,"Plan1";#N/A,#N/A,FALSE,"Plan2"}</definedName>
    <definedName name="iouweroieuw4" localSheetId="9" hidden="1">{#N/A,#N/A,FALSE,"Plan1";#N/A,#N/A,FALSE,"Plan2"}</definedName>
    <definedName name="iouweroieuw4" localSheetId="13" hidden="1">{#N/A,#N/A,FALSE,"Plan1";#N/A,#N/A,FALSE,"Plan2"}</definedName>
    <definedName name="iouweroieuw4" localSheetId="0" hidden="1">{#N/A,#N/A,FALSE,"Plan1";#N/A,#N/A,FALSE,"Plan2"}</definedName>
    <definedName name="iouweroieuw4" hidden="1">{#N/A,#N/A,FALSE,"Plan1";#N/A,#N/A,FALSE,"Plan2"}</definedName>
    <definedName name="iphifpgh" localSheetId="3" hidden="1">{#N/A,#N/A,FALSE,"Plan1";#N/A,#N/A,FALSE,"Plan2"}</definedName>
    <definedName name="iphifpgh" localSheetId="8" hidden="1">{#N/A,#N/A,FALSE,"Plan1";#N/A,#N/A,FALSE,"Plan2"}</definedName>
    <definedName name="iphifpgh" localSheetId="2" hidden="1">{#N/A,#N/A,FALSE,"Plan1";#N/A,#N/A,FALSE,"Plan2"}</definedName>
    <definedName name="iphifpgh" localSheetId="9" hidden="1">{#N/A,#N/A,FALSE,"Plan1";#N/A,#N/A,FALSE,"Plan2"}</definedName>
    <definedName name="iphifpgh" localSheetId="13" hidden="1">{#N/A,#N/A,FALSE,"Plan1";#N/A,#N/A,FALSE,"Plan2"}</definedName>
    <definedName name="iphifpgh" localSheetId="0" hidden="1">{#N/A,#N/A,FALSE,"Plan1";#N/A,#N/A,FALSE,"Plan2"}</definedName>
    <definedName name="iphifpgh" hidden="1">{#N/A,#N/A,FALSE,"Plan1";#N/A,#N/A,FALSE,"Plan2"}</definedName>
    <definedName name="IPMF" localSheetId="3">#REF!</definedName>
    <definedName name="IPMF" localSheetId="2">#REF!</definedName>
    <definedName name="IPMF">#REF!</definedName>
    <definedName name="ipodsifgpds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podsifgpdsr" hidden="1">{TRUE,TRUE,-1.25,-15.5,604.5,366.75,FALSE,FALSE,TRUE,TRUE,0,1,#N/A,1,#N/A,9.0125,24.4117647058824,1,FALSE,FALSE,3,TRUE,1,FALSE,100,"Swvu.PLANILHA2.","ACwvu.PLANILHA2.",#N/A,FALSE,FALSE,0.787401575,0.34,0.46,0.5,1,"","",FALSE,FALSE,FALSE,FALSE,1,#N/A,1,1,FALSE,FALSE,#N/A,#N/A,FALSE,FALSE,FALSE,9,65532,65532,FALSE,FALSE,TRUE,TRUE,TRUE}</definedName>
    <definedName name="ipotjrjketjr" localSheetId="3" hidden="1">{#N/A,#N/A,FALSE,"Plan1";#N/A,#N/A,FALSE,"Plan2"}</definedName>
    <definedName name="ipotjrjketjr" localSheetId="8" hidden="1">{#N/A,#N/A,FALSE,"Plan1";#N/A,#N/A,FALSE,"Plan2"}</definedName>
    <definedName name="ipotjrjketjr" localSheetId="2" hidden="1">{#N/A,#N/A,FALSE,"Plan1";#N/A,#N/A,FALSE,"Plan2"}</definedName>
    <definedName name="ipotjrjketjr" localSheetId="9" hidden="1">{#N/A,#N/A,FALSE,"Plan1";#N/A,#N/A,FALSE,"Plan2"}</definedName>
    <definedName name="ipotjrjketjr" localSheetId="13" hidden="1">{#N/A,#N/A,FALSE,"Plan1";#N/A,#N/A,FALSE,"Plan2"}</definedName>
    <definedName name="ipotjrjketjr" localSheetId="0" hidden="1">{#N/A,#N/A,FALSE,"Plan1";#N/A,#N/A,FALSE,"Plan2"}</definedName>
    <definedName name="ipotjrjketjr" hidden="1">{#N/A,#N/A,FALSE,"Plan1";#N/A,#N/A,FALSE,"Plan2"}</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40730.4399768518</definedName>
    <definedName name="IQ_NTM" hidden="1">6000</definedName>
    <definedName name="IQ_TODAY" hidden="1">0</definedName>
    <definedName name="IQ_WEEK" hidden="1">50000</definedName>
    <definedName name="IQ_YTD" hidden="1">3000</definedName>
    <definedName name="IQ_YTDMONTH" hidden="1">130000</definedName>
    <definedName name="IR_diferido" localSheetId="3">#REF!</definedName>
    <definedName name="IR_diferido" localSheetId="2">#REF!</definedName>
    <definedName name="IR_diferido">#REF!</definedName>
    <definedName name="ISOPOR" localSheetId="2">#REF!</definedName>
    <definedName name="ISOPOR">#REF!</definedName>
    <definedName name="ISS" localSheetId="2">#REF!</definedName>
    <definedName name="ISS">#REF!</definedName>
    <definedName name="ItalieNS" localSheetId="2">#REF!</definedName>
    <definedName name="ItalieNS">#REF!</definedName>
    <definedName name="ItalieNT" localSheetId="2">#REF!</definedName>
    <definedName name="ItalieNT">#REF!</definedName>
    <definedName name="itc_cdi" localSheetId="2">#REF!</definedName>
    <definedName name="itc_cdi">#REF!</definedName>
    <definedName name="itc_hist" localSheetId="2">#REF!</definedName>
    <definedName name="itc_hist">#REF!</definedName>
    <definedName name="itc_uss" localSheetId="2">#REF!</definedName>
    <definedName name="itc_uss">#REF!</definedName>
    <definedName name="item_1" localSheetId="4">#REF!</definedName>
    <definedName name="item_1" localSheetId="2">#REF!</definedName>
    <definedName name="item_1" localSheetId="13">#REF!</definedName>
    <definedName name="item_1" localSheetId="0">#REF!</definedName>
    <definedName name="item_1">#REF!</definedName>
    <definedName name="ITEMCONT" localSheetId="2">#REF!</definedName>
    <definedName name="ITEMCONT">#REF!</definedName>
    <definedName name="ITEMDER" localSheetId="2">#REF!</definedName>
    <definedName name="ITEMDER">#REF!</definedName>
    <definedName name="ITEMIZAÇÃO" localSheetId="2">#REF!</definedName>
    <definedName name="ITEMIZAÇÃO">#REF!</definedName>
    <definedName name="ITEMIZAÇÃO_2" localSheetId="2">#REF!</definedName>
    <definedName name="ITEMIZAÇÃO_2">#REF!</definedName>
    <definedName name="ITEMIZAÇÃO_3" localSheetId="2">#REF!</definedName>
    <definedName name="ITEMIZAÇÃO_3">#REF!</definedName>
    <definedName name="ITEMIZAÇÃO_4" localSheetId="2">#REF!</definedName>
    <definedName name="ITEMIZAÇÃO_4">#REF!</definedName>
    <definedName name="ITEMIZAÇÃO_5" localSheetId="2">#REF!</definedName>
    <definedName name="ITEMIZAÇÃO_5">#REF!</definedName>
    <definedName name="ITEMIZAÇÃO_7" localSheetId="2">#REF!</definedName>
    <definedName name="ITEMIZAÇÃO_7">#REF!</definedName>
    <definedName name="ITEMIZAÇÃO_8" localSheetId="2">#REF!</definedName>
    <definedName name="ITEMIZAÇÃO_8">#REF!</definedName>
    <definedName name="ITEMR20" localSheetId="2">#REF!</definedName>
    <definedName name="ITEMR20">#REF!</definedName>
    <definedName name="ITEM별상세업무분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 localSheetId="3">#REF!</definedName>
    <definedName name="ITENS" localSheetId="2">#REF!</definedName>
    <definedName name="ITENS">#REF!</definedName>
    <definedName name="ITENS0" localSheetId="3">#REF!</definedName>
    <definedName name="ITENS0" localSheetId="2">#REF!</definedName>
    <definedName name="ITENS0">#REF!</definedName>
    <definedName name="ITENS1" localSheetId="3">#REF!</definedName>
    <definedName name="ITENS1" localSheetId="2">#REF!</definedName>
    <definedName name="ITENS1">#REF!</definedName>
    <definedName name="ITENSP" localSheetId="2">#REF!</definedName>
    <definedName name="ITENSP">#REF!</definedName>
    <definedName name="ITENSPMED" localSheetId="2">#REF!</definedName>
    <definedName name="ITENSPMED">#REF!</definedName>
    <definedName name="IUGFGDFUY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IUGFGDFUYR" hidden="1">{TRUE,TRUE,-1.25,-15.5,604.5,366.75,FALSE,FALSE,TRUE,TRUE,0,1,#N/A,1,#N/A,9.0125,24.4117647058824,1,FALSE,FALSE,3,TRUE,1,FALSE,100,"Swvu.PLANILHA2.","ACwvu.PLANILHA2.",#N/A,FALSE,FALSE,0.787401575,0.34,0.46,0.5,1,"","",FALSE,FALSE,FALSE,FALSE,1,#N/A,1,1,FALSE,FALSE,#N/A,#N/A,FALSE,FALSE,FALSE,9,65532,65532,FALSE,FALSE,TRUE,TRUE,TRUE}</definedName>
    <definedName name="IV" localSheetId="3">#REF!</definedName>
    <definedName name="IV" localSheetId="2">#REF!</definedName>
    <definedName name="IV">#REF!</definedName>
    <definedName name="iyguygiyt" localSheetId="3" hidden="1">{#N/A,#N/A,FALSE,"Plan1";#N/A,#N/A,FALSE,"Plan2"}</definedName>
    <definedName name="iyguygiyt" localSheetId="8" hidden="1">{#N/A,#N/A,FALSE,"Plan1";#N/A,#N/A,FALSE,"Plan2"}</definedName>
    <definedName name="iyguygiyt" localSheetId="2" hidden="1">{#N/A,#N/A,FALSE,"Plan1";#N/A,#N/A,FALSE,"Plan2"}</definedName>
    <definedName name="iyguygiyt" localSheetId="9" hidden="1">{#N/A,#N/A,FALSE,"Plan1";#N/A,#N/A,FALSE,"Plan2"}</definedName>
    <definedName name="iyguygiyt" localSheetId="13" hidden="1">{#N/A,#N/A,FALSE,"Plan1";#N/A,#N/A,FALSE,"Plan2"}</definedName>
    <definedName name="iyguygiyt" localSheetId="0" hidden="1">{#N/A,#N/A,FALSE,"Plan1";#N/A,#N/A,FALSE,"Plan2"}</definedName>
    <definedName name="iyguygiyt" hidden="1">{#N/A,#N/A,FALSE,"Plan1";#N/A,#N/A,FALSE,"Plan2"}</definedName>
    <definedName name="iyuyheturtd" localSheetId="3" hidden="1">{#N/A,#N/A,FALSE,"Plan1";#N/A,#N/A,FALSE,"Plan2"}</definedName>
    <definedName name="iyuyheturtd" localSheetId="8" hidden="1">{#N/A,#N/A,FALSE,"Plan1";#N/A,#N/A,FALSE,"Plan2"}</definedName>
    <definedName name="iyuyheturtd" localSheetId="2" hidden="1">{#N/A,#N/A,FALSE,"Plan1";#N/A,#N/A,FALSE,"Plan2"}</definedName>
    <definedName name="iyuyheturtd" localSheetId="9" hidden="1">{#N/A,#N/A,FALSE,"Plan1";#N/A,#N/A,FALSE,"Plan2"}</definedName>
    <definedName name="iyuyheturtd" localSheetId="13" hidden="1">{#N/A,#N/A,FALSE,"Plan1";#N/A,#N/A,FALSE,"Plan2"}</definedName>
    <definedName name="iyuyheturtd" localSheetId="0" hidden="1">{#N/A,#N/A,FALSE,"Plan1";#N/A,#N/A,FALSE,"Plan2"}</definedName>
    <definedName name="iyuyheturtd" hidden="1">{#N/A,#N/A,FALSE,"Plan1";#N/A,#N/A,FALSE,"Plan2"}</definedName>
    <definedName name="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 hidden="1">{TRUE,TRUE,-1.25,-15.5,604.5,366.75,FALSE,FALSE,TRUE,TRUE,0,1,#N/A,1,#N/A,9.0125,24.4117647058824,1,FALSE,FALSE,3,TRUE,1,FALSE,100,"Swvu.PLANILHA2.","ACwvu.PLANILHA2.",#N/A,FALSE,FALSE,0.787401575,0.34,0.46,0.5,1,"","",FALSE,FALSE,FALSE,FALSE,1,#N/A,1,1,FALSE,FALSE,#N/A,#N/A,FALSE,FALSE,FALSE,9,65532,65532,FALSE,FALSE,TRUE,TRUE,TRUE}</definedName>
    <definedName name="jalejdasjf" localSheetId="3" hidden="1">{#N/A,#N/A,FALSE,"Plan1";#N/A,#N/A,FALSE,"Plan2"}</definedName>
    <definedName name="jalejdasjf" localSheetId="8" hidden="1">{#N/A,#N/A,FALSE,"Plan1";#N/A,#N/A,FALSE,"Plan2"}</definedName>
    <definedName name="jalejdasjf" localSheetId="2" hidden="1">{#N/A,#N/A,FALSE,"Plan1";#N/A,#N/A,FALSE,"Plan2"}</definedName>
    <definedName name="jalejdasjf" localSheetId="9" hidden="1">{#N/A,#N/A,FALSE,"Plan1";#N/A,#N/A,FALSE,"Plan2"}</definedName>
    <definedName name="jalejdasjf" localSheetId="13" hidden="1">{#N/A,#N/A,FALSE,"Plan1";#N/A,#N/A,FALSE,"Plan2"}</definedName>
    <definedName name="jalejdasjf" localSheetId="0" hidden="1">{#N/A,#N/A,FALSE,"Plan1";#N/A,#N/A,FALSE,"Plan2"}</definedName>
    <definedName name="jalejdasjf" hidden="1">{#N/A,#N/A,FALSE,"Plan1";#N/A,#N/A,FALSE,"Plan2"}</definedName>
    <definedName name="jan_05" localSheetId="3">#REF!</definedName>
    <definedName name="jan_05" localSheetId="2">#REF!</definedName>
    <definedName name="jan_05">#REF!</definedName>
    <definedName name="jan17RJ" localSheetId="3">#REF!</definedName>
    <definedName name="jan17RJ" localSheetId="2">#REF!</definedName>
    <definedName name="jan17RJ">#REF!</definedName>
    <definedName name="JANEIRO2001" localSheetId="3">#REF!</definedName>
    <definedName name="JANEIRO2001" localSheetId="2">#REF!</definedName>
    <definedName name="JANEIRO2001">#REF!</definedName>
    <definedName name="JASDJS" localSheetId="3" hidden="1">{#N/A,#N/A,FALSE,"Plan1";#N/A,#N/A,FALSE,"Plan2"}</definedName>
    <definedName name="JASDJS" localSheetId="8" hidden="1">{#N/A,#N/A,FALSE,"Plan1";#N/A,#N/A,FALSE,"Plan2"}</definedName>
    <definedName name="JASDJS" localSheetId="2" hidden="1">{#N/A,#N/A,FALSE,"Plan1";#N/A,#N/A,FALSE,"Plan2"}</definedName>
    <definedName name="JASDJS" localSheetId="9" hidden="1">{#N/A,#N/A,FALSE,"Plan1";#N/A,#N/A,FALSE,"Plan2"}</definedName>
    <definedName name="JASDJS" localSheetId="13" hidden="1">{#N/A,#N/A,FALSE,"Plan1";#N/A,#N/A,FALSE,"Plan2"}</definedName>
    <definedName name="JASDJS" localSheetId="0" hidden="1">{#N/A,#N/A,FALSE,"Plan1";#N/A,#N/A,FALSE,"Plan2"}</definedName>
    <definedName name="JASDJS" hidden="1">{#N/A,#N/A,FALSE,"Plan1";#N/A,#N/A,FALSE,"Plan2"}</definedName>
    <definedName name="jaskldjlse" localSheetId="3" hidden="1">{#N/A,#N/A,FALSE,"Plan1";#N/A,#N/A,FALSE,"Plan2"}</definedName>
    <definedName name="jaskldjlse" localSheetId="8" hidden="1">{#N/A,#N/A,FALSE,"Plan1";#N/A,#N/A,FALSE,"Plan2"}</definedName>
    <definedName name="jaskldjlse" localSheetId="2" hidden="1">{#N/A,#N/A,FALSE,"Plan1";#N/A,#N/A,FALSE,"Plan2"}</definedName>
    <definedName name="jaskldjlse" localSheetId="9" hidden="1">{#N/A,#N/A,FALSE,"Plan1";#N/A,#N/A,FALSE,"Plan2"}</definedName>
    <definedName name="jaskldjlse" localSheetId="13" hidden="1">{#N/A,#N/A,FALSE,"Plan1";#N/A,#N/A,FALSE,"Plan2"}</definedName>
    <definedName name="jaskldjlse" localSheetId="0" hidden="1">{#N/A,#N/A,FALSE,"Plan1";#N/A,#N/A,FALSE,"Plan2"}</definedName>
    <definedName name="jaskldjlse" hidden="1">{#N/A,#N/A,FALSE,"Plan1";#N/A,#N/A,FALSE,"Plan2"}</definedName>
    <definedName name="JASLDKLD" localSheetId="3" hidden="1">{#N/A,#N/A,FALSE,"Plan1";#N/A,#N/A,FALSE,"Plan2"}</definedName>
    <definedName name="JASLDKLD" localSheetId="8" hidden="1">{#N/A,#N/A,FALSE,"Plan1";#N/A,#N/A,FALSE,"Plan2"}</definedName>
    <definedName name="JASLDKLD" localSheetId="2" hidden="1">{#N/A,#N/A,FALSE,"Plan1";#N/A,#N/A,FALSE,"Plan2"}</definedName>
    <definedName name="JASLDKLD" localSheetId="9" hidden="1">{#N/A,#N/A,FALSE,"Plan1";#N/A,#N/A,FALSE,"Plan2"}</definedName>
    <definedName name="JASLDKLD" localSheetId="13" hidden="1">{#N/A,#N/A,FALSE,"Plan1";#N/A,#N/A,FALSE,"Plan2"}</definedName>
    <definedName name="JASLDKLD" localSheetId="0" hidden="1">{#N/A,#N/A,FALSE,"Plan1";#N/A,#N/A,FALSE,"Plan2"}</definedName>
    <definedName name="JASLDKLD" hidden="1">{#N/A,#N/A,FALSE,"Plan1";#N/A,#N/A,FALSE,"Plan2"}</definedName>
    <definedName name="jasoe" localSheetId="3" hidden="1">#REF!</definedName>
    <definedName name="jasoe" localSheetId="8" hidden="1">#REF!</definedName>
    <definedName name="jasoe" localSheetId="2" hidden="1">#REF!</definedName>
    <definedName name="jasoe" localSheetId="9" hidden="1">#REF!</definedName>
    <definedName name="jasoe" localSheetId="13" hidden="1">#REF!</definedName>
    <definedName name="jasoe" localSheetId="0" hidden="1">#REF!</definedName>
    <definedName name="jasoe" hidden="1">#REF!</definedName>
    <definedName name="jbzxffcbgdhgft" localSheetId="3" hidden="1">#REF!</definedName>
    <definedName name="jbzxffcbgdhgft" localSheetId="8" hidden="1">#REF!</definedName>
    <definedName name="jbzxffcbgdhgft" localSheetId="2" hidden="1">#REF!</definedName>
    <definedName name="jbzxffcbgdhgft" localSheetId="9" hidden="1">#REF!</definedName>
    <definedName name="jbzxffcbgdhgft" localSheetId="13" hidden="1">#REF!</definedName>
    <definedName name="jbzxffcbgdhgft" localSheetId="0" hidden="1">#REF!</definedName>
    <definedName name="jbzxffcbgdhgft" hidden="1">#REF!</definedName>
    <definedName name="JÇDFHDF" localSheetId="3" hidden="1">{"Econ Consolidado",#N/A,FALSE,"Econ Consol";"Fluxo de Caixa",#N/A,FALSE,"Fluxo Caixa";"Investimentos",#N/A,FALSE,"Investimentos"}</definedName>
    <definedName name="JÇDFHDF" localSheetId="8" hidden="1">{"Econ Consolidado",#N/A,FALSE,"Econ Consol";"Fluxo de Caixa",#N/A,FALSE,"Fluxo Caixa";"Investimentos",#N/A,FALSE,"Investimentos"}</definedName>
    <definedName name="JÇDFHDF" localSheetId="2" hidden="1">{"Econ Consolidado",#N/A,FALSE,"Econ Consol";"Fluxo de Caixa",#N/A,FALSE,"Fluxo Caixa";"Investimentos",#N/A,FALSE,"Investimentos"}</definedName>
    <definedName name="JÇDFHDF" localSheetId="9" hidden="1">{"Econ Consolidado",#N/A,FALSE,"Econ Consol";"Fluxo de Caixa",#N/A,FALSE,"Fluxo Caixa";"Investimentos",#N/A,FALSE,"Investimentos"}</definedName>
    <definedName name="JÇDFHDF" localSheetId="13" hidden="1">{"Econ Consolidado",#N/A,FALSE,"Econ Consol";"Fluxo de Caixa",#N/A,FALSE,"Fluxo Caixa";"Investimentos",#N/A,FALSE,"Investimentos"}</definedName>
    <definedName name="JÇDFHDF" localSheetId="0" hidden="1">{"Econ Consolidado",#N/A,FALSE,"Econ Consol";"Fluxo de Caixa",#N/A,FALSE,"Fluxo Caixa";"Investimentos",#N/A,FALSE,"Investimentos"}</definedName>
    <definedName name="JÇDFHDF" hidden="1">{"Econ Consolidado",#N/A,FALSE,"Econ Consol";"Fluxo de Caixa",#N/A,FALSE,"Fluxo Caixa";"Investimentos",#N/A,FALSE,"Investimentos"}</definedName>
    <definedName name="jdbgftbhr" localSheetId="3" hidden="1">{#N/A,#N/A,FALSE,"Plan1";#N/A,#N/A,FALSE,"Plan2"}</definedName>
    <definedName name="jdbgftbhr" localSheetId="8" hidden="1">{#N/A,#N/A,FALSE,"Plan1";#N/A,#N/A,FALSE,"Plan2"}</definedName>
    <definedName name="jdbgftbhr" localSheetId="2" hidden="1">{#N/A,#N/A,FALSE,"Plan1";#N/A,#N/A,FALSE,"Plan2"}</definedName>
    <definedName name="jdbgftbhr" localSheetId="9" hidden="1">{#N/A,#N/A,FALSE,"Plan1";#N/A,#N/A,FALSE,"Plan2"}</definedName>
    <definedName name="jdbgftbhr" localSheetId="13" hidden="1">{#N/A,#N/A,FALSE,"Plan1";#N/A,#N/A,FALSE,"Plan2"}</definedName>
    <definedName name="jdbgftbhr" localSheetId="0" hidden="1">{#N/A,#N/A,FALSE,"Plan1";#N/A,#N/A,FALSE,"Plan2"}</definedName>
    <definedName name="jdbgftbhr" hidden="1">{#N/A,#N/A,FALSE,"Plan1";#N/A,#N/A,FALSE,"Plan2"}</definedName>
    <definedName name="jdfgkrhgft" localSheetId="3" hidden="1">#REF!</definedName>
    <definedName name="jdfgkrhgft" localSheetId="8" hidden="1">#REF!</definedName>
    <definedName name="jdfgkrhgft" localSheetId="2" hidden="1">#REF!</definedName>
    <definedName name="jdfgkrhgft" localSheetId="9" hidden="1">#REF!</definedName>
    <definedName name="jdfgkrhgft" localSheetId="13" hidden="1">#REF!</definedName>
    <definedName name="jdfgkrhgft" localSheetId="0" hidden="1">#REF!</definedName>
    <definedName name="jdfgkrhgft" hidden="1">#REF!</definedName>
    <definedName name="jdfgldfjgklh" localSheetId="3" hidden="1">{#N/A,#N/A,FALSE,"Plan1";#N/A,#N/A,FALSE,"Plan2"}</definedName>
    <definedName name="jdfgldfjgklh" localSheetId="8" hidden="1">{#N/A,#N/A,FALSE,"Plan1";#N/A,#N/A,FALSE,"Plan2"}</definedName>
    <definedName name="jdfgldfjgklh" localSheetId="2" hidden="1">{#N/A,#N/A,FALSE,"Plan1";#N/A,#N/A,FALSE,"Plan2"}</definedName>
    <definedName name="jdfgldfjgklh" localSheetId="9" hidden="1">{#N/A,#N/A,FALSE,"Plan1";#N/A,#N/A,FALSE,"Plan2"}</definedName>
    <definedName name="jdfgldfjgklh" localSheetId="13" hidden="1">{#N/A,#N/A,FALSE,"Plan1";#N/A,#N/A,FALSE,"Plan2"}</definedName>
    <definedName name="jdfgldfjgklh" localSheetId="0" hidden="1">{#N/A,#N/A,FALSE,"Plan1";#N/A,#N/A,FALSE,"Plan2"}</definedName>
    <definedName name="jdfgldfjgklh" hidden="1">{#N/A,#N/A,FALSE,"Plan1";#N/A,#N/A,FALSE,"Plan2"}</definedName>
    <definedName name="jdfhjkdrhjtkg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dfhjkdrhjtkgr" hidden="1">{TRUE,TRUE,-1.25,-15.5,604.5,366.75,FALSE,FALSE,TRUE,TRUE,0,1,#N/A,1,#N/A,9.0125,24.4117647058824,1,FALSE,FALSE,3,TRUE,1,FALSE,100,"Swvu.PLANILHA2.","ACwvu.PLANILHA2.",#N/A,FALSE,FALSE,0.787401575,0.34,0.46,0.5,1,"","",FALSE,FALSE,FALSE,FALSE,1,#N/A,1,1,FALSE,FALSE,#N/A,#N/A,FALSE,FALSE,FALSE,9,65532,65532,FALSE,FALSE,TRUE,TRUE,TRUE}</definedName>
    <definedName name="jdfjdtrgt" localSheetId="3" hidden="1">{#N/A,#N/A,FALSE,"Plan1";#N/A,#N/A,FALSE,"Plan2"}</definedName>
    <definedName name="jdfjdtrgt" localSheetId="8" hidden="1">{#N/A,#N/A,FALSE,"Plan1";#N/A,#N/A,FALSE,"Plan2"}</definedName>
    <definedName name="jdfjdtrgt" localSheetId="2" hidden="1">{#N/A,#N/A,FALSE,"Plan1";#N/A,#N/A,FALSE,"Plan2"}</definedName>
    <definedName name="jdfjdtrgt" localSheetId="9" hidden="1">{#N/A,#N/A,FALSE,"Plan1";#N/A,#N/A,FALSE,"Plan2"}</definedName>
    <definedName name="jdfjdtrgt" localSheetId="13" hidden="1">{#N/A,#N/A,FALSE,"Plan1";#N/A,#N/A,FALSE,"Plan2"}</definedName>
    <definedName name="jdfjdtrgt" localSheetId="0" hidden="1">{#N/A,#N/A,FALSE,"Plan1";#N/A,#N/A,FALSE,"Plan2"}</definedName>
    <definedName name="jdfjdtrgt" hidden="1">{#N/A,#N/A,FALSE,"Plan1";#N/A,#N/A,FALSE,"Plan2"}</definedName>
    <definedName name="JDFJLDJR" localSheetId="3" hidden="1">{#N/A,#N/A,FALSE,"Plan1";#N/A,#N/A,FALSE,"Plan2"}</definedName>
    <definedName name="JDFJLDJR" localSheetId="8" hidden="1">{#N/A,#N/A,FALSE,"Plan1";#N/A,#N/A,FALSE,"Plan2"}</definedName>
    <definedName name="JDFJLDJR" localSheetId="2" hidden="1">{#N/A,#N/A,FALSE,"Plan1";#N/A,#N/A,FALSE,"Plan2"}</definedName>
    <definedName name="JDFJLDJR" localSheetId="9" hidden="1">{#N/A,#N/A,FALSE,"Plan1";#N/A,#N/A,FALSE,"Plan2"}</definedName>
    <definedName name="JDFJLDJR" localSheetId="13" hidden="1">{#N/A,#N/A,FALSE,"Plan1";#N/A,#N/A,FALSE,"Plan2"}</definedName>
    <definedName name="JDFJLDJR" localSheetId="0" hidden="1">{#N/A,#N/A,FALSE,"Plan1";#N/A,#N/A,FALSE,"Plan2"}</definedName>
    <definedName name="JDFJLDJR" hidden="1">{#N/A,#N/A,FALSE,"Plan1";#N/A,#N/A,FALSE,"Plan2"}</definedName>
    <definedName name="jdfkgitfgdrtt" localSheetId="3" hidden="1">{#N/A,#N/A,FALSE,"Plan1";#N/A,#N/A,FALSE,"Plan2"}</definedName>
    <definedName name="jdfkgitfgdrtt" localSheetId="8" hidden="1">{#N/A,#N/A,FALSE,"Plan1";#N/A,#N/A,FALSE,"Plan2"}</definedName>
    <definedName name="jdfkgitfgdrtt" localSheetId="2" hidden="1">{#N/A,#N/A,FALSE,"Plan1";#N/A,#N/A,FALSE,"Plan2"}</definedName>
    <definedName name="jdfkgitfgdrtt" localSheetId="9" hidden="1">{#N/A,#N/A,FALSE,"Plan1";#N/A,#N/A,FALSE,"Plan2"}</definedName>
    <definedName name="jdfkgitfgdrtt" localSheetId="13" hidden="1">{#N/A,#N/A,FALSE,"Plan1";#N/A,#N/A,FALSE,"Plan2"}</definedName>
    <definedName name="jdfkgitfgdrtt" localSheetId="0" hidden="1">{#N/A,#N/A,FALSE,"Plan1";#N/A,#N/A,FALSE,"Plan2"}</definedName>
    <definedName name="jdfkgitfgdrtt" hidden="1">{#N/A,#N/A,FALSE,"Plan1";#N/A,#N/A,FALSE,"Plan2"}</definedName>
    <definedName name="JDFKHFKJ" localSheetId="3" hidden="1">{#N/A,#N/A,FALSE,"Plan1";#N/A,#N/A,FALSE,"Plan2"}</definedName>
    <definedName name="JDFKHFKJ" localSheetId="8" hidden="1">{#N/A,#N/A,FALSE,"Plan1";#N/A,#N/A,FALSE,"Plan2"}</definedName>
    <definedName name="JDFKHFKJ" localSheetId="2" hidden="1">{#N/A,#N/A,FALSE,"Plan1";#N/A,#N/A,FALSE,"Plan2"}</definedName>
    <definedName name="JDFKHFKJ" localSheetId="9" hidden="1">{#N/A,#N/A,FALSE,"Plan1";#N/A,#N/A,FALSE,"Plan2"}</definedName>
    <definedName name="JDFKHFKJ" localSheetId="13" hidden="1">{#N/A,#N/A,FALSE,"Plan1";#N/A,#N/A,FALSE,"Plan2"}</definedName>
    <definedName name="JDFKHFKJ" localSheetId="0" hidden="1">{#N/A,#N/A,FALSE,"Plan1";#N/A,#N/A,FALSE,"Plan2"}</definedName>
    <definedName name="JDFKHFKJ" hidden="1">{#N/A,#N/A,FALSE,"Plan1";#N/A,#N/A,FALSE,"Plan2"}</definedName>
    <definedName name="jdfklgtdtr" localSheetId="3" hidden="1">{#N/A,#N/A,FALSE,"Plan1";#N/A,#N/A,FALSE,"Plan2"}</definedName>
    <definedName name="jdfklgtdtr" localSheetId="8" hidden="1">{#N/A,#N/A,FALSE,"Plan1";#N/A,#N/A,FALSE,"Plan2"}</definedName>
    <definedName name="jdfklgtdtr" localSheetId="2" hidden="1">{#N/A,#N/A,FALSE,"Plan1";#N/A,#N/A,FALSE,"Plan2"}</definedName>
    <definedName name="jdfklgtdtr" localSheetId="9" hidden="1">{#N/A,#N/A,FALSE,"Plan1";#N/A,#N/A,FALSE,"Plan2"}</definedName>
    <definedName name="jdfklgtdtr" localSheetId="13" hidden="1">{#N/A,#N/A,FALSE,"Plan1";#N/A,#N/A,FALSE,"Plan2"}</definedName>
    <definedName name="jdfklgtdtr" localSheetId="0" hidden="1">{#N/A,#N/A,FALSE,"Plan1";#N/A,#N/A,FALSE,"Plan2"}</definedName>
    <definedName name="jdfklgtdtr" hidden="1">{#N/A,#N/A,FALSE,"Plan1";#N/A,#N/A,FALSE,"Plan2"}</definedName>
    <definedName name="JDFKTHRT" localSheetId="3" hidden="1">{#N/A,#N/A,FALSE,"Plan1";#N/A,#N/A,FALSE,"Plan2"}</definedName>
    <definedName name="JDFKTHRT" localSheetId="8" hidden="1">{#N/A,#N/A,FALSE,"Plan1";#N/A,#N/A,FALSE,"Plan2"}</definedName>
    <definedName name="JDFKTHRT" localSheetId="2" hidden="1">{#N/A,#N/A,FALSE,"Plan1";#N/A,#N/A,FALSE,"Plan2"}</definedName>
    <definedName name="JDFKTHRT" localSheetId="9" hidden="1">{#N/A,#N/A,FALSE,"Plan1";#N/A,#N/A,FALSE,"Plan2"}</definedName>
    <definedName name="JDFKTHRT" localSheetId="13" hidden="1">{#N/A,#N/A,FALSE,"Plan1";#N/A,#N/A,FALSE,"Plan2"}</definedName>
    <definedName name="JDFKTHRT" localSheetId="0" hidden="1">{#N/A,#N/A,FALSE,"Plan1";#N/A,#N/A,FALSE,"Plan2"}</definedName>
    <definedName name="JDFKTHRT" hidden="1">{#N/A,#N/A,FALSE,"Plan1";#N/A,#N/A,FALSE,"Plan2"}</definedName>
    <definedName name="JDFLKJDRF" localSheetId="3" hidden="1">{#N/A,#N/A,FALSE,"Plan1";#N/A,#N/A,FALSE,"Plan2"}</definedName>
    <definedName name="JDFLKJDRF" localSheetId="8" hidden="1">{#N/A,#N/A,FALSE,"Plan1";#N/A,#N/A,FALSE,"Plan2"}</definedName>
    <definedName name="JDFLKJDRF" localSheetId="2" hidden="1">{#N/A,#N/A,FALSE,"Plan1";#N/A,#N/A,FALSE,"Plan2"}</definedName>
    <definedName name="JDFLKJDRF" localSheetId="9" hidden="1">{#N/A,#N/A,FALSE,"Plan1";#N/A,#N/A,FALSE,"Plan2"}</definedName>
    <definedName name="JDFLKJDRF" localSheetId="13" hidden="1">{#N/A,#N/A,FALSE,"Plan1";#N/A,#N/A,FALSE,"Plan2"}</definedName>
    <definedName name="JDFLKJDRF" localSheetId="0" hidden="1">{#N/A,#N/A,FALSE,"Plan1";#N/A,#N/A,FALSE,"Plan2"}</definedName>
    <definedName name="JDFLKJDRF" hidden="1">{#N/A,#N/A,FALSE,"Plan1";#N/A,#N/A,FALSE,"Plan2"}</definedName>
    <definedName name="jdfzlkjgfdht" localSheetId="3" hidden="1">{#N/A,#N/A,FALSE,"Plan1";#N/A,#N/A,FALSE,"Plan2"}</definedName>
    <definedName name="jdfzlkjgfdht" localSheetId="8" hidden="1">{#N/A,#N/A,FALSE,"Plan1";#N/A,#N/A,FALSE,"Plan2"}</definedName>
    <definedName name="jdfzlkjgfdht" localSheetId="2" hidden="1">{#N/A,#N/A,FALSE,"Plan1";#N/A,#N/A,FALSE,"Plan2"}</definedName>
    <definedName name="jdfzlkjgfdht" localSheetId="9" hidden="1">{#N/A,#N/A,FALSE,"Plan1";#N/A,#N/A,FALSE,"Plan2"}</definedName>
    <definedName name="jdfzlkjgfdht" localSheetId="13" hidden="1">{#N/A,#N/A,FALSE,"Plan1";#N/A,#N/A,FALSE,"Plan2"}</definedName>
    <definedName name="jdfzlkjgfdht" localSheetId="0" hidden="1">{#N/A,#N/A,FALSE,"Plan1";#N/A,#N/A,FALSE,"Plan2"}</definedName>
    <definedName name="jdfzlkjgfdht" hidden="1">{#N/A,#N/A,FALSE,"Plan1";#N/A,#N/A,FALSE,"Plan2"}</definedName>
    <definedName name="jdglhfghkt" localSheetId="3" hidden="1">{#N/A,#N/A,FALSE,"Plan1";#N/A,#N/A,FALSE,"Plan2"}</definedName>
    <definedName name="jdglhfghkt" localSheetId="8" hidden="1">{#N/A,#N/A,FALSE,"Plan1";#N/A,#N/A,FALSE,"Plan2"}</definedName>
    <definedName name="jdglhfghkt" localSheetId="2" hidden="1">{#N/A,#N/A,FALSE,"Plan1";#N/A,#N/A,FALSE,"Plan2"}</definedName>
    <definedName name="jdglhfghkt" localSheetId="9" hidden="1">{#N/A,#N/A,FALSE,"Plan1";#N/A,#N/A,FALSE,"Plan2"}</definedName>
    <definedName name="jdglhfghkt" localSheetId="13" hidden="1">{#N/A,#N/A,FALSE,"Plan1";#N/A,#N/A,FALSE,"Plan2"}</definedName>
    <definedName name="jdglhfghkt" localSheetId="0" hidden="1">{#N/A,#N/A,FALSE,"Plan1";#N/A,#N/A,FALSE,"Plan2"}</definedName>
    <definedName name="jdglhfghkt" hidden="1">{#N/A,#N/A,FALSE,"Plan1";#N/A,#N/A,FALSE,"Plan2"}</definedName>
    <definedName name="jdhfjdhgfd" localSheetId="3" hidden="1">{#N/A,#N/A,FALSE,"Plan1";#N/A,#N/A,FALSE,"Plan2"}</definedName>
    <definedName name="jdhfjdhgfd" localSheetId="8" hidden="1">{#N/A,#N/A,FALSE,"Plan1";#N/A,#N/A,FALSE,"Plan2"}</definedName>
    <definedName name="jdhfjdhgfd" localSheetId="2" hidden="1">{#N/A,#N/A,FALSE,"Plan1";#N/A,#N/A,FALSE,"Plan2"}</definedName>
    <definedName name="jdhfjdhgfd" localSheetId="9" hidden="1">{#N/A,#N/A,FALSE,"Plan1";#N/A,#N/A,FALSE,"Plan2"}</definedName>
    <definedName name="jdhfjdhgfd" localSheetId="13" hidden="1">{#N/A,#N/A,FALSE,"Plan1";#N/A,#N/A,FALSE,"Plan2"}</definedName>
    <definedName name="jdhfjdhgfd" localSheetId="0" hidden="1">{#N/A,#N/A,FALSE,"Plan1";#N/A,#N/A,FALSE,"Plan2"}</definedName>
    <definedName name="jdhfjdhgfd" hidden="1">{#N/A,#N/A,FALSE,"Plan1";#N/A,#N/A,FALSE,"Plan2"}</definedName>
    <definedName name="jdjdjdjd" localSheetId="3" hidden="1">{#N/A,#N/A,FALSE,"명세표"}</definedName>
    <definedName name="jdjdjdjd" localSheetId="8" hidden="1">{#N/A,#N/A,FALSE,"명세표"}</definedName>
    <definedName name="jdjdjdjd" localSheetId="2" hidden="1">{#N/A,#N/A,FALSE,"명세표"}</definedName>
    <definedName name="jdjdjdjd" localSheetId="9" hidden="1">{#N/A,#N/A,FALSE,"명세표"}</definedName>
    <definedName name="jdjdjdjd" localSheetId="13" hidden="1">{#N/A,#N/A,FALSE,"명세표"}</definedName>
    <definedName name="jdjdjdjd" localSheetId="0" hidden="1">{#N/A,#N/A,FALSE,"명세표"}</definedName>
    <definedName name="jdjdjdjd" hidden="1">{#N/A,#N/A,FALSE,"명세표"}</definedName>
    <definedName name="jdkfhgjhf" localSheetId="3" hidden="1">{#N/A,#N/A,FALSE,"Plan1";#N/A,#N/A,FALSE,"Plan2"}</definedName>
    <definedName name="jdkfhgjhf" localSheetId="8" hidden="1">{#N/A,#N/A,FALSE,"Plan1";#N/A,#N/A,FALSE,"Plan2"}</definedName>
    <definedName name="jdkfhgjhf" localSheetId="2" hidden="1">{#N/A,#N/A,FALSE,"Plan1";#N/A,#N/A,FALSE,"Plan2"}</definedName>
    <definedName name="jdkfhgjhf" localSheetId="9" hidden="1">{#N/A,#N/A,FALSE,"Plan1";#N/A,#N/A,FALSE,"Plan2"}</definedName>
    <definedName name="jdkfhgjhf" localSheetId="13" hidden="1">{#N/A,#N/A,FALSE,"Plan1";#N/A,#N/A,FALSE,"Plan2"}</definedName>
    <definedName name="jdkfhgjhf" localSheetId="0" hidden="1">{#N/A,#N/A,FALSE,"Plan1";#N/A,#N/A,FALSE,"Plan2"}</definedName>
    <definedName name="jdkfhgjhf" hidden="1">{#N/A,#N/A,FALSE,"Plan1";#N/A,#N/A,FALSE,"Plan2"}</definedName>
    <definedName name="jdkfjdtr" localSheetId="3" hidden="1">{#N/A,#N/A,FALSE,"Plan1";#N/A,#N/A,FALSE,"Plan2"}</definedName>
    <definedName name="jdkfjdtr" localSheetId="8" hidden="1">{#N/A,#N/A,FALSE,"Plan1";#N/A,#N/A,FALSE,"Plan2"}</definedName>
    <definedName name="jdkfjdtr" localSheetId="2" hidden="1">{#N/A,#N/A,FALSE,"Plan1";#N/A,#N/A,FALSE,"Plan2"}</definedName>
    <definedName name="jdkfjdtr" localSheetId="9" hidden="1">{#N/A,#N/A,FALSE,"Plan1";#N/A,#N/A,FALSE,"Plan2"}</definedName>
    <definedName name="jdkfjdtr" localSheetId="13" hidden="1">{#N/A,#N/A,FALSE,"Plan1";#N/A,#N/A,FALSE,"Plan2"}</definedName>
    <definedName name="jdkfjdtr" localSheetId="0" hidden="1">{#N/A,#N/A,FALSE,"Plan1";#N/A,#N/A,FALSE,"Plan2"}</definedName>
    <definedName name="jdkfjdtr" hidden="1">{#N/A,#N/A,FALSE,"Plan1";#N/A,#N/A,FALSE,"Plan2"}</definedName>
    <definedName name="jdljgftldjti5r" localSheetId="3" hidden="1">{#N/A,#N/A,FALSE,"Plan1";#N/A,#N/A,FALSE,"Plan2"}</definedName>
    <definedName name="jdljgftldjti5r" localSheetId="8" hidden="1">{#N/A,#N/A,FALSE,"Plan1";#N/A,#N/A,FALSE,"Plan2"}</definedName>
    <definedName name="jdljgftldjti5r" localSheetId="2" hidden="1">{#N/A,#N/A,FALSE,"Plan1";#N/A,#N/A,FALSE,"Plan2"}</definedName>
    <definedName name="jdljgftldjti5r" localSheetId="9" hidden="1">{#N/A,#N/A,FALSE,"Plan1";#N/A,#N/A,FALSE,"Plan2"}</definedName>
    <definedName name="jdljgftldjti5r" localSheetId="13" hidden="1">{#N/A,#N/A,FALSE,"Plan1";#N/A,#N/A,FALSE,"Plan2"}</definedName>
    <definedName name="jdljgftldjti5r" localSheetId="0" hidden="1">{#N/A,#N/A,FALSE,"Plan1";#N/A,#N/A,FALSE,"Plan2"}</definedName>
    <definedName name="jdljgftldjti5r" hidden="1">{#N/A,#N/A,FALSE,"Plan1";#N/A,#N/A,FALSE,"Plan2"}</definedName>
    <definedName name="JDLKJDASGF" localSheetId="3" hidden="1">{#N/A,#N/A,FALSE,"Plan1";#N/A,#N/A,FALSE,"Plan2"}</definedName>
    <definedName name="JDLKJDASGF" localSheetId="8" hidden="1">{#N/A,#N/A,FALSE,"Plan1";#N/A,#N/A,FALSE,"Plan2"}</definedName>
    <definedName name="JDLKJDASGF" localSheetId="2" hidden="1">{#N/A,#N/A,FALSE,"Plan1";#N/A,#N/A,FALSE,"Plan2"}</definedName>
    <definedName name="JDLKJDASGF" localSheetId="9" hidden="1">{#N/A,#N/A,FALSE,"Plan1";#N/A,#N/A,FALSE,"Plan2"}</definedName>
    <definedName name="JDLKJDASGF" localSheetId="13" hidden="1">{#N/A,#N/A,FALSE,"Plan1";#N/A,#N/A,FALSE,"Plan2"}</definedName>
    <definedName name="JDLKJDASGF" localSheetId="0" hidden="1">{#N/A,#N/A,FALSE,"Plan1";#N/A,#N/A,FALSE,"Plan2"}</definedName>
    <definedName name="JDLKJDASGF" hidden="1">{#N/A,#N/A,FALSE,"Plan1";#N/A,#N/A,FALSE,"Plan2"}</definedName>
    <definedName name="jdrfkdjfghrtfjg" localSheetId="3" hidden="1">{#N/A,#N/A,FALSE,"Plan1";#N/A,#N/A,FALSE,"Plan2"}</definedName>
    <definedName name="jdrfkdjfghrtfjg" localSheetId="8" hidden="1">{#N/A,#N/A,FALSE,"Plan1";#N/A,#N/A,FALSE,"Plan2"}</definedName>
    <definedName name="jdrfkdjfghrtfjg" localSheetId="2" hidden="1">{#N/A,#N/A,FALSE,"Plan1";#N/A,#N/A,FALSE,"Plan2"}</definedName>
    <definedName name="jdrfkdjfghrtfjg" localSheetId="9" hidden="1">{#N/A,#N/A,FALSE,"Plan1";#N/A,#N/A,FALSE,"Plan2"}</definedName>
    <definedName name="jdrfkdjfghrtfjg" localSheetId="13" hidden="1">{#N/A,#N/A,FALSE,"Plan1";#N/A,#N/A,FALSE,"Plan2"}</definedName>
    <definedName name="jdrfkdjfghrtfjg" localSheetId="0" hidden="1">{#N/A,#N/A,FALSE,"Plan1";#N/A,#N/A,FALSE,"Plan2"}</definedName>
    <definedName name="jdrfkdjfghrtfjg" hidden="1">{#N/A,#N/A,FALSE,"Plan1";#N/A,#N/A,FALSE,"Plan2"}</definedName>
    <definedName name="jdskfhdk" localSheetId="3" hidden="1">{#N/A,#N/A,FALSE,"Plan1";#N/A,#N/A,FALSE,"Plan2"}</definedName>
    <definedName name="jdskfhdk" localSheetId="8" hidden="1">{#N/A,#N/A,FALSE,"Plan1";#N/A,#N/A,FALSE,"Plan2"}</definedName>
    <definedName name="jdskfhdk" localSheetId="2" hidden="1">{#N/A,#N/A,FALSE,"Plan1";#N/A,#N/A,FALSE,"Plan2"}</definedName>
    <definedName name="jdskfhdk" localSheetId="9" hidden="1">{#N/A,#N/A,FALSE,"Plan1";#N/A,#N/A,FALSE,"Plan2"}</definedName>
    <definedName name="jdskfhdk" localSheetId="13" hidden="1">{#N/A,#N/A,FALSE,"Plan1";#N/A,#N/A,FALSE,"Plan2"}</definedName>
    <definedName name="jdskfhdk" localSheetId="0" hidden="1">{#N/A,#N/A,FALSE,"Plan1";#N/A,#N/A,FALSE,"Plan2"}</definedName>
    <definedName name="jdskfhdk" hidden="1">{#N/A,#N/A,FALSE,"Plan1";#N/A,#N/A,FALSE,"Plan2"}</definedName>
    <definedName name="JDSKLGKDRHGGF" localSheetId="3" hidden="1">{#N/A,#N/A,FALSE,"Plan1";#N/A,#N/A,FALSE,"Plan2"}</definedName>
    <definedName name="JDSKLGKDRHGGF" localSheetId="8" hidden="1">{#N/A,#N/A,FALSE,"Plan1";#N/A,#N/A,FALSE,"Plan2"}</definedName>
    <definedName name="JDSKLGKDRHGGF" localSheetId="2" hidden="1">{#N/A,#N/A,FALSE,"Plan1";#N/A,#N/A,FALSE,"Plan2"}</definedName>
    <definedName name="JDSKLGKDRHGGF" localSheetId="9" hidden="1">{#N/A,#N/A,FALSE,"Plan1";#N/A,#N/A,FALSE,"Plan2"}</definedName>
    <definedName name="JDSKLGKDRHGGF" localSheetId="13" hidden="1">{#N/A,#N/A,FALSE,"Plan1";#N/A,#N/A,FALSE,"Plan2"}</definedName>
    <definedName name="JDSKLGKDRHGGF" localSheetId="0" hidden="1">{#N/A,#N/A,FALSE,"Plan1";#N/A,#N/A,FALSE,"Plan2"}</definedName>
    <definedName name="JDSKLGKDRHGGF" hidden="1">{#N/A,#N/A,FALSE,"Plan1";#N/A,#N/A,FALSE,"Plan2"}</definedName>
    <definedName name="jefsgfr" localSheetId="3" hidden="1">{#N/A,#N/A,FALSE,"Plan1";#N/A,#N/A,FALSE,"Plan2"}</definedName>
    <definedName name="jefsgfr" localSheetId="8" hidden="1">{#N/A,#N/A,FALSE,"Plan1";#N/A,#N/A,FALSE,"Plan2"}</definedName>
    <definedName name="jefsgfr" localSheetId="2" hidden="1">{#N/A,#N/A,FALSE,"Plan1";#N/A,#N/A,FALSE,"Plan2"}</definedName>
    <definedName name="jefsgfr" localSheetId="9" hidden="1">{#N/A,#N/A,FALSE,"Plan1";#N/A,#N/A,FALSE,"Plan2"}</definedName>
    <definedName name="jefsgfr" localSheetId="13" hidden="1">{#N/A,#N/A,FALSE,"Plan1";#N/A,#N/A,FALSE,"Plan2"}</definedName>
    <definedName name="jefsgfr" localSheetId="0" hidden="1">{#N/A,#N/A,FALSE,"Plan1";#N/A,#N/A,FALSE,"Plan2"}</definedName>
    <definedName name="jefsgfr" hidden="1">{#N/A,#N/A,FALSE,"Plan1";#N/A,#N/A,FALSE,"Plan2"}</definedName>
    <definedName name="JERHIEHYURE" localSheetId="3" hidden="1">{#N/A,#N/A,FALSE,"Plan1";#N/A,#N/A,FALSE,"Plan2"}</definedName>
    <definedName name="JERHIEHYURE" localSheetId="8" hidden="1">{#N/A,#N/A,FALSE,"Plan1";#N/A,#N/A,FALSE,"Plan2"}</definedName>
    <definedName name="JERHIEHYURE" localSheetId="2" hidden="1">{#N/A,#N/A,FALSE,"Plan1";#N/A,#N/A,FALSE,"Plan2"}</definedName>
    <definedName name="JERHIEHYURE" localSheetId="9" hidden="1">{#N/A,#N/A,FALSE,"Plan1";#N/A,#N/A,FALSE,"Plan2"}</definedName>
    <definedName name="JERHIEHYURE" localSheetId="13" hidden="1">{#N/A,#N/A,FALSE,"Plan1";#N/A,#N/A,FALSE,"Plan2"}</definedName>
    <definedName name="JERHIEHYURE" localSheetId="0" hidden="1">{#N/A,#N/A,FALSE,"Plan1";#N/A,#N/A,FALSE,"Plan2"}</definedName>
    <definedName name="JERHIEHYURE" hidden="1">{#N/A,#N/A,FALSE,"Plan1";#N/A,#N/A,FALSE,"Plan2"}</definedName>
    <definedName name="jfddlsrtyty" localSheetId="3" hidden="1">{#N/A,#N/A,FALSE,"Plan1";#N/A,#N/A,FALSE,"Plan2"}</definedName>
    <definedName name="jfddlsrtyty" localSheetId="8" hidden="1">{#N/A,#N/A,FALSE,"Plan1";#N/A,#N/A,FALSE,"Plan2"}</definedName>
    <definedName name="jfddlsrtyty" localSheetId="2" hidden="1">{#N/A,#N/A,FALSE,"Plan1";#N/A,#N/A,FALSE,"Plan2"}</definedName>
    <definedName name="jfddlsrtyty" localSheetId="9" hidden="1">{#N/A,#N/A,FALSE,"Plan1";#N/A,#N/A,FALSE,"Plan2"}</definedName>
    <definedName name="jfddlsrtyty" localSheetId="13" hidden="1">{#N/A,#N/A,FALSE,"Plan1";#N/A,#N/A,FALSE,"Plan2"}</definedName>
    <definedName name="jfddlsrtyty" localSheetId="0" hidden="1">{#N/A,#N/A,FALSE,"Plan1";#N/A,#N/A,FALSE,"Plan2"}</definedName>
    <definedName name="jfddlsrtyty" hidden="1">{#N/A,#N/A,FALSE,"Plan1";#N/A,#N/A,FALSE,"Plan2"}</definedName>
    <definedName name="jfdjtgdjghitfyh" localSheetId="3" hidden="1">{#N/A,#N/A,FALSE,"Plan1";#N/A,#N/A,FALSE,"Plan2"}</definedName>
    <definedName name="jfdjtgdjghitfyh" localSheetId="8" hidden="1">{#N/A,#N/A,FALSE,"Plan1";#N/A,#N/A,FALSE,"Plan2"}</definedName>
    <definedName name="jfdjtgdjghitfyh" localSheetId="2" hidden="1">{#N/A,#N/A,FALSE,"Plan1";#N/A,#N/A,FALSE,"Plan2"}</definedName>
    <definedName name="jfdjtgdjghitfyh" localSheetId="9" hidden="1">{#N/A,#N/A,FALSE,"Plan1";#N/A,#N/A,FALSE,"Plan2"}</definedName>
    <definedName name="jfdjtgdjghitfyh" localSheetId="13" hidden="1">{#N/A,#N/A,FALSE,"Plan1";#N/A,#N/A,FALSE,"Plan2"}</definedName>
    <definedName name="jfdjtgdjghitfyh" localSheetId="0" hidden="1">{#N/A,#N/A,FALSE,"Plan1";#N/A,#N/A,FALSE,"Plan2"}</definedName>
    <definedName name="jfdjtgdjghitfyh" hidden="1">{#N/A,#N/A,FALSE,"Plan1";#N/A,#N/A,FALSE,"Plan2"}</definedName>
    <definedName name="jfdkgkftftg" localSheetId="3" hidden="1">{#N/A,#N/A,FALSE,"Plan1";#N/A,#N/A,FALSE,"Plan2"}</definedName>
    <definedName name="jfdkgkftftg" localSheetId="8" hidden="1">{#N/A,#N/A,FALSE,"Plan1";#N/A,#N/A,FALSE,"Plan2"}</definedName>
    <definedName name="jfdkgkftftg" localSheetId="2" hidden="1">{#N/A,#N/A,FALSE,"Plan1";#N/A,#N/A,FALSE,"Plan2"}</definedName>
    <definedName name="jfdkgkftftg" localSheetId="9" hidden="1">{#N/A,#N/A,FALSE,"Plan1";#N/A,#N/A,FALSE,"Plan2"}</definedName>
    <definedName name="jfdkgkftftg" localSheetId="13" hidden="1">{#N/A,#N/A,FALSE,"Plan1";#N/A,#N/A,FALSE,"Plan2"}</definedName>
    <definedName name="jfdkgkftftg" localSheetId="0" hidden="1">{#N/A,#N/A,FALSE,"Plan1";#N/A,#N/A,FALSE,"Plan2"}</definedName>
    <definedName name="jfdkgkftftg" hidden="1">{#N/A,#N/A,FALSE,"Plan1";#N/A,#N/A,FALSE,"Plan2"}</definedName>
    <definedName name="jfghjkfdhtkyru"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fghjkfdhtkyru" hidden="1">{TRUE,TRUE,-1.25,-15.5,604.5,366.75,FALSE,FALSE,TRUE,TRUE,0,1,#N/A,1,#N/A,9.0125,24.4117647058824,1,FALSE,FALSE,3,TRUE,1,FALSE,100,"Swvu.PLANILHA2.","ACwvu.PLANILHA2.",#N/A,FALSE,FALSE,0.787401575,0.34,0.46,0.5,1,"","",FALSE,FALSE,FALSE,FALSE,1,#N/A,1,1,FALSE,FALSE,#N/A,#N/A,FALSE,FALSE,FALSE,9,65532,65532,FALSE,FALSE,TRUE,TRUE,TRUE}</definedName>
    <definedName name="JFGJYHTY" localSheetId="3" hidden="1">{#N/A,#N/A,FALSE,"Plan1";#N/A,#N/A,FALSE,"Plan2"}</definedName>
    <definedName name="JFGJYHTY" localSheetId="8" hidden="1">{#N/A,#N/A,FALSE,"Plan1";#N/A,#N/A,FALSE,"Plan2"}</definedName>
    <definedName name="JFGJYHTY" localSheetId="2" hidden="1">{#N/A,#N/A,FALSE,"Plan1";#N/A,#N/A,FALSE,"Plan2"}</definedName>
    <definedName name="JFGJYHTY" localSheetId="9" hidden="1">{#N/A,#N/A,FALSE,"Plan1";#N/A,#N/A,FALSE,"Plan2"}</definedName>
    <definedName name="JFGJYHTY" localSheetId="13" hidden="1">{#N/A,#N/A,FALSE,"Plan1";#N/A,#N/A,FALSE,"Plan2"}</definedName>
    <definedName name="JFGJYHTY" localSheetId="0" hidden="1">{#N/A,#N/A,FALSE,"Plan1";#N/A,#N/A,FALSE,"Plan2"}</definedName>
    <definedName name="JFGJYHTY" hidden="1">{#N/A,#N/A,FALSE,"Plan1";#N/A,#N/A,FALSE,"Plan2"}</definedName>
    <definedName name="jfgkflcnjkglc" localSheetId="3" hidden="1">{#N/A,#N/A,FALSE,"Plan1";#N/A,#N/A,FALSE,"Plan2"}</definedName>
    <definedName name="jfgkflcnjkglc" localSheetId="8" hidden="1">{#N/A,#N/A,FALSE,"Plan1";#N/A,#N/A,FALSE,"Plan2"}</definedName>
    <definedName name="jfgkflcnjkglc" localSheetId="2" hidden="1">{#N/A,#N/A,FALSE,"Plan1";#N/A,#N/A,FALSE,"Plan2"}</definedName>
    <definedName name="jfgkflcnjkglc" localSheetId="9" hidden="1">{#N/A,#N/A,FALSE,"Plan1";#N/A,#N/A,FALSE,"Plan2"}</definedName>
    <definedName name="jfgkflcnjkglc" localSheetId="13" hidden="1">{#N/A,#N/A,FALSE,"Plan1";#N/A,#N/A,FALSE,"Plan2"}</definedName>
    <definedName name="jfgkflcnjkglc" localSheetId="0" hidden="1">{#N/A,#N/A,FALSE,"Plan1";#N/A,#N/A,FALSE,"Plan2"}</definedName>
    <definedName name="jfgkflcnjkglc" hidden="1">{#N/A,#N/A,FALSE,"Plan1";#N/A,#N/A,FALSE,"Plan2"}</definedName>
    <definedName name="JFHRE" localSheetId="3" hidden="1">{#N/A,#N/A,FALSE,"Plan1";#N/A,#N/A,FALSE,"Plan2"}</definedName>
    <definedName name="JFHRE" localSheetId="8" hidden="1">{#N/A,#N/A,FALSE,"Plan1";#N/A,#N/A,FALSE,"Plan2"}</definedName>
    <definedName name="JFHRE" localSheetId="2" hidden="1">{#N/A,#N/A,FALSE,"Plan1";#N/A,#N/A,FALSE,"Plan2"}</definedName>
    <definedName name="JFHRE" localSheetId="9" hidden="1">{#N/A,#N/A,FALSE,"Plan1";#N/A,#N/A,FALSE,"Plan2"}</definedName>
    <definedName name="JFHRE" localSheetId="13" hidden="1">{#N/A,#N/A,FALSE,"Plan1";#N/A,#N/A,FALSE,"Plan2"}</definedName>
    <definedName name="JFHRE" localSheetId="0" hidden="1">{#N/A,#N/A,FALSE,"Plan1";#N/A,#N/A,FALSE,"Plan2"}</definedName>
    <definedName name="JFHRE" hidden="1">{#N/A,#N/A,FALSE,"Plan1";#N/A,#N/A,FALSE,"Plan2"}</definedName>
    <definedName name="jfkdls5jtirjd" localSheetId="3" hidden="1">{#N/A,#N/A,FALSE,"Plan1";#N/A,#N/A,FALSE,"Plan2"}</definedName>
    <definedName name="jfkdls5jtirjd" localSheetId="8" hidden="1">{#N/A,#N/A,FALSE,"Plan1";#N/A,#N/A,FALSE,"Plan2"}</definedName>
    <definedName name="jfkdls5jtirjd" localSheetId="2" hidden="1">{#N/A,#N/A,FALSE,"Plan1";#N/A,#N/A,FALSE,"Plan2"}</definedName>
    <definedName name="jfkdls5jtirjd" localSheetId="9" hidden="1">{#N/A,#N/A,FALSE,"Plan1";#N/A,#N/A,FALSE,"Plan2"}</definedName>
    <definedName name="jfkdls5jtirjd" localSheetId="13" hidden="1">{#N/A,#N/A,FALSE,"Plan1";#N/A,#N/A,FALSE,"Plan2"}</definedName>
    <definedName name="jfkdls5jtirjd" localSheetId="0" hidden="1">{#N/A,#N/A,FALSE,"Plan1";#N/A,#N/A,FALSE,"Plan2"}</definedName>
    <definedName name="jfkdls5jtirjd" hidden="1">{#N/A,#N/A,FALSE,"Plan1";#N/A,#N/A,FALSE,"Plan2"}</definedName>
    <definedName name="jfkljdkfcj" localSheetId="3" hidden="1">{#N/A,#N/A,FALSE,"Plan1";#N/A,#N/A,FALSE,"Plan2"}</definedName>
    <definedName name="jfkljdkfcj" localSheetId="8" hidden="1">{#N/A,#N/A,FALSE,"Plan1";#N/A,#N/A,FALSE,"Plan2"}</definedName>
    <definedName name="jfkljdkfcj" localSheetId="2" hidden="1">{#N/A,#N/A,FALSE,"Plan1";#N/A,#N/A,FALSE,"Plan2"}</definedName>
    <definedName name="jfkljdkfcj" localSheetId="9" hidden="1">{#N/A,#N/A,FALSE,"Plan1";#N/A,#N/A,FALSE,"Plan2"}</definedName>
    <definedName name="jfkljdkfcj" localSheetId="13" hidden="1">{#N/A,#N/A,FALSE,"Plan1";#N/A,#N/A,FALSE,"Plan2"}</definedName>
    <definedName name="jfkljdkfcj" localSheetId="0" hidden="1">{#N/A,#N/A,FALSE,"Plan1";#N/A,#N/A,FALSE,"Plan2"}</definedName>
    <definedName name="jfkljdkfcj" hidden="1">{#N/A,#N/A,FALSE,"Plan1";#N/A,#N/A,FALSE,"Plan2"}</definedName>
    <definedName name="jfkrhdtghdut" localSheetId="3" hidden="1">{#N/A,#N/A,FALSE,"Plan1";#N/A,#N/A,FALSE,"Plan2"}</definedName>
    <definedName name="jfkrhdtghdut" localSheetId="8" hidden="1">{#N/A,#N/A,FALSE,"Plan1";#N/A,#N/A,FALSE,"Plan2"}</definedName>
    <definedName name="jfkrhdtghdut" localSheetId="2" hidden="1">{#N/A,#N/A,FALSE,"Plan1";#N/A,#N/A,FALSE,"Plan2"}</definedName>
    <definedName name="jfkrhdtghdut" localSheetId="9" hidden="1">{#N/A,#N/A,FALSE,"Plan1";#N/A,#N/A,FALSE,"Plan2"}</definedName>
    <definedName name="jfkrhdtghdut" localSheetId="13" hidden="1">{#N/A,#N/A,FALSE,"Plan1";#N/A,#N/A,FALSE,"Plan2"}</definedName>
    <definedName name="jfkrhdtghdut" localSheetId="0" hidden="1">{#N/A,#N/A,FALSE,"Plan1";#N/A,#N/A,FALSE,"Plan2"}</definedName>
    <definedName name="jfkrhdtghdut" hidden="1">{#N/A,#N/A,FALSE,"Plan1";#N/A,#N/A,FALSE,"Plan2"}</definedName>
    <definedName name="JFRESR" localSheetId="3" hidden="1">{#N/A,#N/A,FALSE,"Plan1";#N/A,#N/A,FALSE,"Plan2"}</definedName>
    <definedName name="JFRESR" localSheetId="8" hidden="1">{#N/A,#N/A,FALSE,"Plan1";#N/A,#N/A,FALSE,"Plan2"}</definedName>
    <definedName name="JFRESR" localSheetId="2" hidden="1">{#N/A,#N/A,FALSE,"Plan1";#N/A,#N/A,FALSE,"Plan2"}</definedName>
    <definedName name="JFRESR" localSheetId="9" hidden="1">{#N/A,#N/A,FALSE,"Plan1";#N/A,#N/A,FALSE,"Plan2"}</definedName>
    <definedName name="JFRESR" localSheetId="13" hidden="1">{#N/A,#N/A,FALSE,"Plan1";#N/A,#N/A,FALSE,"Plan2"}</definedName>
    <definedName name="JFRESR" localSheetId="0" hidden="1">{#N/A,#N/A,FALSE,"Plan1";#N/A,#N/A,FALSE,"Plan2"}</definedName>
    <definedName name="JFRESR" hidden="1">{#N/A,#N/A,FALSE,"Plan1";#N/A,#N/A,FALSE,"Plan2"}</definedName>
    <definedName name="jgdfdgfjgdj" localSheetId="3" hidden="1">{#N/A,#N/A,FALSE,"Plan1";#N/A,#N/A,FALSE,"Plan2"}</definedName>
    <definedName name="jgdfdgfjgdj" localSheetId="8" hidden="1">{#N/A,#N/A,FALSE,"Plan1";#N/A,#N/A,FALSE,"Plan2"}</definedName>
    <definedName name="jgdfdgfjgdj" localSheetId="2" hidden="1">{#N/A,#N/A,FALSE,"Plan1";#N/A,#N/A,FALSE,"Plan2"}</definedName>
    <definedName name="jgdfdgfjgdj" localSheetId="9" hidden="1">{#N/A,#N/A,FALSE,"Plan1";#N/A,#N/A,FALSE,"Plan2"}</definedName>
    <definedName name="jgdfdgfjgdj" localSheetId="13" hidden="1">{#N/A,#N/A,FALSE,"Plan1";#N/A,#N/A,FALSE,"Plan2"}</definedName>
    <definedName name="jgdfdgfjgdj" localSheetId="0" hidden="1">{#N/A,#N/A,FALSE,"Plan1";#N/A,#N/A,FALSE,"Plan2"}</definedName>
    <definedName name="jgdfdgfjgdj" hidden="1">{#N/A,#N/A,FALSE,"Plan1";#N/A,#N/A,FALSE,"Plan2"}</definedName>
    <definedName name="jgdfght" localSheetId="3" hidden="1">{#N/A,#N/A,FALSE,"Plan1";#N/A,#N/A,FALSE,"Plan2"}</definedName>
    <definedName name="jgdfght" localSheetId="8" hidden="1">{#N/A,#N/A,FALSE,"Plan1";#N/A,#N/A,FALSE,"Plan2"}</definedName>
    <definedName name="jgdfght" localSheetId="2" hidden="1">{#N/A,#N/A,FALSE,"Plan1";#N/A,#N/A,FALSE,"Plan2"}</definedName>
    <definedName name="jgdfght" localSheetId="9" hidden="1">{#N/A,#N/A,FALSE,"Plan1";#N/A,#N/A,FALSE,"Plan2"}</definedName>
    <definedName name="jgdfght" localSheetId="13" hidden="1">{#N/A,#N/A,FALSE,"Plan1";#N/A,#N/A,FALSE,"Plan2"}</definedName>
    <definedName name="jgdfght" localSheetId="0" hidden="1">{#N/A,#N/A,FALSE,"Plan1";#N/A,#N/A,FALSE,"Plan2"}</definedName>
    <definedName name="jgdfght" hidden="1">{#N/A,#N/A,FALSE,"Plan1";#N/A,#N/A,FALSE,"Plan2"}</definedName>
    <definedName name="jgfgdsgfdhrf" localSheetId="3" hidden="1">{#N/A,#N/A,FALSE,"Plan1";#N/A,#N/A,FALSE,"Plan2"}</definedName>
    <definedName name="jgfgdsgfdhrf" localSheetId="8" hidden="1">{#N/A,#N/A,FALSE,"Plan1";#N/A,#N/A,FALSE,"Plan2"}</definedName>
    <definedName name="jgfgdsgfdhrf" localSheetId="2" hidden="1">{#N/A,#N/A,FALSE,"Plan1";#N/A,#N/A,FALSE,"Plan2"}</definedName>
    <definedName name="jgfgdsgfdhrf" localSheetId="9" hidden="1">{#N/A,#N/A,FALSE,"Plan1";#N/A,#N/A,FALSE,"Plan2"}</definedName>
    <definedName name="jgfgdsgfdhrf" localSheetId="13" hidden="1">{#N/A,#N/A,FALSE,"Plan1";#N/A,#N/A,FALSE,"Plan2"}</definedName>
    <definedName name="jgfgdsgfdhrf" localSheetId="0" hidden="1">{#N/A,#N/A,FALSE,"Plan1";#N/A,#N/A,FALSE,"Plan2"}</definedName>
    <definedName name="jgfgdsgfdhrf" hidden="1">{#N/A,#N/A,FALSE,"Plan1";#N/A,#N/A,FALSE,"Plan2"}</definedName>
    <definedName name="JGFJGTFT" localSheetId="3" hidden="1">{#N/A,#N/A,FALSE,"Plan1";#N/A,#N/A,FALSE,"Plan2"}</definedName>
    <definedName name="JGFJGTFT" localSheetId="8" hidden="1">{#N/A,#N/A,FALSE,"Plan1";#N/A,#N/A,FALSE,"Plan2"}</definedName>
    <definedName name="JGFJGTFT" localSheetId="2" hidden="1">{#N/A,#N/A,FALSE,"Plan1";#N/A,#N/A,FALSE,"Plan2"}</definedName>
    <definedName name="JGFJGTFT" localSheetId="9" hidden="1">{#N/A,#N/A,FALSE,"Plan1";#N/A,#N/A,FALSE,"Plan2"}</definedName>
    <definedName name="JGFJGTFT" localSheetId="13" hidden="1">{#N/A,#N/A,FALSE,"Plan1";#N/A,#N/A,FALSE,"Plan2"}</definedName>
    <definedName name="JGFJGTFT" localSheetId="0" hidden="1">{#N/A,#N/A,FALSE,"Plan1";#N/A,#N/A,FALSE,"Plan2"}</definedName>
    <definedName name="JGFJGTFT" hidden="1">{#N/A,#N/A,FALSE,"Plan1";#N/A,#N/A,FALSE,"Plan2"}</definedName>
    <definedName name="JGJSFJKSDGB" hidden="1">17</definedName>
    <definedName name="jgkjkhjuftgi" localSheetId="3" hidden="1">{#N/A,#N/A,FALSE,"Plan1";#N/A,#N/A,FALSE,"Plan2"}</definedName>
    <definedName name="jgkjkhjuftgi" localSheetId="8" hidden="1">{#N/A,#N/A,FALSE,"Plan1";#N/A,#N/A,FALSE,"Plan2"}</definedName>
    <definedName name="jgkjkhjuftgi" localSheetId="2" hidden="1">{#N/A,#N/A,FALSE,"Plan1";#N/A,#N/A,FALSE,"Plan2"}</definedName>
    <definedName name="jgkjkhjuftgi" localSheetId="9" hidden="1">{#N/A,#N/A,FALSE,"Plan1";#N/A,#N/A,FALSE,"Plan2"}</definedName>
    <definedName name="jgkjkhjuftgi" localSheetId="13" hidden="1">{#N/A,#N/A,FALSE,"Plan1";#N/A,#N/A,FALSE,"Plan2"}</definedName>
    <definedName name="jgkjkhjuftgi" localSheetId="0" hidden="1">{#N/A,#N/A,FALSE,"Plan1";#N/A,#N/A,FALSE,"Plan2"}</definedName>
    <definedName name="jgkjkhjuftgi" hidden="1">{#N/A,#N/A,FALSE,"Plan1";#N/A,#N/A,FALSE,"Plan2"}</definedName>
    <definedName name="jh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h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hd" hidden="1">{TRUE,TRUE,-1.25,-15.5,604.5,366.75,FALSE,FALSE,TRUE,TRUE,0,1,#N/A,1,#N/A,9.0125,24.4117647058824,1,FALSE,FALSE,3,TRUE,1,FALSE,100,"Swvu.PLANILHA2.","ACwvu.PLANILHA2.",#N/A,FALSE,FALSE,0.787401575,0.34,0.46,0.5,1,"","",FALSE,FALSE,FALSE,FALSE,1,#N/A,1,1,FALSE,FALSE,#N/A,#N/A,FALSE,FALSE,FALSE,9,65532,65532,FALSE,FALSE,TRUE,TRUE,TRUE}</definedName>
    <definedName name="jhdfjjhirft" localSheetId="3" hidden="1">{#N/A,#N/A,FALSE,"Plan1";#N/A,#N/A,FALSE,"Plan2"}</definedName>
    <definedName name="jhdfjjhirft" localSheetId="8" hidden="1">{#N/A,#N/A,FALSE,"Plan1";#N/A,#N/A,FALSE,"Plan2"}</definedName>
    <definedName name="jhdfjjhirft" localSheetId="2" hidden="1">{#N/A,#N/A,FALSE,"Plan1";#N/A,#N/A,FALSE,"Plan2"}</definedName>
    <definedName name="jhdfjjhirft" localSheetId="9" hidden="1">{#N/A,#N/A,FALSE,"Plan1";#N/A,#N/A,FALSE,"Plan2"}</definedName>
    <definedName name="jhdfjjhirft" localSheetId="13" hidden="1">{#N/A,#N/A,FALSE,"Plan1";#N/A,#N/A,FALSE,"Plan2"}</definedName>
    <definedName name="jhdfjjhirft" localSheetId="0" hidden="1">{#N/A,#N/A,FALSE,"Plan1";#N/A,#N/A,FALSE,"Plan2"}</definedName>
    <definedName name="jhdfjjhirft" hidden="1">{#N/A,#N/A,FALSE,"Plan1";#N/A,#N/A,FALSE,"Plan2"}</definedName>
    <definedName name="jhdfjkhtrdhf" localSheetId="3" hidden="1">{#N/A,#N/A,FALSE,"Plan1";#N/A,#N/A,FALSE,"Plan2"}</definedName>
    <definedName name="jhdfjkhtrdhf" localSheetId="8" hidden="1">{#N/A,#N/A,FALSE,"Plan1";#N/A,#N/A,FALSE,"Plan2"}</definedName>
    <definedName name="jhdfjkhtrdhf" localSheetId="2" hidden="1">{#N/A,#N/A,FALSE,"Plan1";#N/A,#N/A,FALSE,"Plan2"}</definedName>
    <definedName name="jhdfjkhtrdhf" localSheetId="9" hidden="1">{#N/A,#N/A,FALSE,"Plan1";#N/A,#N/A,FALSE,"Plan2"}</definedName>
    <definedName name="jhdfjkhtrdhf" localSheetId="13" hidden="1">{#N/A,#N/A,FALSE,"Plan1";#N/A,#N/A,FALSE,"Plan2"}</definedName>
    <definedName name="jhdfjkhtrdhf" localSheetId="0" hidden="1">{#N/A,#N/A,FALSE,"Plan1";#N/A,#N/A,FALSE,"Plan2"}</definedName>
    <definedName name="jhdfjkhtrdhf" hidden="1">{#N/A,#N/A,FALSE,"Plan1";#N/A,#N/A,FALSE,"Plan2"}</definedName>
    <definedName name="jhdfuthr" localSheetId="3" hidden="1">{#N/A,#N/A,FALSE,"Plan1";#N/A,#N/A,FALSE,"Plan2"}</definedName>
    <definedName name="jhdfuthr" localSheetId="8" hidden="1">{#N/A,#N/A,FALSE,"Plan1";#N/A,#N/A,FALSE,"Plan2"}</definedName>
    <definedName name="jhdfuthr" localSheetId="2" hidden="1">{#N/A,#N/A,FALSE,"Plan1";#N/A,#N/A,FALSE,"Plan2"}</definedName>
    <definedName name="jhdfuthr" localSheetId="9" hidden="1">{#N/A,#N/A,FALSE,"Plan1";#N/A,#N/A,FALSE,"Plan2"}</definedName>
    <definedName name="jhdfuthr" localSheetId="13" hidden="1">{#N/A,#N/A,FALSE,"Plan1";#N/A,#N/A,FALSE,"Plan2"}</definedName>
    <definedName name="jhdfuthr" localSheetId="0" hidden="1">{#N/A,#N/A,FALSE,"Plan1";#N/A,#N/A,FALSE,"Plan2"}</definedName>
    <definedName name="jhdfuthr" hidden="1">{#N/A,#N/A,FALSE,"Plan1";#N/A,#N/A,FALSE,"Plan2"}</definedName>
    <definedName name="JHDFZGRDHF" localSheetId="3" hidden="1">{"Econ Consolidado",#N/A,FALSE,"Econ Consol";"Fluxo de Caixa",#N/A,FALSE,"Fluxo Caixa";"Investimentos",#N/A,FALSE,"Investimentos"}</definedName>
    <definedName name="JHDFZGRDHF" localSheetId="8" hidden="1">{"Econ Consolidado",#N/A,FALSE,"Econ Consol";"Fluxo de Caixa",#N/A,FALSE,"Fluxo Caixa";"Investimentos",#N/A,FALSE,"Investimentos"}</definedName>
    <definedName name="JHDFZGRDHF" localSheetId="2" hidden="1">{"Econ Consolidado",#N/A,FALSE,"Econ Consol";"Fluxo de Caixa",#N/A,FALSE,"Fluxo Caixa";"Investimentos",#N/A,FALSE,"Investimentos"}</definedName>
    <definedName name="JHDFZGRDHF" localSheetId="9" hidden="1">{"Econ Consolidado",#N/A,FALSE,"Econ Consol";"Fluxo de Caixa",#N/A,FALSE,"Fluxo Caixa";"Investimentos",#N/A,FALSE,"Investimentos"}</definedName>
    <definedName name="JHDFZGRDHF" localSheetId="13" hidden="1">{"Econ Consolidado",#N/A,FALSE,"Econ Consol";"Fluxo de Caixa",#N/A,FALSE,"Fluxo Caixa";"Investimentos",#N/A,FALSE,"Investimentos"}</definedName>
    <definedName name="JHDFZGRDHF" localSheetId="0" hidden="1">{"Econ Consolidado",#N/A,FALSE,"Econ Consol";"Fluxo de Caixa",#N/A,FALSE,"Fluxo Caixa";"Investimentos",#N/A,FALSE,"Investimentos"}</definedName>
    <definedName name="JHDFZGRDHF" hidden="1">{"Econ Consolidado",#N/A,FALSE,"Econ Consol";"Fluxo de Caixa",#N/A,FALSE,"Fluxo Caixa";"Investimentos",#N/A,FALSE,"Investimentos"}</definedName>
    <definedName name="JHERKHKFGH" localSheetId="3" hidden="1">{#N/A,#N/A,FALSE,"Plan1";#N/A,#N/A,FALSE,"Plan2"}</definedName>
    <definedName name="JHERKHKFGH" localSheetId="8" hidden="1">{#N/A,#N/A,FALSE,"Plan1";#N/A,#N/A,FALSE,"Plan2"}</definedName>
    <definedName name="JHERKHKFGH" localSheetId="2" hidden="1">{#N/A,#N/A,FALSE,"Plan1";#N/A,#N/A,FALSE,"Plan2"}</definedName>
    <definedName name="JHERKHKFGH" localSheetId="9" hidden="1">{#N/A,#N/A,FALSE,"Plan1";#N/A,#N/A,FALSE,"Plan2"}</definedName>
    <definedName name="JHERKHKFGH" localSheetId="13" hidden="1">{#N/A,#N/A,FALSE,"Plan1";#N/A,#N/A,FALSE,"Plan2"}</definedName>
    <definedName name="JHERKHKFGH" localSheetId="0" hidden="1">{#N/A,#N/A,FALSE,"Plan1";#N/A,#N/A,FALSE,"Plan2"}</definedName>
    <definedName name="JHERKHKFGH" hidden="1">{#N/A,#N/A,FALSE,"Plan1";#N/A,#N/A,FALSE,"Plan2"}</definedName>
    <definedName name="jhfhhztfhe" localSheetId="3" hidden="1">#REF!</definedName>
    <definedName name="jhfhhztfhe" localSheetId="8" hidden="1">#REF!</definedName>
    <definedName name="jhfhhztfhe" localSheetId="2" hidden="1">#REF!</definedName>
    <definedName name="jhfhhztfhe" localSheetId="9" hidden="1">#REF!</definedName>
    <definedName name="jhfhhztfhe" localSheetId="13" hidden="1">#REF!</definedName>
    <definedName name="jhfhhztfhe" localSheetId="0" hidden="1">#REF!</definedName>
    <definedName name="jhfhhztfhe" hidden="1">#REF!</definedName>
    <definedName name="JHGKJFJFJGL" localSheetId="3" hidden="1">{#N/A,#N/A,FALSE,"Plan1";#N/A,#N/A,FALSE,"Plan2"}</definedName>
    <definedName name="JHGKJFJFJGL" localSheetId="8" hidden="1">{#N/A,#N/A,FALSE,"Plan1";#N/A,#N/A,FALSE,"Plan2"}</definedName>
    <definedName name="JHGKJFJFJGL" localSheetId="2" hidden="1">{#N/A,#N/A,FALSE,"Plan1";#N/A,#N/A,FALSE,"Plan2"}</definedName>
    <definedName name="JHGKJFJFJGL" localSheetId="9" hidden="1">{#N/A,#N/A,FALSE,"Plan1";#N/A,#N/A,FALSE,"Plan2"}</definedName>
    <definedName name="JHGKJFJFJGL" localSheetId="13" hidden="1">{#N/A,#N/A,FALSE,"Plan1";#N/A,#N/A,FALSE,"Plan2"}</definedName>
    <definedName name="JHGKJFJFJGL" localSheetId="0" hidden="1">{#N/A,#N/A,FALSE,"Plan1";#N/A,#N/A,FALSE,"Plan2"}</definedName>
    <definedName name="JHGKJFJFJGL" hidden="1">{#N/A,#N/A,FALSE,"Plan1";#N/A,#N/A,FALSE,"Plan2"}</definedName>
    <definedName name="jhsdjkhfuks" localSheetId="3" hidden="1">{#N/A,#N/A,FALSE,"Plan1";#N/A,#N/A,FALSE,"Plan2"}</definedName>
    <definedName name="jhsdjkhfuks" localSheetId="8" hidden="1">{#N/A,#N/A,FALSE,"Plan1";#N/A,#N/A,FALSE,"Plan2"}</definedName>
    <definedName name="jhsdjkhfuks" localSheetId="2" hidden="1">{#N/A,#N/A,FALSE,"Plan1";#N/A,#N/A,FALSE,"Plan2"}</definedName>
    <definedName name="jhsdjkhfuks" localSheetId="9" hidden="1">{#N/A,#N/A,FALSE,"Plan1";#N/A,#N/A,FALSE,"Plan2"}</definedName>
    <definedName name="jhsdjkhfuks" localSheetId="13" hidden="1">{#N/A,#N/A,FALSE,"Plan1";#N/A,#N/A,FALSE,"Plan2"}</definedName>
    <definedName name="jhsdjkhfuks" localSheetId="0" hidden="1">{#N/A,#N/A,FALSE,"Plan1";#N/A,#N/A,FALSE,"Plan2"}</definedName>
    <definedName name="jhsdjkhfuks" hidden="1">{#N/A,#N/A,FALSE,"Plan1";#N/A,#N/A,FALSE,"Plan2"}</definedName>
    <definedName name="jisdrkje" localSheetId="3" hidden="1">{#N/A,#N/A,FALSE,"Plan1";#N/A,#N/A,FALSE,"Plan2"}</definedName>
    <definedName name="jisdrkje" localSheetId="8" hidden="1">{#N/A,#N/A,FALSE,"Plan1";#N/A,#N/A,FALSE,"Plan2"}</definedName>
    <definedName name="jisdrkje" localSheetId="2" hidden="1">{#N/A,#N/A,FALSE,"Plan1";#N/A,#N/A,FALSE,"Plan2"}</definedName>
    <definedName name="jisdrkje" localSheetId="9" hidden="1">{#N/A,#N/A,FALSE,"Plan1";#N/A,#N/A,FALSE,"Plan2"}</definedName>
    <definedName name="jisdrkje" localSheetId="13" hidden="1">{#N/A,#N/A,FALSE,"Plan1";#N/A,#N/A,FALSE,"Plan2"}</definedName>
    <definedName name="jisdrkje" localSheetId="0" hidden="1">{#N/A,#N/A,FALSE,"Plan1";#N/A,#N/A,FALSE,"Plan2"}</definedName>
    <definedName name="jisdrkje" hidden="1">{#N/A,#N/A,FALSE,"Plan1";#N/A,#N/A,FALSE,"Plan2"}</definedName>
    <definedName name="jishfrieyhtau" localSheetId="3" hidden="1">{#N/A,#N/A,FALSE,"Plan1";#N/A,#N/A,FALSE,"Plan2"}</definedName>
    <definedName name="jishfrieyhtau" localSheetId="8" hidden="1">{#N/A,#N/A,FALSE,"Plan1";#N/A,#N/A,FALSE,"Plan2"}</definedName>
    <definedName name="jishfrieyhtau" localSheetId="2" hidden="1">{#N/A,#N/A,FALSE,"Plan1";#N/A,#N/A,FALSE,"Plan2"}</definedName>
    <definedName name="jishfrieyhtau" localSheetId="9" hidden="1">{#N/A,#N/A,FALSE,"Plan1";#N/A,#N/A,FALSE,"Plan2"}</definedName>
    <definedName name="jishfrieyhtau" localSheetId="13" hidden="1">{#N/A,#N/A,FALSE,"Plan1";#N/A,#N/A,FALSE,"Plan2"}</definedName>
    <definedName name="jishfrieyhtau" localSheetId="0" hidden="1">{#N/A,#N/A,FALSE,"Plan1";#N/A,#N/A,FALSE,"Plan2"}</definedName>
    <definedName name="jishfrieyhtau" hidden="1">{#N/A,#N/A,FALSE,"Plan1";#N/A,#N/A,FALSE,"Plan2"}</definedName>
    <definedName name="jiu"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iu"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iu" hidden="1">{TRUE,TRUE,-1.25,-15.5,604.5,366.75,FALSE,FALSE,TRUE,TRUE,0,1,#N/A,1,#N/A,9.0125,24.4117647058824,1,FALSE,FALSE,3,TRUE,1,FALSE,100,"Swvu.PLANILHA2.","ACwvu.PLANILHA2.",#N/A,FALSE,FALSE,0.787401575,0.34,0.46,0.5,1,"","",FALSE,FALSE,FALSE,FALSE,1,#N/A,1,1,FALSE,FALSE,#N/A,#N/A,FALSE,FALSE,FALSE,9,65532,65532,FALSE,FALSE,TRUE,TRUE,TRUE}</definedName>
    <definedName name="jj" localSheetId="3" hidden="1">{"'Apr-00'!$B$4:$AD$44"}</definedName>
    <definedName name="jj" localSheetId="8" hidden="1">{"'Apr-00'!$B$4:$AD$44"}</definedName>
    <definedName name="jj" localSheetId="2" hidden="1">{"'Apr-00'!$B$4:$AD$44"}</definedName>
    <definedName name="jj" localSheetId="9" hidden="1">{"'Apr-00'!$B$4:$AD$44"}</definedName>
    <definedName name="jj" localSheetId="13" hidden="1">{"'Apr-00'!$B$4:$AD$44"}</definedName>
    <definedName name="jj" localSheetId="0" hidden="1">{"'Apr-00'!$B$4:$AD$44"}</definedName>
    <definedName name="jj" hidden="1">{"'Apr-00'!$B$4:$AD$44"}</definedName>
    <definedName name="jjfdsktyhhy" localSheetId="3" hidden="1">{#N/A,#N/A,FALSE,"Plan1";#N/A,#N/A,FALSE,"Plan2"}</definedName>
    <definedName name="jjfdsktyhhy" localSheetId="8" hidden="1">{#N/A,#N/A,FALSE,"Plan1";#N/A,#N/A,FALSE,"Plan2"}</definedName>
    <definedName name="jjfdsktyhhy" localSheetId="2" hidden="1">{#N/A,#N/A,FALSE,"Plan1";#N/A,#N/A,FALSE,"Plan2"}</definedName>
    <definedName name="jjfdsktyhhy" localSheetId="9" hidden="1">{#N/A,#N/A,FALSE,"Plan1";#N/A,#N/A,FALSE,"Plan2"}</definedName>
    <definedName name="jjfdsktyhhy" localSheetId="13" hidden="1">{#N/A,#N/A,FALSE,"Plan1";#N/A,#N/A,FALSE,"Plan2"}</definedName>
    <definedName name="jjfdsktyhhy" localSheetId="0" hidden="1">{#N/A,#N/A,FALSE,"Plan1";#N/A,#N/A,FALSE,"Plan2"}</definedName>
    <definedName name="jjfdsktyhhy" hidden="1">{#N/A,#N/A,FALSE,"Plan1";#N/A,#N/A,FALSE,"Plan2"}</definedName>
    <definedName name="jjjjjjjjjjjjjjjjjjjj" localSheetId="3">#REF!</definedName>
    <definedName name="jjjjjjjjjjjjjjjjjjjj" localSheetId="2">#REF!</definedName>
    <definedName name="jjjjjjjjjjjjjjjjjjjj">#REF!</definedName>
    <definedName name="jjkjkjk" localSheetId="3" hidden="1">{#N/A,#N/A,FALSE,"Plan1";#N/A,#N/A,FALSE,"Plan2"}</definedName>
    <definedName name="jjkjkjk" localSheetId="8" hidden="1">{#N/A,#N/A,FALSE,"Plan1";#N/A,#N/A,FALSE,"Plan2"}</definedName>
    <definedName name="jjkjkjk" localSheetId="2" hidden="1">{#N/A,#N/A,FALSE,"Plan1";#N/A,#N/A,FALSE,"Plan2"}</definedName>
    <definedName name="jjkjkjk" localSheetId="9" hidden="1">{#N/A,#N/A,FALSE,"Plan1";#N/A,#N/A,FALSE,"Plan2"}</definedName>
    <definedName name="jjkjkjk" localSheetId="13" hidden="1">{#N/A,#N/A,FALSE,"Plan1";#N/A,#N/A,FALSE,"Plan2"}</definedName>
    <definedName name="jjkjkjk" localSheetId="0" hidden="1">{#N/A,#N/A,FALSE,"Plan1";#N/A,#N/A,FALSE,"Plan2"}</definedName>
    <definedName name="jjkjkjk" hidden="1">{#N/A,#N/A,FALSE,"Plan1";#N/A,#N/A,FALSE,"Plan2"}</definedName>
    <definedName name="JKDCK" localSheetId="3" hidden="1">{#N/A,#N/A,FALSE,"Plan1";#N/A,#N/A,FALSE,"Plan2"}</definedName>
    <definedName name="JKDCK" localSheetId="8" hidden="1">{#N/A,#N/A,FALSE,"Plan1";#N/A,#N/A,FALSE,"Plan2"}</definedName>
    <definedName name="JKDCK" localSheetId="2" hidden="1">{#N/A,#N/A,FALSE,"Plan1";#N/A,#N/A,FALSE,"Plan2"}</definedName>
    <definedName name="JKDCK" localSheetId="9" hidden="1">{#N/A,#N/A,FALSE,"Plan1";#N/A,#N/A,FALSE,"Plan2"}</definedName>
    <definedName name="JKDCK" localSheetId="13" hidden="1">{#N/A,#N/A,FALSE,"Plan1";#N/A,#N/A,FALSE,"Plan2"}</definedName>
    <definedName name="JKDCK" localSheetId="0" hidden="1">{#N/A,#N/A,FALSE,"Plan1";#N/A,#N/A,FALSE,"Plan2"}</definedName>
    <definedName name="JKDCK" hidden="1">{#N/A,#N/A,FALSE,"Plan1";#N/A,#N/A,FALSE,"Plan2"}</definedName>
    <definedName name="JKDFHKHFR" localSheetId="3" hidden="1">{#N/A,#N/A,FALSE,"Plan1";#N/A,#N/A,FALSE,"Plan2"}</definedName>
    <definedName name="JKDFHKHFR" localSheetId="8" hidden="1">{#N/A,#N/A,FALSE,"Plan1";#N/A,#N/A,FALSE,"Plan2"}</definedName>
    <definedName name="JKDFHKHFR" localSheetId="2" hidden="1">{#N/A,#N/A,FALSE,"Plan1";#N/A,#N/A,FALSE,"Plan2"}</definedName>
    <definedName name="JKDFHKHFR" localSheetId="9" hidden="1">{#N/A,#N/A,FALSE,"Plan1";#N/A,#N/A,FALSE,"Plan2"}</definedName>
    <definedName name="JKDFHKHFR" localSheetId="13" hidden="1">{#N/A,#N/A,FALSE,"Plan1";#N/A,#N/A,FALSE,"Plan2"}</definedName>
    <definedName name="JKDFHKHFR" localSheetId="0" hidden="1">{#N/A,#N/A,FALSE,"Plan1";#N/A,#N/A,FALSE,"Plan2"}</definedName>
    <definedName name="JKDFHKHFR" hidden="1">{#N/A,#N/A,FALSE,"Plan1";#N/A,#N/A,FALSE,"Plan2"}</definedName>
    <definedName name="JKDFTRDRJ" localSheetId="3" hidden="1">{#N/A,#N/A,FALSE,"Plan1";#N/A,#N/A,FALSE,"Plan2"}</definedName>
    <definedName name="JKDFTRDRJ" localSheetId="8" hidden="1">{#N/A,#N/A,FALSE,"Plan1";#N/A,#N/A,FALSE,"Plan2"}</definedName>
    <definedName name="JKDFTRDRJ" localSheetId="2" hidden="1">{#N/A,#N/A,FALSE,"Plan1";#N/A,#N/A,FALSE,"Plan2"}</definedName>
    <definedName name="JKDFTRDRJ" localSheetId="9" hidden="1">{#N/A,#N/A,FALSE,"Plan1";#N/A,#N/A,FALSE,"Plan2"}</definedName>
    <definedName name="JKDFTRDRJ" localSheetId="13" hidden="1">{#N/A,#N/A,FALSE,"Plan1";#N/A,#N/A,FALSE,"Plan2"}</definedName>
    <definedName name="JKDFTRDRJ" localSheetId="0" hidden="1">{#N/A,#N/A,FALSE,"Plan1";#N/A,#N/A,FALSE,"Plan2"}</definedName>
    <definedName name="JKDFTRDRJ" hidden="1">{#N/A,#N/A,FALSE,"Plan1";#N/A,#N/A,FALSE,"Plan2"}</definedName>
    <definedName name="jkdhfukhddf" localSheetId="3" hidden="1">{#N/A,#N/A,FALSE,"Plan1";#N/A,#N/A,FALSE,"Plan2"}</definedName>
    <definedName name="jkdhfukhddf" localSheetId="8" hidden="1">{#N/A,#N/A,FALSE,"Plan1";#N/A,#N/A,FALSE,"Plan2"}</definedName>
    <definedName name="jkdhfukhddf" localSheetId="2" hidden="1">{#N/A,#N/A,FALSE,"Plan1";#N/A,#N/A,FALSE,"Plan2"}</definedName>
    <definedName name="jkdhfukhddf" localSheetId="9" hidden="1">{#N/A,#N/A,FALSE,"Plan1";#N/A,#N/A,FALSE,"Plan2"}</definedName>
    <definedName name="jkdhfukhddf" localSheetId="13" hidden="1">{#N/A,#N/A,FALSE,"Plan1";#N/A,#N/A,FALSE,"Plan2"}</definedName>
    <definedName name="jkdhfukhddf" localSheetId="0" hidden="1">{#N/A,#N/A,FALSE,"Plan1";#N/A,#N/A,FALSE,"Plan2"}</definedName>
    <definedName name="jkdhfukhddf" hidden="1">{#N/A,#N/A,FALSE,"Plan1";#N/A,#N/A,FALSE,"Plan2"}</definedName>
    <definedName name="JKDRKGJHTDR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DRKGJHTDRF" hidden="1">{TRUE,TRUE,-1.25,-15.5,604.5,366.75,FALSE,FALSE,TRUE,TRUE,0,1,#N/A,1,#N/A,9.0125,24.4117647058824,1,FALSE,FALSE,3,TRUE,1,FALSE,100,"Swvu.PLANILHA2.","ACwvu.PLANILHA2.",#N/A,FALSE,FALSE,0.787401575,0.34,0.46,0.5,1,"","",FALSE,FALSE,FALSE,FALSE,1,#N/A,1,1,FALSE,FALSE,#N/A,#N/A,FALSE,FALSE,FALSE,9,65532,65532,FALSE,FALSE,TRUE,TRUE,TRUE}</definedName>
    <definedName name="jkelsjreja" localSheetId="3" hidden="1">{#N/A,#N/A,FALSE,"Plan1";#N/A,#N/A,FALSE,"Plan2"}</definedName>
    <definedName name="jkelsjreja" localSheetId="8" hidden="1">{#N/A,#N/A,FALSE,"Plan1";#N/A,#N/A,FALSE,"Plan2"}</definedName>
    <definedName name="jkelsjreja" localSheetId="2" hidden="1">{#N/A,#N/A,FALSE,"Plan1";#N/A,#N/A,FALSE,"Plan2"}</definedName>
    <definedName name="jkelsjreja" localSheetId="9" hidden="1">{#N/A,#N/A,FALSE,"Plan1";#N/A,#N/A,FALSE,"Plan2"}</definedName>
    <definedName name="jkelsjreja" localSheetId="13" hidden="1">{#N/A,#N/A,FALSE,"Plan1";#N/A,#N/A,FALSE,"Plan2"}</definedName>
    <definedName name="jkelsjreja" localSheetId="0" hidden="1">{#N/A,#N/A,FALSE,"Plan1";#N/A,#N/A,FALSE,"Plan2"}</definedName>
    <definedName name="jkelsjreja" hidden="1">{#N/A,#N/A,FALSE,"Plan1";#N/A,#N/A,FALSE,"Plan2"}</definedName>
    <definedName name="jkfhjgkfhghh" localSheetId="3" hidden="1">{#N/A,#N/A,FALSE,"Plan1";#N/A,#N/A,FALSE,"Plan2"}</definedName>
    <definedName name="jkfhjgkfhghh" localSheetId="8" hidden="1">{#N/A,#N/A,FALSE,"Plan1";#N/A,#N/A,FALSE,"Plan2"}</definedName>
    <definedName name="jkfhjgkfhghh" localSheetId="2" hidden="1">{#N/A,#N/A,FALSE,"Plan1";#N/A,#N/A,FALSE,"Plan2"}</definedName>
    <definedName name="jkfhjgkfhghh" localSheetId="9" hidden="1">{#N/A,#N/A,FALSE,"Plan1";#N/A,#N/A,FALSE,"Plan2"}</definedName>
    <definedName name="jkfhjgkfhghh" localSheetId="13" hidden="1">{#N/A,#N/A,FALSE,"Plan1";#N/A,#N/A,FALSE,"Plan2"}</definedName>
    <definedName name="jkfhjgkfhghh" localSheetId="0" hidden="1">{#N/A,#N/A,FALSE,"Plan1";#N/A,#N/A,FALSE,"Plan2"}</definedName>
    <definedName name="jkfhjgkfhghh" hidden="1">{#N/A,#N/A,FALSE,"Plan1";#N/A,#N/A,FALSE,"Plan2"}</definedName>
    <definedName name="jkhderjkhes" localSheetId="3" hidden="1">{#N/A,#N/A,FALSE,"Plan1";#N/A,#N/A,FALSE,"Plan2"}</definedName>
    <definedName name="jkhderjkhes" localSheetId="8" hidden="1">{#N/A,#N/A,FALSE,"Plan1";#N/A,#N/A,FALSE,"Plan2"}</definedName>
    <definedName name="jkhderjkhes" localSheetId="2" hidden="1">{#N/A,#N/A,FALSE,"Plan1";#N/A,#N/A,FALSE,"Plan2"}</definedName>
    <definedName name="jkhderjkhes" localSheetId="9" hidden="1">{#N/A,#N/A,FALSE,"Plan1";#N/A,#N/A,FALSE,"Plan2"}</definedName>
    <definedName name="jkhderjkhes" localSheetId="13" hidden="1">{#N/A,#N/A,FALSE,"Plan1";#N/A,#N/A,FALSE,"Plan2"}</definedName>
    <definedName name="jkhderjkhes" localSheetId="0" hidden="1">{#N/A,#N/A,FALSE,"Plan1";#N/A,#N/A,FALSE,"Plan2"}</definedName>
    <definedName name="jkhderjkhes" hidden="1">{#N/A,#N/A,FALSE,"Plan1";#N/A,#N/A,FALSE,"Plan2"}</definedName>
    <definedName name="jkhdfhfd" localSheetId="3" hidden="1">{#N/A,#N/A,FALSE,"Plan1";#N/A,#N/A,FALSE,"Plan2"}</definedName>
    <definedName name="jkhdfhfd" localSheetId="8" hidden="1">{#N/A,#N/A,FALSE,"Plan1";#N/A,#N/A,FALSE,"Plan2"}</definedName>
    <definedName name="jkhdfhfd" localSheetId="2" hidden="1">{#N/A,#N/A,FALSE,"Plan1";#N/A,#N/A,FALSE,"Plan2"}</definedName>
    <definedName name="jkhdfhfd" localSheetId="9" hidden="1">{#N/A,#N/A,FALSE,"Plan1";#N/A,#N/A,FALSE,"Plan2"}</definedName>
    <definedName name="jkhdfhfd" localSheetId="13" hidden="1">{#N/A,#N/A,FALSE,"Plan1";#N/A,#N/A,FALSE,"Plan2"}</definedName>
    <definedName name="jkhdfhfd" localSheetId="0" hidden="1">{#N/A,#N/A,FALSE,"Plan1";#N/A,#N/A,FALSE,"Plan2"}</definedName>
    <definedName name="jkhdfhfd" hidden="1">{#N/A,#N/A,FALSE,"Plan1";#N/A,#N/A,FALSE,"Plan2"}</definedName>
    <definedName name="jkhfhest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khfhestr" hidden="1">{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 localSheetId="3" hidden="1">{#N/A,#N/A,FALSE,"Plan1";#N/A,#N/A,FALSE,"Plan2"}</definedName>
    <definedName name="JKHFKJHGKFTHUDET" localSheetId="8" hidden="1">{#N/A,#N/A,FALSE,"Plan1";#N/A,#N/A,FALSE,"Plan2"}</definedName>
    <definedName name="JKHFKJHGKFTHUDET" localSheetId="2" hidden="1">{#N/A,#N/A,FALSE,"Plan1";#N/A,#N/A,FALSE,"Plan2"}</definedName>
    <definedName name="JKHFKJHGKFTHUDET" localSheetId="9" hidden="1">{#N/A,#N/A,FALSE,"Plan1";#N/A,#N/A,FALSE,"Plan2"}</definedName>
    <definedName name="JKHFKJHGKFTHUDET" localSheetId="13" hidden="1">{#N/A,#N/A,FALSE,"Plan1";#N/A,#N/A,FALSE,"Plan2"}</definedName>
    <definedName name="JKHFKJHGKFTHUDET" localSheetId="0" hidden="1">{#N/A,#N/A,FALSE,"Plan1";#N/A,#N/A,FALSE,"Plan2"}</definedName>
    <definedName name="JKHFKJHGKFTHUDET" hidden="1">{#N/A,#N/A,FALSE,"Plan1";#N/A,#N/A,FALSE,"Plan2"}</definedName>
    <definedName name="JKHGDHFUHTG" localSheetId="3" hidden="1">{#N/A,#N/A,FALSE,"Plan1";#N/A,#N/A,FALSE,"Plan2"}</definedName>
    <definedName name="JKHGDHFUHTG" localSheetId="8" hidden="1">{#N/A,#N/A,FALSE,"Plan1";#N/A,#N/A,FALSE,"Plan2"}</definedName>
    <definedName name="JKHGDHFUHTG" localSheetId="2" hidden="1">{#N/A,#N/A,FALSE,"Plan1";#N/A,#N/A,FALSE,"Plan2"}</definedName>
    <definedName name="JKHGDHFUHTG" localSheetId="9" hidden="1">{#N/A,#N/A,FALSE,"Plan1";#N/A,#N/A,FALSE,"Plan2"}</definedName>
    <definedName name="JKHGDHFUHTG" localSheetId="13" hidden="1">{#N/A,#N/A,FALSE,"Plan1";#N/A,#N/A,FALSE,"Plan2"}</definedName>
    <definedName name="JKHGDHFUHTG" localSheetId="0" hidden="1">{#N/A,#N/A,FALSE,"Plan1";#N/A,#N/A,FALSE,"Plan2"}</definedName>
    <definedName name="JKHGDHFUHTG" hidden="1">{#N/A,#N/A,FALSE,"Plan1";#N/A,#N/A,FALSE,"Plan2"}</definedName>
    <definedName name="jkhsdzjkfyiu" localSheetId="3" hidden="1">{#N/A,#N/A,FALSE,"Plan1";#N/A,#N/A,FALSE,"Plan2"}</definedName>
    <definedName name="jkhsdzjkfyiu" localSheetId="8" hidden="1">{#N/A,#N/A,FALSE,"Plan1";#N/A,#N/A,FALSE,"Plan2"}</definedName>
    <definedName name="jkhsdzjkfyiu" localSheetId="2" hidden="1">{#N/A,#N/A,FALSE,"Plan1";#N/A,#N/A,FALSE,"Plan2"}</definedName>
    <definedName name="jkhsdzjkfyiu" localSheetId="9" hidden="1">{#N/A,#N/A,FALSE,"Plan1";#N/A,#N/A,FALSE,"Plan2"}</definedName>
    <definedName name="jkhsdzjkfyiu" localSheetId="13" hidden="1">{#N/A,#N/A,FALSE,"Plan1";#N/A,#N/A,FALSE,"Plan2"}</definedName>
    <definedName name="jkhsdzjkfyiu" localSheetId="0" hidden="1">{#N/A,#N/A,FALSE,"Plan1";#N/A,#N/A,FALSE,"Plan2"}</definedName>
    <definedName name="jkhsdzjkfyiu" hidden="1">{#N/A,#N/A,FALSE,"Plan1";#N/A,#N/A,FALSE,"Plan2"}</definedName>
    <definedName name="jkjsdkhfdhrf" localSheetId="3" hidden="1">{#N/A,#N/A,FALSE,"Plan1";#N/A,#N/A,FALSE,"Plan2"}</definedName>
    <definedName name="jkjsdkhfdhrf" localSheetId="8" hidden="1">{#N/A,#N/A,FALSE,"Plan1";#N/A,#N/A,FALSE,"Plan2"}</definedName>
    <definedName name="jkjsdkhfdhrf" localSheetId="2" hidden="1">{#N/A,#N/A,FALSE,"Plan1";#N/A,#N/A,FALSE,"Plan2"}</definedName>
    <definedName name="jkjsdkhfdhrf" localSheetId="9" hidden="1">{#N/A,#N/A,FALSE,"Plan1";#N/A,#N/A,FALSE,"Plan2"}</definedName>
    <definedName name="jkjsdkhfdhrf" localSheetId="13" hidden="1">{#N/A,#N/A,FALSE,"Plan1";#N/A,#N/A,FALSE,"Plan2"}</definedName>
    <definedName name="jkjsdkhfdhrf" localSheetId="0" hidden="1">{#N/A,#N/A,FALSE,"Plan1";#N/A,#N/A,FALSE,"Plan2"}</definedName>
    <definedName name="jkjsdkhfdhrf" hidden="1">{#N/A,#N/A,FALSE,"Plan1";#N/A,#N/A,FALSE,"Plan2"}</definedName>
    <definedName name="jklgfsjgtjtg" localSheetId="3" hidden="1">{#N/A,#N/A,FALSE,"Plan1";#N/A,#N/A,FALSE,"Plan2"}</definedName>
    <definedName name="jklgfsjgtjtg" localSheetId="8" hidden="1">{#N/A,#N/A,FALSE,"Plan1";#N/A,#N/A,FALSE,"Plan2"}</definedName>
    <definedName name="jklgfsjgtjtg" localSheetId="2" hidden="1">{#N/A,#N/A,FALSE,"Plan1";#N/A,#N/A,FALSE,"Plan2"}</definedName>
    <definedName name="jklgfsjgtjtg" localSheetId="9" hidden="1">{#N/A,#N/A,FALSE,"Plan1";#N/A,#N/A,FALSE,"Plan2"}</definedName>
    <definedName name="jklgfsjgtjtg" localSheetId="13" hidden="1">{#N/A,#N/A,FALSE,"Plan1";#N/A,#N/A,FALSE,"Plan2"}</definedName>
    <definedName name="jklgfsjgtjtg" localSheetId="0" hidden="1">{#N/A,#N/A,FALSE,"Plan1";#N/A,#N/A,FALSE,"Plan2"}</definedName>
    <definedName name="jklgfsjgtjtg" hidden="1">{#N/A,#N/A,FALSE,"Plan1";#N/A,#N/A,FALSE,"Plan2"}</definedName>
    <definedName name="jksldfjsdhf" localSheetId="3" hidden="1">{#N/A,#N/A,FALSE,"Plan1";#N/A,#N/A,FALSE,"Plan2"}</definedName>
    <definedName name="jksldfjsdhf" localSheetId="8" hidden="1">{#N/A,#N/A,FALSE,"Plan1";#N/A,#N/A,FALSE,"Plan2"}</definedName>
    <definedName name="jksldfjsdhf" localSheetId="2" hidden="1">{#N/A,#N/A,FALSE,"Plan1";#N/A,#N/A,FALSE,"Plan2"}</definedName>
    <definedName name="jksldfjsdhf" localSheetId="9" hidden="1">{#N/A,#N/A,FALSE,"Plan1";#N/A,#N/A,FALSE,"Plan2"}</definedName>
    <definedName name="jksldfjsdhf" localSheetId="13" hidden="1">{#N/A,#N/A,FALSE,"Plan1";#N/A,#N/A,FALSE,"Plan2"}</definedName>
    <definedName name="jksldfjsdhf" localSheetId="0" hidden="1">{#N/A,#N/A,FALSE,"Plan1";#N/A,#N/A,FALSE,"Plan2"}</definedName>
    <definedName name="jksldfjsdhf" hidden="1">{#N/A,#N/A,FALSE,"Plan1";#N/A,#N/A,FALSE,"Plan2"}</definedName>
    <definedName name="jkxhcjkhfr" localSheetId="3" hidden="1">{#N/A,#N/A,FALSE,"Plan1";#N/A,#N/A,FALSE,"Plan2"}</definedName>
    <definedName name="jkxhcjkhfr" localSheetId="8" hidden="1">{#N/A,#N/A,FALSE,"Plan1";#N/A,#N/A,FALSE,"Plan2"}</definedName>
    <definedName name="jkxhcjkhfr" localSheetId="2" hidden="1">{#N/A,#N/A,FALSE,"Plan1";#N/A,#N/A,FALSE,"Plan2"}</definedName>
    <definedName name="jkxhcjkhfr" localSheetId="9" hidden="1">{#N/A,#N/A,FALSE,"Plan1";#N/A,#N/A,FALSE,"Plan2"}</definedName>
    <definedName name="jkxhcjkhfr" localSheetId="13" hidden="1">{#N/A,#N/A,FALSE,"Plan1";#N/A,#N/A,FALSE,"Plan2"}</definedName>
    <definedName name="jkxhcjkhfr" localSheetId="0" hidden="1">{#N/A,#N/A,FALSE,"Plan1";#N/A,#N/A,FALSE,"Plan2"}</definedName>
    <definedName name="jkxhcjkhfr" hidden="1">{#N/A,#N/A,FALSE,"Plan1";#N/A,#N/A,FALSE,"Plan2"}</definedName>
    <definedName name="JNGCKFKJFGH" localSheetId="3" hidden="1">{#N/A,#N/A,FALSE,"Plan1";#N/A,#N/A,FALSE,"Plan2"}</definedName>
    <definedName name="JNGCKFKJFGH" localSheetId="8" hidden="1">{#N/A,#N/A,FALSE,"Plan1";#N/A,#N/A,FALSE,"Plan2"}</definedName>
    <definedName name="JNGCKFKJFGH" localSheetId="2" hidden="1">{#N/A,#N/A,FALSE,"Plan1";#N/A,#N/A,FALSE,"Plan2"}</definedName>
    <definedName name="JNGCKFKJFGH" localSheetId="9" hidden="1">{#N/A,#N/A,FALSE,"Plan1";#N/A,#N/A,FALSE,"Plan2"}</definedName>
    <definedName name="JNGCKFKJFGH" localSheetId="13" hidden="1">{#N/A,#N/A,FALSE,"Plan1";#N/A,#N/A,FALSE,"Plan2"}</definedName>
    <definedName name="JNGCKFKJFGH" localSheetId="0" hidden="1">{#N/A,#N/A,FALSE,"Plan1";#N/A,#N/A,FALSE,"Plan2"}</definedName>
    <definedName name="JNGCKFKJFGH" hidden="1">{#N/A,#N/A,FALSE,"Plan1";#N/A,#N/A,FALSE,"Plan2"}</definedName>
    <definedName name="JOALDO" localSheetId="3">#REF!</definedName>
    <definedName name="JOALDO" localSheetId="2">#REF!</definedName>
    <definedName name="JOALDO">#REF!</definedName>
    <definedName name="joao_cdi" localSheetId="3">#REF!</definedName>
    <definedName name="joao_cdi" localSheetId="2">#REF!</definedName>
    <definedName name="joao_cdi">#REF!</definedName>
    <definedName name="joao_hist" localSheetId="3">#REF!</definedName>
    <definedName name="joao_hist" localSheetId="2">#REF!</definedName>
    <definedName name="joao_hist">#REF!</definedName>
    <definedName name="joao_uss" localSheetId="2">#REF!</definedName>
    <definedName name="joao_uss">#REF!</definedName>
    <definedName name="JREJRW" localSheetId="3" hidden="1">{#N/A,#N/A,FALSE,"Plan1";#N/A,#N/A,FALSE,"Plan2"}</definedName>
    <definedName name="JREJRW" localSheetId="8" hidden="1">{#N/A,#N/A,FALSE,"Plan1";#N/A,#N/A,FALSE,"Plan2"}</definedName>
    <definedName name="JREJRW" localSheetId="2" hidden="1">{#N/A,#N/A,FALSE,"Plan1";#N/A,#N/A,FALSE,"Plan2"}</definedName>
    <definedName name="JREJRW" localSheetId="9" hidden="1">{#N/A,#N/A,FALSE,"Plan1";#N/A,#N/A,FALSE,"Plan2"}</definedName>
    <definedName name="JREJRW" localSheetId="13" hidden="1">{#N/A,#N/A,FALSE,"Plan1";#N/A,#N/A,FALSE,"Plan2"}</definedName>
    <definedName name="JREJRW" localSheetId="0" hidden="1">{#N/A,#N/A,FALSE,"Plan1";#N/A,#N/A,FALSE,"Plan2"}</definedName>
    <definedName name="JREJRW" hidden="1">{#N/A,#N/A,FALSE,"Plan1";#N/A,#N/A,FALSE,"Plan2"}</definedName>
    <definedName name="JSADKAH" localSheetId="3" hidden="1">{"Econ Consolidado",#N/A,FALSE,"Econ Consol";"Fluxo de Caixa",#N/A,FALSE,"Fluxo Caixa";"Investimentos",#N/A,FALSE,"Investimentos"}</definedName>
    <definedName name="JSADKAH" localSheetId="8" hidden="1">{"Econ Consolidado",#N/A,FALSE,"Econ Consol";"Fluxo de Caixa",#N/A,FALSE,"Fluxo Caixa";"Investimentos",#N/A,FALSE,"Investimentos"}</definedName>
    <definedName name="JSADKAH" localSheetId="2" hidden="1">{"Econ Consolidado",#N/A,FALSE,"Econ Consol";"Fluxo de Caixa",#N/A,FALSE,"Fluxo Caixa";"Investimentos",#N/A,FALSE,"Investimentos"}</definedName>
    <definedName name="JSADKAH" localSheetId="9" hidden="1">{"Econ Consolidado",#N/A,FALSE,"Econ Consol";"Fluxo de Caixa",#N/A,FALSE,"Fluxo Caixa";"Investimentos",#N/A,FALSE,"Investimentos"}</definedName>
    <definedName name="JSADKAH" localSheetId="13" hidden="1">{"Econ Consolidado",#N/A,FALSE,"Econ Consol";"Fluxo de Caixa",#N/A,FALSE,"Fluxo Caixa";"Investimentos",#N/A,FALSE,"Investimentos"}</definedName>
    <definedName name="JSADKAH" localSheetId="0" hidden="1">{"Econ Consolidado",#N/A,FALSE,"Econ Consol";"Fluxo de Caixa",#N/A,FALSE,"Fluxo Caixa";"Investimentos",#N/A,FALSE,"Investimentos"}</definedName>
    <definedName name="JSADKAH" hidden="1">{"Econ Consolidado",#N/A,FALSE,"Econ Consol";"Fluxo de Caixa",#N/A,FALSE,"Fluxo Caixa";"Investimentos",#N/A,FALSE,"Investimentos"}</definedName>
    <definedName name="JSDAJRE" localSheetId="3" hidden="1">{#N/A,#N/A,FALSE,"Plan1";#N/A,#N/A,FALSE,"Plan2"}</definedName>
    <definedName name="JSDAJRE" localSheetId="8" hidden="1">{#N/A,#N/A,FALSE,"Plan1";#N/A,#N/A,FALSE,"Plan2"}</definedName>
    <definedName name="JSDAJRE" localSheetId="2" hidden="1">{#N/A,#N/A,FALSE,"Plan1";#N/A,#N/A,FALSE,"Plan2"}</definedName>
    <definedName name="JSDAJRE" localSheetId="9" hidden="1">{#N/A,#N/A,FALSE,"Plan1";#N/A,#N/A,FALSE,"Plan2"}</definedName>
    <definedName name="JSDAJRE" localSheetId="13" hidden="1">{#N/A,#N/A,FALSE,"Plan1";#N/A,#N/A,FALSE,"Plan2"}</definedName>
    <definedName name="JSDAJRE" localSheetId="0" hidden="1">{#N/A,#N/A,FALSE,"Plan1";#N/A,#N/A,FALSE,"Plan2"}</definedName>
    <definedName name="JSDAJRE" hidden="1">{#N/A,#N/A,FALSE,"Plan1";#N/A,#N/A,FALSE,"Plan2"}</definedName>
    <definedName name="jsdffse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sdffsed" hidden="1">{TRUE,TRUE,-1.25,-15.5,604.5,366.75,FALSE,FALSE,TRUE,TRUE,0,1,#N/A,1,#N/A,9.0125,24.4117647058824,1,FALSE,FALSE,3,TRUE,1,FALSE,100,"Swvu.PLANILHA2.","ACwvu.PLANILHA2.",#N/A,FALSE,FALSE,0.787401575,0.34,0.46,0.5,1,"","",FALSE,FALSE,FALSE,FALSE,1,#N/A,1,1,FALSE,FALSE,#N/A,#N/A,FALSE,FALSE,FALSE,9,65532,65532,FALSE,FALSE,TRUE,TRUE,TRUE}</definedName>
    <definedName name="jsdfjgx" localSheetId="3" hidden="1">{#N/A,#N/A,FALSE,"Plan1";#N/A,#N/A,FALSE,"Plan2"}</definedName>
    <definedName name="jsdfjgx" localSheetId="8" hidden="1">{#N/A,#N/A,FALSE,"Plan1";#N/A,#N/A,FALSE,"Plan2"}</definedName>
    <definedName name="jsdfjgx" localSheetId="2" hidden="1">{#N/A,#N/A,FALSE,"Plan1";#N/A,#N/A,FALSE,"Plan2"}</definedName>
    <definedName name="jsdfjgx" localSheetId="9" hidden="1">{#N/A,#N/A,FALSE,"Plan1";#N/A,#N/A,FALSE,"Plan2"}</definedName>
    <definedName name="jsdfjgx" localSheetId="13" hidden="1">{#N/A,#N/A,FALSE,"Plan1";#N/A,#N/A,FALSE,"Plan2"}</definedName>
    <definedName name="jsdfjgx" localSheetId="0" hidden="1">{#N/A,#N/A,FALSE,"Plan1";#N/A,#N/A,FALSE,"Plan2"}</definedName>
    <definedName name="jsdfjgx" hidden="1">{#N/A,#N/A,FALSE,"Plan1";#N/A,#N/A,FALSE,"Plan2"}</definedName>
    <definedName name="jsdfkgnfr" localSheetId="3" hidden="1">#REF!</definedName>
    <definedName name="jsdfkgnfr" localSheetId="8" hidden="1">#REF!</definedName>
    <definedName name="jsdfkgnfr" localSheetId="2" hidden="1">#REF!</definedName>
    <definedName name="jsdfkgnfr" localSheetId="9" hidden="1">#REF!</definedName>
    <definedName name="jsdfkgnfr" localSheetId="13" hidden="1">#REF!</definedName>
    <definedName name="jsdfkgnfr" localSheetId="0" hidden="1">#REF!</definedName>
    <definedName name="jsdfkgnfr" hidden="1">#REF!</definedName>
    <definedName name="jsdfsdfd" localSheetId="3" hidden="1">{#N/A,#N/A,FALSE,"Plan1";#N/A,#N/A,FALSE,"Plan2"}</definedName>
    <definedName name="jsdfsdfd" localSheetId="8" hidden="1">{#N/A,#N/A,FALSE,"Plan1";#N/A,#N/A,FALSE,"Plan2"}</definedName>
    <definedName name="jsdfsdfd" localSheetId="2" hidden="1">{#N/A,#N/A,FALSE,"Plan1";#N/A,#N/A,FALSE,"Plan2"}</definedName>
    <definedName name="jsdfsdfd" localSheetId="9" hidden="1">{#N/A,#N/A,FALSE,"Plan1";#N/A,#N/A,FALSE,"Plan2"}</definedName>
    <definedName name="jsdfsdfd" localSheetId="13" hidden="1">{#N/A,#N/A,FALSE,"Plan1";#N/A,#N/A,FALSE,"Plan2"}</definedName>
    <definedName name="jsdfsdfd" localSheetId="0" hidden="1">{#N/A,#N/A,FALSE,"Plan1";#N/A,#N/A,FALSE,"Plan2"}</definedName>
    <definedName name="jsdfsdfd" hidden="1">{#N/A,#N/A,FALSE,"Plan1";#N/A,#N/A,FALSE,"Plan2"}</definedName>
    <definedName name="jsdljficd" localSheetId="3" hidden="1">{#N/A,#N/A,FALSE,"Plan1";#N/A,#N/A,FALSE,"Plan2"}</definedName>
    <definedName name="jsdljficd" localSheetId="8" hidden="1">{#N/A,#N/A,FALSE,"Plan1";#N/A,#N/A,FALSE,"Plan2"}</definedName>
    <definedName name="jsdljficd" localSheetId="2" hidden="1">{#N/A,#N/A,FALSE,"Plan1";#N/A,#N/A,FALSE,"Plan2"}</definedName>
    <definedName name="jsdljficd" localSheetId="9" hidden="1">{#N/A,#N/A,FALSE,"Plan1";#N/A,#N/A,FALSE,"Plan2"}</definedName>
    <definedName name="jsdljficd" localSheetId="13" hidden="1">{#N/A,#N/A,FALSE,"Plan1";#N/A,#N/A,FALSE,"Plan2"}</definedName>
    <definedName name="jsdljficd" localSheetId="0" hidden="1">{#N/A,#N/A,FALSE,"Plan1";#N/A,#N/A,FALSE,"Plan2"}</definedName>
    <definedName name="jsdljficd" hidden="1">{#N/A,#N/A,FALSE,"Plan1";#N/A,#N/A,FALSE,"Plan2"}</definedName>
    <definedName name="JSDTLFJDRG" localSheetId="3" hidden="1">{#N/A,#N/A,FALSE,"Plan1";#N/A,#N/A,FALSE,"Plan2"}</definedName>
    <definedName name="JSDTLFJDRG" localSheetId="8" hidden="1">{#N/A,#N/A,FALSE,"Plan1";#N/A,#N/A,FALSE,"Plan2"}</definedName>
    <definedName name="JSDTLFJDRG" localSheetId="2" hidden="1">{#N/A,#N/A,FALSE,"Plan1";#N/A,#N/A,FALSE,"Plan2"}</definedName>
    <definedName name="JSDTLFJDRG" localSheetId="9" hidden="1">{#N/A,#N/A,FALSE,"Plan1";#N/A,#N/A,FALSE,"Plan2"}</definedName>
    <definedName name="JSDTLFJDRG" localSheetId="13" hidden="1">{#N/A,#N/A,FALSE,"Plan1";#N/A,#N/A,FALSE,"Plan2"}</definedName>
    <definedName name="JSDTLFJDRG" localSheetId="0" hidden="1">{#N/A,#N/A,FALSE,"Plan1";#N/A,#N/A,FALSE,"Plan2"}</definedName>
    <definedName name="JSDTLFJDRG" hidden="1">{#N/A,#N/A,FALSE,"Plan1";#N/A,#N/A,FALSE,"Plan2"}</definedName>
    <definedName name="jsfjsjferwea" localSheetId="3" hidden="1">{#N/A,#N/A,FALSE,"Plan1";#N/A,#N/A,FALSE,"Plan2"}</definedName>
    <definedName name="jsfjsjferwea" localSheetId="8" hidden="1">{#N/A,#N/A,FALSE,"Plan1";#N/A,#N/A,FALSE,"Plan2"}</definedName>
    <definedName name="jsfjsjferwea" localSheetId="2" hidden="1">{#N/A,#N/A,FALSE,"Plan1";#N/A,#N/A,FALSE,"Plan2"}</definedName>
    <definedName name="jsfjsjferwea" localSheetId="9" hidden="1">{#N/A,#N/A,FALSE,"Plan1";#N/A,#N/A,FALSE,"Plan2"}</definedName>
    <definedName name="jsfjsjferwea" localSheetId="13" hidden="1">{#N/A,#N/A,FALSE,"Plan1";#N/A,#N/A,FALSE,"Plan2"}</definedName>
    <definedName name="jsfjsjferwea" localSheetId="0" hidden="1">{#N/A,#N/A,FALSE,"Plan1";#N/A,#N/A,FALSE,"Plan2"}</definedName>
    <definedName name="jsfjsjferwea" hidden="1">{#N/A,#N/A,FALSE,"Plan1";#N/A,#N/A,FALSE,"Plan2"}</definedName>
    <definedName name="jslrjer" localSheetId="3" hidden="1">{#N/A,#N/A,FALSE,"Plan1";#N/A,#N/A,FALSE,"Plan2"}</definedName>
    <definedName name="jslrjer" localSheetId="8" hidden="1">{#N/A,#N/A,FALSE,"Plan1";#N/A,#N/A,FALSE,"Plan2"}</definedName>
    <definedName name="jslrjer" localSheetId="2" hidden="1">{#N/A,#N/A,FALSE,"Plan1";#N/A,#N/A,FALSE,"Plan2"}</definedName>
    <definedName name="jslrjer" localSheetId="9" hidden="1">{#N/A,#N/A,FALSE,"Plan1";#N/A,#N/A,FALSE,"Plan2"}</definedName>
    <definedName name="jslrjer" localSheetId="13" hidden="1">{#N/A,#N/A,FALSE,"Plan1";#N/A,#N/A,FALSE,"Plan2"}</definedName>
    <definedName name="jslrjer" localSheetId="0" hidden="1">{#N/A,#N/A,FALSE,"Plan1";#N/A,#N/A,FALSE,"Plan2"}</definedName>
    <definedName name="jslrjer" hidden="1">{#N/A,#N/A,FALSE,"Plan1";#N/A,#N/A,FALSE,"Plan2"}</definedName>
    <definedName name="juklhkhdf" localSheetId="3" hidden="1">{#N/A,#N/A,FALSE,"Plan1";#N/A,#N/A,FALSE,"Plan2"}</definedName>
    <definedName name="juklhkhdf" localSheetId="8" hidden="1">{#N/A,#N/A,FALSE,"Plan1";#N/A,#N/A,FALSE,"Plan2"}</definedName>
    <definedName name="juklhkhdf" localSheetId="2" hidden="1">{#N/A,#N/A,FALSE,"Plan1";#N/A,#N/A,FALSE,"Plan2"}</definedName>
    <definedName name="juklhkhdf" localSheetId="9" hidden="1">{#N/A,#N/A,FALSE,"Plan1";#N/A,#N/A,FALSE,"Plan2"}</definedName>
    <definedName name="juklhkhdf" localSheetId="13" hidden="1">{#N/A,#N/A,FALSE,"Plan1";#N/A,#N/A,FALSE,"Plan2"}</definedName>
    <definedName name="juklhkhdf" localSheetId="0" hidden="1">{#N/A,#N/A,FALSE,"Plan1";#N/A,#N/A,FALSE,"Plan2"}</definedName>
    <definedName name="juklhkhdf" hidden="1">{#N/A,#N/A,FALSE,"Plan1";#N/A,#N/A,FALSE,"Plan2"}</definedName>
    <definedName name="jul17RJ" localSheetId="3">#REF!</definedName>
    <definedName name="jul17RJ" localSheetId="2">#REF!</definedName>
    <definedName name="jul17RJ">#REF!</definedName>
    <definedName name="JULHO" localSheetId="3">#REF!</definedName>
    <definedName name="JULHO" localSheetId="2">#REF!</definedName>
    <definedName name="JULHO">#REF!</definedName>
    <definedName name="JULHO2001" localSheetId="3">#REF!</definedName>
    <definedName name="JULHO2001" localSheetId="2">#REF!</definedName>
    <definedName name="JULHO2001">#REF!</definedName>
    <definedName name="JULHO99" localSheetId="3" hidden="1">{#N/A,#N/A,TRUE,"Quinzena 01 à 15-04-98 "}</definedName>
    <definedName name="JULHO99" localSheetId="8" hidden="1">{#N/A,#N/A,TRUE,"Quinzena 01 à 15-04-98 "}</definedName>
    <definedName name="JULHO99" localSheetId="2" hidden="1">{#N/A,#N/A,TRUE,"Quinzena 01 à 15-04-98 "}</definedName>
    <definedName name="JULHO99" localSheetId="9" hidden="1">{#N/A,#N/A,TRUE,"Quinzena 01 à 15-04-98 "}</definedName>
    <definedName name="JULHO99" localSheetId="13" hidden="1">{#N/A,#N/A,TRUE,"Quinzena 01 à 15-04-98 "}</definedName>
    <definedName name="JULHO99" localSheetId="0" hidden="1">{#N/A,#N/A,TRUE,"Quinzena 01 à 15-04-98 "}</definedName>
    <definedName name="JULHO99" hidden="1">{#N/A,#N/A,TRUE,"Quinzena 01 à 15-04-98 "}</definedName>
    <definedName name="jun17RJ" localSheetId="3">#REF!</definedName>
    <definedName name="jun17RJ" localSheetId="2">#REF!</definedName>
    <definedName name="jun17RJ">#REF!</definedName>
    <definedName name="JUNHO" localSheetId="3">#REF!</definedName>
    <definedName name="JUNHO" localSheetId="2">#REF!</definedName>
    <definedName name="JUNHO">#REF!</definedName>
    <definedName name="JUNHO2001" localSheetId="3">#REF!</definedName>
    <definedName name="JUNHO2001" localSheetId="2">#REF!</definedName>
    <definedName name="JUNHO2001">#REF!</definedName>
    <definedName name="JurosTpMes" localSheetId="2">#REF!</definedName>
    <definedName name="JurosTpMes">#REF!</definedName>
    <definedName name="jwekljd" localSheetId="3" hidden="1">{#N/A,#N/A,FALSE,"Plan1";#N/A,#N/A,FALSE,"Plan2"}</definedName>
    <definedName name="jwekljd" localSheetId="8" hidden="1">{#N/A,#N/A,FALSE,"Plan1";#N/A,#N/A,FALSE,"Plan2"}</definedName>
    <definedName name="jwekljd" localSheetId="2" hidden="1">{#N/A,#N/A,FALSE,"Plan1";#N/A,#N/A,FALSE,"Plan2"}</definedName>
    <definedName name="jwekljd" localSheetId="9" hidden="1">{#N/A,#N/A,FALSE,"Plan1";#N/A,#N/A,FALSE,"Plan2"}</definedName>
    <definedName name="jwekljd" localSheetId="13" hidden="1">{#N/A,#N/A,FALSE,"Plan1";#N/A,#N/A,FALSE,"Plan2"}</definedName>
    <definedName name="jwekljd" localSheetId="0" hidden="1">{#N/A,#N/A,FALSE,"Plan1";#N/A,#N/A,FALSE,"Plan2"}</definedName>
    <definedName name="jwekljd" hidden="1">{#N/A,#N/A,FALSE,"Plan1";#N/A,#N/A,FALSE,"Plan2"}</definedName>
    <definedName name="JWEOITORU5Y" localSheetId="3" hidden="1">{#N/A,#N/A,FALSE,"Plan1";#N/A,#N/A,FALSE,"Plan2"}</definedName>
    <definedName name="JWEOITORU5Y" localSheetId="8" hidden="1">{#N/A,#N/A,FALSE,"Plan1";#N/A,#N/A,FALSE,"Plan2"}</definedName>
    <definedName name="JWEOITORU5Y" localSheetId="2" hidden="1">{#N/A,#N/A,FALSE,"Plan1";#N/A,#N/A,FALSE,"Plan2"}</definedName>
    <definedName name="JWEOITORU5Y" localSheetId="9" hidden="1">{#N/A,#N/A,FALSE,"Plan1";#N/A,#N/A,FALSE,"Plan2"}</definedName>
    <definedName name="JWEOITORU5Y" localSheetId="13" hidden="1">{#N/A,#N/A,FALSE,"Plan1";#N/A,#N/A,FALSE,"Plan2"}</definedName>
    <definedName name="JWEOITORU5Y" localSheetId="0" hidden="1">{#N/A,#N/A,FALSE,"Plan1";#N/A,#N/A,FALSE,"Plan2"}</definedName>
    <definedName name="JWEOITORU5Y" hidden="1">{#N/A,#N/A,FALSE,"Plan1";#N/A,#N/A,FALSE,"Plan2"}</definedName>
    <definedName name="jxdfjsrf" localSheetId="3" hidden="1">{#N/A,#N/A,FALSE,"Plan1";#N/A,#N/A,FALSE,"Plan2"}</definedName>
    <definedName name="jxdfjsrf" localSheetId="8" hidden="1">{#N/A,#N/A,FALSE,"Plan1";#N/A,#N/A,FALSE,"Plan2"}</definedName>
    <definedName name="jxdfjsrf" localSheetId="2" hidden="1">{#N/A,#N/A,FALSE,"Plan1";#N/A,#N/A,FALSE,"Plan2"}</definedName>
    <definedName name="jxdfjsrf" localSheetId="9" hidden="1">{#N/A,#N/A,FALSE,"Plan1";#N/A,#N/A,FALSE,"Plan2"}</definedName>
    <definedName name="jxdfjsrf" localSheetId="13" hidden="1">{#N/A,#N/A,FALSE,"Plan1";#N/A,#N/A,FALSE,"Plan2"}</definedName>
    <definedName name="jxdfjsrf" localSheetId="0" hidden="1">{#N/A,#N/A,FALSE,"Plan1";#N/A,#N/A,FALSE,"Plan2"}</definedName>
    <definedName name="jxdfjsrf" hidden="1">{#N/A,#N/A,FALSE,"Plan1";#N/A,#N/A,FALSE,"Plan2"}</definedName>
    <definedName name="jxdklfjv"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jxdklfjv" hidden="1">{TRUE,TRUE,-1.25,-15.5,604.5,366.75,FALSE,FALSE,TRUE,TRUE,0,1,#N/A,1,#N/A,9.0125,24.4117647058824,1,FALSE,FALSE,3,TRUE,1,FALSE,100,"Swvu.PLANILHA2.","ACwvu.PLANILHA2.",#N/A,FALSE,FALSE,0.787401575,0.34,0.46,0.5,1,"","",FALSE,FALSE,FALSE,FALSE,1,#N/A,1,1,FALSE,FALSE,#N/A,#N/A,FALSE,FALSE,FALSE,9,65532,65532,FALSE,FALSE,TRUE,TRUE,TRUE}</definedName>
    <definedName name="JY" localSheetId="3" hidden="1">#REF!</definedName>
    <definedName name="JY" localSheetId="8" hidden="1">#REF!</definedName>
    <definedName name="JY" localSheetId="2" hidden="1">#REF!</definedName>
    <definedName name="JY" localSheetId="9" hidden="1">#REF!</definedName>
    <definedName name="JY" localSheetId="13" hidden="1">#REF!</definedName>
    <definedName name="JY" localSheetId="0" hidden="1">#REF!</definedName>
    <definedName name="JY" hidden="1">#REF!</definedName>
    <definedName name="jzsdjkszl" localSheetId="3" hidden="1">{#N/A,#N/A,FALSE,"Plan1";#N/A,#N/A,FALSE,"Plan2"}</definedName>
    <definedName name="jzsdjkszl" localSheetId="8" hidden="1">{#N/A,#N/A,FALSE,"Plan1";#N/A,#N/A,FALSE,"Plan2"}</definedName>
    <definedName name="jzsdjkszl" localSheetId="2" hidden="1">{#N/A,#N/A,FALSE,"Plan1";#N/A,#N/A,FALSE,"Plan2"}</definedName>
    <definedName name="jzsdjkszl" localSheetId="9" hidden="1">{#N/A,#N/A,FALSE,"Plan1";#N/A,#N/A,FALSE,"Plan2"}</definedName>
    <definedName name="jzsdjkszl" localSheetId="13" hidden="1">{#N/A,#N/A,FALSE,"Plan1";#N/A,#N/A,FALSE,"Plan2"}</definedName>
    <definedName name="jzsdjkszl" localSheetId="0" hidden="1">{#N/A,#N/A,FALSE,"Plan1";#N/A,#N/A,FALSE,"Plan2"}</definedName>
    <definedName name="jzsdjkszl" hidden="1">{#N/A,#N/A,FALSE,"Plan1";#N/A,#N/A,FALSE,"Plan2"}</definedName>
    <definedName name="JZXFKLJLDJF" localSheetId="3" hidden="1">{#N/A,#N/A,FALSE,"Plan1";#N/A,#N/A,FALSE,"Plan2"}</definedName>
    <definedName name="JZXFKLJLDJF" localSheetId="8" hidden="1">{#N/A,#N/A,FALSE,"Plan1";#N/A,#N/A,FALSE,"Plan2"}</definedName>
    <definedName name="JZXFKLJLDJF" localSheetId="2" hidden="1">{#N/A,#N/A,FALSE,"Plan1";#N/A,#N/A,FALSE,"Plan2"}</definedName>
    <definedName name="JZXFKLJLDJF" localSheetId="9" hidden="1">{#N/A,#N/A,FALSE,"Plan1";#N/A,#N/A,FALSE,"Plan2"}</definedName>
    <definedName name="JZXFKLJLDJF" localSheetId="13" hidden="1">{#N/A,#N/A,FALSE,"Plan1";#N/A,#N/A,FALSE,"Plan2"}</definedName>
    <definedName name="JZXFKLJLDJF" localSheetId="0" hidden="1">{#N/A,#N/A,FALSE,"Plan1";#N/A,#N/A,FALSE,"Plan2"}</definedName>
    <definedName name="JZXFKLJLDJF" hidden="1">{#N/A,#N/A,FALSE,"Plan1";#N/A,#N/A,FALSE,"Plan2"}</definedName>
    <definedName name="jzxklfdlvgfg" localSheetId="3" hidden="1">{#N/A,#N/A,FALSE,"Plan1";#N/A,#N/A,FALSE,"Plan2"}</definedName>
    <definedName name="jzxklfdlvgfg" localSheetId="8" hidden="1">{#N/A,#N/A,FALSE,"Plan1";#N/A,#N/A,FALSE,"Plan2"}</definedName>
    <definedName name="jzxklfdlvgfg" localSheetId="2" hidden="1">{#N/A,#N/A,FALSE,"Plan1";#N/A,#N/A,FALSE,"Plan2"}</definedName>
    <definedName name="jzxklfdlvgfg" localSheetId="9" hidden="1">{#N/A,#N/A,FALSE,"Plan1";#N/A,#N/A,FALSE,"Plan2"}</definedName>
    <definedName name="jzxklfdlvgfg" localSheetId="13" hidden="1">{#N/A,#N/A,FALSE,"Plan1";#N/A,#N/A,FALSE,"Plan2"}</definedName>
    <definedName name="jzxklfdlvgfg" localSheetId="0" hidden="1">{#N/A,#N/A,FALSE,"Plan1";#N/A,#N/A,FALSE,"Plan2"}</definedName>
    <definedName name="jzxklfdlvgfg" hidden="1">{#N/A,#N/A,FALSE,"Plan1";#N/A,#N/A,FALSE,"Plan2"}</definedName>
    <definedName name="k" localSheetId="3" hidden="1">{#N/A,#N/A,FALSE,"Plan1";#N/A,#N/A,FALSE,"Plan2"}</definedName>
    <definedName name="k" localSheetId="8" hidden="1">{#N/A,#N/A,FALSE,"Plan1";#N/A,#N/A,FALSE,"Plan2"}</definedName>
    <definedName name="k" localSheetId="2" hidden="1">{#N/A,#N/A,FALSE,"Plan1";#N/A,#N/A,FALSE,"Plan2"}</definedName>
    <definedName name="k" localSheetId="9" hidden="1">{#N/A,#N/A,FALSE,"Plan1";#N/A,#N/A,FALSE,"Plan2"}</definedName>
    <definedName name="k" localSheetId="13" hidden="1">{#N/A,#N/A,FALSE,"Plan1";#N/A,#N/A,FALSE,"Plan2"}</definedName>
    <definedName name="k" localSheetId="0" hidden="1">{#N/A,#N/A,FALSE,"Plan1";#N/A,#N/A,FALSE,"Plan2"}</definedName>
    <definedName name="k" hidden="1">{#N/A,#N/A,FALSE,"Plan1";#N/A,#N/A,FALSE,"Plan2"}</definedName>
    <definedName name="K_1" localSheetId="3">#REF!</definedName>
    <definedName name="K_1" localSheetId="2">#REF!</definedName>
    <definedName name="K_1">#REF!</definedName>
    <definedName name="kaedkroswr" localSheetId="3" hidden="1">{"Econ Consolidado",#N/A,FALSE,"Econ Consol";"Fluxo de Caixa",#N/A,FALSE,"Fluxo Caixa";"Investimentos",#N/A,FALSE,"Investimentos"}</definedName>
    <definedName name="kaedkroswr" localSheetId="8" hidden="1">{"Econ Consolidado",#N/A,FALSE,"Econ Consol";"Fluxo de Caixa",#N/A,FALSE,"Fluxo Caixa";"Investimentos",#N/A,FALSE,"Investimentos"}</definedName>
    <definedName name="kaedkroswr" localSheetId="2" hidden="1">{"Econ Consolidado",#N/A,FALSE,"Econ Consol";"Fluxo de Caixa",#N/A,FALSE,"Fluxo Caixa";"Investimentos",#N/A,FALSE,"Investimentos"}</definedName>
    <definedName name="kaedkroswr" localSheetId="9" hidden="1">{"Econ Consolidado",#N/A,FALSE,"Econ Consol";"Fluxo de Caixa",#N/A,FALSE,"Fluxo Caixa";"Investimentos",#N/A,FALSE,"Investimentos"}</definedName>
    <definedName name="kaedkroswr" localSheetId="13" hidden="1">{"Econ Consolidado",#N/A,FALSE,"Econ Consol";"Fluxo de Caixa",#N/A,FALSE,"Fluxo Caixa";"Investimentos",#N/A,FALSE,"Investimentos"}</definedName>
    <definedName name="kaedkroswr" localSheetId="0" hidden="1">{"Econ Consolidado",#N/A,FALSE,"Econ Consol";"Fluxo de Caixa",#N/A,FALSE,"Fluxo Caixa";"Investimentos",#N/A,FALSE,"Investimentos"}</definedName>
    <definedName name="kaedkroswr" hidden="1">{"Econ Consolidado",#N/A,FALSE,"Econ Consol";"Fluxo de Caixa",#N/A,FALSE,"Fluxo Caixa";"Investimentos",#N/A,FALSE,"Investimentos"}</definedName>
    <definedName name="kapa" localSheetId="3">#REF!</definedName>
    <definedName name="kapa" localSheetId="2">#REF!</definedName>
    <definedName name="kapa">#REF!</definedName>
    <definedName name="kç\lKçaksdçaqew" localSheetId="3" hidden="1">{#N/A,#N/A,FALSE,"Plan1";#N/A,#N/A,FALSE,"Plan2"}</definedName>
    <definedName name="kç\lKçaksdçaqew" localSheetId="8" hidden="1">{#N/A,#N/A,FALSE,"Plan1";#N/A,#N/A,FALSE,"Plan2"}</definedName>
    <definedName name="kç\lKçaksdçaqew" localSheetId="2" hidden="1">{#N/A,#N/A,FALSE,"Plan1";#N/A,#N/A,FALSE,"Plan2"}</definedName>
    <definedName name="kç\lKçaksdçaqew" localSheetId="9" hidden="1">{#N/A,#N/A,FALSE,"Plan1";#N/A,#N/A,FALSE,"Plan2"}</definedName>
    <definedName name="kç\lKçaksdçaqew" localSheetId="13" hidden="1">{#N/A,#N/A,FALSE,"Plan1";#N/A,#N/A,FALSE,"Plan2"}</definedName>
    <definedName name="kç\lKçaksdçaqew" localSheetId="0" hidden="1">{#N/A,#N/A,FALSE,"Plan1";#N/A,#N/A,FALSE,"Plan2"}</definedName>
    <definedName name="kç\lKçaksdçaqew" hidden="1">{#N/A,#N/A,FALSE,"Plan1";#N/A,#N/A,FALSE,"Plan2"}</definedName>
    <definedName name="kçdasekr" localSheetId="3" hidden="1">{#N/A,#N/A,FALSE,"Plan1";#N/A,#N/A,FALSE,"Plan2"}</definedName>
    <definedName name="kçdasekr" localSheetId="8" hidden="1">{#N/A,#N/A,FALSE,"Plan1";#N/A,#N/A,FALSE,"Plan2"}</definedName>
    <definedName name="kçdasekr" localSheetId="2" hidden="1">{#N/A,#N/A,FALSE,"Plan1";#N/A,#N/A,FALSE,"Plan2"}</definedName>
    <definedName name="kçdasekr" localSheetId="9" hidden="1">{#N/A,#N/A,FALSE,"Plan1";#N/A,#N/A,FALSE,"Plan2"}</definedName>
    <definedName name="kçdasekr" localSheetId="13" hidden="1">{#N/A,#N/A,FALSE,"Plan1";#N/A,#N/A,FALSE,"Plan2"}</definedName>
    <definedName name="kçdasekr" localSheetId="0" hidden="1">{#N/A,#N/A,FALSE,"Plan1";#N/A,#N/A,FALSE,"Plan2"}</definedName>
    <definedName name="kçdasekr" hidden="1">{#N/A,#N/A,FALSE,"Plan1";#N/A,#N/A,FALSE,"Plan2"}</definedName>
    <definedName name="kçfdljtredr" localSheetId="3" hidden="1">{#N/A,#N/A,FALSE,"Plan1";#N/A,#N/A,FALSE,"Plan2"}</definedName>
    <definedName name="kçfdljtredr" localSheetId="8" hidden="1">{#N/A,#N/A,FALSE,"Plan1";#N/A,#N/A,FALSE,"Plan2"}</definedName>
    <definedName name="kçfdljtredr" localSheetId="2" hidden="1">{#N/A,#N/A,FALSE,"Plan1";#N/A,#N/A,FALSE,"Plan2"}</definedName>
    <definedName name="kçfdljtredr" localSheetId="9" hidden="1">{#N/A,#N/A,FALSE,"Plan1";#N/A,#N/A,FALSE,"Plan2"}</definedName>
    <definedName name="kçfdljtredr" localSheetId="13" hidden="1">{#N/A,#N/A,FALSE,"Plan1";#N/A,#N/A,FALSE,"Plan2"}</definedName>
    <definedName name="kçfdljtredr" localSheetId="0" hidden="1">{#N/A,#N/A,FALSE,"Plan1";#N/A,#N/A,FALSE,"Plan2"}</definedName>
    <definedName name="kçfdljtredr" hidden="1">{#N/A,#N/A,FALSE,"Plan1";#N/A,#N/A,FALSE,"Plan2"}</definedName>
    <definedName name="KCIVIL" localSheetId="3">#REF!</definedName>
    <definedName name="KCIVIL" localSheetId="2">#REF!</definedName>
    <definedName name="KCIVIL">#REF!</definedName>
    <definedName name="kclçkglf" localSheetId="3" hidden="1">{#N/A,#N/A,FALSE,"Plan1";#N/A,#N/A,FALSE,"Plan2"}</definedName>
    <definedName name="kclçkglf" localSheetId="8" hidden="1">{#N/A,#N/A,FALSE,"Plan1";#N/A,#N/A,FALSE,"Plan2"}</definedName>
    <definedName name="kclçkglf" localSheetId="2" hidden="1">{#N/A,#N/A,FALSE,"Plan1";#N/A,#N/A,FALSE,"Plan2"}</definedName>
    <definedName name="kclçkglf" localSheetId="9" hidden="1">{#N/A,#N/A,FALSE,"Plan1";#N/A,#N/A,FALSE,"Plan2"}</definedName>
    <definedName name="kclçkglf" localSheetId="13" hidden="1">{#N/A,#N/A,FALSE,"Plan1";#N/A,#N/A,FALSE,"Plan2"}</definedName>
    <definedName name="kclçkglf" localSheetId="0" hidden="1">{#N/A,#N/A,FALSE,"Plan1";#N/A,#N/A,FALSE,"Plan2"}</definedName>
    <definedName name="kclçkglf" hidden="1">{#N/A,#N/A,FALSE,"Plan1";#N/A,#N/A,FALSE,"Plan2"}</definedName>
    <definedName name="kçlkasçkere" localSheetId="3" hidden="1">{#N/A,#N/A,FALSE,"Plan1";#N/A,#N/A,FALSE,"Plan2"}</definedName>
    <definedName name="kçlkasçkere" localSheetId="8" hidden="1">{#N/A,#N/A,FALSE,"Plan1";#N/A,#N/A,FALSE,"Plan2"}</definedName>
    <definedName name="kçlkasçkere" localSheetId="2" hidden="1">{#N/A,#N/A,FALSE,"Plan1";#N/A,#N/A,FALSE,"Plan2"}</definedName>
    <definedName name="kçlkasçkere" localSheetId="9" hidden="1">{#N/A,#N/A,FALSE,"Plan1";#N/A,#N/A,FALSE,"Plan2"}</definedName>
    <definedName name="kçlkasçkere" localSheetId="13" hidden="1">{#N/A,#N/A,FALSE,"Plan1";#N/A,#N/A,FALSE,"Plan2"}</definedName>
    <definedName name="kçlkasçkere" localSheetId="0" hidden="1">{#N/A,#N/A,FALSE,"Plan1";#N/A,#N/A,FALSE,"Plan2"}</definedName>
    <definedName name="kçlkasçkere" hidden="1">{#N/A,#N/A,FALSE,"Plan1";#N/A,#N/A,FALSE,"Plan2"}</definedName>
    <definedName name="kdfbngtjkbf" localSheetId="3" hidden="1">{#N/A,#N/A,FALSE,"Plan1";#N/A,#N/A,FALSE,"Plan2"}</definedName>
    <definedName name="kdfbngtjkbf" localSheetId="8" hidden="1">{#N/A,#N/A,FALSE,"Plan1";#N/A,#N/A,FALSE,"Plan2"}</definedName>
    <definedName name="kdfbngtjkbf" localSheetId="2" hidden="1">{#N/A,#N/A,FALSE,"Plan1";#N/A,#N/A,FALSE,"Plan2"}</definedName>
    <definedName name="kdfbngtjkbf" localSheetId="9" hidden="1">{#N/A,#N/A,FALSE,"Plan1";#N/A,#N/A,FALSE,"Plan2"}</definedName>
    <definedName name="kdfbngtjkbf" localSheetId="13" hidden="1">{#N/A,#N/A,FALSE,"Plan1";#N/A,#N/A,FALSE,"Plan2"}</definedName>
    <definedName name="kdfbngtjkbf" localSheetId="0" hidden="1">{#N/A,#N/A,FALSE,"Plan1";#N/A,#N/A,FALSE,"Plan2"}</definedName>
    <definedName name="kdfbngtjkbf" hidden="1">{#N/A,#N/A,FALSE,"Plan1";#N/A,#N/A,FALSE,"Plan2"}</definedName>
    <definedName name="kdfhkghkrh" localSheetId="3" hidden="1">{#N/A,#N/A,FALSE,"Plan1";#N/A,#N/A,FALSE,"Plan2"}</definedName>
    <definedName name="kdfhkghkrh" localSheetId="8" hidden="1">{#N/A,#N/A,FALSE,"Plan1";#N/A,#N/A,FALSE,"Plan2"}</definedName>
    <definedName name="kdfhkghkrh" localSheetId="2" hidden="1">{#N/A,#N/A,FALSE,"Plan1";#N/A,#N/A,FALSE,"Plan2"}</definedName>
    <definedName name="kdfhkghkrh" localSheetId="9" hidden="1">{#N/A,#N/A,FALSE,"Plan1";#N/A,#N/A,FALSE,"Plan2"}</definedName>
    <definedName name="kdfhkghkrh" localSheetId="13" hidden="1">{#N/A,#N/A,FALSE,"Plan1";#N/A,#N/A,FALSE,"Plan2"}</definedName>
    <definedName name="kdfhkghkrh" localSheetId="0" hidden="1">{#N/A,#N/A,FALSE,"Plan1";#N/A,#N/A,FALSE,"Plan2"}</definedName>
    <definedName name="kdfhkghkrh" hidden="1">{#N/A,#N/A,FALSE,"Plan1";#N/A,#N/A,FALSE,"Plan2"}</definedName>
    <definedName name="kdfier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dfierer" hidden="1">{TRUE,TRUE,-1.25,-15.5,604.5,366.75,FALSE,FALSE,TRUE,TRUE,0,1,#N/A,1,#N/A,9.0125,24.4117647058824,1,FALSE,FALSE,3,TRUE,1,FALSE,100,"Swvu.PLANILHA2.","ACwvu.PLANILHA2.",#N/A,FALSE,FALSE,0.787401575,0.34,0.46,0.5,1,"","",FALSE,FALSE,FALSE,FALSE,1,#N/A,1,1,FALSE,FALSE,#N/A,#N/A,FALSE,FALSE,FALSE,9,65532,65532,FALSE,FALSE,TRUE,TRUE,TRUE}</definedName>
    <definedName name="kdfkçrkf" localSheetId="3" hidden="1">{#N/A,#N/A,FALSE,"Plan1";#N/A,#N/A,FALSE,"Plan2"}</definedName>
    <definedName name="kdfkçrkf" localSheetId="8" hidden="1">{#N/A,#N/A,FALSE,"Plan1";#N/A,#N/A,FALSE,"Plan2"}</definedName>
    <definedName name="kdfkçrkf" localSheetId="2" hidden="1">{#N/A,#N/A,FALSE,"Plan1";#N/A,#N/A,FALSE,"Plan2"}</definedName>
    <definedName name="kdfkçrkf" localSheetId="9" hidden="1">{#N/A,#N/A,FALSE,"Plan1";#N/A,#N/A,FALSE,"Plan2"}</definedName>
    <definedName name="kdfkçrkf" localSheetId="13" hidden="1">{#N/A,#N/A,FALSE,"Plan1";#N/A,#N/A,FALSE,"Plan2"}</definedName>
    <definedName name="kdfkçrkf" localSheetId="0" hidden="1">{#N/A,#N/A,FALSE,"Plan1";#N/A,#N/A,FALSE,"Plan2"}</definedName>
    <definedName name="kdfkçrkf" hidden="1">{#N/A,#N/A,FALSE,"Plan1";#N/A,#N/A,FALSE,"Plan2"}</definedName>
    <definedName name="kdfljlfr" localSheetId="3" hidden="1">{#N/A,#N/A,FALSE,"Plan1";#N/A,#N/A,FALSE,"Plan2"}</definedName>
    <definedName name="kdfljlfr" localSheetId="8" hidden="1">{#N/A,#N/A,FALSE,"Plan1";#N/A,#N/A,FALSE,"Plan2"}</definedName>
    <definedName name="kdfljlfr" localSheetId="2" hidden="1">{#N/A,#N/A,FALSE,"Plan1";#N/A,#N/A,FALSE,"Plan2"}</definedName>
    <definedName name="kdfljlfr" localSheetId="9" hidden="1">{#N/A,#N/A,FALSE,"Plan1";#N/A,#N/A,FALSE,"Plan2"}</definedName>
    <definedName name="kdfljlfr" localSheetId="13" hidden="1">{#N/A,#N/A,FALSE,"Plan1";#N/A,#N/A,FALSE,"Plan2"}</definedName>
    <definedName name="kdfljlfr" localSheetId="0" hidden="1">{#N/A,#N/A,FALSE,"Plan1";#N/A,#N/A,FALSE,"Plan2"}</definedName>
    <definedName name="kdfljlfr" hidden="1">{#N/A,#N/A,FALSE,"Plan1";#N/A,#N/A,FALSE,"Plan2"}</definedName>
    <definedName name="kdhfgkdfhytgu" localSheetId="3" hidden="1">{#N/A,#N/A,FALSE,"Plan1";#N/A,#N/A,FALSE,"Plan2"}</definedName>
    <definedName name="kdhfgkdfhytgu" localSheetId="8" hidden="1">{#N/A,#N/A,FALSE,"Plan1";#N/A,#N/A,FALSE,"Plan2"}</definedName>
    <definedName name="kdhfgkdfhytgu" localSheetId="2" hidden="1">{#N/A,#N/A,FALSE,"Plan1";#N/A,#N/A,FALSE,"Plan2"}</definedName>
    <definedName name="kdhfgkdfhytgu" localSheetId="9" hidden="1">{#N/A,#N/A,FALSE,"Plan1";#N/A,#N/A,FALSE,"Plan2"}</definedName>
    <definedName name="kdhfgkdfhytgu" localSheetId="13" hidden="1">{#N/A,#N/A,FALSE,"Plan1";#N/A,#N/A,FALSE,"Plan2"}</definedName>
    <definedName name="kdhfgkdfhytgu" localSheetId="0" hidden="1">{#N/A,#N/A,FALSE,"Plan1";#N/A,#N/A,FALSE,"Plan2"}</definedName>
    <definedName name="kdhfgkdfhytgu" hidden="1">{#N/A,#N/A,FALSE,"Plan1";#N/A,#N/A,FALSE,"Plan2"}</definedName>
    <definedName name="kdhgftfg" localSheetId="3" hidden="1">{#N/A,#N/A,FALSE,"Plan1";#N/A,#N/A,FALSE,"Plan2"}</definedName>
    <definedName name="kdhgftfg" localSheetId="8" hidden="1">{#N/A,#N/A,FALSE,"Plan1";#N/A,#N/A,FALSE,"Plan2"}</definedName>
    <definedName name="kdhgftfg" localSheetId="2" hidden="1">{#N/A,#N/A,FALSE,"Plan1";#N/A,#N/A,FALSE,"Plan2"}</definedName>
    <definedName name="kdhgftfg" localSheetId="9" hidden="1">{#N/A,#N/A,FALSE,"Plan1";#N/A,#N/A,FALSE,"Plan2"}</definedName>
    <definedName name="kdhgftfg" localSheetId="13" hidden="1">{#N/A,#N/A,FALSE,"Plan1";#N/A,#N/A,FALSE,"Plan2"}</definedName>
    <definedName name="kdhgftfg" localSheetId="0" hidden="1">{#N/A,#N/A,FALSE,"Plan1";#N/A,#N/A,FALSE,"Plan2"}</definedName>
    <definedName name="kdhgftfg" hidden="1">{#N/A,#N/A,FALSE,"Plan1";#N/A,#N/A,FALSE,"Plan2"}</definedName>
    <definedName name="KDHKFGKKHGF" localSheetId="3" hidden="1">{#N/A,#N/A,FALSE,"Plan1";#N/A,#N/A,FALSE,"Plan2"}</definedName>
    <definedName name="KDHKFGKKHGF" localSheetId="8" hidden="1">{#N/A,#N/A,FALSE,"Plan1";#N/A,#N/A,FALSE,"Plan2"}</definedName>
    <definedName name="KDHKFGKKHGF" localSheetId="2" hidden="1">{#N/A,#N/A,FALSE,"Plan1";#N/A,#N/A,FALSE,"Plan2"}</definedName>
    <definedName name="KDHKFGKKHGF" localSheetId="9" hidden="1">{#N/A,#N/A,FALSE,"Plan1";#N/A,#N/A,FALSE,"Plan2"}</definedName>
    <definedName name="KDHKFGKKHGF" localSheetId="13" hidden="1">{#N/A,#N/A,FALSE,"Plan1";#N/A,#N/A,FALSE,"Plan2"}</definedName>
    <definedName name="KDHKFGKKHGF" localSheetId="0" hidden="1">{#N/A,#N/A,FALSE,"Plan1";#N/A,#N/A,FALSE,"Plan2"}</definedName>
    <definedName name="KDHKFGKKHGF" hidden="1">{#N/A,#N/A,FALSE,"Plan1";#N/A,#N/A,FALSE,"Plan2"}</definedName>
    <definedName name="kdjfdr" localSheetId="3" hidden="1">#REF!</definedName>
    <definedName name="kdjfdr" localSheetId="8" hidden="1">#REF!</definedName>
    <definedName name="kdjfdr" localSheetId="2" hidden="1">#REF!</definedName>
    <definedName name="kdjfdr" localSheetId="9" hidden="1">#REF!</definedName>
    <definedName name="kdjfdr" localSheetId="13" hidden="1">#REF!</definedName>
    <definedName name="kdjfdr" localSheetId="0" hidden="1">#REF!</definedName>
    <definedName name="kdjfdr" hidden="1">#REF!</definedName>
    <definedName name="kdjgkfjgd" localSheetId="3" hidden="1">{#N/A,#N/A,FALSE,"Plan1";#N/A,#N/A,FALSE,"Plan2"}</definedName>
    <definedName name="kdjgkfjgd" localSheetId="8" hidden="1">{#N/A,#N/A,FALSE,"Plan1";#N/A,#N/A,FALSE,"Plan2"}</definedName>
    <definedName name="kdjgkfjgd" localSheetId="2" hidden="1">{#N/A,#N/A,FALSE,"Plan1";#N/A,#N/A,FALSE,"Plan2"}</definedName>
    <definedName name="kdjgkfjgd" localSheetId="9" hidden="1">{#N/A,#N/A,FALSE,"Plan1";#N/A,#N/A,FALSE,"Plan2"}</definedName>
    <definedName name="kdjgkfjgd" localSheetId="13" hidden="1">{#N/A,#N/A,FALSE,"Plan1";#N/A,#N/A,FALSE,"Plan2"}</definedName>
    <definedName name="kdjgkfjgd" localSheetId="0" hidden="1">{#N/A,#N/A,FALSE,"Plan1";#N/A,#N/A,FALSE,"Plan2"}</definedName>
    <definedName name="kdjgkfjgd" hidden="1">{#N/A,#N/A,FALSE,"Plan1";#N/A,#N/A,FALSE,"Plan2"}</definedName>
    <definedName name="kdjglkdlgjd" localSheetId="3" hidden="1">{#N/A,#N/A,FALSE,"Plan1";#N/A,#N/A,FALSE,"Plan2"}</definedName>
    <definedName name="kdjglkdlgjd" localSheetId="8" hidden="1">{#N/A,#N/A,FALSE,"Plan1";#N/A,#N/A,FALSE,"Plan2"}</definedName>
    <definedName name="kdjglkdlgjd" localSheetId="2" hidden="1">{#N/A,#N/A,FALSE,"Plan1";#N/A,#N/A,FALSE,"Plan2"}</definedName>
    <definedName name="kdjglkdlgjd" localSheetId="9" hidden="1">{#N/A,#N/A,FALSE,"Plan1";#N/A,#N/A,FALSE,"Plan2"}</definedName>
    <definedName name="kdjglkdlgjd" localSheetId="13" hidden="1">{#N/A,#N/A,FALSE,"Plan1";#N/A,#N/A,FALSE,"Plan2"}</definedName>
    <definedName name="kdjglkdlgjd" localSheetId="0" hidden="1">{#N/A,#N/A,FALSE,"Plan1";#N/A,#N/A,FALSE,"Plan2"}</definedName>
    <definedName name="kdjglkdlgjd" hidden="1">{#N/A,#N/A,FALSE,"Plan1";#N/A,#N/A,FALSE,"Plan2"}</definedName>
    <definedName name="kdjsfkldjgkty" localSheetId="3" hidden="1">{#N/A,#N/A,FALSE,"Plan1";#N/A,#N/A,FALSE,"Plan2"}</definedName>
    <definedName name="kdjsfkldjgkty" localSheetId="8" hidden="1">{#N/A,#N/A,FALSE,"Plan1";#N/A,#N/A,FALSE,"Plan2"}</definedName>
    <definedName name="kdjsfkldjgkty" localSheetId="2" hidden="1">{#N/A,#N/A,FALSE,"Plan1";#N/A,#N/A,FALSE,"Plan2"}</definedName>
    <definedName name="kdjsfkldjgkty" localSheetId="9" hidden="1">{#N/A,#N/A,FALSE,"Plan1";#N/A,#N/A,FALSE,"Plan2"}</definedName>
    <definedName name="kdjsfkldjgkty" localSheetId="13" hidden="1">{#N/A,#N/A,FALSE,"Plan1";#N/A,#N/A,FALSE,"Plan2"}</definedName>
    <definedName name="kdjsfkldjgkty" localSheetId="0" hidden="1">{#N/A,#N/A,FALSE,"Plan1";#N/A,#N/A,FALSE,"Plan2"}</definedName>
    <definedName name="kdjsfkldjgkty" hidden="1">{#N/A,#N/A,FALSE,"Plan1";#N/A,#N/A,FALSE,"Plan2"}</definedName>
    <definedName name="KDJU" localSheetId="3" hidden="1">{"'장비'!$A$3:$M$12"}</definedName>
    <definedName name="KDJU" localSheetId="8" hidden="1">{"'장비'!$A$3:$M$12"}</definedName>
    <definedName name="KDJU" localSheetId="2" hidden="1">{"'장비'!$A$3:$M$12"}</definedName>
    <definedName name="KDJU" localSheetId="9" hidden="1">{"'장비'!$A$3:$M$12"}</definedName>
    <definedName name="KDJU" localSheetId="13" hidden="1">{"'장비'!$A$3:$M$12"}</definedName>
    <definedName name="KDJU" localSheetId="0" hidden="1">{"'장비'!$A$3:$M$12"}</definedName>
    <definedName name="KDJU" hidden="1">{"'장비'!$A$3:$M$12"}</definedName>
    <definedName name="kdkjhgdkfhjk" localSheetId="3" hidden="1">{#N/A,#N/A,FALSE,"Plan1";#N/A,#N/A,FALSE,"Plan2"}</definedName>
    <definedName name="kdkjhgdkfhjk" localSheetId="8" hidden="1">{#N/A,#N/A,FALSE,"Plan1";#N/A,#N/A,FALSE,"Plan2"}</definedName>
    <definedName name="kdkjhgdkfhjk" localSheetId="2" hidden="1">{#N/A,#N/A,FALSE,"Plan1";#N/A,#N/A,FALSE,"Plan2"}</definedName>
    <definedName name="kdkjhgdkfhjk" localSheetId="9" hidden="1">{#N/A,#N/A,FALSE,"Plan1";#N/A,#N/A,FALSE,"Plan2"}</definedName>
    <definedName name="kdkjhgdkfhjk" localSheetId="13" hidden="1">{#N/A,#N/A,FALSE,"Plan1";#N/A,#N/A,FALSE,"Plan2"}</definedName>
    <definedName name="kdkjhgdkfhjk" localSheetId="0" hidden="1">{#N/A,#N/A,FALSE,"Plan1";#N/A,#N/A,FALSE,"Plan2"}</definedName>
    <definedName name="kdkjhgdkfhjk" hidden="1">{#N/A,#N/A,FALSE,"Plan1";#N/A,#N/A,FALSE,"Plan2"}</definedName>
    <definedName name="kdsf" localSheetId="3" hidden="1">{#N/A,#N/A,FALSE,"Plan1";#N/A,#N/A,FALSE,"Plan2"}</definedName>
    <definedName name="kdsf" localSheetId="8" hidden="1">{#N/A,#N/A,FALSE,"Plan1";#N/A,#N/A,FALSE,"Plan2"}</definedName>
    <definedName name="kdsf" localSheetId="2" hidden="1">{#N/A,#N/A,FALSE,"Plan1";#N/A,#N/A,FALSE,"Plan2"}</definedName>
    <definedName name="kdsf" localSheetId="9" hidden="1">{#N/A,#N/A,FALSE,"Plan1";#N/A,#N/A,FALSE,"Plan2"}</definedName>
    <definedName name="kdsf" localSheetId="13" hidden="1">{#N/A,#N/A,FALSE,"Plan1";#N/A,#N/A,FALSE,"Plan2"}</definedName>
    <definedName name="kdsf" localSheetId="0" hidden="1">{#N/A,#N/A,FALSE,"Plan1";#N/A,#N/A,FALSE,"Plan2"}</definedName>
    <definedName name="kdsf" hidden="1">{#N/A,#N/A,FALSE,"Plan1";#N/A,#N/A,FALSE,"Plan2"}</definedName>
    <definedName name="kdsr" localSheetId="3" hidden="1">{#N/A,#N/A,FALSE,"Plan1";#N/A,#N/A,FALSE,"Plan2"}</definedName>
    <definedName name="kdsr" localSheetId="8" hidden="1">{#N/A,#N/A,FALSE,"Plan1";#N/A,#N/A,FALSE,"Plan2"}</definedName>
    <definedName name="kdsr" localSheetId="2" hidden="1">{#N/A,#N/A,FALSE,"Plan1";#N/A,#N/A,FALSE,"Plan2"}</definedName>
    <definedName name="kdsr" localSheetId="9" hidden="1">{#N/A,#N/A,FALSE,"Plan1";#N/A,#N/A,FALSE,"Plan2"}</definedName>
    <definedName name="kdsr" localSheetId="13" hidden="1">{#N/A,#N/A,FALSE,"Plan1";#N/A,#N/A,FALSE,"Plan2"}</definedName>
    <definedName name="kdsr" localSheetId="0" hidden="1">{#N/A,#N/A,FALSE,"Plan1";#N/A,#N/A,FALSE,"Plan2"}</definedName>
    <definedName name="kdsr" hidden="1">{#N/A,#N/A,FALSE,"Plan1";#N/A,#N/A,FALSE,"Plan2"}</definedName>
    <definedName name="kergtfdstr" localSheetId="3" hidden="1">{#N/A,#N/A,FALSE,"Plan1";#N/A,#N/A,FALSE,"Plan2"}</definedName>
    <definedName name="kergtfdstr" localSheetId="8" hidden="1">{#N/A,#N/A,FALSE,"Plan1";#N/A,#N/A,FALSE,"Plan2"}</definedName>
    <definedName name="kergtfdstr" localSheetId="2" hidden="1">{#N/A,#N/A,FALSE,"Plan1";#N/A,#N/A,FALSE,"Plan2"}</definedName>
    <definedName name="kergtfdstr" localSheetId="9" hidden="1">{#N/A,#N/A,FALSE,"Plan1";#N/A,#N/A,FALSE,"Plan2"}</definedName>
    <definedName name="kergtfdstr" localSheetId="13" hidden="1">{#N/A,#N/A,FALSE,"Plan1";#N/A,#N/A,FALSE,"Plan2"}</definedName>
    <definedName name="kergtfdstr" localSheetId="0" hidden="1">{#N/A,#N/A,FALSE,"Plan1";#N/A,#N/A,FALSE,"Plan2"}</definedName>
    <definedName name="kergtfdstr" hidden="1">{#N/A,#N/A,FALSE,"Plan1";#N/A,#N/A,FALSE,"Plan2"}</definedName>
    <definedName name="kesp" localSheetId="3">#REF!</definedName>
    <definedName name="kesp" localSheetId="2">#REF!</definedName>
    <definedName name="kesp">#REF!</definedName>
    <definedName name="KFDKTHGT" localSheetId="3" hidden="1">{#N/A,#N/A,FALSE,"Plan1";#N/A,#N/A,FALSE,"Plan2"}</definedName>
    <definedName name="KFDKTHGT" localSheetId="8" hidden="1">{#N/A,#N/A,FALSE,"Plan1";#N/A,#N/A,FALSE,"Plan2"}</definedName>
    <definedName name="KFDKTHGT" localSheetId="2" hidden="1">{#N/A,#N/A,FALSE,"Plan1";#N/A,#N/A,FALSE,"Plan2"}</definedName>
    <definedName name="KFDKTHGT" localSheetId="9" hidden="1">{#N/A,#N/A,FALSE,"Plan1";#N/A,#N/A,FALSE,"Plan2"}</definedName>
    <definedName name="KFDKTHGT" localSheetId="13" hidden="1">{#N/A,#N/A,FALSE,"Plan1";#N/A,#N/A,FALSE,"Plan2"}</definedName>
    <definedName name="KFDKTHGT" localSheetId="0" hidden="1">{#N/A,#N/A,FALSE,"Plan1";#N/A,#N/A,FALSE,"Plan2"}</definedName>
    <definedName name="KFDKTHGT" hidden="1">{#N/A,#N/A,FALSE,"Plan1";#N/A,#N/A,FALSE,"Plan2"}</definedName>
    <definedName name="kfdxlfdzs" localSheetId="3" hidden="1">{"Econ Consolidado",#N/A,FALSE,"Econ Consol";"Fluxo de Caixa",#N/A,FALSE,"Fluxo Caixa";"Investimentos",#N/A,FALSE,"Investimentos"}</definedName>
    <definedName name="kfdxlfdzs" localSheetId="8" hidden="1">{"Econ Consolidado",#N/A,FALSE,"Econ Consol";"Fluxo de Caixa",#N/A,FALSE,"Fluxo Caixa";"Investimentos",#N/A,FALSE,"Investimentos"}</definedName>
    <definedName name="kfdxlfdzs" localSheetId="2" hidden="1">{"Econ Consolidado",#N/A,FALSE,"Econ Consol";"Fluxo de Caixa",#N/A,FALSE,"Fluxo Caixa";"Investimentos",#N/A,FALSE,"Investimentos"}</definedName>
    <definedName name="kfdxlfdzs" localSheetId="9" hidden="1">{"Econ Consolidado",#N/A,FALSE,"Econ Consol";"Fluxo de Caixa",#N/A,FALSE,"Fluxo Caixa";"Investimentos",#N/A,FALSE,"Investimentos"}</definedName>
    <definedName name="kfdxlfdzs" localSheetId="13" hidden="1">{"Econ Consolidado",#N/A,FALSE,"Econ Consol";"Fluxo de Caixa",#N/A,FALSE,"Fluxo Caixa";"Investimentos",#N/A,FALSE,"Investimentos"}</definedName>
    <definedName name="kfdxlfdzs" localSheetId="0" hidden="1">{"Econ Consolidado",#N/A,FALSE,"Econ Consol";"Fluxo de Caixa",#N/A,FALSE,"Fluxo Caixa";"Investimentos",#N/A,FALSE,"Investimentos"}</definedName>
    <definedName name="kfdxlfdzs" hidden="1">{"Econ Consolidado",#N/A,FALSE,"Econ Consol";"Fluxo de Caixa",#N/A,FALSE,"Fluxo Caixa";"Investimentos",#N/A,FALSE,"Investimentos"}</definedName>
    <definedName name="kfgkhjkjhy" localSheetId="3" hidden="1">{#N/A,#N/A,FALSE,"Plan1";#N/A,#N/A,FALSE,"Plan2"}</definedName>
    <definedName name="kfgkhjkjhy" localSheetId="8" hidden="1">{#N/A,#N/A,FALSE,"Plan1";#N/A,#N/A,FALSE,"Plan2"}</definedName>
    <definedName name="kfgkhjkjhy" localSheetId="2" hidden="1">{#N/A,#N/A,FALSE,"Plan1";#N/A,#N/A,FALSE,"Plan2"}</definedName>
    <definedName name="kfgkhjkjhy" localSheetId="9" hidden="1">{#N/A,#N/A,FALSE,"Plan1";#N/A,#N/A,FALSE,"Plan2"}</definedName>
    <definedName name="kfgkhjkjhy" localSheetId="13" hidden="1">{#N/A,#N/A,FALSE,"Plan1";#N/A,#N/A,FALSE,"Plan2"}</definedName>
    <definedName name="kfgkhjkjhy" localSheetId="0" hidden="1">{#N/A,#N/A,FALSE,"Plan1";#N/A,#N/A,FALSE,"Plan2"}</definedName>
    <definedName name="kfgkhjkjhy" hidden="1">{#N/A,#N/A,FALSE,"Plan1";#N/A,#N/A,FALSE,"Plan2"}</definedName>
    <definedName name="KFJFDSDF" localSheetId="3" hidden="1">{#N/A,#N/A,FALSE,"Plan1";#N/A,#N/A,FALSE,"Plan2"}</definedName>
    <definedName name="KFJFDSDF" localSheetId="8" hidden="1">{#N/A,#N/A,FALSE,"Plan1";#N/A,#N/A,FALSE,"Plan2"}</definedName>
    <definedName name="KFJFDSDF" localSheetId="2" hidden="1">{#N/A,#N/A,FALSE,"Plan1";#N/A,#N/A,FALSE,"Plan2"}</definedName>
    <definedName name="KFJFDSDF" localSheetId="9" hidden="1">{#N/A,#N/A,FALSE,"Plan1";#N/A,#N/A,FALSE,"Plan2"}</definedName>
    <definedName name="KFJFDSDF" localSheetId="13" hidden="1">{#N/A,#N/A,FALSE,"Plan1";#N/A,#N/A,FALSE,"Plan2"}</definedName>
    <definedName name="KFJFDSDF" localSheetId="0" hidden="1">{#N/A,#N/A,FALSE,"Plan1";#N/A,#N/A,FALSE,"Plan2"}</definedName>
    <definedName name="KFJFDSDF" hidden="1">{#N/A,#N/A,FALSE,"Plan1";#N/A,#N/A,FALSE,"Plan2"}</definedName>
    <definedName name="kfnkeasd" localSheetId="3" hidden="1">{#N/A,#N/A,FALSE,"Plan1";#N/A,#N/A,FALSE,"Plan2"}</definedName>
    <definedName name="kfnkeasd" localSheetId="8" hidden="1">{#N/A,#N/A,FALSE,"Plan1";#N/A,#N/A,FALSE,"Plan2"}</definedName>
    <definedName name="kfnkeasd" localSheetId="2" hidden="1">{#N/A,#N/A,FALSE,"Plan1";#N/A,#N/A,FALSE,"Plan2"}</definedName>
    <definedName name="kfnkeasd" localSheetId="9" hidden="1">{#N/A,#N/A,FALSE,"Plan1";#N/A,#N/A,FALSE,"Plan2"}</definedName>
    <definedName name="kfnkeasd" localSheetId="13" hidden="1">{#N/A,#N/A,FALSE,"Plan1";#N/A,#N/A,FALSE,"Plan2"}</definedName>
    <definedName name="kfnkeasd" localSheetId="0" hidden="1">{#N/A,#N/A,FALSE,"Plan1";#N/A,#N/A,FALSE,"Plan2"}</definedName>
    <definedName name="kfnkeasd" hidden="1">{#N/A,#N/A,FALSE,"Plan1";#N/A,#N/A,FALSE,"Plan2"}</definedName>
    <definedName name="khdjkfkjhtg" localSheetId="3" hidden="1">{#N/A,#N/A,FALSE,"Plan1";#N/A,#N/A,FALSE,"Plan2"}</definedName>
    <definedName name="khdjkfkjhtg" localSheetId="8" hidden="1">{#N/A,#N/A,FALSE,"Plan1";#N/A,#N/A,FALSE,"Plan2"}</definedName>
    <definedName name="khdjkfkjhtg" localSheetId="2" hidden="1">{#N/A,#N/A,FALSE,"Plan1";#N/A,#N/A,FALSE,"Plan2"}</definedName>
    <definedName name="khdjkfkjhtg" localSheetId="9" hidden="1">{#N/A,#N/A,FALSE,"Plan1";#N/A,#N/A,FALSE,"Plan2"}</definedName>
    <definedName name="khdjkfkjhtg" localSheetId="13" hidden="1">{#N/A,#N/A,FALSE,"Plan1";#N/A,#N/A,FALSE,"Plan2"}</definedName>
    <definedName name="khdjkfkjhtg" localSheetId="0" hidden="1">{#N/A,#N/A,FALSE,"Plan1";#N/A,#N/A,FALSE,"Plan2"}</definedName>
    <definedName name="khdjkfkjhtg" hidden="1">{#N/A,#N/A,FALSE,"Plan1";#N/A,#N/A,FALSE,"Plan2"}</definedName>
    <definedName name="khdkfjhhfsdg" localSheetId="3" hidden="1">{#N/A,#N/A,FALSE,"Plan1";#N/A,#N/A,FALSE,"Plan2"}</definedName>
    <definedName name="khdkfjhhfsdg" localSheetId="8" hidden="1">{#N/A,#N/A,FALSE,"Plan1";#N/A,#N/A,FALSE,"Plan2"}</definedName>
    <definedName name="khdkfjhhfsdg" localSheetId="2" hidden="1">{#N/A,#N/A,FALSE,"Plan1";#N/A,#N/A,FALSE,"Plan2"}</definedName>
    <definedName name="khdkfjhhfsdg" localSheetId="9" hidden="1">{#N/A,#N/A,FALSE,"Plan1";#N/A,#N/A,FALSE,"Plan2"}</definedName>
    <definedName name="khdkfjhhfsdg" localSheetId="13" hidden="1">{#N/A,#N/A,FALSE,"Plan1";#N/A,#N/A,FALSE,"Plan2"}</definedName>
    <definedName name="khdkfjhhfsdg" localSheetId="0" hidden="1">{#N/A,#N/A,FALSE,"Plan1";#N/A,#N/A,FALSE,"Plan2"}</definedName>
    <definedName name="khdkfjhhfsdg" hidden="1">{#N/A,#N/A,FALSE,"Plan1";#N/A,#N/A,FALSE,"Plan2"}</definedName>
    <definedName name="khdkjfhgudytu" localSheetId="3" hidden="1">{#N/A,#N/A,FALSE,"Plan1";#N/A,#N/A,FALSE,"Plan2"}</definedName>
    <definedName name="khdkjfhgudytu" localSheetId="8" hidden="1">{#N/A,#N/A,FALSE,"Plan1";#N/A,#N/A,FALSE,"Plan2"}</definedName>
    <definedName name="khdkjfhgudytu" localSheetId="2" hidden="1">{#N/A,#N/A,FALSE,"Plan1";#N/A,#N/A,FALSE,"Plan2"}</definedName>
    <definedName name="khdkjfhgudytu" localSheetId="9" hidden="1">{#N/A,#N/A,FALSE,"Plan1";#N/A,#N/A,FALSE,"Plan2"}</definedName>
    <definedName name="khdkjfhgudytu" localSheetId="13" hidden="1">{#N/A,#N/A,FALSE,"Plan1";#N/A,#N/A,FALSE,"Plan2"}</definedName>
    <definedName name="khdkjfhgudytu" localSheetId="0" hidden="1">{#N/A,#N/A,FALSE,"Plan1";#N/A,#N/A,FALSE,"Plan2"}</definedName>
    <definedName name="khdkjfhgudytu" hidden="1">{#N/A,#N/A,FALSE,"Plan1";#N/A,#N/A,FALSE,"Plan2"}</definedName>
    <definedName name="khfdghhhgd" localSheetId="3" hidden="1">{#N/A,#N/A,FALSE,"Plan1";#N/A,#N/A,FALSE,"Plan2"}</definedName>
    <definedName name="khfdghhhgd" localSheetId="8" hidden="1">{#N/A,#N/A,FALSE,"Plan1";#N/A,#N/A,FALSE,"Plan2"}</definedName>
    <definedName name="khfdghhhgd" localSheetId="2" hidden="1">{#N/A,#N/A,FALSE,"Plan1";#N/A,#N/A,FALSE,"Plan2"}</definedName>
    <definedName name="khfdghhhgd" localSheetId="9" hidden="1">{#N/A,#N/A,FALSE,"Plan1";#N/A,#N/A,FALSE,"Plan2"}</definedName>
    <definedName name="khfdghhhgd" localSheetId="13" hidden="1">{#N/A,#N/A,FALSE,"Plan1";#N/A,#N/A,FALSE,"Plan2"}</definedName>
    <definedName name="khfdghhhgd" localSheetId="0" hidden="1">{#N/A,#N/A,FALSE,"Plan1";#N/A,#N/A,FALSE,"Plan2"}</definedName>
    <definedName name="khfdghhhgd" hidden="1">{#N/A,#N/A,FALSE,"Plan1";#N/A,#N/A,FALSE,"Plan2"}</definedName>
    <definedName name="khfdkjhsdjf" localSheetId="3" hidden="1">{#N/A,#N/A,FALSE,"Plan1";#N/A,#N/A,FALSE,"Plan2"}</definedName>
    <definedName name="khfdkjhsdjf" localSheetId="8" hidden="1">{#N/A,#N/A,FALSE,"Plan1";#N/A,#N/A,FALSE,"Plan2"}</definedName>
    <definedName name="khfdkjhsdjf" localSheetId="2" hidden="1">{#N/A,#N/A,FALSE,"Plan1";#N/A,#N/A,FALSE,"Plan2"}</definedName>
    <definedName name="khfdkjhsdjf" localSheetId="9" hidden="1">{#N/A,#N/A,FALSE,"Plan1";#N/A,#N/A,FALSE,"Plan2"}</definedName>
    <definedName name="khfdkjhsdjf" localSheetId="13" hidden="1">{#N/A,#N/A,FALSE,"Plan1";#N/A,#N/A,FALSE,"Plan2"}</definedName>
    <definedName name="khfdkjhsdjf" localSheetId="0" hidden="1">{#N/A,#N/A,FALSE,"Plan1";#N/A,#N/A,FALSE,"Plan2"}</definedName>
    <definedName name="khfdkjhsdjf" hidden="1">{#N/A,#N/A,FALSE,"Plan1";#N/A,#N/A,FALSE,"Plan2"}</definedName>
    <definedName name="khgdkftfy" localSheetId="3" hidden="1">{#N/A,#N/A,FALSE,"Plan1";#N/A,#N/A,FALSE,"Plan2"}</definedName>
    <definedName name="khgdkftfy" localSheetId="8" hidden="1">{#N/A,#N/A,FALSE,"Plan1";#N/A,#N/A,FALSE,"Plan2"}</definedName>
    <definedName name="khgdkftfy" localSheetId="2" hidden="1">{#N/A,#N/A,FALSE,"Plan1";#N/A,#N/A,FALSE,"Plan2"}</definedName>
    <definedName name="khgdkftfy" localSheetId="9" hidden="1">{#N/A,#N/A,FALSE,"Plan1";#N/A,#N/A,FALSE,"Plan2"}</definedName>
    <definedName name="khgdkftfy" localSheetId="13" hidden="1">{#N/A,#N/A,FALSE,"Plan1";#N/A,#N/A,FALSE,"Plan2"}</definedName>
    <definedName name="khgdkftfy" localSheetId="0" hidden="1">{#N/A,#N/A,FALSE,"Plan1";#N/A,#N/A,FALSE,"Plan2"}</definedName>
    <definedName name="khgdkftfy" hidden="1">{#N/A,#N/A,FALSE,"Plan1";#N/A,#N/A,FALSE,"Plan2"}</definedName>
    <definedName name="khgfhhtuhf" localSheetId="3" hidden="1">{#N/A,#N/A,FALSE,"Plan1";#N/A,#N/A,FALSE,"Plan2"}</definedName>
    <definedName name="khgfhhtuhf" localSheetId="8" hidden="1">{#N/A,#N/A,FALSE,"Plan1";#N/A,#N/A,FALSE,"Plan2"}</definedName>
    <definedName name="khgfhhtuhf" localSheetId="2" hidden="1">{#N/A,#N/A,FALSE,"Plan1";#N/A,#N/A,FALSE,"Plan2"}</definedName>
    <definedName name="khgfhhtuhf" localSheetId="9" hidden="1">{#N/A,#N/A,FALSE,"Plan1";#N/A,#N/A,FALSE,"Plan2"}</definedName>
    <definedName name="khgfhhtuhf" localSheetId="13" hidden="1">{#N/A,#N/A,FALSE,"Plan1";#N/A,#N/A,FALSE,"Plan2"}</definedName>
    <definedName name="khgfhhtuhf" localSheetId="0" hidden="1">{#N/A,#N/A,FALSE,"Plan1";#N/A,#N/A,FALSE,"Plan2"}</definedName>
    <definedName name="khgfhhtuhf" hidden="1">{#N/A,#N/A,FALSE,"Plan1";#N/A,#N/A,FALSE,"Plan2"}</definedName>
    <definedName name="khjkh"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hjkh" hidden="1">{TRUE,TRUE,-1.25,-15.5,604.5,366.75,FALSE,FALSE,TRUE,TRUE,0,1,#N/A,1,#N/A,9.0125,24.4117647058824,1,FALSE,FALSE,3,TRUE,1,FALSE,100,"Swvu.PLANILHA2.","ACwvu.PLANILHA2.",#N/A,FALSE,FALSE,0.787401575,0.34,0.46,0.5,1,"","",FALSE,FALSE,FALSE,FALSE,1,#N/A,1,1,FALSE,FALSE,#N/A,#N/A,FALSE,FALSE,FALSE,9,65532,65532,FALSE,FALSE,TRUE,TRUE,TRUE}</definedName>
    <definedName name="KHJKLSDF" localSheetId="3" hidden="1">{#N/A,#N/A,FALSE,"Plan1";#N/A,#N/A,FALSE,"Plan2"}</definedName>
    <definedName name="KHJKLSDF" localSheetId="8" hidden="1">{#N/A,#N/A,FALSE,"Plan1";#N/A,#N/A,FALSE,"Plan2"}</definedName>
    <definedName name="KHJKLSDF" localSheetId="2" hidden="1">{#N/A,#N/A,FALSE,"Plan1";#N/A,#N/A,FALSE,"Plan2"}</definedName>
    <definedName name="KHJKLSDF" localSheetId="9" hidden="1">{#N/A,#N/A,FALSE,"Plan1";#N/A,#N/A,FALSE,"Plan2"}</definedName>
    <definedName name="KHJKLSDF" localSheetId="13" hidden="1">{#N/A,#N/A,FALSE,"Plan1";#N/A,#N/A,FALSE,"Plan2"}</definedName>
    <definedName name="KHJKLSDF" localSheetId="0" hidden="1">{#N/A,#N/A,FALSE,"Plan1";#N/A,#N/A,FALSE,"Plan2"}</definedName>
    <definedName name="KHJKLSDF" hidden="1">{#N/A,#N/A,FALSE,"Plan1";#N/A,#N/A,FALSE,"Plan2"}</definedName>
    <definedName name="kieret" localSheetId="3" hidden="1">{#N/A,#N/A,FALSE,"Plan1";#N/A,#N/A,FALSE,"Plan2"}</definedName>
    <definedName name="kieret" localSheetId="8" hidden="1">{#N/A,#N/A,FALSE,"Plan1";#N/A,#N/A,FALSE,"Plan2"}</definedName>
    <definedName name="kieret" localSheetId="2" hidden="1">{#N/A,#N/A,FALSE,"Plan1";#N/A,#N/A,FALSE,"Plan2"}</definedName>
    <definedName name="kieret" localSheetId="9" hidden="1">{#N/A,#N/A,FALSE,"Plan1";#N/A,#N/A,FALSE,"Plan2"}</definedName>
    <definedName name="kieret" localSheetId="13" hidden="1">{#N/A,#N/A,FALSE,"Plan1";#N/A,#N/A,FALSE,"Plan2"}</definedName>
    <definedName name="kieret" localSheetId="0" hidden="1">{#N/A,#N/A,FALSE,"Plan1";#N/A,#N/A,FALSE,"Plan2"}</definedName>
    <definedName name="kieret" hidden="1">{#N/A,#N/A,FALSE,"Plan1";#N/A,#N/A,FALSE,"Plan2"}</definedName>
    <definedName name="kiweokwr" localSheetId="3" hidden="1">#REF!</definedName>
    <definedName name="kiweokwr" localSheetId="8" hidden="1">#REF!</definedName>
    <definedName name="kiweokwr" localSheetId="2" hidden="1">#REF!</definedName>
    <definedName name="kiweokwr" localSheetId="9" hidden="1">#REF!</definedName>
    <definedName name="kiweokwr" localSheetId="13" hidden="1">#REF!</definedName>
    <definedName name="kiweokwr" localSheetId="0" hidden="1">#REF!</definedName>
    <definedName name="kiweokwr" hidden="1">#REF!</definedName>
    <definedName name="kjchkfhsezk" localSheetId="3" hidden="1">{#N/A,#N/A,FALSE,"Plan1";#N/A,#N/A,FALSE,"Plan2"}</definedName>
    <definedName name="kjchkfhsezk" localSheetId="8" hidden="1">{#N/A,#N/A,FALSE,"Plan1";#N/A,#N/A,FALSE,"Plan2"}</definedName>
    <definedName name="kjchkfhsezk" localSheetId="2" hidden="1">{#N/A,#N/A,FALSE,"Plan1";#N/A,#N/A,FALSE,"Plan2"}</definedName>
    <definedName name="kjchkfhsezk" localSheetId="9" hidden="1">{#N/A,#N/A,FALSE,"Plan1";#N/A,#N/A,FALSE,"Plan2"}</definedName>
    <definedName name="kjchkfhsezk" localSheetId="13" hidden="1">{#N/A,#N/A,FALSE,"Plan1";#N/A,#N/A,FALSE,"Plan2"}</definedName>
    <definedName name="kjchkfhsezk" localSheetId="0" hidden="1">{#N/A,#N/A,FALSE,"Plan1";#N/A,#N/A,FALSE,"Plan2"}</definedName>
    <definedName name="kjchkfhsezk" hidden="1">{#N/A,#N/A,FALSE,"Plan1";#N/A,#N/A,FALSE,"Plan2"}</definedName>
    <definedName name="kjdghksef" localSheetId="3" hidden="1">{#N/A,#N/A,FALSE,"Plan1";#N/A,#N/A,FALSE,"Plan2"}</definedName>
    <definedName name="kjdghksef" localSheetId="8" hidden="1">{#N/A,#N/A,FALSE,"Plan1";#N/A,#N/A,FALSE,"Plan2"}</definedName>
    <definedName name="kjdghksef" localSheetId="2" hidden="1">{#N/A,#N/A,FALSE,"Plan1";#N/A,#N/A,FALSE,"Plan2"}</definedName>
    <definedName name="kjdghksef" localSheetId="9" hidden="1">{#N/A,#N/A,FALSE,"Plan1";#N/A,#N/A,FALSE,"Plan2"}</definedName>
    <definedName name="kjdghksef" localSheetId="13" hidden="1">{#N/A,#N/A,FALSE,"Plan1";#N/A,#N/A,FALSE,"Plan2"}</definedName>
    <definedName name="kjdghksef" localSheetId="0" hidden="1">{#N/A,#N/A,FALSE,"Plan1";#N/A,#N/A,FALSE,"Plan2"}</definedName>
    <definedName name="kjdghksef" hidden="1">{#N/A,#N/A,FALSE,"Plan1";#N/A,#N/A,FALSE,"Plan2"}</definedName>
    <definedName name="kjdkftyhtert" localSheetId="3" hidden="1">{#N/A,#N/A,FALSE,"Plan1";#N/A,#N/A,FALSE,"Plan2"}</definedName>
    <definedName name="kjdkftyhtert" localSheetId="8" hidden="1">{#N/A,#N/A,FALSE,"Plan1";#N/A,#N/A,FALSE,"Plan2"}</definedName>
    <definedName name="kjdkftyhtert" localSheetId="2" hidden="1">{#N/A,#N/A,FALSE,"Plan1";#N/A,#N/A,FALSE,"Plan2"}</definedName>
    <definedName name="kjdkftyhtert" localSheetId="9" hidden="1">{#N/A,#N/A,FALSE,"Plan1";#N/A,#N/A,FALSE,"Plan2"}</definedName>
    <definedName name="kjdkftyhtert" localSheetId="13" hidden="1">{#N/A,#N/A,FALSE,"Plan1";#N/A,#N/A,FALSE,"Plan2"}</definedName>
    <definedName name="kjdkftyhtert" localSheetId="0" hidden="1">{#N/A,#N/A,FALSE,"Plan1";#N/A,#N/A,FALSE,"Plan2"}</definedName>
    <definedName name="kjdkftyhtert" hidden="1">{#N/A,#N/A,FALSE,"Plan1";#N/A,#N/A,FALSE,"Plan2"}</definedName>
    <definedName name="kjdlfkjds" localSheetId="3" hidden="1">{#N/A,#N/A,FALSE,"Plan1";#N/A,#N/A,FALSE,"Plan2"}</definedName>
    <definedName name="kjdlfkjds" localSheetId="8" hidden="1">{#N/A,#N/A,FALSE,"Plan1";#N/A,#N/A,FALSE,"Plan2"}</definedName>
    <definedName name="kjdlfkjds" localSheetId="2" hidden="1">{#N/A,#N/A,FALSE,"Plan1";#N/A,#N/A,FALSE,"Plan2"}</definedName>
    <definedName name="kjdlfkjds" localSheetId="9" hidden="1">{#N/A,#N/A,FALSE,"Plan1";#N/A,#N/A,FALSE,"Plan2"}</definedName>
    <definedName name="kjdlfkjds" localSheetId="13" hidden="1">{#N/A,#N/A,FALSE,"Plan1";#N/A,#N/A,FALSE,"Plan2"}</definedName>
    <definedName name="kjdlfkjds" localSheetId="0" hidden="1">{#N/A,#N/A,FALSE,"Plan1";#N/A,#N/A,FALSE,"Plan2"}</definedName>
    <definedName name="kjdlfkjds" hidden="1">{#N/A,#N/A,FALSE,"Plan1";#N/A,#N/A,FALSE,"Plan2"}</definedName>
    <definedName name="kjdzhfytrfy" localSheetId="3" hidden="1">{#N/A,#N/A,FALSE,"Plan1";#N/A,#N/A,FALSE,"Plan2"}</definedName>
    <definedName name="kjdzhfytrfy" localSheetId="8" hidden="1">{#N/A,#N/A,FALSE,"Plan1";#N/A,#N/A,FALSE,"Plan2"}</definedName>
    <definedName name="kjdzhfytrfy" localSheetId="2" hidden="1">{#N/A,#N/A,FALSE,"Plan1";#N/A,#N/A,FALSE,"Plan2"}</definedName>
    <definedName name="kjdzhfytrfy" localSheetId="9" hidden="1">{#N/A,#N/A,FALSE,"Plan1";#N/A,#N/A,FALSE,"Plan2"}</definedName>
    <definedName name="kjdzhfytrfy" localSheetId="13" hidden="1">{#N/A,#N/A,FALSE,"Plan1";#N/A,#N/A,FALSE,"Plan2"}</definedName>
    <definedName name="kjdzhfytrfy" localSheetId="0" hidden="1">{#N/A,#N/A,FALSE,"Plan1";#N/A,#N/A,FALSE,"Plan2"}</definedName>
    <definedName name="kjdzhfytrfy" hidden="1">{#N/A,#N/A,FALSE,"Plan1";#N/A,#N/A,FALSE,"Plan2"}</definedName>
    <definedName name="kjhdfgjthdft" localSheetId="3" hidden="1">{#N/A,#N/A,FALSE,"Plan1";#N/A,#N/A,FALSE,"Plan2"}</definedName>
    <definedName name="kjhdfgjthdft" localSheetId="8" hidden="1">{#N/A,#N/A,FALSE,"Plan1";#N/A,#N/A,FALSE,"Plan2"}</definedName>
    <definedName name="kjhdfgjthdft" localSheetId="2" hidden="1">{#N/A,#N/A,FALSE,"Plan1";#N/A,#N/A,FALSE,"Plan2"}</definedName>
    <definedName name="kjhdfgjthdft" localSheetId="9" hidden="1">{#N/A,#N/A,FALSE,"Plan1";#N/A,#N/A,FALSE,"Plan2"}</definedName>
    <definedName name="kjhdfgjthdft" localSheetId="13" hidden="1">{#N/A,#N/A,FALSE,"Plan1";#N/A,#N/A,FALSE,"Plan2"}</definedName>
    <definedName name="kjhdfgjthdft" localSheetId="0" hidden="1">{#N/A,#N/A,FALSE,"Plan1";#N/A,#N/A,FALSE,"Plan2"}</definedName>
    <definedName name="kjhdfgjthdft" hidden="1">{#N/A,#N/A,FALSE,"Plan1";#N/A,#N/A,FALSE,"Plan2"}</definedName>
    <definedName name="kjhsdf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hsdfk" hidden="1">{TRUE,TRUE,-1.25,-15.5,604.5,366.75,FALSE,FALSE,TRUE,TRUE,0,1,#N/A,1,#N/A,9.0125,24.4117647058824,1,FALSE,FALSE,3,TRUE,1,FALSE,100,"Swvu.PLANILHA2.","ACwvu.PLANILHA2.",#N/A,FALSE,FALSE,0.787401575,0.34,0.46,0.5,1,"","",FALSE,FALSE,FALSE,FALSE,1,#N/A,1,1,FALSE,FALSE,#N/A,#N/A,FALSE,FALSE,FALSE,9,65532,65532,FALSE,FALSE,TRUE,TRUE,TRUE}</definedName>
    <definedName name="kjhsiorf" localSheetId="3" hidden="1">{#N/A,#N/A,FALSE,"Plan1";#N/A,#N/A,FALSE,"Plan2"}</definedName>
    <definedName name="kjhsiorf" localSheetId="8" hidden="1">{#N/A,#N/A,FALSE,"Plan1";#N/A,#N/A,FALSE,"Plan2"}</definedName>
    <definedName name="kjhsiorf" localSheetId="2" hidden="1">{#N/A,#N/A,FALSE,"Plan1";#N/A,#N/A,FALSE,"Plan2"}</definedName>
    <definedName name="kjhsiorf" localSheetId="9" hidden="1">{#N/A,#N/A,FALSE,"Plan1";#N/A,#N/A,FALSE,"Plan2"}</definedName>
    <definedName name="kjhsiorf" localSheetId="13" hidden="1">{#N/A,#N/A,FALSE,"Plan1";#N/A,#N/A,FALSE,"Plan2"}</definedName>
    <definedName name="kjhsiorf" localSheetId="0" hidden="1">{#N/A,#N/A,FALSE,"Plan1";#N/A,#N/A,FALSE,"Plan2"}</definedName>
    <definedName name="kjhsiorf" hidden="1">{#N/A,#N/A,FALSE,"Plan1";#N/A,#N/A,FALSE,"Plan2"}</definedName>
    <definedName name="KJ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J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JJ" hidden="1">{TRUE,TRUE,-1.25,-15.5,604.5,366.75,FALSE,FALSE,TRUE,TRUE,0,1,#N/A,1,#N/A,9.0125,24.4117647058824,1,FALSE,FALSE,3,TRUE,1,FALSE,100,"Swvu.PLANILHA2.","ACwvu.PLANILHA2.",#N/A,FALSE,FALSE,0.787401575,0.34,0.46,0.5,1,"","",FALSE,FALSE,FALSE,FALSE,1,#N/A,1,1,FALSE,FALSE,#N/A,#N/A,FALSE,FALSE,FALSE,9,65532,65532,FALSE,FALSE,TRUE,TRUE,TRUE}</definedName>
    <definedName name="kjjwww" localSheetId="3" hidden="1">{#N/A,#N/A,FALSE,"Plan1";#N/A,#N/A,FALSE,"Plan2"}</definedName>
    <definedName name="kjjwww" localSheetId="8" hidden="1">{#N/A,#N/A,FALSE,"Plan1";#N/A,#N/A,FALSE,"Plan2"}</definedName>
    <definedName name="kjjwww" localSheetId="2" hidden="1">{#N/A,#N/A,FALSE,"Plan1";#N/A,#N/A,FALSE,"Plan2"}</definedName>
    <definedName name="kjjwww" localSheetId="9" hidden="1">{#N/A,#N/A,FALSE,"Plan1";#N/A,#N/A,FALSE,"Plan2"}</definedName>
    <definedName name="kjjwww" localSheetId="13" hidden="1">{#N/A,#N/A,FALSE,"Plan1";#N/A,#N/A,FALSE,"Plan2"}</definedName>
    <definedName name="kjjwww" localSheetId="0" hidden="1">{#N/A,#N/A,FALSE,"Plan1";#N/A,#N/A,FALSE,"Plan2"}</definedName>
    <definedName name="kjjwww" hidden="1">{#N/A,#N/A,FALSE,"Plan1";#N/A,#N/A,FALSE,"Plan2"}</definedName>
    <definedName name="kjl" localSheetId="3" hidden="1">{#N/A,#N/A,FALSE,"ENG'G(보호계전기)"}</definedName>
    <definedName name="kjl" localSheetId="8" hidden="1">{#N/A,#N/A,FALSE,"ENG'G(보호계전기)"}</definedName>
    <definedName name="kjl" localSheetId="2" hidden="1">{#N/A,#N/A,FALSE,"ENG'G(보호계전기)"}</definedName>
    <definedName name="kjl" localSheetId="9" hidden="1">{#N/A,#N/A,FALSE,"ENG'G(보호계전기)"}</definedName>
    <definedName name="kjl" localSheetId="13" hidden="1">{#N/A,#N/A,FALSE,"ENG'G(보호계전기)"}</definedName>
    <definedName name="kjl" localSheetId="0" hidden="1">{#N/A,#N/A,FALSE,"ENG'G(보호계전기)"}</definedName>
    <definedName name="kjl" hidden="1">{#N/A,#N/A,FALSE,"ENG'G(보호계전기)"}</definedName>
    <definedName name="KJOI" localSheetId="3" hidden="1">{#N/A,#N/A,FALSE,"Plan1";#N/A,#N/A,FALSE,"Plan2"}</definedName>
    <definedName name="KJOI" localSheetId="8" hidden="1">{#N/A,#N/A,FALSE,"Plan1";#N/A,#N/A,FALSE,"Plan2"}</definedName>
    <definedName name="KJOI" localSheetId="2" hidden="1">{#N/A,#N/A,FALSE,"Plan1";#N/A,#N/A,FALSE,"Plan2"}</definedName>
    <definedName name="KJOI" localSheetId="9" hidden="1">{#N/A,#N/A,FALSE,"Plan1";#N/A,#N/A,FALSE,"Plan2"}</definedName>
    <definedName name="KJOI" localSheetId="13" hidden="1">{#N/A,#N/A,FALSE,"Plan1";#N/A,#N/A,FALSE,"Plan2"}</definedName>
    <definedName name="KJOI" localSheetId="0" hidden="1">{#N/A,#N/A,FALSE,"Plan1";#N/A,#N/A,FALSE,"Plan2"}</definedName>
    <definedName name="KJOI" hidden="1">{#N/A,#N/A,FALSE,"Plan1";#N/A,#N/A,FALSE,"Plan2"}</definedName>
    <definedName name="kjqwerw" localSheetId="3" hidden="1">{#N/A,#N/A,FALSE,"Plan1";#N/A,#N/A,FALSE,"Plan2"}</definedName>
    <definedName name="kjqwerw" localSheetId="8" hidden="1">{#N/A,#N/A,FALSE,"Plan1";#N/A,#N/A,FALSE,"Plan2"}</definedName>
    <definedName name="kjqwerw" localSheetId="2" hidden="1">{#N/A,#N/A,FALSE,"Plan1";#N/A,#N/A,FALSE,"Plan2"}</definedName>
    <definedName name="kjqwerw" localSheetId="9" hidden="1">{#N/A,#N/A,FALSE,"Plan1";#N/A,#N/A,FALSE,"Plan2"}</definedName>
    <definedName name="kjqwerw" localSheetId="13" hidden="1">{#N/A,#N/A,FALSE,"Plan1";#N/A,#N/A,FALSE,"Plan2"}</definedName>
    <definedName name="kjqwerw" localSheetId="0" hidden="1">{#N/A,#N/A,FALSE,"Plan1";#N/A,#N/A,FALSE,"Plan2"}</definedName>
    <definedName name="kjqwerw" hidden="1">{#N/A,#N/A,FALSE,"Plan1";#N/A,#N/A,FALSE,"Plan2"}</definedName>
    <definedName name="kjsfert" localSheetId="3" hidden="1">{#N/A,#N/A,FALSE,"Plan1";#N/A,#N/A,FALSE,"Plan2"}</definedName>
    <definedName name="kjsfert" localSheetId="8" hidden="1">{#N/A,#N/A,FALSE,"Plan1";#N/A,#N/A,FALSE,"Plan2"}</definedName>
    <definedName name="kjsfert" localSheetId="2" hidden="1">{#N/A,#N/A,FALSE,"Plan1";#N/A,#N/A,FALSE,"Plan2"}</definedName>
    <definedName name="kjsfert" localSheetId="9" hidden="1">{#N/A,#N/A,FALSE,"Plan1";#N/A,#N/A,FALSE,"Plan2"}</definedName>
    <definedName name="kjsfert" localSheetId="13" hidden="1">{#N/A,#N/A,FALSE,"Plan1";#N/A,#N/A,FALSE,"Plan2"}</definedName>
    <definedName name="kjsfert" localSheetId="0" hidden="1">{#N/A,#N/A,FALSE,"Plan1";#N/A,#N/A,FALSE,"Plan2"}</definedName>
    <definedName name="kjsfert" hidden="1">{#N/A,#N/A,FALSE,"Plan1";#N/A,#N/A,FALSE,"Plan2"}</definedName>
    <definedName name="KJXCFKR" localSheetId="3" hidden="1">{#N/A,#N/A,FALSE,"Plan1";#N/A,#N/A,FALSE,"Plan2"}</definedName>
    <definedName name="KJXCFKR" localSheetId="8" hidden="1">{#N/A,#N/A,FALSE,"Plan1";#N/A,#N/A,FALSE,"Plan2"}</definedName>
    <definedName name="KJXCFKR" localSheetId="2" hidden="1">{#N/A,#N/A,FALSE,"Plan1";#N/A,#N/A,FALSE,"Plan2"}</definedName>
    <definedName name="KJXCFKR" localSheetId="9" hidden="1">{#N/A,#N/A,FALSE,"Plan1";#N/A,#N/A,FALSE,"Plan2"}</definedName>
    <definedName name="KJXCFKR" localSheetId="13" hidden="1">{#N/A,#N/A,FALSE,"Plan1";#N/A,#N/A,FALSE,"Plan2"}</definedName>
    <definedName name="KJXCFKR" localSheetId="0" hidden="1">{#N/A,#N/A,FALSE,"Plan1";#N/A,#N/A,FALSE,"Plan2"}</definedName>
    <definedName name="KJXCFKR" hidden="1">{#N/A,#N/A,FALSE,"Plan1";#N/A,#N/A,FALSE,"Plan2"}</definedName>
    <definedName name="KJXDFD" localSheetId="3" hidden="1">{#N/A,#N/A,FALSE,"Plan1";#N/A,#N/A,FALSE,"Plan2"}</definedName>
    <definedName name="KJXDFD" localSheetId="8" hidden="1">{#N/A,#N/A,FALSE,"Plan1";#N/A,#N/A,FALSE,"Plan2"}</definedName>
    <definedName name="KJXDFD" localSheetId="2" hidden="1">{#N/A,#N/A,FALSE,"Plan1";#N/A,#N/A,FALSE,"Plan2"}</definedName>
    <definedName name="KJXDFD" localSheetId="9" hidden="1">{#N/A,#N/A,FALSE,"Plan1";#N/A,#N/A,FALSE,"Plan2"}</definedName>
    <definedName name="KJXDFD" localSheetId="13" hidden="1">{#N/A,#N/A,FALSE,"Plan1";#N/A,#N/A,FALSE,"Plan2"}</definedName>
    <definedName name="KJXDFD" localSheetId="0" hidden="1">{#N/A,#N/A,FALSE,"Plan1";#N/A,#N/A,FALSE,"Plan2"}</definedName>
    <definedName name="KJXDFD" hidden="1">{#N/A,#N/A,FALSE,"Plan1";#N/A,#N/A,FALSE,"Plan2"}</definedName>
    <definedName name="kjydhfkjghkjfh" localSheetId="3" hidden="1">#REF!</definedName>
    <definedName name="kjydhfkjghkjfh" localSheetId="8" hidden="1">#REF!</definedName>
    <definedName name="kjydhfkjghkjfh" localSheetId="2" hidden="1">#REF!</definedName>
    <definedName name="kjydhfkjghkjfh" localSheetId="9" hidden="1">#REF!</definedName>
    <definedName name="kjydhfkjghkjfh" localSheetId="13" hidden="1">#REF!</definedName>
    <definedName name="kjydhfkjghkjfh" localSheetId="0" hidden="1">#REF!</definedName>
    <definedName name="kjydhfkjghkjfh" hidden="1">#REF!</definedName>
    <definedName name="kk" localSheetId="3">#REF!</definedName>
    <definedName name="kk" localSheetId="8">#REF!</definedName>
    <definedName name="kk" localSheetId="2">#REF!</definedName>
    <definedName name="kk" localSheetId="9">#REF!</definedName>
    <definedName name="kk" localSheetId="13">#REF!</definedName>
    <definedName name="kk">#REF!</definedName>
    <definedName name="kk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k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f" hidden="1">{TRUE,TRUE,-1.25,-15.5,604.5,366.75,FALSE,FALSE,TRUE,TRUE,0,1,#N/A,1,#N/A,9.0125,24.4117647058824,1,FALSE,FALSE,3,TRUE,1,FALSE,100,"Swvu.PLANILHA2.","ACwvu.PLANILHA2.",#N/A,FALSE,FALSE,0.787401575,0.34,0.46,0.5,1,"","",FALSE,FALSE,FALSE,FALSE,1,#N/A,1,1,FALSE,FALSE,#N/A,#N/A,FALSE,FALSE,FALSE,9,65532,65532,FALSE,FALSE,TRUE,TRUE,TRUE}</definedName>
    <definedName name="kkk" localSheetId="3" hidden="1">{#N/A,#N/A,FALSE,"Plan1";#N/A,#N/A,FALSE,"Plan2"}</definedName>
    <definedName name="kkk" localSheetId="8" hidden="1">{#N/A,#N/A,FALSE,"Plan1";#N/A,#N/A,FALSE,"Plan2"}</definedName>
    <definedName name="kkk" localSheetId="2" hidden="1">{#N/A,#N/A,FALSE,"Plan1";#N/A,#N/A,FALSE,"Plan2"}</definedName>
    <definedName name="kkk" localSheetId="9" hidden="1">{#N/A,#N/A,FALSE,"Plan1";#N/A,#N/A,FALSE,"Plan2"}</definedName>
    <definedName name="kkk" localSheetId="13" hidden="1">{#N/A,#N/A,FALSE,"Plan1";#N/A,#N/A,FALSE,"Plan2"}</definedName>
    <definedName name="kkk" localSheetId="0" hidden="1">{#N/A,#N/A,FALSE,"Plan1";#N/A,#N/A,FALSE,"Plan2"}</definedName>
    <definedName name="kkk" hidden="1">{#N/A,#N/A,FALSE,"Plan1";#N/A,#N/A,FALSE,"Plan2"}</definedName>
    <definedName name="kkkkk" localSheetId="3" hidden="1">{#N/A,#N/A,FALSE,"Plan1";#N/A,#N/A,FALSE,"Plan2"}</definedName>
    <definedName name="kkkkk" localSheetId="8" hidden="1">{#N/A,#N/A,FALSE,"Plan1";#N/A,#N/A,FALSE,"Plan2"}</definedName>
    <definedName name="kkkkk" localSheetId="2" hidden="1">{#N/A,#N/A,FALSE,"Plan1";#N/A,#N/A,FALSE,"Plan2"}</definedName>
    <definedName name="kkkkk" localSheetId="9" hidden="1">{#N/A,#N/A,FALSE,"Plan1";#N/A,#N/A,FALSE,"Plan2"}</definedName>
    <definedName name="kkkkk" localSheetId="13" hidden="1">{#N/A,#N/A,FALSE,"Plan1";#N/A,#N/A,FALSE,"Plan2"}</definedName>
    <definedName name="kkkkk" localSheetId="0" hidden="1">{#N/A,#N/A,FALSE,"Plan1";#N/A,#N/A,FALSE,"Plan2"}</definedName>
    <definedName name="kkkkk" hidden="1">{#N/A,#N/A,FALSE,"Plan1";#N/A,#N/A,FALSE,"Plan2"}</definedName>
    <definedName name="kkkkkk" localSheetId="3" hidden="1">{#N/A,#N/A,FALSE,"Plan1";#N/A,#N/A,FALSE,"Plan2"}</definedName>
    <definedName name="kkkkkk" localSheetId="8" hidden="1">{#N/A,#N/A,FALSE,"Plan1";#N/A,#N/A,FALSE,"Plan2"}</definedName>
    <definedName name="kkkkkk" localSheetId="2" hidden="1">{#N/A,#N/A,FALSE,"Plan1";#N/A,#N/A,FALSE,"Plan2"}</definedName>
    <definedName name="kkkkkk" localSheetId="9" hidden="1">{#N/A,#N/A,FALSE,"Plan1";#N/A,#N/A,FALSE,"Plan2"}</definedName>
    <definedName name="kkkkkk" localSheetId="13" hidden="1">{#N/A,#N/A,FALSE,"Plan1";#N/A,#N/A,FALSE,"Plan2"}</definedName>
    <definedName name="kkkkkk" localSheetId="0" hidden="1">{#N/A,#N/A,FALSE,"Plan1";#N/A,#N/A,FALSE,"Plan2"}</definedName>
    <definedName name="kkkkkk" hidden="1">{#N/A,#N/A,FALSE,"Plan1";#N/A,#N/A,FALSE,"Plan2"}</definedName>
    <definedName name="kko"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k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ko" hidden="1">{TRUE,TRUE,-1.25,-15.5,604.5,366.75,FALSE,FALSE,TRUE,TRUE,0,1,#N/A,1,#N/A,9.0125,24.4117647058824,1,FALSE,FALSE,3,TRUE,1,FALSE,100,"Swvu.PLANILHA2.","ACwvu.PLANILHA2.",#N/A,FALSE,FALSE,0.787401575,0.34,0.46,0.5,1,"","",FALSE,FALSE,FALSE,FALSE,1,#N/A,1,1,FALSE,FALSE,#N/A,#N/A,FALSE,FALSE,FALSE,9,65532,65532,FALSE,FALSE,TRUE,TRUE,TRUE}</definedName>
    <definedName name="kksaklçer" localSheetId="3" hidden="1">{#N/A,#N/A,FALSE,"Plan1";#N/A,#N/A,FALSE,"Plan2"}</definedName>
    <definedName name="kksaklçer" localSheetId="8" hidden="1">{#N/A,#N/A,FALSE,"Plan1";#N/A,#N/A,FALSE,"Plan2"}</definedName>
    <definedName name="kksaklçer" localSheetId="2" hidden="1">{#N/A,#N/A,FALSE,"Plan1";#N/A,#N/A,FALSE,"Plan2"}</definedName>
    <definedName name="kksaklçer" localSheetId="9" hidden="1">{#N/A,#N/A,FALSE,"Plan1";#N/A,#N/A,FALSE,"Plan2"}</definedName>
    <definedName name="kksaklçer" localSheetId="13" hidden="1">{#N/A,#N/A,FALSE,"Plan1";#N/A,#N/A,FALSE,"Plan2"}</definedName>
    <definedName name="kksaklçer" localSheetId="0" hidden="1">{#N/A,#N/A,FALSE,"Plan1";#N/A,#N/A,FALSE,"Plan2"}</definedName>
    <definedName name="kksaklçer" hidden="1">{#N/A,#N/A,FALSE,"Plan1";#N/A,#N/A,FALSE,"Plan2"}</definedName>
    <definedName name="kksarde" localSheetId="3" hidden="1">{#N/A,#N/A,FALSE,"Plan1";#N/A,#N/A,FALSE,"Plan2"}</definedName>
    <definedName name="kksarde" localSheetId="8" hidden="1">{#N/A,#N/A,FALSE,"Plan1";#N/A,#N/A,FALSE,"Plan2"}</definedName>
    <definedName name="kksarde" localSheetId="2" hidden="1">{#N/A,#N/A,FALSE,"Plan1";#N/A,#N/A,FALSE,"Plan2"}</definedName>
    <definedName name="kksarde" localSheetId="9" hidden="1">{#N/A,#N/A,FALSE,"Plan1";#N/A,#N/A,FALSE,"Plan2"}</definedName>
    <definedName name="kksarde" localSheetId="13" hidden="1">{#N/A,#N/A,FALSE,"Plan1";#N/A,#N/A,FALSE,"Plan2"}</definedName>
    <definedName name="kksarde" localSheetId="0" hidden="1">{#N/A,#N/A,FALSE,"Plan1";#N/A,#N/A,FALSE,"Plan2"}</definedName>
    <definedName name="kksarde" hidden="1">{#N/A,#N/A,FALSE,"Plan1";#N/A,#N/A,FALSE,"Plan2"}</definedName>
    <definedName name="klaskldjsw" localSheetId="3" hidden="1">{#N/A,#N/A,FALSE,"Plan1";#N/A,#N/A,FALSE,"Plan2"}</definedName>
    <definedName name="klaskldjsw" localSheetId="8" hidden="1">{#N/A,#N/A,FALSE,"Plan1";#N/A,#N/A,FALSE,"Plan2"}</definedName>
    <definedName name="klaskldjsw" localSheetId="2" hidden="1">{#N/A,#N/A,FALSE,"Plan1";#N/A,#N/A,FALSE,"Plan2"}</definedName>
    <definedName name="klaskldjsw" localSheetId="9" hidden="1">{#N/A,#N/A,FALSE,"Plan1";#N/A,#N/A,FALSE,"Plan2"}</definedName>
    <definedName name="klaskldjsw" localSheetId="13" hidden="1">{#N/A,#N/A,FALSE,"Plan1";#N/A,#N/A,FALSE,"Plan2"}</definedName>
    <definedName name="klaskldjsw" localSheetId="0" hidden="1">{#N/A,#N/A,FALSE,"Plan1";#N/A,#N/A,FALSE,"Plan2"}</definedName>
    <definedName name="klaskldjsw" hidden="1">{#N/A,#N/A,FALSE,"Plan1";#N/A,#N/A,FALSE,"Plan2"}</definedName>
    <definedName name="klçkop" localSheetId="3" hidden="1">{#N/A,#N/A,FALSE,"Plan1";#N/A,#N/A,FALSE,"Plan2"}</definedName>
    <definedName name="klçkop" localSheetId="8" hidden="1">{#N/A,#N/A,FALSE,"Plan1";#N/A,#N/A,FALSE,"Plan2"}</definedName>
    <definedName name="klçkop" localSheetId="2" hidden="1">{#N/A,#N/A,FALSE,"Plan1";#N/A,#N/A,FALSE,"Plan2"}</definedName>
    <definedName name="klçkop" localSheetId="9" hidden="1">{#N/A,#N/A,FALSE,"Plan1";#N/A,#N/A,FALSE,"Plan2"}</definedName>
    <definedName name="klçkop" localSheetId="13" hidden="1">{#N/A,#N/A,FALSE,"Plan1";#N/A,#N/A,FALSE,"Plan2"}</definedName>
    <definedName name="klçkop" localSheetId="0" hidden="1">{#N/A,#N/A,FALSE,"Plan1";#N/A,#N/A,FALSE,"Plan2"}</definedName>
    <definedName name="klçkop" hidden="1">{#N/A,#N/A,FALSE,"Plan1";#N/A,#N/A,FALSE,"Plan2"}</definedName>
    <definedName name="KLDFNTRDT" localSheetId="3" hidden="1">{#N/A,#N/A,FALSE,"Plan1";#N/A,#N/A,FALSE,"Plan2"}</definedName>
    <definedName name="KLDFNTRDT" localSheetId="8" hidden="1">{#N/A,#N/A,FALSE,"Plan1";#N/A,#N/A,FALSE,"Plan2"}</definedName>
    <definedName name="KLDFNTRDT" localSheetId="2" hidden="1">{#N/A,#N/A,FALSE,"Plan1";#N/A,#N/A,FALSE,"Plan2"}</definedName>
    <definedName name="KLDFNTRDT" localSheetId="9" hidden="1">{#N/A,#N/A,FALSE,"Plan1";#N/A,#N/A,FALSE,"Plan2"}</definedName>
    <definedName name="KLDFNTRDT" localSheetId="13" hidden="1">{#N/A,#N/A,FALSE,"Plan1";#N/A,#N/A,FALSE,"Plan2"}</definedName>
    <definedName name="KLDFNTRDT" localSheetId="0" hidden="1">{#N/A,#N/A,FALSE,"Plan1";#N/A,#N/A,FALSE,"Plan2"}</definedName>
    <definedName name="KLDFNTRDT" hidden="1">{#N/A,#N/A,FALSE,"Plan1";#N/A,#N/A,FALSE,"Plan2"}</definedName>
    <definedName name="klhjsdklhdf" localSheetId="3" hidden="1">{#N/A,#N/A,FALSE,"Plan1";#N/A,#N/A,FALSE,"Plan2"}</definedName>
    <definedName name="klhjsdklhdf" localSheetId="8" hidden="1">{#N/A,#N/A,FALSE,"Plan1";#N/A,#N/A,FALSE,"Plan2"}</definedName>
    <definedName name="klhjsdklhdf" localSheetId="2" hidden="1">{#N/A,#N/A,FALSE,"Plan1";#N/A,#N/A,FALSE,"Plan2"}</definedName>
    <definedName name="klhjsdklhdf" localSheetId="9" hidden="1">{#N/A,#N/A,FALSE,"Plan1";#N/A,#N/A,FALSE,"Plan2"}</definedName>
    <definedName name="klhjsdklhdf" localSheetId="13" hidden="1">{#N/A,#N/A,FALSE,"Plan1";#N/A,#N/A,FALSE,"Plan2"}</definedName>
    <definedName name="klhjsdklhdf" localSheetId="0" hidden="1">{#N/A,#N/A,FALSE,"Plan1";#N/A,#N/A,FALSE,"Plan2"}</definedName>
    <definedName name="klhjsdklhdf" hidden="1">{#N/A,#N/A,FALSE,"Plan1";#N/A,#N/A,FALSE,"Plan2"}</definedName>
    <definedName name="KLHSKLRHWE" localSheetId="3" hidden="1">{#N/A,#N/A,FALSE,"Plan1";#N/A,#N/A,FALSE,"Plan2"}</definedName>
    <definedName name="KLHSKLRHWE" localSheetId="8" hidden="1">{#N/A,#N/A,FALSE,"Plan1";#N/A,#N/A,FALSE,"Plan2"}</definedName>
    <definedName name="KLHSKLRHWE" localSheetId="2" hidden="1">{#N/A,#N/A,FALSE,"Plan1";#N/A,#N/A,FALSE,"Plan2"}</definedName>
    <definedName name="KLHSKLRHWE" localSheetId="9" hidden="1">{#N/A,#N/A,FALSE,"Plan1";#N/A,#N/A,FALSE,"Plan2"}</definedName>
    <definedName name="KLHSKLRHWE" localSheetId="13" hidden="1">{#N/A,#N/A,FALSE,"Plan1";#N/A,#N/A,FALSE,"Plan2"}</definedName>
    <definedName name="KLHSKLRHWE" localSheetId="0" hidden="1">{#N/A,#N/A,FALSE,"Plan1";#N/A,#N/A,FALSE,"Plan2"}</definedName>
    <definedName name="KLHSKLRHWE" hidden="1">{#N/A,#N/A,FALSE,"Plan1";#N/A,#N/A,FALSE,"Plan2"}</definedName>
    <definedName name="KLJASKJD" localSheetId="3" hidden="1">{#N/A,#N/A,FALSE,"Plan1";#N/A,#N/A,FALSE,"Plan2"}</definedName>
    <definedName name="KLJASKJD" localSheetId="8" hidden="1">{#N/A,#N/A,FALSE,"Plan1";#N/A,#N/A,FALSE,"Plan2"}</definedName>
    <definedName name="KLJASKJD" localSheetId="2" hidden="1">{#N/A,#N/A,FALSE,"Plan1";#N/A,#N/A,FALSE,"Plan2"}</definedName>
    <definedName name="KLJASKJD" localSheetId="9" hidden="1">{#N/A,#N/A,FALSE,"Plan1";#N/A,#N/A,FALSE,"Plan2"}</definedName>
    <definedName name="KLJASKJD" localSheetId="13" hidden="1">{#N/A,#N/A,FALSE,"Plan1";#N/A,#N/A,FALSE,"Plan2"}</definedName>
    <definedName name="KLJASKJD" localSheetId="0" hidden="1">{#N/A,#N/A,FALSE,"Plan1";#N/A,#N/A,FALSE,"Plan2"}</definedName>
    <definedName name="KLJASKJD" hidden="1">{#N/A,#N/A,FALSE,"Plan1";#N/A,#N/A,FALSE,"Plan2"}</definedName>
    <definedName name="KLJDXLG"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LJDXLG" hidden="1">{TRUE,TRUE,-1.25,-15.5,604.5,366.75,FALSE,FALSE,TRUE,TRUE,0,1,#N/A,1,#N/A,9.0125,24.4117647058824,1,FALSE,FALSE,3,TRUE,1,FALSE,100,"Swvu.PLANILHA2.","ACwvu.PLANILHA2.",#N/A,FALSE,FALSE,0.787401575,0.34,0.46,0.5,1,"","",FALSE,FALSE,FALSE,FALSE,1,#N/A,1,1,FALSE,FALSE,#N/A,#N/A,FALSE,FALSE,FALSE,9,65532,65532,FALSE,FALSE,TRUE,TRUE,TRUE}</definedName>
    <definedName name="kljeflwr" localSheetId="3" hidden="1">{#N/A,#N/A,FALSE,"Plan1";#N/A,#N/A,FALSE,"Plan2"}</definedName>
    <definedName name="kljeflwr" localSheetId="8" hidden="1">{#N/A,#N/A,FALSE,"Plan1";#N/A,#N/A,FALSE,"Plan2"}</definedName>
    <definedName name="kljeflwr" localSheetId="2" hidden="1">{#N/A,#N/A,FALSE,"Plan1";#N/A,#N/A,FALSE,"Plan2"}</definedName>
    <definedName name="kljeflwr" localSheetId="9" hidden="1">{#N/A,#N/A,FALSE,"Plan1";#N/A,#N/A,FALSE,"Plan2"}</definedName>
    <definedName name="kljeflwr" localSheetId="13" hidden="1">{#N/A,#N/A,FALSE,"Plan1";#N/A,#N/A,FALSE,"Plan2"}</definedName>
    <definedName name="kljeflwr" localSheetId="0" hidden="1">{#N/A,#N/A,FALSE,"Plan1";#N/A,#N/A,FALSE,"Plan2"}</definedName>
    <definedName name="kljeflwr" hidden="1">{#N/A,#N/A,FALSE,"Plan1";#N/A,#N/A,FALSE,"Plan2"}</definedName>
    <definedName name="kljflgjrf" localSheetId="3" hidden="1">{#N/A,#N/A,FALSE,"Plan1";#N/A,#N/A,FALSE,"Plan2"}</definedName>
    <definedName name="kljflgjrf" localSheetId="8" hidden="1">{#N/A,#N/A,FALSE,"Plan1";#N/A,#N/A,FALSE,"Plan2"}</definedName>
    <definedName name="kljflgjrf" localSheetId="2" hidden="1">{#N/A,#N/A,FALSE,"Plan1";#N/A,#N/A,FALSE,"Plan2"}</definedName>
    <definedName name="kljflgjrf" localSheetId="9" hidden="1">{#N/A,#N/A,FALSE,"Plan1";#N/A,#N/A,FALSE,"Plan2"}</definedName>
    <definedName name="kljflgjrf" localSheetId="13" hidden="1">{#N/A,#N/A,FALSE,"Plan1";#N/A,#N/A,FALSE,"Plan2"}</definedName>
    <definedName name="kljflgjrf" localSheetId="0" hidden="1">{#N/A,#N/A,FALSE,"Plan1";#N/A,#N/A,FALSE,"Plan2"}</definedName>
    <definedName name="kljflgjrf" hidden="1">{#N/A,#N/A,FALSE,"Plan1";#N/A,#N/A,FALSE,"Plan2"}</definedName>
    <definedName name="kljgfdfr" localSheetId="3" hidden="1">{#N/A,#N/A,FALSE,"Plan1";#N/A,#N/A,FALSE,"Plan2"}</definedName>
    <definedName name="kljgfdfr" localSheetId="8" hidden="1">{#N/A,#N/A,FALSE,"Plan1";#N/A,#N/A,FALSE,"Plan2"}</definedName>
    <definedName name="kljgfdfr" localSheetId="2" hidden="1">{#N/A,#N/A,FALSE,"Plan1";#N/A,#N/A,FALSE,"Plan2"}</definedName>
    <definedName name="kljgfdfr" localSheetId="9" hidden="1">{#N/A,#N/A,FALSE,"Plan1";#N/A,#N/A,FALSE,"Plan2"}</definedName>
    <definedName name="kljgfdfr" localSheetId="13" hidden="1">{#N/A,#N/A,FALSE,"Plan1";#N/A,#N/A,FALSE,"Plan2"}</definedName>
    <definedName name="kljgfdfr" localSheetId="0" hidden="1">{#N/A,#N/A,FALSE,"Plan1";#N/A,#N/A,FALSE,"Plan2"}</definedName>
    <definedName name="kljgfdfr" hidden="1">{#N/A,#N/A,FALSE,"Plan1";#N/A,#N/A,FALSE,"Plan2"}</definedName>
    <definedName name="kljgfjrt" localSheetId="3" hidden="1">{#N/A,#N/A,FALSE,"Plan1";#N/A,#N/A,FALSE,"Plan2"}</definedName>
    <definedName name="kljgfjrt" localSheetId="8" hidden="1">{#N/A,#N/A,FALSE,"Plan1";#N/A,#N/A,FALSE,"Plan2"}</definedName>
    <definedName name="kljgfjrt" localSheetId="2" hidden="1">{#N/A,#N/A,FALSE,"Plan1";#N/A,#N/A,FALSE,"Plan2"}</definedName>
    <definedName name="kljgfjrt" localSheetId="9" hidden="1">{#N/A,#N/A,FALSE,"Plan1";#N/A,#N/A,FALSE,"Plan2"}</definedName>
    <definedName name="kljgfjrt" localSheetId="13" hidden="1">{#N/A,#N/A,FALSE,"Plan1";#N/A,#N/A,FALSE,"Plan2"}</definedName>
    <definedName name="kljgfjrt" localSheetId="0" hidden="1">{#N/A,#N/A,FALSE,"Plan1";#N/A,#N/A,FALSE,"Plan2"}</definedName>
    <definedName name="kljgfjrt" hidden="1">{#N/A,#N/A,FALSE,"Plan1";#N/A,#N/A,FALSE,"Plan2"}</definedName>
    <definedName name="kljlkdfj" localSheetId="3" hidden="1">{#N/A,#N/A,FALSE,"Plan1";#N/A,#N/A,FALSE,"Plan2"}</definedName>
    <definedName name="kljlkdfj" localSheetId="8" hidden="1">{#N/A,#N/A,FALSE,"Plan1";#N/A,#N/A,FALSE,"Plan2"}</definedName>
    <definedName name="kljlkdfj" localSheetId="2" hidden="1">{#N/A,#N/A,FALSE,"Plan1";#N/A,#N/A,FALSE,"Plan2"}</definedName>
    <definedName name="kljlkdfj" localSheetId="9" hidden="1">{#N/A,#N/A,FALSE,"Plan1";#N/A,#N/A,FALSE,"Plan2"}</definedName>
    <definedName name="kljlkdfj" localSheetId="13" hidden="1">{#N/A,#N/A,FALSE,"Plan1";#N/A,#N/A,FALSE,"Plan2"}</definedName>
    <definedName name="kljlkdfj" localSheetId="0" hidden="1">{#N/A,#N/A,FALSE,"Plan1";#N/A,#N/A,FALSE,"Plan2"}</definedName>
    <definedName name="kljlkdfj" hidden="1">{#N/A,#N/A,FALSE,"Plan1";#N/A,#N/A,FALSE,"Plan2"}</definedName>
    <definedName name="kljsakjfr" localSheetId="3" hidden="1">{#N/A,#N/A,FALSE,"Plan1";#N/A,#N/A,FALSE,"Plan2"}</definedName>
    <definedName name="kljsakjfr" localSheetId="8" hidden="1">{#N/A,#N/A,FALSE,"Plan1";#N/A,#N/A,FALSE,"Plan2"}</definedName>
    <definedName name="kljsakjfr" localSheetId="2" hidden="1">{#N/A,#N/A,FALSE,"Plan1";#N/A,#N/A,FALSE,"Plan2"}</definedName>
    <definedName name="kljsakjfr" localSheetId="9" hidden="1">{#N/A,#N/A,FALSE,"Plan1";#N/A,#N/A,FALSE,"Plan2"}</definedName>
    <definedName name="kljsakjfr" localSheetId="13" hidden="1">{#N/A,#N/A,FALSE,"Plan1";#N/A,#N/A,FALSE,"Plan2"}</definedName>
    <definedName name="kljsakjfr" localSheetId="0" hidden="1">{#N/A,#N/A,FALSE,"Plan1";#N/A,#N/A,FALSE,"Plan2"}</definedName>
    <definedName name="kljsakjfr" hidden="1">{#N/A,#N/A,FALSE,"Plan1";#N/A,#N/A,FALSE,"Plan2"}</definedName>
    <definedName name="kljsdje" localSheetId="3" hidden="1">{#N/A,#N/A,FALSE,"Plan1";#N/A,#N/A,FALSE,"Plan2"}</definedName>
    <definedName name="kljsdje" localSheetId="8" hidden="1">{#N/A,#N/A,FALSE,"Plan1";#N/A,#N/A,FALSE,"Plan2"}</definedName>
    <definedName name="kljsdje" localSheetId="2" hidden="1">{#N/A,#N/A,FALSE,"Plan1";#N/A,#N/A,FALSE,"Plan2"}</definedName>
    <definedName name="kljsdje" localSheetId="9" hidden="1">{#N/A,#N/A,FALSE,"Plan1";#N/A,#N/A,FALSE,"Plan2"}</definedName>
    <definedName name="kljsdje" localSheetId="13" hidden="1">{#N/A,#N/A,FALSE,"Plan1";#N/A,#N/A,FALSE,"Plan2"}</definedName>
    <definedName name="kljsdje" localSheetId="0" hidden="1">{#N/A,#N/A,FALSE,"Plan1";#N/A,#N/A,FALSE,"Plan2"}</definedName>
    <definedName name="kljsdje" hidden="1">{#N/A,#N/A,FALSE,"Plan1";#N/A,#N/A,FALSE,"Plan2"}</definedName>
    <definedName name="kljsfwe" localSheetId="3" hidden="1">{#N/A,#N/A,FALSE,"Plan1";#N/A,#N/A,FALSE,"Plan2"}</definedName>
    <definedName name="kljsfwe" localSheetId="8" hidden="1">{#N/A,#N/A,FALSE,"Plan1";#N/A,#N/A,FALSE,"Plan2"}</definedName>
    <definedName name="kljsfwe" localSheetId="2" hidden="1">{#N/A,#N/A,FALSE,"Plan1";#N/A,#N/A,FALSE,"Plan2"}</definedName>
    <definedName name="kljsfwe" localSheetId="9" hidden="1">{#N/A,#N/A,FALSE,"Plan1";#N/A,#N/A,FALSE,"Plan2"}</definedName>
    <definedName name="kljsfwe" localSheetId="13" hidden="1">{#N/A,#N/A,FALSE,"Plan1";#N/A,#N/A,FALSE,"Plan2"}</definedName>
    <definedName name="kljsfwe" localSheetId="0" hidden="1">{#N/A,#N/A,FALSE,"Plan1";#N/A,#N/A,FALSE,"Plan2"}</definedName>
    <definedName name="kljsfwe" hidden="1">{#N/A,#N/A,FALSE,"Plan1";#N/A,#N/A,FALSE,"Plan2"}</definedName>
    <definedName name="klk" localSheetId="3" hidden="1">{#N/A,#N/A,FALSE,"Plan1";#N/A,#N/A,FALSE,"Plan2"}</definedName>
    <definedName name="klk" localSheetId="8" hidden="1">{#N/A,#N/A,FALSE,"Plan1";#N/A,#N/A,FALSE,"Plan2"}</definedName>
    <definedName name="klk" localSheetId="2" hidden="1">{#N/A,#N/A,FALSE,"Plan1";#N/A,#N/A,FALSE,"Plan2"}</definedName>
    <definedName name="klk" localSheetId="9" hidden="1">{#N/A,#N/A,FALSE,"Plan1";#N/A,#N/A,FALSE,"Plan2"}</definedName>
    <definedName name="klk" localSheetId="13" hidden="1">{#N/A,#N/A,FALSE,"Plan1";#N/A,#N/A,FALSE,"Plan2"}</definedName>
    <definedName name="klk" localSheetId="0" hidden="1">{#N/A,#N/A,FALSE,"Plan1";#N/A,#N/A,FALSE,"Plan2"}</definedName>
    <definedName name="klk" hidden="1">{#N/A,#N/A,FALSE,"Plan1";#N/A,#N/A,FALSE,"Plan2"}</definedName>
    <definedName name="KLKKLKÇJÇ" localSheetId="3" hidden="1">{#N/A,#N/A,FALSE,"Plan1";#N/A,#N/A,FALSE,"Plan2"}</definedName>
    <definedName name="KLKKLKÇJÇ" localSheetId="8" hidden="1">{#N/A,#N/A,FALSE,"Plan1";#N/A,#N/A,FALSE,"Plan2"}</definedName>
    <definedName name="KLKKLKÇJÇ" localSheetId="2" hidden="1">{#N/A,#N/A,FALSE,"Plan1";#N/A,#N/A,FALSE,"Plan2"}</definedName>
    <definedName name="KLKKLKÇJÇ" localSheetId="9" hidden="1">{#N/A,#N/A,FALSE,"Plan1";#N/A,#N/A,FALSE,"Plan2"}</definedName>
    <definedName name="KLKKLKÇJÇ" localSheetId="13" hidden="1">{#N/A,#N/A,FALSE,"Plan1";#N/A,#N/A,FALSE,"Plan2"}</definedName>
    <definedName name="KLKKLKÇJÇ" localSheetId="0" hidden="1">{#N/A,#N/A,FALSE,"Plan1";#N/A,#N/A,FALSE,"Plan2"}</definedName>
    <definedName name="KLKKLKÇJÇ" hidden="1">{#N/A,#N/A,FALSE,"Plan1";#N/A,#N/A,FALSE,"Plan2"}</definedName>
    <definedName name="KLSDFT" localSheetId="3" hidden="1">{#N/A,#N/A,FALSE,"Plan1";#N/A,#N/A,FALSE,"Plan2"}</definedName>
    <definedName name="KLSDFT" localSheetId="8" hidden="1">{#N/A,#N/A,FALSE,"Plan1";#N/A,#N/A,FALSE,"Plan2"}</definedName>
    <definedName name="KLSDFT" localSheetId="2" hidden="1">{#N/A,#N/A,FALSE,"Plan1";#N/A,#N/A,FALSE,"Plan2"}</definedName>
    <definedName name="KLSDFT" localSheetId="9" hidden="1">{#N/A,#N/A,FALSE,"Plan1";#N/A,#N/A,FALSE,"Plan2"}</definedName>
    <definedName name="KLSDFT" localSheetId="13" hidden="1">{#N/A,#N/A,FALSE,"Plan1";#N/A,#N/A,FALSE,"Plan2"}</definedName>
    <definedName name="KLSDFT" localSheetId="0" hidden="1">{#N/A,#N/A,FALSE,"Plan1";#N/A,#N/A,FALSE,"Plan2"}</definedName>
    <definedName name="KLSDFT" hidden="1">{#N/A,#N/A,FALSE,"Plan1";#N/A,#N/A,FALSE,"Plan2"}</definedName>
    <definedName name="KLSDHSJKHF" localSheetId="3" hidden="1">{#N/A,#N/A,FALSE,"Plan1";#N/A,#N/A,FALSE,"Plan2"}</definedName>
    <definedName name="KLSDHSJKHF" localSheetId="8" hidden="1">{#N/A,#N/A,FALSE,"Plan1";#N/A,#N/A,FALSE,"Plan2"}</definedName>
    <definedName name="KLSDHSJKHF" localSheetId="2" hidden="1">{#N/A,#N/A,FALSE,"Plan1";#N/A,#N/A,FALSE,"Plan2"}</definedName>
    <definedName name="KLSDHSJKHF" localSheetId="9" hidden="1">{#N/A,#N/A,FALSE,"Plan1";#N/A,#N/A,FALSE,"Plan2"}</definedName>
    <definedName name="KLSDHSJKHF" localSheetId="13" hidden="1">{#N/A,#N/A,FALSE,"Plan1";#N/A,#N/A,FALSE,"Plan2"}</definedName>
    <definedName name="KLSDHSJKHF" localSheetId="0" hidden="1">{#N/A,#N/A,FALSE,"Plan1";#N/A,#N/A,FALSE,"Plan2"}</definedName>
    <definedName name="KLSDHSJKHF" hidden="1">{#N/A,#N/A,FALSE,"Plan1";#N/A,#N/A,FALSE,"Plan2"}</definedName>
    <definedName name="klsdkre" localSheetId="3" hidden="1">{#N/A,#N/A,FALSE,"Plan1";#N/A,#N/A,FALSE,"Plan2"}</definedName>
    <definedName name="klsdkre" localSheetId="8" hidden="1">{#N/A,#N/A,FALSE,"Plan1";#N/A,#N/A,FALSE,"Plan2"}</definedName>
    <definedName name="klsdkre" localSheetId="2" hidden="1">{#N/A,#N/A,FALSE,"Plan1";#N/A,#N/A,FALSE,"Plan2"}</definedName>
    <definedName name="klsdkre" localSheetId="9" hidden="1">{#N/A,#N/A,FALSE,"Plan1";#N/A,#N/A,FALSE,"Plan2"}</definedName>
    <definedName name="klsdkre" localSheetId="13" hidden="1">{#N/A,#N/A,FALSE,"Plan1";#N/A,#N/A,FALSE,"Plan2"}</definedName>
    <definedName name="klsdkre" localSheetId="0" hidden="1">{#N/A,#N/A,FALSE,"Plan1";#N/A,#N/A,FALSE,"Plan2"}</definedName>
    <definedName name="klsdkre" hidden="1">{#N/A,#N/A,FALSE,"Plan1";#N/A,#N/A,FALSE,"Plan2"}</definedName>
    <definedName name="KLSIDJE" localSheetId="3" hidden="1">{#N/A,#N/A,FALSE,"Plan1";#N/A,#N/A,FALSE,"Plan2"}</definedName>
    <definedName name="KLSIDJE" localSheetId="8" hidden="1">{#N/A,#N/A,FALSE,"Plan1";#N/A,#N/A,FALSE,"Plan2"}</definedName>
    <definedName name="KLSIDJE" localSheetId="2" hidden="1">{#N/A,#N/A,FALSE,"Plan1";#N/A,#N/A,FALSE,"Plan2"}</definedName>
    <definedName name="KLSIDJE" localSheetId="9" hidden="1">{#N/A,#N/A,FALSE,"Plan1";#N/A,#N/A,FALSE,"Plan2"}</definedName>
    <definedName name="KLSIDJE" localSheetId="13" hidden="1">{#N/A,#N/A,FALSE,"Plan1";#N/A,#N/A,FALSE,"Plan2"}</definedName>
    <definedName name="KLSIDJE" localSheetId="0" hidden="1">{#N/A,#N/A,FALSE,"Plan1";#N/A,#N/A,FALSE,"Plan2"}</definedName>
    <definedName name="KLSIDJE" hidden="1">{#N/A,#N/A,FALSE,"Plan1";#N/A,#N/A,FALSE,"Plan2"}</definedName>
    <definedName name="klsjarsf" localSheetId="3" hidden="1">{#N/A,#N/A,FALSE,"Plan1";#N/A,#N/A,FALSE,"Plan2"}</definedName>
    <definedName name="klsjarsf" localSheetId="8" hidden="1">{#N/A,#N/A,FALSE,"Plan1";#N/A,#N/A,FALSE,"Plan2"}</definedName>
    <definedName name="klsjarsf" localSheetId="2" hidden="1">{#N/A,#N/A,FALSE,"Plan1";#N/A,#N/A,FALSE,"Plan2"}</definedName>
    <definedName name="klsjarsf" localSheetId="9" hidden="1">{#N/A,#N/A,FALSE,"Plan1";#N/A,#N/A,FALSE,"Plan2"}</definedName>
    <definedName name="klsjarsf" localSheetId="13" hidden="1">{#N/A,#N/A,FALSE,"Plan1";#N/A,#N/A,FALSE,"Plan2"}</definedName>
    <definedName name="klsjarsf" localSheetId="0" hidden="1">{#N/A,#N/A,FALSE,"Plan1";#N/A,#N/A,FALSE,"Plan2"}</definedName>
    <definedName name="klsjarsf" hidden="1">{#N/A,#N/A,FALSE,"Plan1";#N/A,#N/A,FALSE,"Plan2"}</definedName>
    <definedName name="klsjdwe" localSheetId="3" hidden="1">#REF!</definedName>
    <definedName name="klsjdwe" localSheetId="8" hidden="1">#REF!</definedName>
    <definedName name="klsjdwe" localSheetId="2" hidden="1">#REF!</definedName>
    <definedName name="klsjdwe" localSheetId="9" hidden="1">#REF!</definedName>
    <definedName name="klsjdwe" localSheetId="13" hidden="1">#REF!</definedName>
    <definedName name="klsjdwe" localSheetId="0" hidden="1">#REF!</definedName>
    <definedName name="klsjdwe" hidden="1">#REF!</definedName>
    <definedName name="klxhjfdkhser" localSheetId="3" hidden="1">{#N/A,#N/A,FALSE,"Plan1";#N/A,#N/A,FALSE,"Plan2"}</definedName>
    <definedName name="klxhjfdkhser" localSheetId="8" hidden="1">{#N/A,#N/A,FALSE,"Plan1";#N/A,#N/A,FALSE,"Plan2"}</definedName>
    <definedName name="klxhjfdkhser" localSheetId="2" hidden="1">{#N/A,#N/A,FALSE,"Plan1";#N/A,#N/A,FALSE,"Plan2"}</definedName>
    <definedName name="klxhjfdkhser" localSheetId="9" hidden="1">{#N/A,#N/A,FALSE,"Plan1";#N/A,#N/A,FALSE,"Plan2"}</definedName>
    <definedName name="klxhjfdkhser" localSheetId="13" hidden="1">{#N/A,#N/A,FALSE,"Plan1";#N/A,#N/A,FALSE,"Plan2"}</definedName>
    <definedName name="klxhjfdkhser" localSheetId="0" hidden="1">{#N/A,#N/A,FALSE,"Plan1";#N/A,#N/A,FALSE,"Plan2"}</definedName>
    <definedName name="klxhjfdkhser" hidden="1">{#N/A,#N/A,FALSE,"Plan1";#N/A,#N/A,FALSE,"Plan2"}</definedName>
    <definedName name="kopipnsdfne" localSheetId="3" hidden="1">{#N/A,#N/A,FALSE,"Plan1";#N/A,#N/A,FALSE,"Plan2"}</definedName>
    <definedName name="kopipnsdfne" localSheetId="8" hidden="1">{#N/A,#N/A,FALSE,"Plan1";#N/A,#N/A,FALSE,"Plan2"}</definedName>
    <definedName name="kopipnsdfne" localSheetId="2" hidden="1">{#N/A,#N/A,FALSE,"Plan1";#N/A,#N/A,FALSE,"Plan2"}</definedName>
    <definedName name="kopipnsdfne" localSheetId="9" hidden="1">{#N/A,#N/A,FALSE,"Plan1";#N/A,#N/A,FALSE,"Plan2"}</definedName>
    <definedName name="kopipnsdfne" localSheetId="13" hidden="1">{#N/A,#N/A,FALSE,"Plan1";#N/A,#N/A,FALSE,"Plan2"}</definedName>
    <definedName name="kopipnsdfne" localSheetId="0" hidden="1">{#N/A,#N/A,FALSE,"Plan1";#N/A,#N/A,FALSE,"Plan2"}</definedName>
    <definedName name="kopipnsdfne" hidden="1">{#N/A,#N/A,FALSE,"Plan1";#N/A,#N/A,FALSE,"Plan2"}</definedName>
    <definedName name="kp"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p"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p"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KSDLÇKSÇF" hidden="1">{TRUE,TRUE,-1.25,-15.5,604.5,366.75,FALSE,FALSE,TRUE,TRUE,0,1,#N/A,1,#N/A,9.0125,24.4117647058824,1,FALSE,FALSE,3,TRUE,1,FALSE,100,"Swvu.PLANILHA2.","ACwvu.PLANILHA2.",#N/A,FALSE,FALSE,0.787401575,0.34,0.46,0.5,1,"","",FALSE,FALSE,FALSE,FALSE,1,#N/A,1,1,FALSE,FALSE,#N/A,#N/A,FALSE,FALSE,FALSE,9,65532,65532,FALSE,FALSE,TRUE,TRUE,TRUE}</definedName>
    <definedName name="KSDLDF" localSheetId="3" hidden="1">{#N/A,#N/A,FALSE,"Plan1";#N/A,#N/A,FALSE,"Plan2"}</definedName>
    <definedName name="KSDLDF" localSheetId="8" hidden="1">{#N/A,#N/A,FALSE,"Plan1";#N/A,#N/A,FALSE,"Plan2"}</definedName>
    <definedName name="KSDLDF" localSheetId="2" hidden="1">{#N/A,#N/A,FALSE,"Plan1";#N/A,#N/A,FALSE,"Plan2"}</definedName>
    <definedName name="KSDLDF" localSheetId="9" hidden="1">{#N/A,#N/A,FALSE,"Plan1";#N/A,#N/A,FALSE,"Plan2"}</definedName>
    <definedName name="KSDLDF" localSheetId="13" hidden="1">{#N/A,#N/A,FALSE,"Plan1";#N/A,#N/A,FALSE,"Plan2"}</definedName>
    <definedName name="KSDLDF" localSheetId="0" hidden="1">{#N/A,#N/A,FALSE,"Plan1";#N/A,#N/A,FALSE,"Plan2"}</definedName>
    <definedName name="KSDLDF" hidden="1">{#N/A,#N/A,FALSE,"Plan1";#N/A,#N/A,FALSE,"Plan2"}</definedName>
    <definedName name="ksdlkfsçzd" localSheetId="3" hidden="1">{#N/A,#N/A,FALSE,"Plan1";#N/A,#N/A,FALSE,"Plan2"}</definedName>
    <definedName name="ksdlkfsçzd" localSheetId="8" hidden="1">{#N/A,#N/A,FALSE,"Plan1";#N/A,#N/A,FALSE,"Plan2"}</definedName>
    <definedName name="ksdlkfsçzd" localSheetId="2" hidden="1">{#N/A,#N/A,FALSE,"Plan1";#N/A,#N/A,FALSE,"Plan2"}</definedName>
    <definedName name="ksdlkfsçzd" localSheetId="9" hidden="1">{#N/A,#N/A,FALSE,"Plan1";#N/A,#N/A,FALSE,"Plan2"}</definedName>
    <definedName name="ksdlkfsçzd" localSheetId="13" hidden="1">{#N/A,#N/A,FALSE,"Plan1";#N/A,#N/A,FALSE,"Plan2"}</definedName>
    <definedName name="ksdlkfsçzd" localSheetId="0" hidden="1">{#N/A,#N/A,FALSE,"Plan1";#N/A,#N/A,FALSE,"Plan2"}</definedName>
    <definedName name="ksdlkfsçzd" hidden="1">{#N/A,#N/A,FALSE,"Plan1";#N/A,#N/A,FALSE,"Plan2"}</definedName>
    <definedName name="KSDNFK" localSheetId="3">#REF!</definedName>
    <definedName name="KSDNFK" localSheetId="2">#REF!</definedName>
    <definedName name="KSDNFK">#REF!</definedName>
    <definedName name="ksdoçierfe" localSheetId="3" hidden="1">{#N/A,#N/A,FALSE,"Plan1";#N/A,#N/A,FALSE,"Plan2"}</definedName>
    <definedName name="ksdoçierfe" localSheetId="8" hidden="1">{#N/A,#N/A,FALSE,"Plan1";#N/A,#N/A,FALSE,"Plan2"}</definedName>
    <definedName name="ksdoçierfe" localSheetId="2" hidden="1">{#N/A,#N/A,FALSE,"Plan1";#N/A,#N/A,FALSE,"Plan2"}</definedName>
    <definedName name="ksdoçierfe" localSheetId="9" hidden="1">{#N/A,#N/A,FALSE,"Plan1";#N/A,#N/A,FALSE,"Plan2"}</definedName>
    <definedName name="ksdoçierfe" localSheetId="13" hidden="1">{#N/A,#N/A,FALSE,"Plan1";#N/A,#N/A,FALSE,"Plan2"}</definedName>
    <definedName name="ksdoçierfe" localSheetId="0" hidden="1">{#N/A,#N/A,FALSE,"Plan1";#N/A,#N/A,FALSE,"Plan2"}</definedName>
    <definedName name="ksdoçierfe" hidden="1">{#N/A,#N/A,FALSE,"Plan1";#N/A,#N/A,FALSE,"Plan2"}</definedName>
    <definedName name="ksdtrdrkf" localSheetId="3" hidden="1">{#N/A,#N/A,FALSE,"Plan1";#N/A,#N/A,FALSE,"Plan2"}</definedName>
    <definedName name="ksdtrdrkf" localSheetId="8" hidden="1">{#N/A,#N/A,FALSE,"Plan1";#N/A,#N/A,FALSE,"Plan2"}</definedName>
    <definedName name="ksdtrdrkf" localSheetId="2" hidden="1">{#N/A,#N/A,FALSE,"Plan1";#N/A,#N/A,FALSE,"Plan2"}</definedName>
    <definedName name="ksdtrdrkf" localSheetId="9" hidden="1">{#N/A,#N/A,FALSE,"Plan1";#N/A,#N/A,FALSE,"Plan2"}</definedName>
    <definedName name="ksdtrdrkf" localSheetId="13" hidden="1">{#N/A,#N/A,FALSE,"Plan1";#N/A,#N/A,FALSE,"Plan2"}</definedName>
    <definedName name="ksdtrdrkf" localSheetId="0" hidden="1">{#N/A,#N/A,FALSE,"Plan1";#N/A,#N/A,FALSE,"Plan2"}</definedName>
    <definedName name="ksdtrdrkf" hidden="1">{#N/A,#N/A,FALSE,"Plan1";#N/A,#N/A,FALSE,"Plan2"}</definedName>
    <definedName name="KSFÇJDFJL" localSheetId="3" hidden="1">{#N/A,#N/A,FALSE,"Plan1";#N/A,#N/A,FALSE,"Plan2"}</definedName>
    <definedName name="KSFÇJDFJL" localSheetId="8" hidden="1">{#N/A,#N/A,FALSE,"Plan1";#N/A,#N/A,FALSE,"Plan2"}</definedName>
    <definedName name="KSFÇJDFJL" localSheetId="2" hidden="1">{#N/A,#N/A,FALSE,"Plan1";#N/A,#N/A,FALSE,"Plan2"}</definedName>
    <definedName name="KSFÇJDFJL" localSheetId="9" hidden="1">{#N/A,#N/A,FALSE,"Plan1";#N/A,#N/A,FALSE,"Plan2"}</definedName>
    <definedName name="KSFÇJDFJL" localSheetId="13" hidden="1">{#N/A,#N/A,FALSE,"Plan1";#N/A,#N/A,FALSE,"Plan2"}</definedName>
    <definedName name="KSFÇJDFJL" localSheetId="0" hidden="1">{#N/A,#N/A,FALSE,"Plan1";#N/A,#N/A,FALSE,"Plan2"}</definedName>
    <definedName name="KSFÇJDFJL" hidden="1">{#N/A,#N/A,FALSE,"Plan1";#N/A,#N/A,FALSE,"Plan2"}</definedName>
    <definedName name="ksfhse" localSheetId="3" hidden="1">{#N/A,#N/A,FALSE,"Plan1";#N/A,#N/A,FALSE,"Plan2"}</definedName>
    <definedName name="ksfhse" localSheetId="8" hidden="1">{#N/A,#N/A,FALSE,"Plan1";#N/A,#N/A,FALSE,"Plan2"}</definedName>
    <definedName name="ksfhse" localSheetId="2" hidden="1">{#N/A,#N/A,FALSE,"Plan1";#N/A,#N/A,FALSE,"Plan2"}</definedName>
    <definedName name="ksfhse" localSheetId="9" hidden="1">{#N/A,#N/A,FALSE,"Plan1";#N/A,#N/A,FALSE,"Plan2"}</definedName>
    <definedName name="ksfhse" localSheetId="13" hidden="1">{#N/A,#N/A,FALSE,"Plan1";#N/A,#N/A,FALSE,"Plan2"}</definedName>
    <definedName name="ksfhse" localSheetId="0" hidden="1">{#N/A,#N/A,FALSE,"Plan1";#N/A,#N/A,FALSE,"Plan2"}</definedName>
    <definedName name="ksfhse" hidden="1">{#N/A,#N/A,FALSE,"Plan1";#N/A,#N/A,FALSE,"Plan2"}</definedName>
    <definedName name="KSRKOE" localSheetId="3" hidden="1">{#N/A,#N/A,FALSE,"Plan1";#N/A,#N/A,FALSE,"Plan2"}</definedName>
    <definedName name="KSRKOE" localSheetId="8" hidden="1">{#N/A,#N/A,FALSE,"Plan1";#N/A,#N/A,FALSE,"Plan2"}</definedName>
    <definedName name="KSRKOE" localSheetId="2" hidden="1">{#N/A,#N/A,FALSE,"Plan1";#N/A,#N/A,FALSE,"Plan2"}</definedName>
    <definedName name="KSRKOE" localSheetId="9" hidden="1">{#N/A,#N/A,FALSE,"Plan1";#N/A,#N/A,FALSE,"Plan2"}</definedName>
    <definedName name="KSRKOE" localSheetId="13" hidden="1">{#N/A,#N/A,FALSE,"Plan1";#N/A,#N/A,FALSE,"Plan2"}</definedName>
    <definedName name="KSRKOE" localSheetId="0" hidden="1">{#N/A,#N/A,FALSE,"Plan1";#N/A,#N/A,FALSE,"Plan2"}</definedName>
    <definedName name="KSRKOE" hidden="1">{#N/A,#N/A,FALSE,"Plan1";#N/A,#N/A,FALSE,"Plan2"}</definedName>
    <definedName name="KSWKE" localSheetId="3" hidden="1">{#N/A,#N/A,FALSE,"Plan1";#N/A,#N/A,FALSE,"Plan2"}</definedName>
    <definedName name="KSWKE" localSheetId="8" hidden="1">{#N/A,#N/A,FALSE,"Plan1";#N/A,#N/A,FALSE,"Plan2"}</definedName>
    <definedName name="KSWKE" localSheetId="2" hidden="1">{#N/A,#N/A,FALSE,"Plan1";#N/A,#N/A,FALSE,"Plan2"}</definedName>
    <definedName name="KSWKE" localSheetId="9" hidden="1">{#N/A,#N/A,FALSE,"Plan1";#N/A,#N/A,FALSE,"Plan2"}</definedName>
    <definedName name="KSWKE" localSheetId="13" hidden="1">{#N/A,#N/A,FALSE,"Plan1";#N/A,#N/A,FALSE,"Plan2"}</definedName>
    <definedName name="KSWKE" localSheetId="0" hidden="1">{#N/A,#N/A,FALSE,"Plan1";#N/A,#N/A,FALSE,"Plan2"}</definedName>
    <definedName name="KSWKE" hidden="1">{#N/A,#N/A,FALSE,"Plan1";#N/A,#N/A,FALSE,"Plan2"}</definedName>
    <definedName name="kubus" localSheetId="3">#REF!</definedName>
    <definedName name="kubus" localSheetId="2">#REF!</definedName>
    <definedName name="kubus">#REF!</definedName>
    <definedName name="kubus1" localSheetId="3">#REF!</definedName>
    <definedName name="kubus1" localSheetId="2">#REF!</definedName>
    <definedName name="kubus1">#REF!</definedName>
    <definedName name="kysdusf" localSheetId="3" hidden="1">{#N/A,#N/A,FALSE,"Plan1";#N/A,#N/A,FALSE,"Plan2"}</definedName>
    <definedName name="kysdusf" localSheetId="8" hidden="1">{#N/A,#N/A,FALSE,"Plan1";#N/A,#N/A,FALSE,"Plan2"}</definedName>
    <definedName name="kysdusf" localSheetId="2" hidden="1">{#N/A,#N/A,FALSE,"Plan1";#N/A,#N/A,FALSE,"Plan2"}</definedName>
    <definedName name="kysdusf" localSheetId="9" hidden="1">{#N/A,#N/A,FALSE,"Plan1";#N/A,#N/A,FALSE,"Plan2"}</definedName>
    <definedName name="kysdusf" localSheetId="13" hidden="1">{#N/A,#N/A,FALSE,"Plan1";#N/A,#N/A,FALSE,"Plan2"}</definedName>
    <definedName name="kysdusf" localSheetId="0" hidden="1">{#N/A,#N/A,FALSE,"Plan1";#N/A,#N/A,FALSE,"Plan2"}</definedName>
    <definedName name="kysdusf" hidden="1">{#N/A,#N/A,FALSE,"Plan1";#N/A,#N/A,FALSE,"Plan2"}</definedName>
    <definedName name="kzslçdkçle" localSheetId="3" hidden="1">{#N/A,#N/A,FALSE,"Plan1";#N/A,#N/A,FALSE,"Plan2"}</definedName>
    <definedName name="kzslçdkçle" localSheetId="8" hidden="1">{#N/A,#N/A,FALSE,"Plan1";#N/A,#N/A,FALSE,"Plan2"}</definedName>
    <definedName name="kzslçdkçle" localSheetId="2" hidden="1">{#N/A,#N/A,FALSE,"Plan1";#N/A,#N/A,FALSE,"Plan2"}</definedName>
    <definedName name="kzslçdkçle" localSheetId="9" hidden="1">{#N/A,#N/A,FALSE,"Plan1";#N/A,#N/A,FALSE,"Plan2"}</definedName>
    <definedName name="kzslçdkçle" localSheetId="13" hidden="1">{#N/A,#N/A,FALSE,"Plan1";#N/A,#N/A,FALSE,"Plan2"}</definedName>
    <definedName name="kzslçdkçle" localSheetId="0" hidden="1">{#N/A,#N/A,FALSE,"Plan1";#N/A,#N/A,FALSE,"Plan2"}</definedName>
    <definedName name="kzslçdkçle" hidden="1">{#N/A,#N/A,FALSE,"Plan1";#N/A,#N/A,FALSE,"Plan2"}</definedName>
    <definedName name="L_" localSheetId="3">#REF!</definedName>
    <definedName name="L_" localSheetId="2">#REF!</definedName>
    <definedName name="L_">#REF!</definedName>
    <definedName name="LAEKWRK" localSheetId="3" hidden="1">{#N/A,#N/A,FALSE,"Plan1";#N/A,#N/A,FALSE,"Plan2"}</definedName>
    <definedName name="LAEKWRK" localSheetId="8" hidden="1">{#N/A,#N/A,FALSE,"Plan1";#N/A,#N/A,FALSE,"Plan2"}</definedName>
    <definedName name="LAEKWRK" localSheetId="2" hidden="1">{#N/A,#N/A,FALSE,"Plan1";#N/A,#N/A,FALSE,"Plan2"}</definedName>
    <definedName name="LAEKWRK" localSheetId="9" hidden="1">{#N/A,#N/A,FALSE,"Plan1";#N/A,#N/A,FALSE,"Plan2"}</definedName>
    <definedName name="LAEKWRK" localSheetId="13" hidden="1">{#N/A,#N/A,FALSE,"Plan1";#N/A,#N/A,FALSE,"Plan2"}</definedName>
    <definedName name="LAEKWRK" localSheetId="0" hidden="1">{#N/A,#N/A,FALSE,"Plan1";#N/A,#N/A,FALSE,"Plan2"}</definedName>
    <definedName name="LAEKWRK" hidden="1">{#N/A,#N/A,FALSE,"Plan1";#N/A,#N/A,FALSE,"Plan2"}</definedName>
    <definedName name="laeqwep" localSheetId="3" hidden="1">#REF!</definedName>
    <definedName name="laeqwep" localSheetId="8" hidden="1">#REF!</definedName>
    <definedName name="laeqwep" localSheetId="2" hidden="1">#REF!</definedName>
    <definedName name="laeqwep" localSheetId="9" hidden="1">#REF!</definedName>
    <definedName name="laeqwep" localSheetId="13" hidden="1">#REF!</definedName>
    <definedName name="laeqwep" localSheetId="0" hidden="1">#REF!</definedName>
    <definedName name="laeqwep" hidden="1">#REF!</definedName>
    <definedName name="LAKDEWRF" localSheetId="3" hidden="1">{#N/A,#N/A,FALSE,"Plan1";#N/A,#N/A,FALSE,"Plan2"}</definedName>
    <definedName name="LAKDEWRF" localSheetId="8" hidden="1">{#N/A,#N/A,FALSE,"Plan1";#N/A,#N/A,FALSE,"Plan2"}</definedName>
    <definedName name="LAKDEWRF" localSheetId="2" hidden="1">{#N/A,#N/A,FALSE,"Plan1";#N/A,#N/A,FALSE,"Plan2"}</definedName>
    <definedName name="LAKDEWRF" localSheetId="9" hidden="1">{#N/A,#N/A,FALSE,"Plan1";#N/A,#N/A,FALSE,"Plan2"}</definedName>
    <definedName name="LAKDEWRF" localSheetId="13" hidden="1">{#N/A,#N/A,FALSE,"Plan1";#N/A,#N/A,FALSE,"Plan2"}</definedName>
    <definedName name="LAKDEWRF" localSheetId="0" hidden="1">{#N/A,#N/A,FALSE,"Plan1";#N/A,#N/A,FALSE,"Plan2"}</definedName>
    <definedName name="LAKDEWRF" hidden="1">{#N/A,#N/A,FALSE,"Plan1";#N/A,#N/A,FALSE,"Plan2"}</definedName>
    <definedName name="Lancamentos" localSheetId="3">#REF!</definedName>
    <definedName name="Lancamentos" localSheetId="2">#REF!</definedName>
    <definedName name="Lancamentos">#REF!</definedName>
    <definedName name="LARGURA" localSheetId="3">#REF!</definedName>
    <definedName name="LARGURA" localSheetId="2">#REF!</definedName>
    <definedName name="LARGURA">#REF!</definedName>
    <definedName name="LASÇDSRLF" localSheetId="3" hidden="1">{#N/A,#N/A,FALSE,"Plan1";#N/A,#N/A,FALSE,"Plan2"}</definedName>
    <definedName name="LASÇDSRLF" localSheetId="8" hidden="1">{#N/A,#N/A,FALSE,"Plan1";#N/A,#N/A,FALSE,"Plan2"}</definedName>
    <definedName name="LASÇDSRLF" localSheetId="2" hidden="1">{#N/A,#N/A,FALSE,"Plan1";#N/A,#N/A,FALSE,"Plan2"}</definedName>
    <definedName name="LASÇDSRLF" localSheetId="9" hidden="1">{#N/A,#N/A,FALSE,"Plan1";#N/A,#N/A,FALSE,"Plan2"}</definedName>
    <definedName name="LASÇDSRLF" localSheetId="13" hidden="1">{#N/A,#N/A,FALSE,"Plan1";#N/A,#N/A,FALSE,"Plan2"}</definedName>
    <definedName name="LASÇDSRLF" localSheetId="0" hidden="1">{#N/A,#N/A,FALSE,"Plan1";#N/A,#N/A,FALSE,"Plan2"}</definedName>
    <definedName name="LASÇDSRLF" hidden="1">{#N/A,#N/A,FALSE,"Plan1";#N/A,#N/A,FALSE,"Plan2"}</definedName>
    <definedName name="LASDAKWE" hidden="1">25</definedName>
    <definedName name="lasrlswer" localSheetId="3" hidden="1">{#N/A,#N/A,FALSE,"Plan1";#N/A,#N/A,FALSE,"Plan2"}</definedName>
    <definedName name="lasrlswer" localSheetId="8" hidden="1">{#N/A,#N/A,FALSE,"Plan1";#N/A,#N/A,FALSE,"Plan2"}</definedName>
    <definedName name="lasrlswer" localSheetId="2" hidden="1">{#N/A,#N/A,FALSE,"Plan1";#N/A,#N/A,FALSE,"Plan2"}</definedName>
    <definedName name="lasrlswer" localSheetId="9" hidden="1">{#N/A,#N/A,FALSE,"Plan1";#N/A,#N/A,FALSE,"Plan2"}</definedName>
    <definedName name="lasrlswer" localSheetId="13" hidden="1">{#N/A,#N/A,FALSE,"Plan1";#N/A,#N/A,FALSE,"Plan2"}</definedName>
    <definedName name="lasrlswer" localSheetId="0" hidden="1">{#N/A,#N/A,FALSE,"Plan1";#N/A,#N/A,FALSE,"Plan2"}</definedName>
    <definedName name="lasrlswer" hidden="1">{#N/A,#N/A,FALSE,"Plan1";#N/A,#N/A,FALSE,"Plan2"}</definedName>
    <definedName name="LAZER" localSheetId="3">#REF!</definedName>
    <definedName name="LAZER" localSheetId="2">#REF!</definedName>
    <definedName name="LAZER">#REF!</definedName>
    <definedName name="lbla1" localSheetId="3" hidden="1">#REF!</definedName>
    <definedName name="lbla1" localSheetId="2" hidden="1">#REF!</definedName>
    <definedName name="lbla1" hidden="1">#REF!</definedName>
    <definedName name="lbla10" localSheetId="3" hidden="1">#REF!</definedName>
    <definedName name="lbla10" localSheetId="2" hidden="1">#REF!</definedName>
    <definedName name="lbla10" hidden="1">#REF!</definedName>
    <definedName name="lbla11" localSheetId="2" hidden="1">#REF!</definedName>
    <definedName name="lbla11" hidden="1">#REF!</definedName>
    <definedName name="lbla12" hidden="1">#REF!</definedName>
    <definedName name="lbla13" hidden="1">#REF!</definedName>
    <definedName name="lbla14" hidden="1">#REF!</definedName>
    <definedName name="lbla15" hidden="1">#REF!</definedName>
    <definedName name="lbla16" hidden="1">#REF!</definedName>
    <definedName name="lbla17" hidden="1">#REF!</definedName>
    <definedName name="lbla18" hidden="1">#REF!</definedName>
    <definedName name="lbla19" hidden="1">#REF!</definedName>
    <definedName name="lbla2" hidden="1">#REF!</definedName>
    <definedName name="lbla20" hidden="1">#REF!</definedName>
    <definedName name="lbla21" hidden="1">#REF!</definedName>
    <definedName name="lbla22" hidden="1">#REF!</definedName>
    <definedName name="lbla23" hidden="1">#REF!</definedName>
    <definedName name="lbla24" hidden="1">#REF!</definedName>
    <definedName name="lbla25" hidden="1">#REF!</definedName>
    <definedName name="lbla27" hidden="1">#REF!</definedName>
    <definedName name="lbla28" hidden="1">#REF!</definedName>
    <definedName name="lçadple4r" localSheetId="3" hidden="1">{#N/A,#N/A,FALSE,"Plan1";#N/A,#N/A,FALSE,"Plan2"}</definedName>
    <definedName name="lçadple4r" localSheetId="8" hidden="1">{#N/A,#N/A,FALSE,"Plan1";#N/A,#N/A,FALSE,"Plan2"}</definedName>
    <definedName name="lçadple4r" localSheetId="2" hidden="1">{#N/A,#N/A,FALSE,"Plan1";#N/A,#N/A,FALSE,"Plan2"}</definedName>
    <definedName name="lçadple4r" localSheetId="9" hidden="1">{#N/A,#N/A,FALSE,"Plan1";#N/A,#N/A,FALSE,"Plan2"}</definedName>
    <definedName name="lçadple4r" localSheetId="13" hidden="1">{#N/A,#N/A,FALSE,"Plan1";#N/A,#N/A,FALSE,"Plan2"}</definedName>
    <definedName name="lçadple4r" localSheetId="0" hidden="1">{#N/A,#N/A,FALSE,"Plan1";#N/A,#N/A,FALSE,"Plan2"}</definedName>
    <definedName name="lçadple4r" hidden="1">{#N/A,#N/A,FALSE,"Plan1";#N/A,#N/A,FALSE,"Plan2"}</definedName>
    <definedName name="lçasser" localSheetId="3" hidden="1">{#N/A,#N/A,FALSE,"Plan1";#N/A,#N/A,FALSE,"Plan2"}</definedName>
    <definedName name="lçasser" localSheetId="8" hidden="1">{#N/A,#N/A,FALSE,"Plan1";#N/A,#N/A,FALSE,"Plan2"}</definedName>
    <definedName name="lçasser" localSheetId="2" hidden="1">{#N/A,#N/A,FALSE,"Plan1";#N/A,#N/A,FALSE,"Plan2"}</definedName>
    <definedName name="lçasser" localSheetId="9" hidden="1">{#N/A,#N/A,FALSE,"Plan1";#N/A,#N/A,FALSE,"Plan2"}</definedName>
    <definedName name="lçasser" localSheetId="13" hidden="1">{#N/A,#N/A,FALSE,"Plan1";#N/A,#N/A,FALSE,"Plan2"}</definedName>
    <definedName name="lçasser" localSheetId="0" hidden="1">{#N/A,#N/A,FALSE,"Plan1";#N/A,#N/A,FALSE,"Plan2"}</definedName>
    <definedName name="lçasser" hidden="1">{#N/A,#N/A,FALSE,"Plan1";#N/A,#N/A,FALSE,"Plan2"}</definedName>
    <definedName name="lcdgjtklfrn" localSheetId="3" hidden="1">{#N/A,#N/A,FALSE,"Plan1";#N/A,#N/A,FALSE,"Plan2"}</definedName>
    <definedName name="lcdgjtklfrn" localSheetId="8" hidden="1">{#N/A,#N/A,FALSE,"Plan1";#N/A,#N/A,FALSE,"Plan2"}</definedName>
    <definedName name="lcdgjtklfrn" localSheetId="2" hidden="1">{#N/A,#N/A,FALSE,"Plan1";#N/A,#N/A,FALSE,"Plan2"}</definedName>
    <definedName name="lcdgjtklfrn" localSheetId="9" hidden="1">{#N/A,#N/A,FALSE,"Plan1";#N/A,#N/A,FALSE,"Plan2"}</definedName>
    <definedName name="lcdgjtklfrn" localSheetId="13" hidden="1">{#N/A,#N/A,FALSE,"Plan1";#N/A,#N/A,FALSE,"Plan2"}</definedName>
    <definedName name="lcdgjtklfrn" localSheetId="0" hidden="1">{#N/A,#N/A,FALSE,"Plan1";#N/A,#N/A,FALSE,"Plan2"}</definedName>
    <definedName name="lcdgjtklfrn" hidden="1">{#N/A,#N/A,FALSE,"Plan1";#N/A,#N/A,FALSE,"Plan2"}</definedName>
    <definedName name="lçfklsdkçaer" localSheetId="3" hidden="1">{#N/A,#N/A,FALSE,"Plan1";#N/A,#N/A,FALSE,"Plan2"}</definedName>
    <definedName name="lçfklsdkçaer" localSheetId="8" hidden="1">{#N/A,#N/A,FALSE,"Plan1";#N/A,#N/A,FALSE,"Plan2"}</definedName>
    <definedName name="lçfklsdkçaer" localSheetId="2" hidden="1">{#N/A,#N/A,FALSE,"Plan1";#N/A,#N/A,FALSE,"Plan2"}</definedName>
    <definedName name="lçfklsdkçaer" localSheetId="9" hidden="1">{#N/A,#N/A,FALSE,"Plan1";#N/A,#N/A,FALSE,"Plan2"}</definedName>
    <definedName name="lçfklsdkçaer" localSheetId="13" hidden="1">{#N/A,#N/A,FALSE,"Plan1";#N/A,#N/A,FALSE,"Plan2"}</definedName>
    <definedName name="lçfklsdkçaer" localSheetId="0" hidden="1">{#N/A,#N/A,FALSE,"Plan1";#N/A,#N/A,FALSE,"Plan2"}</definedName>
    <definedName name="lçfklsdkçaer" hidden="1">{#N/A,#N/A,FALSE,"Plan1";#N/A,#N/A,FALSE,"Plan2"}</definedName>
    <definedName name="lçjkgf" localSheetId="3" hidden="1">{#N/A,#N/A,FALSE,"Plan1";#N/A,#N/A,FALSE,"Plan2"}</definedName>
    <definedName name="lçjkgf" localSheetId="8" hidden="1">{#N/A,#N/A,FALSE,"Plan1";#N/A,#N/A,FALSE,"Plan2"}</definedName>
    <definedName name="lçjkgf" localSheetId="2" hidden="1">{#N/A,#N/A,FALSE,"Plan1";#N/A,#N/A,FALSE,"Plan2"}</definedName>
    <definedName name="lçjkgf" localSheetId="9" hidden="1">{#N/A,#N/A,FALSE,"Plan1";#N/A,#N/A,FALSE,"Plan2"}</definedName>
    <definedName name="lçjkgf" localSheetId="13" hidden="1">{#N/A,#N/A,FALSE,"Plan1";#N/A,#N/A,FALSE,"Plan2"}</definedName>
    <definedName name="lçjkgf" localSheetId="0" hidden="1">{#N/A,#N/A,FALSE,"Plan1";#N/A,#N/A,FALSE,"Plan2"}</definedName>
    <definedName name="lçjkgf" hidden="1">{#N/A,#N/A,FALSE,"Plan1";#N/A,#N/A,FALSE,"Plan2"}</definedName>
    <definedName name="LÇJSLDFJ" localSheetId="3" hidden="1">{#N/A,#N/A,FALSE,"Plan1";#N/A,#N/A,FALSE,"Plan2"}</definedName>
    <definedName name="LÇJSLDFJ" localSheetId="8" hidden="1">{#N/A,#N/A,FALSE,"Plan1";#N/A,#N/A,FALSE,"Plan2"}</definedName>
    <definedName name="LÇJSLDFJ" localSheetId="2" hidden="1">{#N/A,#N/A,FALSE,"Plan1";#N/A,#N/A,FALSE,"Plan2"}</definedName>
    <definedName name="LÇJSLDFJ" localSheetId="9" hidden="1">{#N/A,#N/A,FALSE,"Plan1";#N/A,#N/A,FALSE,"Plan2"}</definedName>
    <definedName name="LÇJSLDFJ" localSheetId="13" hidden="1">{#N/A,#N/A,FALSE,"Plan1";#N/A,#N/A,FALSE,"Plan2"}</definedName>
    <definedName name="LÇJSLDFJ" localSheetId="0" hidden="1">{#N/A,#N/A,FALSE,"Plan1";#N/A,#N/A,FALSE,"Plan2"}</definedName>
    <definedName name="LÇJSLDFJ" hidden="1">{#N/A,#N/A,FALSE,"Plan1";#N/A,#N/A,FALSE,"Plan2"}</definedName>
    <definedName name="LÇKÇSDRLK" localSheetId="3" hidden="1">{#N/A,#N/A,FALSE,"Plan1";#N/A,#N/A,FALSE,"Plan2"}</definedName>
    <definedName name="LÇKÇSDRLK" localSheetId="8" hidden="1">{#N/A,#N/A,FALSE,"Plan1";#N/A,#N/A,FALSE,"Plan2"}</definedName>
    <definedName name="LÇKÇSDRLK" localSheetId="2" hidden="1">{#N/A,#N/A,FALSE,"Plan1";#N/A,#N/A,FALSE,"Plan2"}</definedName>
    <definedName name="LÇKÇSDRLK" localSheetId="9" hidden="1">{#N/A,#N/A,FALSE,"Plan1";#N/A,#N/A,FALSE,"Plan2"}</definedName>
    <definedName name="LÇKÇSDRLK" localSheetId="13" hidden="1">{#N/A,#N/A,FALSE,"Plan1";#N/A,#N/A,FALSE,"Plan2"}</definedName>
    <definedName name="LÇKÇSDRLK" localSheetId="0" hidden="1">{#N/A,#N/A,FALSE,"Plan1";#N/A,#N/A,FALSE,"Plan2"}</definedName>
    <definedName name="LÇKÇSDRLK" hidden="1">{#N/A,#N/A,FALSE,"Plan1";#N/A,#N/A,FALSE,"Plan2"}</definedName>
    <definedName name="lçkdfkdstkre" hidden="1">25</definedName>
    <definedName name="lçkl"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kl"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ç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çl" hidden="1">{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 localSheetId="3" hidden="1">{#N/A,#N/A,FALSE,"Plan1";#N/A,#N/A,FALSE,"Plan2"}</definedName>
    <definedName name="lçlfklçdglfdgt" localSheetId="8" hidden="1">{#N/A,#N/A,FALSE,"Plan1";#N/A,#N/A,FALSE,"Plan2"}</definedName>
    <definedName name="lçlfklçdglfdgt" localSheetId="2" hidden="1">{#N/A,#N/A,FALSE,"Plan1";#N/A,#N/A,FALSE,"Plan2"}</definedName>
    <definedName name="lçlfklçdglfdgt" localSheetId="9" hidden="1">{#N/A,#N/A,FALSE,"Plan1";#N/A,#N/A,FALSE,"Plan2"}</definedName>
    <definedName name="lçlfklçdglfdgt" localSheetId="13" hidden="1">{#N/A,#N/A,FALSE,"Plan1";#N/A,#N/A,FALSE,"Plan2"}</definedName>
    <definedName name="lçlfklçdglfdgt" localSheetId="0" hidden="1">{#N/A,#N/A,FALSE,"Plan1";#N/A,#N/A,FALSE,"Plan2"}</definedName>
    <definedName name="lçlfklçdglfdgt" hidden="1">{#N/A,#N/A,FALSE,"Plan1";#N/A,#N/A,FALSE,"Plan2"}</definedName>
    <definedName name="lçslrr4r" localSheetId="3" hidden="1">{#N/A,#N/A,FALSE,"Plan1";#N/A,#N/A,FALSE,"Plan2"}</definedName>
    <definedName name="lçslrr4r" localSheetId="8" hidden="1">{#N/A,#N/A,FALSE,"Plan1";#N/A,#N/A,FALSE,"Plan2"}</definedName>
    <definedName name="lçslrr4r" localSheetId="2" hidden="1">{#N/A,#N/A,FALSE,"Plan1";#N/A,#N/A,FALSE,"Plan2"}</definedName>
    <definedName name="lçslrr4r" localSheetId="9" hidden="1">{#N/A,#N/A,FALSE,"Plan1";#N/A,#N/A,FALSE,"Plan2"}</definedName>
    <definedName name="lçslrr4r" localSheetId="13" hidden="1">{#N/A,#N/A,FALSE,"Plan1";#N/A,#N/A,FALSE,"Plan2"}</definedName>
    <definedName name="lçslrr4r" localSheetId="0" hidden="1">{#N/A,#N/A,FALSE,"Plan1";#N/A,#N/A,FALSE,"Plan2"}</definedName>
    <definedName name="lçslrr4r" hidden="1">{#N/A,#N/A,FALSE,"Plan1";#N/A,#N/A,FALSE,"Plan2"}</definedName>
    <definedName name="ldfjgry" localSheetId="3" hidden="1">{#N/A,#N/A,FALSE,"Plan1";#N/A,#N/A,FALSE,"Plan2"}</definedName>
    <definedName name="ldfjgry" localSheetId="8" hidden="1">{#N/A,#N/A,FALSE,"Plan1";#N/A,#N/A,FALSE,"Plan2"}</definedName>
    <definedName name="ldfjgry" localSheetId="2" hidden="1">{#N/A,#N/A,FALSE,"Plan1";#N/A,#N/A,FALSE,"Plan2"}</definedName>
    <definedName name="ldfjgry" localSheetId="9" hidden="1">{#N/A,#N/A,FALSE,"Plan1";#N/A,#N/A,FALSE,"Plan2"}</definedName>
    <definedName name="ldfjgry" localSheetId="13" hidden="1">{#N/A,#N/A,FALSE,"Plan1";#N/A,#N/A,FALSE,"Plan2"}</definedName>
    <definedName name="ldfjgry" localSheetId="0" hidden="1">{#N/A,#N/A,FALSE,"Plan1";#N/A,#N/A,FALSE,"Plan2"}</definedName>
    <definedName name="ldfjgry" hidden="1">{#N/A,#N/A,FALSE,"Plan1";#N/A,#N/A,FALSE,"Plan2"}</definedName>
    <definedName name="ldfjgtilrf" localSheetId="3" hidden="1">{#N/A,#N/A,FALSE,"Plan1";#N/A,#N/A,FALSE,"Plan2"}</definedName>
    <definedName name="ldfjgtilrf" localSheetId="8" hidden="1">{#N/A,#N/A,FALSE,"Plan1";#N/A,#N/A,FALSE,"Plan2"}</definedName>
    <definedName name="ldfjgtilrf" localSheetId="2" hidden="1">{#N/A,#N/A,FALSE,"Plan1";#N/A,#N/A,FALSE,"Plan2"}</definedName>
    <definedName name="ldfjgtilrf" localSheetId="9" hidden="1">{#N/A,#N/A,FALSE,"Plan1";#N/A,#N/A,FALSE,"Plan2"}</definedName>
    <definedName name="ldfjgtilrf" localSheetId="13" hidden="1">{#N/A,#N/A,FALSE,"Plan1";#N/A,#N/A,FALSE,"Plan2"}</definedName>
    <definedName name="ldfjgtilrf" localSheetId="0" hidden="1">{#N/A,#N/A,FALSE,"Plan1";#N/A,#N/A,FALSE,"Plan2"}</definedName>
    <definedName name="ldfjgtilrf" hidden="1">{#N/A,#N/A,FALSE,"Plan1";#N/A,#N/A,FALSE,"Plan2"}</definedName>
    <definedName name="ldk" localSheetId="3" hidden="1">{#N/A,#N/A,FALSE,"Plan1";#N/A,#N/A,FALSE,"Plan2"}</definedName>
    <definedName name="ldk" localSheetId="8" hidden="1">{#N/A,#N/A,FALSE,"Plan1";#N/A,#N/A,FALSE,"Plan2"}</definedName>
    <definedName name="ldk" localSheetId="2" hidden="1">{#N/A,#N/A,FALSE,"Plan1";#N/A,#N/A,FALSE,"Plan2"}</definedName>
    <definedName name="ldk" localSheetId="9" hidden="1">{#N/A,#N/A,FALSE,"Plan1";#N/A,#N/A,FALSE,"Plan2"}</definedName>
    <definedName name="ldk" localSheetId="13" hidden="1">{#N/A,#N/A,FALSE,"Plan1";#N/A,#N/A,FALSE,"Plan2"}</definedName>
    <definedName name="ldk" localSheetId="0" hidden="1">{#N/A,#N/A,FALSE,"Plan1";#N/A,#N/A,FALSE,"Plan2"}</definedName>
    <definedName name="ldk" hidden="1">{#N/A,#N/A,FALSE,"Plan1";#N/A,#N/A,FALSE,"Plan2"}</definedName>
    <definedName name="ldkgkdfjgkh" localSheetId="3" hidden="1">{#N/A,#N/A,FALSE,"Plan1";#N/A,#N/A,FALSE,"Plan2"}</definedName>
    <definedName name="ldkgkdfjgkh" localSheetId="8" hidden="1">{#N/A,#N/A,FALSE,"Plan1";#N/A,#N/A,FALSE,"Plan2"}</definedName>
    <definedName name="ldkgkdfjgkh" localSheetId="2" hidden="1">{#N/A,#N/A,FALSE,"Plan1";#N/A,#N/A,FALSE,"Plan2"}</definedName>
    <definedName name="ldkgkdfjgkh" localSheetId="9" hidden="1">{#N/A,#N/A,FALSE,"Plan1";#N/A,#N/A,FALSE,"Plan2"}</definedName>
    <definedName name="ldkgkdfjgkh" localSheetId="13" hidden="1">{#N/A,#N/A,FALSE,"Plan1";#N/A,#N/A,FALSE,"Plan2"}</definedName>
    <definedName name="ldkgkdfjgkh" localSheetId="0" hidden="1">{#N/A,#N/A,FALSE,"Plan1";#N/A,#N/A,FALSE,"Plan2"}</definedName>
    <definedName name="ldkgkdfjgkh" hidden="1">{#N/A,#N/A,FALSE,"Plan1";#N/A,#N/A,FALSE,"Plan2"}</definedName>
    <definedName name="LDTJGR" localSheetId="3" hidden="1">{#N/A,#N/A,FALSE,"Plan1";#N/A,#N/A,FALSE,"Plan2"}</definedName>
    <definedName name="LDTJGR" localSheetId="8" hidden="1">{#N/A,#N/A,FALSE,"Plan1";#N/A,#N/A,FALSE,"Plan2"}</definedName>
    <definedName name="LDTJGR" localSheetId="2" hidden="1">{#N/A,#N/A,FALSE,"Plan1";#N/A,#N/A,FALSE,"Plan2"}</definedName>
    <definedName name="LDTJGR" localSheetId="9" hidden="1">{#N/A,#N/A,FALSE,"Plan1";#N/A,#N/A,FALSE,"Plan2"}</definedName>
    <definedName name="LDTJGR" localSheetId="13" hidden="1">{#N/A,#N/A,FALSE,"Plan1";#N/A,#N/A,FALSE,"Plan2"}</definedName>
    <definedName name="LDTJGR" localSheetId="0" hidden="1">{#N/A,#N/A,FALSE,"Plan1";#N/A,#N/A,FALSE,"Plan2"}</definedName>
    <definedName name="LDTJGR" hidden="1">{#N/A,#N/A,FALSE,"Plan1";#N/A,#N/A,FALSE,"Plan2"}</definedName>
    <definedName name="Leg" localSheetId="3" hidden="1">#REF!</definedName>
    <definedName name="Leg" localSheetId="8" hidden="1">#REF!</definedName>
    <definedName name="Leg" localSheetId="2" hidden="1">#REF!</definedName>
    <definedName name="Leg" localSheetId="9" hidden="1">#REF!</definedName>
    <definedName name="Leg" localSheetId="13" hidden="1">#REF!</definedName>
    <definedName name="Leg" localSheetId="0" hidden="1">#REF!</definedName>
    <definedName name="Leg" hidden="1">#REF!</definedName>
    <definedName name="legr_cdi" localSheetId="3">#REF!</definedName>
    <definedName name="legr_cdi" localSheetId="8">#REF!</definedName>
    <definedName name="legr_cdi" localSheetId="2">#REF!</definedName>
    <definedName name="legr_cdi" localSheetId="9">#REF!</definedName>
    <definedName name="legr_cdi" localSheetId="13">#REF!</definedName>
    <definedName name="legr_cdi">#REF!</definedName>
    <definedName name="legr_hist" localSheetId="2">#REF!</definedName>
    <definedName name="legr_hist">#REF!</definedName>
    <definedName name="legr_uss" localSheetId="2">#REF!</definedName>
    <definedName name="legr_uss">#REF!</definedName>
    <definedName name="LEKG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EKGF" hidden="1">{TRUE,TRUE,-1.25,-15.5,604.5,366.75,FALSE,FALSE,TRUE,TRUE,0,1,#N/A,1,#N/A,9.0125,24.4117647058824,1,FALSE,FALSE,3,TRUE,1,FALSE,100,"Swvu.PLANILHA2.","ACwvu.PLANILHA2.",#N/A,FALSE,FALSE,0.787401575,0.34,0.46,0.5,1,"","",FALSE,FALSE,FALSE,FALSE,1,#N/A,1,1,FALSE,FALSE,#N/A,#N/A,FALSE,FALSE,FALSE,9,65532,65532,FALSE,FALSE,TRUE,TRUE,TRUE}</definedName>
    <definedName name="LEVANTAMENTO" localSheetId="3">#REF!</definedName>
    <definedName name="LEVANTAMENTO" localSheetId="2">#REF!</definedName>
    <definedName name="LEVANTAMENTO">#REF!</definedName>
    <definedName name="lfjdjrt" localSheetId="3" hidden="1">{#N/A,#N/A,FALSE,"Plan1";#N/A,#N/A,FALSE,"Plan2"}</definedName>
    <definedName name="lfjdjrt" localSheetId="8" hidden="1">{#N/A,#N/A,FALSE,"Plan1";#N/A,#N/A,FALSE,"Plan2"}</definedName>
    <definedName name="lfjdjrt" localSheetId="2" hidden="1">{#N/A,#N/A,FALSE,"Plan1";#N/A,#N/A,FALSE,"Plan2"}</definedName>
    <definedName name="lfjdjrt" localSheetId="9" hidden="1">{#N/A,#N/A,FALSE,"Plan1";#N/A,#N/A,FALSE,"Plan2"}</definedName>
    <definedName name="lfjdjrt" localSheetId="13" hidden="1">{#N/A,#N/A,FALSE,"Plan1";#N/A,#N/A,FALSE,"Plan2"}</definedName>
    <definedName name="lfjdjrt" localSheetId="0" hidden="1">{#N/A,#N/A,FALSE,"Plan1";#N/A,#N/A,FALSE,"Plan2"}</definedName>
    <definedName name="lfjdjrt" hidden="1">{#N/A,#N/A,FALSE,"Plan1";#N/A,#N/A,FALSE,"Plan2"}</definedName>
    <definedName name="LI" localSheetId="3">#REF!</definedName>
    <definedName name="LI" localSheetId="2">#REF!</definedName>
    <definedName name="LI">#REF!</definedName>
    <definedName name="LIDER_OPER" localSheetId="3">#REF!</definedName>
    <definedName name="LIDER_OPER" localSheetId="2">#REF!</definedName>
    <definedName name="LIDER_OPER">#REF!</definedName>
    <definedName name="lidfjgklruf" localSheetId="3" hidden="1">{#N/A,#N/A,FALSE,"Plan1";#N/A,#N/A,FALSE,"Plan2"}</definedName>
    <definedName name="lidfjgklruf" localSheetId="8" hidden="1">{#N/A,#N/A,FALSE,"Plan1";#N/A,#N/A,FALSE,"Plan2"}</definedName>
    <definedName name="lidfjgklruf" localSheetId="2" hidden="1">{#N/A,#N/A,FALSE,"Plan1";#N/A,#N/A,FALSE,"Plan2"}</definedName>
    <definedName name="lidfjgklruf" localSheetId="9" hidden="1">{#N/A,#N/A,FALSE,"Plan1";#N/A,#N/A,FALSE,"Plan2"}</definedName>
    <definedName name="lidfjgklruf" localSheetId="13" hidden="1">{#N/A,#N/A,FALSE,"Plan1";#N/A,#N/A,FALSE,"Plan2"}</definedName>
    <definedName name="lidfjgklruf" localSheetId="0" hidden="1">{#N/A,#N/A,FALSE,"Plan1";#N/A,#N/A,FALSE,"Plan2"}</definedName>
    <definedName name="lidfjgklruf" hidden="1">{#N/A,#N/A,FALSE,"Plan1";#N/A,#N/A,FALSE,"Plan2"}</definedName>
    <definedName name="LII" localSheetId="3">#REF!</definedName>
    <definedName name="LII" localSheetId="2">#REF!</definedName>
    <definedName name="LII">#REF!</definedName>
    <definedName name="LIII" localSheetId="3">#REF!</definedName>
    <definedName name="LIII" localSheetId="2">#REF!</definedName>
    <definedName name="LIII">#REF!</definedName>
    <definedName name="LIMBO" localSheetId="3">#REF!</definedName>
    <definedName name="LIMBO" localSheetId="2">#REF!</definedName>
    <definedName name="LIMBO">#REF!</definedName>
    <definedName name="limcount" hidden="1">3</definedName>
    <definedName name="LIN" localSheetId="3">#REF!</definedName>
    <definedName name="LIN" localSheetId="2">#REF!</definedName>
    <definedName name="LIN">#REF!</definedName>
    <definedName name="list"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 localSheetId="3">#REF!</definedName>
    <definedName name="LISTA" localSheetId="2">#REF!</definedName>
    <definedName name="LISTA">#REF!</definedName>
    <definedName name="LISTA_CONTAS" localSheetId="3">#REF!</definedName>
    <definedName name="LISTA_CONTAS" localSheetId="2">#REF!</definedName>
    <definedName name="LISTA_CONTAS">#REF!</definedName>
    <definedName name="lista_empresa" localSheetId="3">OFFSET(INDEX(#REF!,MATCH(#REF!,#REF!,0)),1,0,COUNTA(#REF!)-1)</definedName>
    <definedName name="lista_empresa" localSheetId="8">OFFSET(INDEX(#REF!,MATCH(#REF!,#REF!,0)),1,0,COUNTA(#REF!)-1)</definedName>
    <definedName name="lista_empresa" localSheetId="2">OFFSET(INDEX(#REF!,MATCH(#REF!,#REF!,0)),1,0,COUNTA(#REF!)-1)</definedName>
    <definedName name="lista_empresa" localSheetId="9">OFFSET(INDEX(#REF!,MATCH(#REF!,#REF!,0)),1,0,COUNTA(#REF!)-1)</definedName>
    <definedName name="lista_empresa" localSheetId="13">OFFSET(INDEX(#REF!,MATCH(#REF!,#REF!,0)),1,0,COUNTA(#REF!)-1)</definedName>
    <definedName name="lista_empresa">OFFSET(INDEX(#REF!,MATCH(#REF!,#REF!,0)),1,0,COUNTA(#REF!)-1)</definedName>
    <definedName name="LISTA_FORNECEDORES" localSheetId="3">#REF!</definedName>
    <definedName name="LISTA_FORNECEDORES" localSheetId="2">#REF!</definedName>
    <definedName name="LISTA_FORNECEDORES">#REF!</definedName>
    <definedName name="LISTSEL" localSheetId="3">#REF!</definedName>
    <definedName name="LISTSEL" localSheetId="2">#REF!</definedName>
    <definedName name="LISTSEL">#REF!</definedName>
    <definedName name="listt"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 localSheetId="3">#REF!</definedName>
    <definedName name="LIV" localSheetId="2">#REF!</definedName>
    <definedName name="LIV">#REF!</definedName>
    <definedName name="LIX" localSheetId="3">#REF!</definedName>
    <definedName name="LIX" localSheetId="2">#REF!</definedName>
    <definedName name="LIX">#REF!</definedName>
    <definedName name="ljdfkgyt" localSheetId="3" hidden="1">{#N/A,#N/A,FALSE,"Plan1";#N/A,#N/A,FALSE,"Plan2"}</definedName>
    <definedName name="ljdfkgyt" localSheetId="8" hidden="1">{#N/A,#N/A,FALSE,"Plan1";#N/A,#N/A,FALSE,"Plan2"}</definedName>
    <definedName name="ljdfkgyt" localSheetId="2" hidden="1">{#N/A,#N/A,FALSE,"Plan1";#N/A,#N/A,FALSE,"Plan2"}</definedName>
    <definedName name="ljdfkgyt" localSheetId="9" hidden="1">{#N/A,#N/A,FALSE,"Plan1";#N/A,#N/A,FALSE,"Plan2"}</definedName>
    <definedName name="ljdfkgyt" localSheetId="13" hidden="1">{#N/A,#N/A,FALSE,"Plan1";#N/A,#N/A,FALSE,"Plan2"}</definedName>
    <definedName name="ljdfkgyt" localSheetId="0" hidden="1">{#N/A,#N/A,FALSE,"Plan1";#N/A,#N/A,FALSE,"Plan2"}</definedName>
    <definedName name="ljdfkgyt" hidden="1">{#N/A,#N/A,FALSE,"Plan1";#N/A,#N/A,FALSE,"Plan2"}</definedName>
    <definedName name="LJDFLJRL" localSheetId="3" hidden="1">{#N/A,#N/A,FALSE,"Plan1";#N/A,#N/A,FALSE,"Plan2"}</definedName>
    <definedName name="LJDFLJRL" localSheetId="8" hidden="1">{#N/A,#N/A,FALSE,"Plan1";#N/A,#N/A,FALSE,"Plan2"}</definedName>
    <definedName name="LJDFLJRL" localSheetId="2" hidden="1">{#N/A,#N/A,FALSE,"Plan1";#N/A,#N/A,FALSE,"Plan2"}</definedName>
    <definedName name="LJDFLJRL" localSheetId="9" hidden="1">{#N/A,#N/A,FALSE,"Plan1";#N/A,#N/A,FALSE,"Plan2"}</definedName>
    <definedName name="LJDFLJRL" localSheetId="13" hidden="1">{#N/A,#N/A,FALSE,"Plan1";#N/A,#N/A,FALSE,"Plan2"}</definedName>
    <definedName name="LJDFLJRL" localSheetId="0" hidden="1">{#N/A,#N/A,FALSE,"Plan1";#N/A,#N/A,FALSE,"Plan2"}</definedName>
    <definedName name="LJDFLJRL" hidden="1">{#N/A,#N/A,FALSE,"Plan1";#N/A,#N/A,FALSE,"Plan2"}</definedName>
    <definedName name="ljsdfrd" localSheetId="3" hidden="1">{#N/A,#N/A,FALSE,"Plan1";#N/A,#N/A,FALSE,"Plan2"}</definedName>
    <definedName name="ljsdfrd" localSheetId="8" hidden="1">{#N/A,#N/A,FALSE,"Plan1";#N/A,#N/A,FALSE,"Plan2"}</definedName>
    <definedName name="ljsdfrd" localSheetId="2" hidden="1">{#N/A,#N/A,FALSE,"Plan1";#N/A,#N/A,FALSE,"Plan2"}</definedName>
    <definedName name="ljsdfrd" localSheetId="9" hidden="1">{#N/A,#N/A,FALSE,"Plan1";#N/A,#N/A,FALSE,"Plan2"}</definedName>
    <definedName name="ljsdfrd" localSheetId="13" hidden="1">{#N/A,#N/A,FALSE,"Plan1";#N/A,#N/A,FALSE,"Plan2"}</definedName>
    <definedName name="ljsdfrd" localSheetId="0" hidden="1">{#N/A,#N/A,FALSE,"Plan1";#N/A,#N/A,FALSE,"Plan2"}</definedName>
    <definedName name="ljsdfrd" hidden="1">{#N/A,#N/A,FALSE,"Plan1";#N/A,#N/A,FALSE,"Plan2"}</definedName>
    <definedName name="LJSFLDJDLKFJG" localSheetId="3" hidden="1">#REF!</definedName>
    <definedName name="LJSFLDJDLKFJG" localSheetId="8" hidden="1">#REF!</definedName>
    <definedName name="LJSFLDJDLKFJG" localSheetId="2" hidden="1">#REF!</definedName>
    <definedName name="LJSFLDJDLKFJG" localSheetId="9" hidden="1">#REF!</definedName>
    <definedName name="LJSFLDJDLKFJG" localSheetId="13" hidden="1">#REF!</definedName>
    <definedName name="LJSFLDJDLKFJG" localSheetId="0" hidden="1">#REF!</definedName>
    <definedName name="LJSFLDJDLKFJG" hidden="1">#REF!</definedName>
    <definedName name="LK" localSheetId="3" hidden="1">{#N/A,#N/A,TRUE,"Quinzena 01 à 15-04-98 "}</definedName>
    <definedName name="LK" localSheetId="8" hidden="1">{#N/A,#N/A,TRUE,"Quinzena 01 à 15-04-98 "}</definedName>
    <definedName name="LK" localSheetId="2" hidden="1">{#N/A,#N/A,TRUE,"Quinzena 01 à 15-04-98 "}</definedName>
    <definedName name="LK" localSheetId="9" hidden="1">{#N/A,#N/A,TRUE,"Quinzena 01 à 15-04-98 "}</definedName>
    <definedName name="LK" localSheetId="13" hidden="1">{#N/A,#N/A,TRUE,"Quinzena 01 à 15-04-98 "}</definedName>
    <definedName name="LK" localSheetId="0" hidden="1">{#N/A,#N/A,TRUE,"Quinzena 01 à 15-04-98 "}</definedName>
    <definedName name="LK" hidden="1">{#N/A,#N/A,TRUE,"Quinzena 01 à 15-04-98 "}</definedName>
    <definedName name="lkasdkeo" localSheetId="3" hidden="1">{#N/A,#N/A,FALSE,"Plan1";#N/A,#N/A,FALSE,"Plan2"}</definedName>
    <definedName name="lkasdkeo" localSheetId="8" hidden="1">{#N/A,#N/A,FALSE,"Plan1";#N/A,#N/A,FALSE,"Plan2"}</definedName>
    <definedName name="lkasdkeo" localSheetId="2" hidden="1">{#N/A,#N/A,FALSE,"Plan1";#N/A,#N/A,FALSE,"Plan2"}</definedName>
    <definedName name="lkasdkeo" localSheetId="9" hidden="1">{#N/A,#N/A,FALSE,"Plan1";#N/A,#N/A,FALSE,"Plan2"}</definedName>
    <definedName name="lkasdkeo" localSheetId="13" hidden="1">{#N/A,#N/A,FALSE,"Plan1";#N/A,#N/A,FALSE,"Plan2"}</definedName>
    <definedName name="lkasdkeo" localSheetId="0" hidden="1">{#N/A,#N/A,FALSE,"Plan1";#N/A,#N/A,FALSE,"Plan2"}</definedName>
    <definedName name="lkasdkeo" hidden="1">{#N/A,#N/A,FALSE,"Plan1";#N/A,#N/A,FALSE,"Plan2"}</definedName>
    <definedName name="lkdeas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kdeasr" hidden="1">{TRUE,TRUE,-1.25,-15.5,604.5,366.75,FALSE,FALSE,TRUE,TRUE,0,1,#N/A,1,#N/A,9.0125,24.4117647058824,1,FALSE,FALSE,3,TRUE,1,FALSE,100,"Swvu.PLANILHA2.","ACwvu.PLANILHA2.",#N/A,FALSE,FALSE,0.787401575,0.34,0.46,0.5,1,"","",FALSE,FALSE,FALSE,FALSE,1,#N/A,1,1,FALSE,FALSE,#N/A,#N/A,FALSE,FALSE,FALSE,9,65532,65532,FALSE,FALSE,TRUE,TRUE,TRUE}</definedName>
    <definedName name="lkdzxfsdrf" localSheetId="3" hidden="1">{#N/A,#N/A,FALSE,"Plan1";#N/A,#N/A,FALSE,"Plan2"}</definedName>
    <definedName name="lkdzxfsdrf" localSheetId="8" hidden="1">{#N/A,#N/A,FALSE,"Plan1";#N/A,#N/A,FALSE,"Plan2"}</definedName>
    <definedName name="lkdzxfsdrf" localSheetId="2" hidden="1">{#N/A,#N/A,FALSE,"Plan1";#N/A,#N/A,FALSE,"Plan2"}</definedName>
    <definedName name="lkdzxfsdrf" localSheetId="9" hidden="1">{#N/A,#N/A,FALSE,"Plan1";#N/A,#N/A,FALSE,"Plan2"}</definedName>
    <definedName name="lkdzxfsdrf" localSheetId="13" hidden="1">{#N/A,#N/A,FALSE,"Plan1";#N/A,#N/A,FALSE,"Plan2"}</definedName>
    <definedName name="lkdzxfsdrf" localSheetId="0" hidden="1">{#N/A,#N/A,FALSE,"Plan1";#N/A,#N/A,FALSE,"Plan2"}</definedName>
    <definedName name="lkdzxfsdrf" hidden="1">{#N/A,#N/A,FALSE,"Plan1";#N/A,#N/A,FALSE,"Plan2"}</definedName>
    <definedName name="lkfdkçtktr" localSheetId="3" hidden="1">{#N/A,#N/A,FALSE,"Plan1";#N/A,#N/A,FALSE,"Plan2"}</definedName>
    <definedName name="lkfdkçtktr" localSheetId="8" hidden="1">{#N/A,#N/A,FALSE,"Plan1";#N/A,#N/A,FALSE,"Plan2"}</definedName>
    <definedName name="lkfdkçtktr" localSheetId="2" hidden="1">{#N/A,#N/A,FALSE,"Plan1";#N/A,#N/A,FALSE,"Plan2"}</definedName>
    <definedName name="lkfdkçtktr" localSheetId="9" hidden="1">{#N/A,#N/A,FALSE,"Plan1";#N/A,#N/A,FALSE,"Plan2"}</definedName>
    <definedName name="lkfdkçtktr" localSheetId="13" hidden="1">{#N/A,#N/A,FALSE,"Plan1";#N/A,#N/A,FALSE,"Plan2"}</definedName>
    <definedName name="lkfdkçtktr" localSheetId="0" hidden="1">{#N/A,#N/A,FALSE,"Plan1";#N/A,#N/A,FALSE,"Plan2"}</definedName>
    <definedName name="lkfdkçtktr" hidden="1">{#N/A,#N/A,FALSE,"Plan1";#N/A,#N/A,FALSE,"Plan2"}</definedName>
    <definedName name="lkjr4" hidden="1">17</definedName>
    <definedName name="LKSSDKÇ\E" localSheetId="3" hidden="1">{#N/A,#N/A,FALSE,"Plan1";#N/A,#N/A,FALSE,"Plan2"}</definedName>
    <definedName name="LKSSDKÇ\E" localSheetId="8" hidden="1">{#N/A,#N/A,FALSE,"Plan1";#N/A,#N/A,FALSE,"Plan2"}</definedName>
    <definedName name="LKSSDKÇ\E" localSheetId="2" hidden="1">{#N/A,#N/A,FALSE,"Plan1";#N/A,#N/A,FALSE,"Plan2"}</definedName>
    <definedName name="LKSSDKÇ\E" localSheetId="9" hidden="1">{#N/A,#N/A,FALSE,"Plan1";#N/A,#N/A,FALSE,"Plan2"}</definedName>
    <definedName name="LKSSDKÇ\E" localSheetId="13" hidden="1">{#N/A,#N/A,FALSE,"Plan1";#N/A,#N/A,FALSE,"Plan2"}</definedName>
    <definedName name="LKSSDKÇ\E" localSheetId="0" hidden="1">{#N/A,#N/A,FALSE,"Plan1";#N/A,#N/A,FALSE,"Plan2"}</definedName>
    <definedName name="LKSSDKÇ\E" hidden="1">{#N/A,#N/A,FALSE,"Plan1";#N/A,#N/A,FALSE,"Plan2"}</definedName>
    <definedName name="lkt" localSheetId="3" hidden="1">{#N/A,#N/A,FALSE,"Plan1";#N/A,#N/A,FALSE,"Plan2"}</definedName>
    <definedName name="lkt" localSheetId="8" hidden="1">{#N/A,#N/A,FALSE,"Plan1";#N/A,#N/A,FALSE,"Plan2"}</definedName>
    <definedName name="lkt" localSheetId="2" hidden="1">{#N/A,#N/A,FALSE,"Plan1";#N/A,#N/A,FALSE,"Plan2"}</definedName>
    <definedName name="lkt" localSheetId="9" hidden="1">{#N/A,#N/A,FALSE,"Plan1";#N/A,#N/A,FALSE,"Plan2"}</definedName>
    <definedName name="lkt" localSheetId="13" hidden="1">{#N/A,#N/A,FALSE,"Plan1";#N/A,#N/A,FALSE,"Plan2"}</definedName>
    <definedName name="lkt" localSheetId="0" hidden="1">{#N/A,#N/A,FALSE,"Plan1";#N/A,#N/A,FALSE,"Plan2"}</definedName>
    <definedName name="lkt" hidden="1">{#N/A,#N/A,FALSE,"Plan1";#N/A,#N/A,FALSE,"Plan2"}</definedName>
    <definedName name="lktlyklt" localSheetId="3" hidden="1">{#N/A,#N/A,FALSE,"Plan1";#N/A,#N/A,FALSE,"Plan2"}</definedName>
    <definedName name="lktlyklt" localSheetId="8" hidden="1">{#N/A,#N/A,FALSE,"Plan1";#N/A,#N/A,FALSE,"Plan2"}</definedName>
    <definedName name="lktlyklt" localSheetId="2" hidden="1">{#N/A,#N/A,FALSE,"Plan1";#N/A,#N/A,FALSE,"Plan2"}</definedName>
    <definedName name="lktlyklt" localSheetId="9" hidden="1">{#N/A,#N/A,FALSE,"Plan1";#N/A,#N/A,FALSE,"Plan2"}</definedName>
    <definedName name="lktlyklt" localSheetId="13" hidden="1">{#N/A,#N/A,FALSE,"Plan1";#N/A,#N/A,FALSE,"Plan2"}</definedName>
    <definedName name="lktlyklt" localSheetId="0" hidden="1">{#N/A,#N/A,FALSE,"Plan1";#N/A,#N/A,FALSE,"Plan2"}</definedName>
    <definedName name="lktlyklt" hidden="1">{#N/A,#N/A,FALSE,"Plan1";#N/A,#N/A,FALSE,"Plan2"}</definedName>
    <definedName name="LKTTYT" localSheetId="3" hidden="1">{#N/A,#N/A,FALSE,"Plan1";#N/A,#N/A,FALSE,"Plan2"}</definedName>
    <definedName name="LKTTYT" localSheetId="8" hidden="1">{#N/A,#N/A,FALSE,"Plan1";#N/A,#N/A,FALSE,"Plan2"}</definedName>
    <definedName name="LKTTYT" localSheetId="2" hidden="1">{#N/A,#N/A,FALSE,"Plan1";#N/A,#N/A,FALSE,"Plan2"}</definedName>
    <definedName name="LKTTYT" localSheetId="9" hidden="1">{#N/A,#N/A,FALSE,"Plan1";#N/A,#N/A,FALSE,"Plan2"}</definedName>
    <definedName name="LKTTYT" localSheetId="13" hidden="1">{#N/A,#N/A,FALSE,"Plan1";#N/A,#N/A,FALSE,"Plan2"}</definedName>
    <definedName name="LKTTYT" localSheetId="0" hidden="1">{#N/A,#N/A,FALSE,"Plan1";#N/A,#N/A,FALSE,"Plan2"}</definedName>
    <definedName name="LKTTYT" hidden="1">{#N/A,#N/A,FALSE,"Plan1";#N/A,#N/A,FALSE,"Plan2"}</definedName>
    <definedName name="llgg" localSheetId="3" hidden="1">{#N/A,#N/A,FALSE,"Plan1";#N/A,#N/A,FALSE,"Plan2"}</definedName>
    <definedName name="llgg" localSheetId="8" hidden="1">{#N/A,#N/A,FALSE,"Plan1";#N/A,#N/A,FALSE,"Plan2"}</definedName>
    <definedName name="llgg" localSheetId="2" hidden="1">{#N/A,#N/A,FALSE,"Plan1";#N/A,#N/A,FALSE,"Plan2"}</definedName>
    <definedName name="llgg" localSheetId="9" hidden="1">{#N/A,#N/A,FALSE,"Plan1";#N/A,#N/A,FALSE,"Plan2"}</definedName>
    <definedName name="llgg" localSheetId="13" hidden="1">{#N/A,#N/A,FALSE,"Plan1";#N/A,#N/A,FALSE,"Plan2"}</definedName>
    <definedName name="llgg" localSheetId="0" hidden="1">{#N/A,#N/A,FALSE,"Plan1";#N/A,#N/A,FALSE,"Plan2"}</definedName>
    <definedName name="llgg" hidden="1">{#N/A,#N/A,FALSE,"Plan1";#N/A,#N/A,FALSE,"Plan2"}</definedName>
    <definedName name="LLL" localSheetId="3" hidden="1">{#N/A,#N/A,FALSE,"Plan1";#N/A,#N/A,FALSE,"Plan2"}</definedName>
    <definedName name="LLL" localSheetId="8" hidden="1">{#N/A,#N/A,FALSE,"Plan1";#N/A,#N/A,FALSE,"Plan2"}</definedName>
    <definedName name="LLL" localSheetId="2" hidden="1">{#N/A,#N/A,FALSE,"Plan1";#N/A,#N/A,FALSE,"Plan2"}</definedName>
    <definedName name="LLL" localSheetId="9" hidden="1">{#N/A,#N/A,FALSE,"Plan1";#N/A,#N/A,FALSE,"Plan2"}</definedName>
    <definedName name="LLL" localSheetId="13" hidden="1">{#N/A,#N/A,FALSE,"Plan1";#N/A,#N/A,FALSE,"Plan2"}</definedName>
    <definedName name="LLL" localSheetId="0" hidden="1">{#N/A,#N/A,FALSE,"Plan1";#N/A,#N/A,FALSE,"Plan2"}</definedName>
    <definedName name="LLL" hidden="1">{#N/A,#N/A,FALSE,"Plan1";#N/A,#N/A,FALSE,"Plan2"}</definedName>
    <definedName name="LM_AR" localSheetId="3" hidden="1">{#N/A,#N/A,FALSE,"F-01"}</definedName>
    <definedName name="LM_AR" localSheetId="8" hidden="1">{#N/A,#N/A,FALSE,"F-01"}</definedName>
    <definedName name="LM_AR" localSheetId="2" hidden="1">{#N/A,#N/A,FALSE,"F-01"}</definedName>
    <definedName name="LM_AR" localSheetId="9" hidden="1">{#N/A,#N/A,FALSE,"F-01"}</definedName>
    <definedName name="LM_AR" localSheetId="13" hidden="1">{#N/A,#N/A,FALSE,"F-01"}</definedName>
    <definedName name="LM_AR" localSheetId="0" hidden="1">{#N/A,#N/A,FALSE,"F-01"}</definedName>
    <definedName name="LM_AR" hidden="1">{#N/A,#N/A,FALSE,"F-01"}</definedName>
    <definedName name="LM_AT" localSheetId="3" hidden="1">{#N/A,#N/A,FALSE,"F-01"}</definedName>
    <definedName name="LM_AT" localSheetId="8" hidden="1">{#N/A,#N/A,FALSE,"F-01"}</definedName>
    <definedName name="LM_AT" localSheetId="2" hidden="1">{#N/A,#N/A,FALSE,"F-01"}</definedName>
    <definedName name="LM_AT" localSheetId="9" hidden="1">{#N/A,#N/A,FALSE,"F-01"}</definedName>
    <definedName name="LM_AT" localSheetId="13" hidden="1">{#N/A,#N/A,FALSE,"F-01"}</definedName>
    <definedName name="LM_AT" localSheetId="0" hidden="1">{#N/A,#N/A,FALSE,"F-01"}</definedName>
    <definedName name="LM_AT" hidden="1">{#N/A,#N/A,FALSE,"F-01"}</definedName>
    <definedName name="LM_INC" localSheetId="3" hidden="1">{#N/A,#N/A,FALSE,"F-01"}</definedName>
    <definedName name="LM_INC" localSheetId="8" hidden="1">{#N/A,#N/A,FALSE,"F-01"}</definedName>
    <definedName name="LM_INC" localSheetId="2" hidden="1">{#N/A,#N/A,FALSE,"F-01"}</definedName>
    <definedName name="LM_INC" localSheetId="9" hidden="1">{#N/A,#N/A,FALSE,"F-01"}</definedName>
    <definedName name="LM_INC" localSheetId="13" hidden="1">{#N/A,#N/A,FALSE,"F-01"}</definedName>
    <definedName name="LM_INC" localSheetId="0" hidden="1">{#N/A,#N/A,FALSE,"F-01"}</definedName>
    <definedName name="LM_INC" hidden="1">{#N/A,#N/A,FALSE,"F-01"}</definedName>
    <definedName name="LMPAS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MPASD"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O"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O" hidden="1">{TRUE,TRUE,-1.25,-15.5,604.5,366.75,FALSE,FALSE,TRUE,TRUE,0,1,#N/A,1,#N/A,9.0125,24.4117647058824,1,FALSE,FALSE,3,TRUE,1,FALSE,100,"Swvu.PLANILHA2.","ACwvu.PLANILHA2.",#N/A,FALSE,FALSE,0.787401575,0.34,0.46,0.5,1,"","",FALSE,FALSE,FALSE,FALSE,1,#N/A,1,1,FALSE,FALSE,#N/A,#N/A,FALSE,FALSE,FALSE,9,65532,65532,FALSE,FALSE,TRUE,TRUE,TRUE}</definedName>
    <definedName name="LOCALMENU" localSheetId="3">#REF!</definedName>
    <definedName name="LOCALMENU" localSheetId="2">#REF!</definedName>
    <definedName name="LOCALMENU">#REF!</definedName>
    <definedName name="LOCALOBRA" localSheetId="3">#REF!</definedName>
    <definedName name="LOCALOBRA" localSheetId="2">#REF!</definedName>
    <definedName name="LOCALOBRA">#REF!</definedName>
    <definedName name="LS" localSheetId="4">'[1]M.O.'!#REF!</definedName>
    <definedName name="LS" localSheetId="2">'[1]M.O.'!#REF!</definedName>
    <definedName name="LS" localSheetId="13">'[1]M.O.'!#REF!</definedName>
    <definedName name="LS" localSheetId="0">'[1]M.O.'!#REF!</definedName>
    <definedName name="LS">'[1]M.O.'!#REF!</definedName>
    <definedName name="LSDFKLDKFTR" localSheetId="3" hidden="1">{#N/A,#N/A,FALSE,"Plan1";#N/A,#N/A,FALSE,"Plan2"}</definedName>
    <definedName name="LSDFKLDKFTR" localSheetId="8" hidden="1">{#N/A,#N/A,FALSE,"Plan1";#N/A,#N/A,FALSE,"Plan2"}</definedName>
    <definedName name="LSDFKLDKFTR" localSheetId="2" hidden="1">{#N/A,#N/A,FALSE,"Plan1";#N/A,#N/A,FALSE,"Plan2"}</definedName>
    <definedName name="LSDFKLDKFTR" localSheetId="9" hidden="1">{#N/A,#N/A,FALSE,"Plan1";#N/A,#N/A,FALSE,"Plan2"}</definedName>
    <definedName name="LSDFKLDKFTR" localSheetId="13" hidden="1">{#N/A,#N/A,FALSE,"Plan1";#N/A,#N/A,FALSE,"Plan2"}</definedName>
    <definedName name="LSDFKLDKFTR" localSheetId="0" hidden="1">{#N/A,#N/A,FALSE,"Plan1";#N/A,#N/A,FALSE,"Plan2"}</definedName>
    <definedName name="LSDFKLDKFTR" hidden="1">{#N/A,#N/A,FALSE,"Plan1";#N/A,#N/A,FALSE,"Plan2"}</definedName>
    <definedName name="lsdjs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lsdjser" hidden="1">{TRUE,TRUE,-1.25,-15.5,604.5,366.75,FALSE,FALSE,TRUE,TRUE,0,1,#N/A,1,#N/A,9.0125,24.4117647058824,1,FALSE,FALSE,3,TRUE,1,FALSE,100,"Swvu.PLANILHA2.","ACwvu.PLANILHA2.",#N/A,FALSE,FALSE,0.787401575,0.34,0.46,0.5,1,"","",FALSE,FALSE,FALSE,FALSE,1,#N/A,1,1,FALSE,FALSE,#N/A,#N/A,FALSE,FALSE,FALSE,9,65532,65532,FALSE,FALSE,TRUE,TRUE,TRUE}</definedName>
    <definedName name="lsdkljfkg" localSheetId="3" hidden="1">{#N/A,#N/A,FALSE,"Plan1";#N/A,#N/A,FALSE,"Plan2"}</definedName>
    <definedName name="lsdkljfkg" localSheetId="8" hidden="1">{#N/A,#N/A,FALSE,"Plan1";#N/A,#N/A,FALSE,"Plan2"}</definedName>
    <definedName name="lsdkljfkg" localSheetId="2" hidden="1">{#N/A,#N/A,FALSE,"Plan1";#N/A,#N/A,FALSE,"Plan2"}</definedName>
    <definedName name="lsdkljfkg" localSheetId="9" hidden="1">{#N/A,#N/A,FALSE,"Plan1";#N/A,#N/A,FALSE,"Plan2"}</definedName>
    <definedName name="lsdkljfkg" localSheetId="13" hidden="1">{#N/A,#N/A,FALSE,"Plan1";#N/A,#N/A,FALSE,"Plan2"}</definedName>
    <definedName name="lsdkljfkg" localSheetId="0" hidden="1">{#N/A,#N/A,FALSE,"Plan1";#N/A,#N/A,FALSE,"Plan2"}</definedName>
    <definedName name="lsdkljfkg" hidden="1">{#N/A,#N/A,FALSE,"Plan1";#N/A,#N/A,FALSE,"Plan2"}</definedName>
    <definedName name="lsdsder" localSheetId="3" hidden="1">{#N/A,#N/A,FALSE,"Plan1";#N/A,#N/A,FALSE,"Plan2"}</definedName>
    <definedName name="lsdsder" localSheetId="8" hidden="1">{#N/A,#N/A,FALSE,"Plan1";#N/A,#N/A,FALSE,"Plan2"}</definedName>
    <definedName name="lsdsder" localSheetId="2" hidden="1">{#N/A,#N/A,FALSE,"Plan1";#N/A,#N/A,FALSE,"Plan2"}</definedName>
    <definedName name="lsdsder" localSheetId="9" hidden="1">{#N/A,#N/A,FALSE,"Plan1";#N/A,#N/A,FALSE,"Plan2"}</definedName>
    <definedName name="lsdsder" localSheetId="13" hidden="1">{#N/A,#N/A,FALSE,"Plan1";#N/A,#N/A,FALSE,"Plan2"}</definedName>
    <definedName name="lsdsder" localSheetId="0" hidden="1">{#N/A,#N/A,FALSE,"Plan1";#N/A,#N/A,FALSE,"Plan2"}</definedName>
    <definedName name="lsdsder" hidden="1">{#N/A,#N/A,FALSE,"Plan1";#N/A,#N/A,FALSE,"Plan2"}</definedName>
    <definedName name="ltj6ljyhdjhngças" localSheetId="3" hidden="1">{#N/A,#N/A,FALSE,"Plan1";#N/A,#N/A,FALSE,"Plan2"}</definedName>
    <definedName name="ltj6ljyhdjhngças" localSheetId="8" hidden="1">{#N/A,#N/A,FALSE,"Plan1";#N/A,#N/A,FALSE,"Plan2"}</definedName>
    <definedName name="ltj6ljyhdjhngças" localSheetId="2" hidden="1">{#N/A,#N/A,FALSE,"Plan1";#N/A,#N/A,FALSE,"Plan2"}</definedName>
    <definedName name="ltj6ljyhdjhngças" localSheetId="9" hidden="1">{#N/A,#N/A,FALSE,"Plan1";#N/A,#N/A,FALSE,"Plan2"}</definedName>
    <definedName name="ltj6ljyhdjhngças" localSheetId="13" hidden="1">{#N/A,#N/A,FALSE,"Plan1";#N/A,#N/A,FALSE,"Plan2"}</definedName>
    <definedName name="ltj6ljyhdjhngças" localSheetId="0" hidden="1">{#N/A,#N/A,FALSE,"Plan1";#N/A,#N/A,FALSE,"Plan2"}</definedName>
    <definedName name="ltj6ljyhdjhngças" hidden="1">{#N/A,#N/A,FALSE,"Plan1";#N/A,#N/A,FALSE,"Plan2"}</definedName>
    <definedName name="LUCRO" localSheetId="3">#REF!</definedName>
    <definedName name="LUCRO" localSheetId="2">#REF!</definedName>
    <definedName name="LUCRO">#REF!</definedName>
    <definedName name="luis_cdi" localSheetId="3">#REF!</definedName>
    <definedName name="luis_cdi" localSheetId="2">#REF!</definedName>
    <definedName name="luis_cdi">#REF!</definedName>
    <definedName name="luis_hist" localSheetId="3">#REF!</definedName>
    <definedName name="luis_hist" localSheetId="2">#REF!</definedName>
    <definedName name="luis_hist">#REF!</definedName>
    <definedName name="luis_uss" localSheetId="2">#REF!</definedName>
    <definedName name="luis_uss">#REF!</definedName>
    <definedName name="LV" localSheetId="2">#REF!</definedName>
    <definedName name="LV">#REF!</definedName>
    <definedName name="LVI" localSheetId="2">#REF!</definedName>
    <definedName name="LVI">#REF!</definedName>
    <definedName name="LVII" localSheetId="2">#REF!</definedName>
    <definedName name="LVII">#REF!</definedName>
    <definedName name="LVIII" localSheetId="2">#REF!</definedName>
    <definedName name="LVIII">#REF!</definedName>
    <definedName name="lwaeddew" localSheetId="0" hidden="1">#REF!</definedName>
    <definedName name="lwaeddew" hidden="1">#REF!</definedName>
    <definedName name="LXX" localSheetId="2">#REF!</definedName>
    <definedName name="LXX">#REF!</definedName>
    <definedName name="LXXI" localSheetId="2">#REF!</definedName>
    <definedName name="LXXI">#REF!</definedName>
    <definedName name="LXXII" localSheetId="2">#REF!</definedName>
    <definedName name="LXXII">#REF!</definedName>
    <definedName name="LXXIII" localSheetId="2">#REF!</definedName>
    <definedName name="LXXIII">#REF!</definedName>
    <definedName name="LXXIV" localSheetId="2">#REF!</definedName>
    <definedName name="LXXIV">#REF!</definedName>
    <definedName name="LXXIX" localSheetId="2">#REF!</definedName>
    <definedName name="LXXIX">#REF!</definedName>
    <definedName name="LXXV" localSheetId="2">#REF!</definedName>
    <definedName name="LXXV">#REF!</definedName>
    <definedName name="LXXVI" localSheetId="2">#REF!</definedName>
    <definedName name="LXXVI">#REF!</definedName>
    <definedName name="LXXVII" localSheetId="2">#REF!</definedName>
    <definedName name="LXXVII">#REF!</definedName>
    <definedName name="LXXVIII" localSheetId="2">#REF!</definedName>
    <definedName name="LXXVIII">#REF!</definedName>
    <definedName name="LXXX" localSheetId="2">#REF!</definedName>
    <definedName name="LXXX">#REF!</definedName>
    <definedName name="LXXXI" localSheetId="2">#REF!</definedName>
    <definedName name="LXXXI">#REF!</definedName>
    <definedName name="LXXXII" localSheetId="2">#REF!</definedName>
    <definedName name="LXXXII">#REF!</definedName>
    <definedName name="LXXXIII" localSheetId="2">#REF!</definedName>
    <definedName name="LXXXIII">#REF!</definedName>
    <definedName name="LXXXIV" localSheetId="2">#REF!</definedName>
    <definedName name="LXXXIV">#REF!</definedName>
    <definedName name="LXXXV" localSheetId="2">#REF!</definedName>
    <definedName name="LXXXV">#REF!</definedName>
    <definedName name="m"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 hidden="1">{TRUE,TRUE,-1.25,-15.5,604.5,366.75,FALSE,FALSE,TRUE,TRUE,0,1,#N/A,1,#N/A,9.0125,24.4117647058824,1,FALSE,FALSE,3,TRUE,1,FALSE,100,"Swvu.PLANILHA2.","ACwvu.PLANILHA2.",#N/A,FALSE,FALSE,0.787401575,0.34,0.46,0.5,1,"","",FALSE,FALSE,FALSE,FALSE,1,#N/A,1,1,FALSE,FALSE,#N/A,#N/A,FALSE,FALSE,FALSE,9,65532,65532,FALSE,FALSE,TRUE,TRUE,TRUE}</definedName>
    <definedName name="MADRI" localSheetId="3">#REF!</definedName>
    <definedName name="MADRI" localSheetId="2">#REF!</definedName>
    <definedName name="MADRI">#REF!</definedName>
    <definedName name="mai17RJ" localSheetId="3">#REF!</definedName>
    <definedName name="mai17RJ" localSheetId="2">#REF!</definedName>
    <definedName name="mai17RJ">#REF!</definedName>
    <definedName name="MAIO" localSheetId="3">#REF!</definedName>
    <definedName name="MAIO" localSheetId="2">#REF!</definedName>
    <definedName name="MAIO">#REF!</definedName>
    <definedName name="MAIO2001" localSheetId="2">#REF!</definedName>
    <definedName name="MAIO2001">#REF!</definedName>
    <definedName name="MAISAP" localSheetId="3" hidden="1">{#N/A,#N/A,FALSE,"Plan1";#N/A,#N/A,FALSE,"Plan2"}</definedName>
    <definedName name="MAISAP" localSheetId="8" hidden="1">{#N/A,#N/A,FALSE,"Plan1";#N/A,#N/A,FALSE,"Plan2"}</definedName>
    <definedName name="MAISAP" localSheetId="2" hidden="1">{#N/A,#N/A,FALSE,"Plan1";#N/A,#N/A,FALSE,"Plan2"}</definedName>
    <definedName name="MAISAP" localSheetId="9" hidden="1">{#N/A,#N/A,FALSE,"Plan1";#N/A,#N/A,FALSE,"Plan2"}</definedName>
    <definedName name="MAISAP" localSheetId="13" hidden="1">{#N/A,#N/A,FALSE,"Plan1";#N/A,#N/A,FALSE,"Plan2"}</definedName>
    <definedName name="MAISAP" localSheetId="0" hidden="1">{#N/A,#N/A,FALSE,"Plan1";#N/A,#N/A,FALSE,"Plan2"}</definedName>
    <definedName name="MAISAP" hidden="1">{#N/A,#N/A,FALSE,"Plan1";#N/A,#N/A,FALSE,"Plan2"}</definedName>
    <definedName name="MANTO" localSheetId="3" hidden="1">{#N/A,#N/A,FALSE,"GERAL";#N/A,#N/A,FALSE,"012-96";#N/A,#N/A,FALSE,"018-96";#N/A,#N/A,FALSE,"027-96";#N/A,#N/A,FALSE,"059-96";#N/A,#N/A,FALSE,"076-96";#N/A,#N/A,FALSE,"019-97";#N/A,#N/A,FALSE,"021-97";#N/A,#N/A,FALSE,"022-97";#N/A,#N/A,FALSE,"028-97"}</definedName>
    <definedName name="MANTO" localSheetId="8" hidden="1">{#N/A,#N/A,FALSE,"GERAL";#N/A,#N/A,FALSE,"012-96";#N/A,#N/A,FALSE,"018-96";#N/A,#N/A,FALSE,"027-96";#N/A,#N/A,FALSE,"059-96";#N/A,#N/A,FALSE,"076-96";#N/A,#N/A,FALSE,"019-97";#N/A,#N/A,FALSE,"021-97";#N/A,#N/A,FALSE,"022-97";#N/A,#N/A,FALSE,"028-97"}</definedName>
    <definedName name="MANTO" localSheetId="2" hidden="1">{#N/A,#N/A,FALSE,"GERAL";#N/A,#N/A,FALSE,"012-96";#N/A,#N/A,FALSE,"018-96";#N/A,#N/A,FALSE,"027-96";#N/A,#N/A,FALSE,"059-96";#N/A,#N/A,FALSE,"076-96";#N/A,#N/A,FALSE,"019-97";#N/A,#N/A,FALSE,"021-97";#N/A,#N/A,FALSE,"022-97";#N/A,#N/A,FALSE,"028-97"}</definedName>
    <definedName name="MANTO" localSheetId="9" hidden="1">{#N/A,#N/A,FALSE,"GERAL";#N/A,#N/A,FALSE,"012-96";#N/A,#N/A,FALSE,"018-96";#N/A,#N/A,FALSE,"027-96";#N/A,#N/A,FALSE,"059-96";#N/A,#N/A,FALSE,"076-96";#N/A,#N/A,FALSE,"019-97";#N/A,#N/A,FALSE,"021-97";#N/A,#N/A,FALSE,"022-97";#N/A,#N/A,FALSE,"028-97"}</definedName>
    <definedName name="MANTO" localSheetId="13" hidden="1">{#N/A,#N/A,FALSE,"GERAL";#N/A,#N/A,FALSE,"012-96";#N/A,#N/A,FALSE,"018-96";#N/A,#N/A,FALSE,"027-96";#N/A,#N/A,FALSE,"059-96";#N/A,#N/A,FALSE,"076-96";#N/A,#N/A,FALSE,"019-97";#N/A,#N/A,FALSE,"021-97";#N/A,#N/A,FALSE,"022-97";#N/A,#N/A,FALSE,"028-97"}</definedName>
    <definedName name="MANTO" localSheetId="0"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O_DE_OBRA" localSheetId="3">#REF!</definedName>
    <definedName name="MAO_DE_OBRA" localSheetId="2">#REF!</definedName>
    <definedName name="MAO_DE_OBRA">#REF!</definedName>
    <definedName name="mar17RJ" localSheetId="3">#REF!</definedName>
    <definedName name="mar17RJ" localSheetId="2">#REF!</definedName>
    <definedName name="mar17RJ">#REF!</definedName>
    <definedName name="MARCAX" localSheetId="3">#REF!</definedName>
    <definedName name="MARCAX" localSheetId="2">#REF!</definedName>
    <definedName name="MARCAX">#REF!</definedName>
    <definedName name="MARÇO" localSheetId="2">#REF!</definedName>
    <definedName name="MARÇO">#REF!</definedName>
    <definedName name="MARÇO2001" localSheetId="2">#REF!</definedName>
    <definedName name="MARÇO2001">#REF!</definedName>
    <definedName name="martha" localSheetId="2">#REF!</definedName>
    <definedName name="martha">#REF!</definedName>
    <definedName name="MASTER" localSheetId="3" hidden="1">{#N/A,#N/A,FALSE,"GERAL";#N/A,#N/A,FALSE,"012-96";#N/A,#N/A,FALSE,"018-96";#N/A,#N/A,FALSE,"027-96";#N/A,#N/A,FALSE,"059-96";#N/A,#N/A,FALSE,"076-96";#N/A,#N/A,FALSE,"019-97";#N/A,#N/A,FALSE,"021-97";#N/A,#N/A,FALSE,"022-97";#N/A,#N/A,FALSE,"028-97"}</definedName>
    <definedName name="MASTER" localSheetId="8" hidden="1">{#N/A,#N/A,FALSE,"GERAL";#N/A,#N/A,FALSE,"012-96";#N/A,#N/A,FALSE,"018-96";#N/A,#N/A,FALSE,"027-96";#N/A,#N/A,FALSE,"059-96";#N/A,#N/A,FALSE,"076-96";#N/A,#N/A,FALSE,"019-97";#N/A,#N/A,FALSE,"021-97";#N/A,#N/A,FALSE,"022-97";#N/A,#N/A,FALSE,"028-97"}</definedName>
    <definedName name="MASTER" localSheetId="2" hidden="1">{#N/A,#N/A,FALSE,"GERAL";#N/A,#N/A,FALSE,"012-96";#N/A,#N/A,FALSE,"018-96";#N/A,#N/A,FALSE,"027-96";#N/A,#N/A,FALSE,"059-96";#N/A,#N/A,FALSE,"076-96";#N/A,#N/A,FALSE,"019-97";#N/A,#N/A,FALSE,"021-97";#N/A,#N/A,FALSE,"022-97";#N/A,#N/A,FALSE,"028-97"}</definedName>
    <definedName name="MASTER" localSheetId="9" hidden="1">{#N/A,#N/A,FALSE,"GERAL";#N/A,#N/A,FALSE,"012-96";#N/A,#N/A,FALSE,"018-96";#N/A,#N/A,FALSE,"027-96";#N/A,#N/A,FALSE,"059-96";#N/A,#N/A,FALSE,"076-96";#N/A,#N/A,FALSE,"019-97";#N/A,#N/A,FALSE,"021-97";#N/A,#N/A,FALSE,"022-97";#N/A,#N/A,FALSE,"028-97"}</definedName>
    <definedName name="MASTER" localSheetId="13" hidden="1">{#N/A,#N/A,FALSE,"GERAL";#N/A,#N/A,FALSE,"012-96";#N/A,#N/A,FALSE,"018-96";#N/A,#N/A,FALSE,"027-96";#N/A,#N/A,FALSE,"059-96";#N/A,#N/A,FALSE,"076-96";#N/A,#N/A,FALSE,"019-97";#N/A,#N/A,FALSE,"021-97";#N/A,#N/A,FALSE,"022-97";#N/A,#N/A,FALSE,"028-97"}</definedName>
    <definedName name="MASTER" localSheetId="0" hidden="1">{#N/A,#N/A,FALSE,"GERAL";#N/A,#N/A,FALSE,"012-96";#N/A,#N/A,FALSE,"018-96";#N/A,#N/A,FALSE,"027-96";#N/A,#N/A,FALSE,"059-96";#N/A,#N/A,FALSE,"076-96";#N/A,#N/A,FALSE,"019-97";#N/A,#N/A,FALSE,"021-97";#N/A,#N/A,FALSE,"022-97";#N/A,#N/A,FALSE,"028-97"}</definedName>
    <definedName name="MASTER" hidden="1">{#N/A,#N/A,FALSE,"GERAL";#N/A,#N/A,FALSE,"012-96";#N/A,#N/A,FALSE,"018-96";#N/A,#N/A,FALSE,"027-96";#N/A,#N/A,FALSE,"059-96";#N/A,#N/A,FALSE,"076-96";#N/A,#N/A,FALSE,"019-97";#N/A,#N/A,FALSE,"021-97";#N/A,#N/A,FALSE,"022-97";#N/A,#N/A,FALSE,"028-97"}</definedName>
    <definedName name="MATERIAL" localSheetId="3">#REF!</definedName>
    <definedName name="MATERIAL" localSheetId="2">#REF!</definedName>
    <definedName name="MATERIAL">#REF!</definedName>
    <definedName name="mattubcust" localSheetId="3" hidden="1">{#N/A,#N/A,FALSE,"GERAL";#N/A,#N/A,FALSE,"012-96";#N/A,#N/A,FALSE,"018-96";#N/A,#N/A,FALSE,"027-96";#N/A,#N/A,FALSE,"059-96";#N/A,#N/A,FALSE,"076-96";#N/A,#N/A,FALSE,"019-97";#N/A,#N/A,FALSE,"021-97";#N/A,#N/A,FALSE,"022-97";#N/A,#N/A,FALSE,"028-97"}</definedName>
    <definedName name="mattubcust" localSheetId="8" hidden="1">{#N/A,#N/A,FALSE,"GERAL";#N/A,#N/A,FALSE,"012-96";#N/A,#N/A,FALSE,"018-96";#N/A,#N/A,FALSE,"027-96";#N/A,#N/A,FALSE,"059-96";#N/A,#N/A,FALSE,"076-96";#N/A,#N/A,FALSE,"019-97";#N/A,#N/A,FALSE,"021-97";#N/A,#N/A,FALSE,"022-97";#N/A,#N/A,FALSE,"028-97"}</definedName>
    <definedName name="mattubcust" localSheetId="2" hidden="1">{#N/A,#N/A,FALSE,"GERAL";#N/A,#N/A,FALSE,"012-96";#N/A,#N/A,FALSE,"018-96";#N/A,#N/A,FALSE,"027-96";#N/A,#N/A,FALSE,"059-96";#N/A,#N/A,FALSE,"076-96";#N/A,#N/A,FALSE,"019-97";#N/A,#N/A,FALSE,"021-97";#N/A,#N/A,FALSE,"022-97";#N/A,#N/A,FALSE,"028-97"}</definedName>
    <definedName name="mattubcust" localSheetId="9" hidden="1">{#N/A,#N/A,FALSE,"GERAL";#N/A,#N/A,FALSE,"012-96";#N/A,#N/A,FALSE,"018-96";#N/A,#N/A,FALSE,"027-96";#N/A,#N/A,FALSE,"059-96";#N/A,#N/A,FALSE,"076-96";#N/A,#N/A,FALSE,"019-97";#N/A,#N/A,FALSE,"021-97";#N/A,#N/A,FALSE,"022-97";#N/A,#N/A,FALSE,"028-97"}</definedName>
    <definedName name="mattubcust" localSheetId="13" hidden="1">{#N/A,#N/A,FALSE,"GERAL";#N/A,#N/A,FALSE,"012-96";#N/A,#N/A,FALSE,"018-96";#N/A,#N/A,FALSE,"027-96";#N/A,#N/A,FALSE,"059-96";#N/A,#N/A,FALSE,"076-96";#N/A,#N/A,FALSE,"019-97";#N/A,#N/A,FALSE,"021-97";#N/A,#N/A,FALSE,"022-97";#N/A,#N/A,FALSE,"028-97"}</definedName>
    <definedName name="mattubcust" localSheetId="0" hidden="1">{#N/A,#N/A,FALSE,"GERAL";#N/A,#N/A,FALSE,"012-96";#N/A,#N/A,FALSE,"018-96";#N/A,#N/A,FALSE,"027-96";#N/A,#N/A,FALSE,"059-96";#N/A,#N/A,FALSE,"076-96";#N/A,#N/A,FALSE,"019-97";#N/A,#N/A,FALSE,"021-97";#N/A,#N/A,FALSE,"022-97";#N/A,#N/A,FALSE,"028-97"}</definedName>
    <definedName name="mattubcust" hidden="1">{#N/A,#N/A,FALSE,"GERAL";#N/A,#N/A,FALSE,"012-96";#N/A,#N/A,FALSE,"018-96";#N/A,#N/A,FALSE,"027-96";#N/A,#N/A,FALSE,"059-96";#N/A,#N/A,FALSE,"076-96";#N/A,#N/A,FALSE,"019-97";#N/A,#N/A,FALSE,"021-97";#N/A,#N/A,FALSE,"022-97";#N/A,#N/A,FALSE,"028-97"}</definedName>
    <definedName name="MAURILIO" localSheetId="3" hidden="1">{#N/A,#N/A,FALSE,"Plan1";#N/A,#N/A,FALSE,"Plan2"}</definedName>
    <definedName name="MAURILIO" localSheetId="8" hidden="1">{#N/A,#N/A,FALSE,"Plan1";#N/A,#N/A,FALSE,"Plan2"}</definedName>
    <definedName name="MAURILIO" localSheetId="2" hidden="1">{#N/A,#N/A,FALSE,"Plan1";#N/A,#N/A,FALSE,"Plan2"}</definedName>
    <definedName name="MAURILIO" localSheetId="9" hidden="1">{#N/A,#N/A,FALSE,"Plan1";#N/A,#N/A,FALSE,"Plan2"}</definedName>
    <definedName name="MAURILIO" localSheetId="13" hidden="1">{#N/A,#N/A,FALSE,"Plan1";#N/A,#N/A,FALSE,"Plan2"}</definedName>
    <definedName name="MAURILIO" localSheetId="0" hidden="1">{#N/A,#N/A,FALSE,"Plan1";#N/A,#N/A,FALSE,"Plan2"}</definedName>
    <definedName name="MAURILIO" hidden="1">{#N/A,#N/A,FALSE,"Plan1";#N/A,#N/A,FALSE,"Plan2"}</definedName>
    <definedName name="MC" localSheetId="3" hidden="1">{#N/A,#N/A,FALSE,"GERAL";#N/A,#N/A,FALSE,"012-96";#N/A,#N/A,FALSE,"018-96";#N/A,#N/A,FALSE,"027-96";#N/A,#N/A,FALSE,"059-96";#N/A,#N/A,FALSE,"076-96";#N/A,#N/A,FALSE,"019-97";#N/A,#N/A,FALSE,"021-97";#N/A,#N/A,FALSE,"022-97";#N/A,#N/A,FALSE,"028-97"}</definedName>
    <definedName name="MC" localSheetId="8" hidden="1">{#N/A,#N/A,FALSE,"GERAL";#N/A,#N/A,FALSE,"012-96";#N/A,#N/A,FALSE,"018-96";#N/A,#N/A,FALSE,"027-96";#N/A,#N/A,FALSE,"059-96";#N/A,#N/A,FALSE,"076-96";#N/A,#N/A,FALSE,"019-97";#N/A,#N/A,FALSE,"021-97";#N/A,#N/A,FALSE,"022-97";#N/A,#N/A,FALSE,"028-97"}</definedName>
    <definedName name="MC" localSheetId="2" hidden="1">{#N/A,#N/A,FALSE,"GERAL";#N/A,#N/A,FALSE,"012-96";#N/A,#N/A,FALSE,"018-96";#N/A,#N/A,FALSE,"027-96";#N/A,#N/A,FALSE,"059-96";#N/A,#N/A,FALSE,"076-96";#N/A,#N/A,FALSE,"019-97";#N/A,#N/A,FALSE,"021-97";#N/A,#N/A,FALSE,"022-97";#N/A,#N/A,FALSE,"028-97"}</definedName>
    <definedName name="MC" localSheetId="9" hidden="1">{#N/A,#N/A,FALSE,"GERAL";#N/A,#N/A,FALSE,"012-96";#N/A,#N/A,FALSE,"018-96";#N/A,#N/A,FALSE,"027-96";#N/A,#N/A,FALSE,"059-96";#N/A,#N/A,FALSE,"076-96";#N/A,#N/A,FALSE,"019-97";#N/A,#N/A,FALSE,"021-97";#N/A,#N/A,FALSE,"022-97";#N/A,#N/A,FALSE,"028-97"}</definedName>
    <definedName name="MC" localSheetId="13" hidden="1">{#N/A,#N/A,FALSE,"GERAL";#N/A,#N/A,FALSE,"012-96";#N/A,#N/A,FALSE,"018-96";#N/A,#N/A,FALSE,"027-96";#N/A,#N/A,FALSE,"059-96";#N/A,#N/A,FALSE,"076-96";#N/A,#N/A,FALSE,"019-97";#N/A,#N/A,FALSE,"021-97";#N/A,#N/A,FALSE,"022-97";#N/A,#N/A,FALSE,"028-97"}</definedName>
    <definedName name="MC" localSheetId="0" hidden="1">{#N/A,#N/A,FALSE,"GERAL";#N/A,#N/A,FALSE,"012-96";#N/A,#N/A,FALSE,"018-96";#N/A,#N/A,FALSE,"027-96";#N/A,#N/A,FALSE,"059-96";#N/A,#N/A,FALSE,"076-96";#N/A,#N/A,FALSE,"019-97";#N/A,#N/A,FALSE,"021-97";#N/A,#N/A,FALSE,"022-97";#N/A,#N/A,FALSE,"028-97"}</definedName>
    <definedName name="MC" hidden="1">{#N/A,#N/A,FALSE,"GERAL";#N/A,#N/A,FALSE,"012-96";#N/A,#N/A,FALSE,"018-96";#N/A,#N/A,FALSE,"027-96";#N/A,#N/A,FALSE,"059-96";#N/A,#N/A,FALSE,"076-96";#N/A,#N/A,FALSE,"019-97";#N/A,#N/A,FALSE,"021-97";#N/A,#N/A,FALSE,"022-97";#N/A,#N/A,FALSE,"028-97"}</definedName>
    <definedName name="MCM" localSheetId="3" hidden="1">{#N/A,#N/A,FALSE,"GERAL";#N/A,#N/A,FALSE,"012-96";#N/A,#N/A,FALSE,"018-96";#N/A,#N/A,FALSE,"027-96";#N/A,#N/A,FALSE,"059-96";#N/A,#N/A,FALSE,"076-96";#N/A,#N/A,FALSE,"019-97";#N/A,#N/A,FALSE,"021-97";#N/A,#N/A,FALSE,"022-97";#N/A,#N/A,FALSE,"028-97"}</definedName>
    <definedName name="MCM" localSheetId="8" hidden="1">{#N/A,#N/A,FALSE,"GERAL";#N/A,#N/A,FALSE,"012-96";#N/A,#N/A,FALSE,"018-96";#N/A,#N/A,FALSE,"027-96";#N/A,#N/A,FALSE,"059-96";#N/A,#N/A,FALSE,"076-96";#N/A,#N/A,FALSE,"019-97";#N/A,#N/A,FALSE,"021-97";#N/A,#N/A,FALSE,"022-97";#N/A,#N/A,FALSE,"028-97"}</definedName>
    <definedName name="MCM" localSheetId="2" hidden="1">{#N/A,#N/A,FALSE,"GERAL";#N/A,#N/A,FALSE,"012-96";#N/A,#N/A,FALSE,"018-96";#N/A,#N/A,FALSE,"027-96";#N/A,#N/A,FALSE,"059-96";#N/A,#N/A,FALSE,"076-96";#N/A,#N/A,FALSE,"019-97";#N/A,#N/A,FALSE,"021-97";#N/A,#N/A,FALSE,"022-97";#N/A,#N/A,FALSE,"028-97"}</definedName>
    <definedName name="MCM" localSheetId="9" hidden="1">{#N/A,#N/A,FALSE,"GERAL";#N/A,#N/A,FALSE,"012-96";#N/A,#N/A,FALSE,"018-96";#N/A,#N/A,FALSE,"027-96";#N/A,#N/A,FALSE,"059-96";#N/A,#N/A,FALSE,"076-96";#N/A,#N/A,FALSE,"019-97";#N/A,#N/A,FALSE,"021-97";#N/A,#N/A,FALSE,"022-97";#N/A,#N/A,FALSE,"028-97"}</definedName>
    <definedName name="MCM" localSheetId="13" hidden="1">{#N/A,#N/A,FALSE,"GERAL";#N/A,#N/A,FALSE,"012-96";#N/A,#N/A,FALSE,"018-96";#N/A,#N/A,FALSE,"027-96";#N/A,#N/A,FALSE,"059-96";#N/A,#N/A,FALSE,"076-96";#N/A,#N/A,FALSE,"019-97";#N/A,#N/A,FALSE,"021-97";#N/A,#N/A,FALSE,"022-97";#N/A,#N/A,FALSE,"028-97"}</definedName>
    <definedName name="MCM" localSheetId="0"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CMV" localSheetId="3">#REF!</definedName>
    <definedName name="MCMV" localSheetId="2">#REF!</definedName>
    <definedName name="MCMV">#REF!</definedName>
    <definedName name="mdfgtr" localSheetId="3" hidden="1">{#N/A,#N/A,FALSE,"Plan1";#N/A,#N/A,FALSE,"Plan2"}</definedName>
    <definedName name="mdfgtr" localSheetId="8" hidden="1">{#N/A,#N/A,FALSE,"Plan1";#N/A,#N/A,FALSE,"Plan2"}</definedName>
    <definedName name="mdfgtr" localSheetId="2" hidden="1">{#N/A,#N/A,FALSE,"Plan1";#N/A,#N/A,FALSE,"Plan2"}</definedName>
    <definedName name="mdfgtr" localSheetId="9" hidden="1">{#N/A,#N/A,FALSE,"Plan1";#N/A,#N/A,FALSE,"Plan2"}</definedName>
    <definedName name="mdfgtr" localSheetId="13" hidden="1">{#N/A,#N/A,FALSE,"Plan1";#N/A,#N/A,FALSE,"Plan2"}</definedName>
    <definedName name="mdfgtr" localSheetId="0" hidden="1">{#N/A,#N/A,FALSE,"Plan1";#N/A,#N/A,FALSE,"Plan2"}</definedName>
    <definedName name="mdfgtr" hidden="1">{#N/A,#N/A,FALSE,"Plan1";#N/A,#N/A,FALSE,"Plan2"}</definedName>
    <definedName name="MDSÇLFJKJSD" localSheetId="3" hidden="1">{#N/A,#N/A,FALSE,"Plan1";#N/A,#N/A,FALSE,"Plan2"}</definedName>
    <definedName name="MDSÇLFJKJSD" localSheetId="8" hidden="1">{#N/A,#N/A,FALSE,"Plan1";#N/A,#N/A,FALSE,"Plan2"}</definedName>
    <definedName name="MDSÇLFJKJSD" localSheetId="2" hidden="1">{#N/A,#N/A,FALSE,"Plan1";#N/A,#N/A,FALSE,"Plan2"}</definedName>
    <definedName name="MDSÇLFJKJSD" localSheetId="9" hidden="1">{#N/A,#N/A,FALSE,"Plan1";#N/A,#N/A,FALSE,"Plan2"}</definedName>
    <definedName name="MDSÇLFJKJSD" localSheetId="13" hidden="1">{#N/A,#N/A,FALSE,"Plan1";#N/A,#N/A,FALSE,"Plan2"}</definedName>
    <definedName name="MDSÇLFJKJSD" localSheetId="0" hidden="1">{#N/A,#N/A,FALSE,"Plan1";#N/A,#N/A,FALSE,"Plan2"}</definedName>
    <definedName name="MDSÇLFJKJSD" hidden="1">{#N/A,#N/A,FALSE,"Plan1";#N/A,#N/A,FALSE,"Plan2"}</definedName>
    <definedName name="ME" localSheetId="3" hidden="1">{"HW",#N/A,FALSE,"1998"}</definedName>
    <definedName name="ME" localSheetId="8" hidden="1">{"HW",#N/A,FALSE,"1998"}</definedName>
    <definedName name="ME" localSheetId="2" hidden="1">{"HW",#N/A,FALSE,"1998"}</definedName>
    <definedName name="ME" localSheetId="9" hidden="1">{"HW",#N/A,FALSE,"1998"}</definedName>
    <definedName name="ME" localSheetId="13" hidden="1">{"HW",#N/A,FALSE,"1998"}</definedName>
    <definedName name="ME" localSheetId="0" hidden="1">{"HW",#N/A,FALSE,"1998"}</definedName>
    <definedName name="ME" hidden="1">{"HW",#N/A,FALSE,"1998"}</definedName>
    <definedName name="Medido_Fin_Medições" localSheetId="3">#REF!</definedName>
    <definedName name="Medido_Fin_Medições" localSheetId="2">#REF!</definedName>
    <definedName name="Medido_Fin_Medições">#REF!</definedName>
    <definedName name="melo_cdi" localSheetId="3">#REF!</definedName>
    <definedName name="melo_cdi" localSheetId="2">#REF!</definedName>
    <definedName name="melo_cdi">#REF!</definedName>
    <definedName name="melo_hist" localSheetId="3">#REF!</definedName>
    <definedName name="melo_hist" localSheetId="2">#REF!</definedName>
    <definedName name="melo_hist">#REF!</definedName>
    <definedName name="melo_uss" localSheetId="2">#REF!</definedName>
    <definedName name="melo_uss">#REF!</definedName>
    <definedName name="MEMÓRIA" localSheetId="2">#REF!</definedName>
    <definedName name="MEMÓRIA">#REF!</definedName>
    <definedName name="memória2" localSheetId="2">#REF!</definedName>
    <definedName name="memória2">#REF!</definedName>
    <definedName name="mensal" localSheetId="2">#REF!</definedName>
    <definedName name="mensal">#REF!</definedName>
    <definedName name="MENU" localSheetId="5">#REF!</definedName>
    <definedName name="MENU" localSheetId="4">#REF!</definedName>
    <definedName name="MENU" localSheetId="2">#REF!</definedName>
    <definedName name="MENU" localSheetId="13">#REF!</definedName>
    <definedName name="MENU" localSheetId="0">#REF!</definedName>
    <definedName name="MENU">#REF!</definedName>
    <definedName name="MENU1" localSheetId="4">#REF!</definedName>
    <definedName name="MENU1" localSheetId="2">#REF!</definedName>
    <definedName name="MENU1" localSheetId="13">#REF!</definedName>
    <definedName name="MENU1" localSheetId="0">#REF!</definedName>
    <definedName name="MENU1">#REF!</definedName>
    <definedName name="MENU2" localSheetId="4">#REF!</definedName>
    <definedName name="MENU2" localSheetId="2">#REF!</definedName>
    <definedName name="MENU2" localSheetId="13">#REF!</definedName>
    <definedName name="MENU2" localSheetId="0">#REF!</definedName>
    <definedName name="MENU2">#REF!</definedName>
    <definedName name="MENU3" localSheetId="4">#REF!</definedName>
    <definedName name="MENU3" localSheetId="2">#REF!</definedName>
    <definedName name="MENU3" localSheetId="13">#REF!</definedName>
    <definedName name="MENU3" localSheetId="0">#REF!</definedName>
    <definedName name="MENU3">#REF!</definedName>
    <definedName name="MENU4" localSheetId="4">#REF!</definedName>
    <definedName name="MENU4" localSheetId="2">#REF!</definedName>
    <definedName name="MENU4" localSheetId="13">#REF!</definedName>
    <definedName name="MENU4" localSheetId="0">#REF!</definedName>
    <definedName name="MENU4">#REF!</definedName>
    <definedName name="MENU5" localSheetId="4">#REF!</definedName>
    <definedName name="MENU5" localSheetId="2">#REF!</definedName>
    <definedName name="MENU5" localSheetId="13">#REF!</definedName>
    <definedName name="MENU5" localSheetId="0">#REF!</definedName>
    <definedName name="MENU5">#REF!</definedName>
    <definedName name="MENU6" localSheetId="4">#REF!</definedName>
    <definedName name="MENU6" localSheetId="2">#REF!</definedName>
    <definedName name="MENU6" localSheetId="13">#REF!</definedName>
    <definedName name="MENU6" localSheetId="0">#REF!</definedName>
    <definedName name="MENU6">#REF!</definedName>
    <definedName name="MENUBOM" localSheetId="2">#REF!</definedName>
    <definedName name="MENUBOM">#REF!</definedName>
    <definedName name="MENUEQP" localSheetId="2">#REF!</definedName>
    <definedName name="MENUEQP">#REF!</definedName>
    <definedName name="MENUFIM" localSheetId="2">#REF!</definedName>
    <definedName name="MENUFIM">#REF!</definedName>
    <definedName name="MENUMED" localSheetId="2">#REF!</definedName>
    <definedName name="MENUMED">#REF!</definedName>
    <definedName name="MENUOBRA" localSheetId="2">#REF!</definedName>
    <definedName name="MENUOBRA">#REF!</definedName>
    <definedName name="MENUOUT" localSheetId="2">#REF!</definedName>
    <definedName name="MENUOUT">#REF!</definedName>
    <definedName name="MENUOUTRO" localSheetId="2">#REF!</definedName>
    <definedName name="MENUOUTRO">#REF!</definedName>
    <definedName name="menures" localSheetId="2">#REF!</definedName>
    <definedName name="menures">#REF!</definedName>
    <definedName name="Mês_data_base" localSheetId="2">#REF!</definedName>
    <definedName name="Mês_data_base">#REF!</definedName>
    <definedName name="Mês_Medição_Fin_Medições" localSheetId="2">#REF!</definedName>
    <definedName name="Mês_Medição_Fin_Medições">#REF!</definedName>
    <definedName name="mes_relatorio" localSheetId="2">#REF!</definedName>
    <definedName name="mes_relatorio">#REF!</definedName>
    <definedName name="Meses" localSheetId="2">#REF!</definedName>
    <definedName name="Meses">#REF!</definedName>
    <definedName name="MESTRE" localSheetId="3" hidden="1">{#N/A,#N/A,FALSE,"GERAL";#N/A,#N/A,FALSE,"012-96";#N/A,#N/A,FALSE,"018-96";#N/A,#N/A,FALSE,"027-96";#N/A,#N/A,FALSE,"059-96";#N/A,#N/A,FALSE,"076-96";#N/A,#N/A,FALSE,"019-97";#N/A,#N/A,FALSE,"021-97";#N/A,#N/A,FALSE,"022-97";#N/A,#N/A,FALSE,"028-97"}</definedName>
    <definedName name="MESTRE" localSheetId="8" hidden="1">{#N/A,#N/A,FALSE,"GERAL";#N/A,#N/A,FALSE,"012-96";#N/A,#N/A,FALSE,"018-96";#N/A,#N/A,FALSE,"027-96";#N/A,#N/A,FALSE,"059-96";#N/A,#N/A,FALSE,"076-96";#N/A,#N/A,FALSE,"019-97";#N/A,#N/A,FALSE,"021-97";#N/A,#N/A,FALSE,"022-97";#N/A,#N/A,FALSE,"028-97"}</definedName>
    <definedName name="MESTRE" localSheetId="2" hidden="1">{#N/A,#N/A,FALSE,"GERAL";#N/A,#N/A,FALSE,"012-96";#N/A,#N/A,FALSE,"018-96";#N/A,#N/A,FALSE,"027-96";#N/A,#N/A,FALSE,"059-96";#N/A,#N/A,FALSE,"076-96";#N/A,#N/A,FALSE,"019-97";#N/A,#N/A,FALSE,"021-97";#N/A,#N/A,FALSE,"022-97";#N/A,#N/A,FALSE,"028-97"}</definedName>
    <definedName name="MESTRE" localSheetId="9" hidden="1">{#N/A,#N/A,FALSE,"GERAL";#N/A,#N/A,FALSE,"012-96";#N/A,#N/A,FALSE,"018-96";#N/A,#N/A,FALSE,"027-96";#N/A,#N/A,FALSE,"059-96";#N/A,#N/A,FALSE,"076-96";#N/A,#N/A,FALSE,"019-97";#N/A,#N/A,FALSE,"021-97";#N/A,#N/A,FALSE,"022-97";#N/A,#N/A,FALSE,"028-97"}</definedName>
    <definedName name="MESTRE" localSheetId="13" hidden="1">{#N/A,#N/A,FALSE,"GERAL";#N/A,#N/A,FALSE,"012-96";#N/A,#N/A,FALSE,"018-96";#N/A,#N/A,FALSE,"027-96";#N/A,#N/A,FALSE,"059-96";#N/A,#N/A,FALSE,"076-96";#N/A,#N/A,FALSE,"019-97";#N/A,#N/A,FALSE,"021-97";#N/A,#N/A,FALSE,"022-97";#N/A,#N/A,FALSE,"028-97"}</definedName>
    <definedName name="MESTRE" localSheetId="0"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eta_venda" localSheetId="3">#REF!</definedName>
    <definedName name="meta_venda" localSheetId="2">#REF!</definedName>
    <definedName name="meta_venda">#REF!</definedName>
    <definedName name="MetaBP" localSheetId="3">#REF!</definedName>
    <definedName name="MetaBP" localSheetId="2">#REF!</definedName>
    <definedName name="MetaBP">#REF!</definedName>
    <definedName name="MILENA" localSheetId="0" hidden="1">#REF!</definedName>
    <definedName name="MILENA" hidden="1">#REF!</definedName>
    <definedName name="Minha_Casa_Minha_Vida" localSheetId="2">#REF!</definedName>
    <definedName name="Minha_Casa_Minha_Vida">#REF!</definedName>
    <definedName name="MLMÇLKJKI" localSheetId="3" hidden="1">{#N/A,#N/A,FALSE,"Plan1";#N/A,#N/A,FALSE,"Plan2"}</definedName>
    <definedName name="MLMÇLKJKI" localSheetId="8" hidden="1">{#N/A,#N/A,FALSE,"Plan1";#N/A,#N/A,FALSE,"Plan2"}</definedName>
    <definedName name="MLMÇLKJKI" localSheetId="2" hidden="1">{#N/A,#N/A,FALSE,"Plan1";#N/A,#N/A,FALSE,"Plan2"}</definedName>
    <definedName name="MLMÇLKJKI" localSheetId="9" hidden="1">{#N/A,#N/A,FALSE,"Plan1";#N/A,#N/A,FALSE,"Plan2"}</definedName>
    <definedName name="MLMÇLKJKI" localSheetId="13" hidden="1">{#N/A,#N/A,FALSE,"Plan1";#N/A,#N/A,FALSE,"Plan2"}</definedName>
    <definedName name="MLMÇLKJKI" localSheetId="0" hidden="1">{#N/A,#N/A,FALSE,"Plan1";#N/A,#N/A,FALSE,"Plan2"}</definedName>
    <definedName name="MLMÇLKJKI" hidden="1">{#N/A,#N/A,FALSE,"Plan1";#N/A,#N/A,FALSE,"Plan2"}</definedName>
    <definedName name="MM"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 hidden="1">{TRUE,TRUE,-1.25,-15.5,604.5,366.75,FALSE,FALSE,TRUE,TRUE,0,1,#N/A,1,#N/A,9.0125,24.4117647058824,1,FALSE,FALSE,3,TRUE,1,FALSE,100,"Swvu.PLANILHA2.","ACwvu.PLANILHA2.",#N/A,FALSE,FALSE,0.787401575,0.34,0.46,0.5,1,"","",FALSE,FALSE,FALSE,FALSE,1,#N/A,1,1,FALSE,FALSE,#N/A,#N/A,FALSE,FALSE,FALSE,9,65532,65532,FALSE,FALSE,TRUE,TRUE,TRUE}</definedName>
    <definedName name="mmmmm" localSheetId="3" hidden="1">{"tabela",#N/A,FALSE,"Tabela";"decoração",#N/A,FALSE,"Decor.";"Informações",#N/A,FALSE,"Inform."}</definedName>
    <definedName name="mmmmm" localSheetId="8" hidden="1">{"tabela",#N/A,FALSE,"Tabela";"decoração",#N/A,FALSE,"Decor.";"Informações",#N/A,FALSE,"Inform."}</definedName>
    <definedName name="mmmmm" localSheetId="2" hidden="1">{"tabela",#N/A,FALSE,"Tabela";"decoração",#N/A,FALSE,"Decor.";"Informações",#N/A,FALSE,"Inform."}</definedName>
    <definedName name="mmmmm" localSheetId="9" hidden="1">{"tabela",#N/A,FALSE,"Tabela";"decoração",#N/A,FALSE,"Decor.";"Informações",#N/A,FALSE,"Inform."}</definedName>
    <definedName name="mmmmm" localSheetId="13" hidden="1">{"tabela",#N/A,FALSE,"Tabela";"decoração",#N/A,FALSE,"Decor.";"Informações",#N/A,FALSE,"Inform."}</definedName>
    <definedName name="mmmmm" localSheetId="0" hidden="1">{"tabela",#N/A,FALSE,"Tabela";"decoração",#N/A,FALSE,"Decor.";"Informações",#N/A,FALSE,"Inform."}</definedName>
    <definedName name="mmmmm" hidden="1">{"tabela",#N/A,FALSE,"Tabela";"decoração",#N/A,FALSE,"Decor.";"Informações",#N/A,FALSE,"Inform."}</definedName>
    <definedName name="mmmmmmm" localSheetId="3" hidden="1">{#N/A,#N/A,FALSE,"QD_F1 Invest Detalhado";#N/A,#N/A,FALSE,"QD_F3 Invest_Comparado";#N/A,#N/A,FALSE,"QD_B Trafego";#N/A,#N/A,FALSE,"QD_D0 Custos Operacionais";#N/A,#N/A,FALSE,"QD_C Receita";#N/A,#N/A,FALSE,"QD_D Custos";#N/A,#N/A,FALSE,"QD_E Resultado";#N/A,#N/A,FALSE,"QD_G Fluxo Caixa"}</definedName>
    <definedName name="mmmmmmm" localSheetId="8" hidden="1">{#N/A,#N/A,FALSE,"QD_F1 Invest Detalhado";#N/A,#N/A,FALSE,"QD_F3 Invest_Comparado";#N/A,#N/A,FALSE,"QD_B Trafego";#N/A,#N/A,FALSE,"QD_D0 Custos Operacionais";#N/A,#N/A,FALSE,"QD_C Receita";#N/A,#N/A,FALSE,"QD_D Custos";#N/A,#N/A,FALSE,"QD_E Resultado";#N/A,#N/A,FALSE,"QD_G Fluxo Caixa"}</definedName>
    <definedName name="mmmmmmm"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localSheetId="9" hidden="1">{#N/A,#N/A,FALSE,"QD_F1 Invest Detalhado";#N/A,#N/A,FALSE,"QD_F3 Invest_Comparado";#N/A,#N/A,FALSE,"QD_B Trafego";#N/A,#N/A,FALSE,"QD_D0 Custos Operacionais";#N/A,#N/A,FALSE,"QD_C Receita";#N/A,#N/A,FALSE,"QD_D Custos";#N/A,#N/A,FALSE,"QD_E Resultado";#N/A,#N/A,FALSE,"QD_G Fluxo Caixa"}</definedName>
    <definedName name="mmmmmmm" localSheetId="13" hidden="1">{#N/A,#N/A,FALSE,"QD_F1 Invest Detalhado";#N/A,#N/A,FALSE,"QD_F3 Invest_Comparado";#N/A,#N/A,FALSE,"QD_B Trafego";#N/A,#N/A,FALSE,"QD_D0 Custos Operacionais";#N/A,#N/A,FALSE,"QD_C Receita";#N/A,#N/A,FALSE,"QD_D Custos";#N/A,#N/A,FALSE,"QD_E Resultado";#N/A,#N/A,FALSE,"QD_G Fluxo Caixa"}</definedName>
    <definedName name="mmmmmmm"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mmmmmmm" hidden="1">{#N/A,#N/A,FALSE,"QD_F1 Invest Detalhado";#N/A,#N/A,FALSE,"QD_F3 Invest_Comparado";#N/A,#N/A,FALSE,"QD_B Trafego";#N/A,#N/A,FALSE,"QD_D0 Custos Operacionais";#N/A,#N/A,FALSE,"QD_C Receita";#N/A,#N/A,FALSE,"QD_D Custos";#N/A,#N/A,FALSE,"QD_E Resultado";#N/A,#N/A,FALSE,"QD_G Fluxo Caixa"}</definedName>
    <definedName name="MNBXFKGS" localSheetId="3" hidden="1">{#N/A,#N/A,FALSE,"Plan1";#N/A,#N/A,FALSE,"Plan2"}</definedName>
    <definedName name="MNBXFKGS" localSheetId="8" hidden="1">{#N/A,#N/A,FALSE,"Plan1";#N/A,#N/A,FALSE,"Plan2"}</definedName>
    <definedName name="MNBXFKGS" localSheetId="2" hidden="1">{#N/A,#N/A,FALSE,"Plan1";#N/A,#N/A,FALSE,"Plan2"}</definedName>
    <definedName name="MNBXFKGS" localSheetId="9" hidden="1">{#N/A,#N/A,FALSE,"Plan1";#N/A,#N/A,FALSE,"Plan2"}</definedName>
    <definedName name="MNBXFKGS" localSheetId="13" hidden="1">{#N/A,#N/A,FALSE,"Plan1";#N/A,#N/A,FALSE,"Plan2"}</definedName>
    <definedName name="MNBXFKGS" localSheetId="0" hidden="1">{#N/A,#N/A,FALSE,"Plan1";#N/A,#N/A,FALSE,"Plan2"}</definedName>
    <definedName name="MNBXFKGS" hidden="1">{#N/A,#N/A,FALSE,"Plan1";#N/A,#N/A,FALSE,"Plan2"}</definedName>
    <definedName name="mncvbgcvmc" localSheetId="3" hidden="1">{#N/A,#N/A,FALSE,"Plan1";#N/A,#N/A,FALSE,"Plan2"}</definedName>
    <definedName name="mncvbgcvmc" localSheetId="8" hidden="1">{#N/A,#N/A,FALSE,"Plan1";#N/A,#N/A,FALSE,"Plan2"}</definedName>
    <definedName name="mncvbgcvmc" localSheetId="2" hidden="1">{#N/A,#N/A,FALSE,"Plan1";#N/A,#N/A,FALSE,"Plan2"}</definedName>
    <definedName name="mncvbgcvmc" localSheetId="9" hidden="1">{#N/A,#N/A,FALSE,"Plan1";#N/A,#N/A,FALSE,"Plan2"}</definedName>
    <definedName name="mncvbgcvmc" localSheetId="13" hidden="1">{#N/A,#N/A,FALSE,"Plan1";#N/A,#N/A,FALSE,"Plan2"}</definedName>
    <definedName name="mncvbgcvmc" localSheetId="0" hidden="1">{#N/A,#N/A,FALSE,"Plan1";#N/A,#N/A,FALSE,"Plan2"}</definedName>
    <definedName name="mncvbgcvmc" hidden="1">{#N/A,#N/A,FALSE,"Plan1";#N/A,#N/A,FALSE,"Plan2"}</definedName>
    <definedName name="MNDKZSFNCEA" localSheetId="3" hidden="1">{#N/A,#N/A,FALSE,"Plan1";#N/A,#N/A,FALSE,"Plan2"}</definedName>
    <definedName name="MNDKZSFNCEA" localSheetId="8" hidden="1">{#N/A,#N/A,FALSE,"Plan1";#N/A,#N/A,FALSE,"Plan2"}</definedName>
    <definedName name="MNDKZSFNCEA" localSheetId="2" hidden="1">{#N/A,#N/A,FALSE,"Plan1";#N/A,#N/A,FALSE,"Plan2"}</definedName>
    <definedName name="MNDKZSFNCEA" localSheetId="9" hidden="1">{#N/A,#N/A,FALSE,"Plan1";#N/A,#N/A,FALSE,"Plan2"}</definedName>
    <definedName name="MNDKZSFNCEA" localSheetId="13" hidden="1">{#N/A,#N/A,FALSE,"Plan1";#N/A,#N/A,FALSE,"Plan2"}</definedName>
    <definedName name="MNDKZSFNCEA" localSheetId="0" hidden="1">{#N/A,#N/A,FALSE,"Plan1";#N/A,#N/A,FALSE,"Plan2"}</definedName>
    <definedName name="MNDKZSFNCEA" hidden="1">{#N/A,#N/A,FALSE,"Plan1";#N/A,#N/A,FALSE,"Plan2"}</definedName>
    <definedName name="mnhdshfgfhd" localSheetId="3" hidden="1">{#N/A,#N/A,FALSE,"Plan1";#N/A,#N/A,FALSE,"Plan2"}</definedName>
    <definedName name="mnhdshfgfhd" localSheetId="8" hidden="1">{#N/A,#N/A,FALSE,"Plan1";#N/A,#N/A,FALSE,"Plan2"}</definedName>
    <definedName name="mnhdshfgfhd" localSheetId="2" hidden="1">{#N/A,#N/A,FALSE,"Plan1";#N/A,#N/A,FALSE,"Plan2"}</definedName>
    <definedName name="mnhdshfgfhd" localSheetId="9" hidden="1">{#N/A,#N/A,FALSE,"Plan1";#N/A,#N/A,FALSE,"Plan2"}</definedName>
    <definedName name="mnhdshfgfhd" localSheetId="13" hidden="1">{#N/A,#N/A,FALSE,"Plan1";#N/A,#N/A,FALSE,"Plan2"}</definedName>
    <definedName name="mnhdshfgfhd" localSheetId="0" hidden="1">{#N/A,#N/A,FALSE,"Plan1";#N/A,#N/A,FALSE,"Plan2"}</definedName>
    <definedName name="mnhdshfgfhd" hidden="1">{#N/A,#N/A,FALSE,"Plan1";#N/A,#N/A,FALSE,"Plan2"}</definedName>
    <definedName name="mo" localSheetId="3">#REF!</definedName>
    <definedName name="mo" localSheetId="4">#REF!</definedName>
    <definedName name="mo" localSheetId="8">#REF!</definedName>
    <definedName name="mo" localSheetId="2">#REF!</definedName>
    <definedName name="mo" localSheetId="9">#REF!</definedName>
    <definedName name="mo" localSheetId="13">#REF!</definedName>
    <definedName name="mo" localSheetId="0">#REF!</definedName>
    <definedName name="mo">#REF!</definedName>
    <definedName name="mobra" localSheetId="3" hidden="1">{#N/A,#N/A,FALSE,"GERAL";#N/A,#N/A,FALSE,"012-96";#N/A,#N/A,FALSE,"018-96";#N/A,#N/A,FALSE,"027-96";#N/A,#N/A,FALSE,"059-96";#N/A,#N/A,FALSE,"076-96";#N/A,#N/A,FALSE,"019-97";#N/A,#N/A,FALSE,"021-97";#N/A,#N/A,FALSE,"022-97";#N/A,#N/A,FALSE,"028-97"}</definedName>
    <definedName name="mobra" localSheetId="8" hidden="1">{#N/A,#N/A,FALSE,"GERAL";#N/A,#N/A,FALSE,"012-96";#N/A,#N/A,FALSE,"018-96";#N/A,#N/A,FALSE,"027-96";#N/A,#N/A,FALSE,"059-96";#N/A,#N/A,FALSE,"076-96";#N/A,#N/A,FALSE,"019-97";#N/A,#N/A,FALSE,"021-97";#N/A,#N/A,FALSE,"022-97";#N/A,#N/A,FALSE,"028-97"}</definedName>
    <definedName name="mobra" localSheetId="2" hidden="1">{#N/A,#N/A,FALSE,"GERAL";#N/A,#N/A,FALSE,"012-96";#N/A,#N/A,FALSE,"018-96";#N/A,#N/A,FALSE,"027-96";#N/A,#N/A,FALSE,"059-96";#N/A,#N/A,FALSE,"076-96";#N/A,#N/A,FALSE,"019-97";#N/A,#N/A,FALSE,"021-97";#N/A,#N/A,FALSE,"022-97";#N/A,#N/A,FALSE,"028-97"}</definedName>
    <definedName name="mobra" localSheetId="9" hidden="1">{#N/A,#N/A,FALSE,"GERAL";#N/A,#N/A,FALSE,"012-96";#N/A,#N/A,FALSE,"018-96";#N/A,#N/A,FALSE,"027-96";#N/A,#N/A,FALSE,"059-96";#N/A,#N/A,FALSE,"076-96";#N/A,#N/A,FALSE,"019-97";#N/A,#N/A,FALSE,"021-97";#N/A,#N/A,FALSE,"022-97";#N/A,#N/A,FALSE,"028-97"}</definedName>
    <definedName name="mobra" localSheetId="13" hidden="1">{#N/A,#N/A,FALSE,"GERAL";#N/A,#N/A,FALSE,"012-96";#N/A,#N/A,FALSE,"018-96";#N/A,#N/A,FALSE,"027-96";#N/A,#N/A,FALSE,"059-96";#N/A,#N/A,FALSE,"076-96";#N/A,#N/A,FALSE,"019-97";#N/A,#N/A,FALSE,"021-97";#N/A,#N/A,FALSE,"022-97";#N/A,#N/A,FALSE,"028-97"}</definedName>
    <definedName name="mobra" localSheetId="0" hidden="1">{#N/A,#N/A,FALSE,"GERAL";#N/A,#N/A,FALSE,"012-96";#N/A,#N/A,FALSE,"018-96";#N/A,#N/A,FALSE,"027-96";#N/A,#N/A,FALSE,"059-96";#N/A,#N/A,FALSE,"076-96";#N/A,#N/A,FALSE,"019-97";#N/A,#N/A,FALSE,"021-97";#N/A,#N/A,FALSE,"022-97";#N/A,#N/A,FALSE,"028-97"}</definedName>
    <definedName name="mobra" hidden="1">{#N/A,#N/A,FALSE,"GERAL";#N/A,#N/A,FALSE,"012-96";#N/A,#N/A,FALSE,"018-96";#N/A,#N/A,FALSE,"027-96";#N/A,#N/A,FALSE,"059-96";#N/A,#N/A,FALSE,"076-96";#N/A,#N/A,FALSE,"019-97";#N/A,#N/A,FALSE,"021-97";#N/A,#N/A,FALSE,"022-97";#N/A,#N/A,FALSE,"028-97"}</definedName>
    <definedName name="Modelo1" localSheetId="3" hidden="1">{#N/A,#N/A,FALSE,"cdi";#N/A,#N/A,FALSE,"debent";#N/A,#N/A,FALSE,"fdos";#N/A,#N/A,FALSE,"resumo"}</definedName>
    <definedName name="Modelo1" localSheetId="8" hidden="1">{#N/A,#N/A,FALSE,"cdi";#N/A,#N/A,FALSE,"debent";#N/A,#N/A,FALSE,"fdos";#N/A,#N/A,FALSE,"resumo"}</definedName>
    <definedName name="Modelo1" localSheetId="2" hidden="1">{#N/A,#N/A,FALSE,"cdi";#N/A,#N/A,FALSE,"debent";#N/A,#N/A,FALSE,"fdos";#N/A,#N/A,FALSE,"resumo"}</definedName>
    <definedName name="Modelo1" localSheetId="9" hidden="1">{#N/A,#N/A,FALSE,"cdi";#N/A,#N/A,FALSE,"debent";#N/A,#N/A,FALSE,"fdos";#N/A,#N/A,FALSE,"resumo"}</definedName>
    <definedName name="Modelo1" localSheetId="13" hidden="1">{#N/A,#N/A,FALSE,"cdi";#N/A,#N/A,FALSE,"debent";#N/A,#N/A,FALSE,"fdos";#N/A,#N/A,FALSE,"resumo"}</definedName>
    <definedName name="Modelo1" localSheetId="0" hidden="1">{#N/A,#N/A,FALSE,"cdi";#N/A,#N/A,FALSE,"debent";#N/A,#N/A,FALSE,"fdos";#N/A,#N/A,FALSE,"resumo"}</definedName>
    <definedName name="Modelo1" hidden="1">{#N/A,#N/A,FALSE,"cdi";#N/A,#N/A,FALSE,"debent";#N/A,#N/A,FALSE,"fdos";#N/A,#N/A,FALSE,"resumo"}</definedName>
    <definedName name="Modelo1a" localSheetId="3" hidden="1">{#N/A,#N/A,FALSE,"cdi";#N/A,#N/A,FALSE,"debent";#N/A,#N/A,FALSE,"fdos";#N/A,#N/A,FALSE,"resumo"}</definedName>
    <definedName name="Modelo1a" localSheetId="8" hidden="1">{#N/A,#N/A,FALSE,"cdi";#N/A,#N/A,FALSE,"debent";#N/A,#N/A,FALSE,"fdos";#N/A,#N/A,FALSE,"resumo"}</definedName>
    <definedName name="Modelo1a" localSheetId="2" hidden="1">{#N/A,#N/A,FALSE,"cdi";#N/A,#N/A,FALSE,"debent";#N/A,#N/A,FALSE,"fdos";#N/A,#N/A,FALSE,"resumo"}</definedName>
    <definedName name="Modelo1a" localSheetId="9" hidden="1">{#N/A,#N/A,FALSE,"cdi";#N/A,#N/A,FALSE,"debent";#N/A,#N/A,FALSE,"fdos";#N/A,#N/A,FALSE,"resumo"}</definedName>
    <definedName name="Modelo1a" localSheetId="13" hidden="1">{#N/A,#N/A,FALSE,"cdi";#N/A,#N/A,FALSE,"debent";#N/A,#N/A,FALSE,"fdos";#N/A,#N/A,FALSE,"resumo"}</definedName>
    <definedName name="Modelo1a" localSheetId="0" hidden="1">{#N/A,#N/A,FALSE,"cdi";#N/A,#N/A,FALSE,"debent";#N/A,#N/A,FALSE,"fdos";#N/A,#N/A,FALSE,"resumo"}</definedName>
    <definedName name="Modelo1a" hidden="1">{#N/A,#N/A,FALSE,"cdi";#N/A,#N/A,FALSE,"debent";#N/A,#N/A,FALSE,"fdos";#N/A,#N/A,FALSE,"resumo"}</definedName>
    <definedName name="Modelo2" localSheetId="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9"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odelo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 localSheetId="3">#REF!</definedName>
    <definedName name="módulo" localSheetId="2">#REF!</definedName>
    <definedName name="módulo">#REF!</definedName>
    <definedName name="mond_cdi" localSheetId="3">#REF!</definedName>
    <definedName name="mond_cdi" localSheetId="2">#REF!</definedName>
    <definedName name="mond_cdi">#REF!</definedName>
    <definedName name="mond_hist" localSheetId="3">#REF!</definedName>
    <definedName name="mond_hist" localSheetId="2">#REF!</definedName>
    <definedName name="mond_hist">#REF!</definedName>
    <definedName name="mond_uss" localSheetId="2">#REF!</definedName>
    <definedName name="mond_uss">#REF!</definedName>
    <definedName name="MP" localSheetId="3" hidden="1">{#N/A,#N/A,FALSE,"CCTV"}</definedName>
    <definedName name="MP" localSheetId="8" hidden="1">{#N/A,#N/A,FALSE,"CCTV"}</definedName>
    <definedName name="MP" localSheetId="2" hidden="1">{#N/A,#N/A,FALSE,"CCTV"}</definedName>
    <definedName name="MP" localSheetId="9" hidden="1">{#N/A,#N/A,FALSE,"CCTV"}</definedName>
    <definedName name="MP" localSheetId="13" hidden="1">{#N/A,#N/A,FALSE,"CCTV"}</definedName>
    <definedName name="MP" localSheetId="0" hidden="1">{#N/A,#N/A,FALSE,"CCTV"}</definedName>
    <definedName name="MP" hidden="1">{#N/A,#N/A,FALSE,"CCTV"}</definedName>
    <definedName name="MSDFJKDT" hidden="1">25</definedName>
    <definedName name="MSDRFSWER" localSheetId="3" hidden="1">{"Econ Consolidado",#N/A,FALSE,"Econ Consol";"Fluxo de Caixa",#N/A,FALSE,"Fluxo Caixa";"Investimentos",#N/A,FALSE,"Investimentos"}</definedName>
    <definedName name="MSDRFSWER" localSheetId="8" hidden="1">{"Econ Consolidado",#N/A,FALSE,"Econ Consol";"Fluxo de Caixa",#N/A,FALSE,"Fluxo Caixa";"Investimentos",#N/A,FALSE,"Investimentos"}</definedName>
    <definedName name="MSDRFSWER" localSheetId="2" hidden="1">{"Econ Consolidado",#N/A,FALSE,"Econ Consol";"Fluxo de Caixa",#N/A,FALSE,"Fluxo Caixa";"Investimentos",#N/A,FALSE,"Investimentos"}</definedName>
    <definedName name="MSDRFSWER" localSheetId="9" hidden="1">{"Econ Consolidado",#N/A,FALSE,"Econ Consol";"Fluxo de Caixa",#N/A,FALSE,"Fluxo Caixa";"Investimentos",#N/A,FALSE,"Investimentos"}</definedName>
    <definedName name="MSDRFSWER" localSheetId="13" hidden="1">{"Econ Consolidado",#N/A,FALSE,"Econ Consol";"Fluxo de Caixa",#N/A,FALSE,"Fluxo Caixa";"Investimentos",#N/A,FALSE,"Investimentos"}</definedName>
    <definedName name="MSDRFSWER" localSheetId="0" hidden="1">{"Econ Consolidado",#N/A,FALSE,"Econ Consol";"Fluxo de Caixa",#N/A,FALSE,"Fluxo Caixa";"Investimentos",#N/A,FALSE,"Investimentos"}</definedName>
    <definedName name="MSDRFSWER" hidden="1">{"Econ Consolidado",#N/A,FALSE,"Econ Consol";"Fluxo de Caixa",#N/A,FALSE,"Fluxo Caixa";"Investimentos",#N/A,FALSE,"Investimentos"}</definedName>
    <definedName name="MURBOMB" localSheetId="3">#REF!</definedName>
    <definedName name="MURBOMB" localSheetId="2">#REF!</definedName>
    <definedName name="MURBOMB">#REF!</definedName>
    <definedName name="mzshdjshjs" localSheetId="3" hidden="1">{#N/A,#N/A,FALSE,"Plan1";#N/A,#N/A,FALSE,"Plan2"}</definedName>
    <definedName name="mzshdjshjs" localSheetId="8" hidden="1">{#N/A,#N/A,FALSE,"Plan1";#N/A,#N/A,FALSE,"Plan2"}</definedName>
    <definedName name="mzshdjshjs" localSheetId="2" hidden="1">{#N/A,#N/A,FALSE,"Plan1";#N/A,#N/A,FALSE,"Plan2"}</definedName>
    <definedName name="mzshdjshjs" localSheetId="9" hidden="1">{#N/A,#N/A,FALSE,"Plan1";#N/A,#N/A,FALSE,"Plan2"}</definedName>
    <definedName name="mzshdjshjs" localSheetId="13" hidden="1">{#N/A,#N/A,FALSE,"Plan1";#N/A,#N/A,FALSE,"Plan2"}</definedName>
    <definedName name="mzshdjshjs" localSheetId="0" hidden="1">{#N/A,#N/A,FALSE,"Plan1";#N/A,#N/A,FALSE,"Plan2"}</definedName>
    <definedName name="mzshdjshjs" hidden="1">{#N/A,#N/A,FALSE,"Plan1";#N/A,#N/A,FALSE,"Plan2"}</definedName>
    <definedName name="na" localSheetId="3" hidden="1">{#N/A,#N/A,FALSE,"$170M Cash";#N/A,#N/A,FALSE,"$250M Cash";#N/A,#N/A,FALSE,"$325M Cash"}</definedName>
    <definedName name="na" localSheetId="8" hidden="1">{#N/A,#N/A,FALSE,"$170M Cash";#N/A,#N/A,FALSE,"$250M Cash";#N/A,#N/A,FALSE,"$325M Cash"}</definedName>
    <definedName name="na" localSheetId="2" hidden="1">{#N/A,#N/A,FALSE,"$170M Cash";#N/A,#N/A,FALSE,"$250M Cash";#N/A,#N/A,FALSE,"$325M Cash"}</definedName>
    <definedName name="na" localSheetId="9" hidden="1">{#N/A,#N/A,FALSE,"$170M Cash";#N/A,#N/A,FALSE,"$250M Cash";#N/A,#N/A,FALSE,"$325M Cash"}</definedName>
    <definedName name="na" localSheetId="13" hidden="1">{#N/A,#N/A,FALSE,"$170M Cash";#N/A,#N/A,FALSE,"$250M Cash";#N/A,#N/A,FALSE,"$325M Cash"}</definedName>
    <definedName name="na" localSheetId="0" hidden="1">{#N/A,#N/A,FALSE,"$170M Cash";#N/A,#N/A,FALSE,"$250M Cash";#N/A,#N/A,FALSE,"$325M Cash"}</definedName>
    <definedName name="na" hidden="1">{#N/A,#N/A,FALSE,"$170M Cash";#N/A,#N/A,FALSE,"$250M Cash";#N/A,#N/A,FALSE,"$325M Cash"}</definedName>
    <definedName name="ncdgrdhrtg" localSheetId="3" hidden="1">{#N/A,#N/A,FALSE,"Plan1";#N/A,#N/A,FALSE,"Plan2"}</definedName>
    <definedName name="ncdgrdhrtg" localSheetId="8" hidden="1">{#N/A,#N/A,FALSE,"Plan1";#N/A,#N/A,FALSE,"Plan2"}</definedName>
    <definedName name="ncdgrdhrtg" localSheetId="2" hidden="1">{#N/A,#N/A,FALSE,"Plan1";#N/A,#N/A,FALSE,"Plan2"}</definedName>
    <definedName name="ncdgrdhrtg" localSheetId="9" hidden="1">{#N/A,#N/A,FALSE,"Plan1";#N/A,#N/A,FALSE,"Plan2"}</definedName>
    <definedName name="ncdgrdhrtg" localSheetId="13" hidden="1">{#N/A,#N/A,FALSE,"Plan1";#N/A,#N/A,FALSE,"Plan2"}</definedName>
    <definedName name="ncdgrdhrtg" localSheetId="0" hidden="1">{#N/A,#N/A,FALSE,"Plan1";#N/A,#N/A,FALSE,"Plan2"}</definedName>
    <definedName name="ncdgrdhrtg" hidden="1">{#N/A,#N/A,FALSE,"Plan1";#N/A,#N/A,FALSE,"Plan2"}</definedName>
    <definedName name="nchngdfhgdh" localSheetId="3" hidden="1">{#N/A,#N/A,FALSE,"Plan1";#N/A,#N/A,FALSE,"Plan2"}</definedName>
    <definedName name="nchngdfhgdh" localSheetId="8" hidden="1">{#N/A,#N/A,FALSE,"Plan1";#N/A,#N/A,FALSE,"Plan2"}</definedName>
    <definedName name="nchngdfhgdh" localSheetId="2" hidden="1">{#N/A,#N/A,FALSE,"Plan1";#N/A,#N/A,FALSE,"Plan2"}</definedName>
    <definedName name="nchngdfhgdh" localSheetId="9" hidden="1">{#N/A,#N/A,FALSE,"Plan1";#N/A,#N/A,FALSE,"Plan2"}</definedName>
    <definedName name="nchngdfhgdh" localSheetId="13" hidden="1">{#N/A,#N/A,FALSE,"Plan1";#N/A,#N/A,FALSE,"Plan2"}</definedName>
    <definedName name="nchngdfhgdh" localSheetId="0" hidden="1">{#N/A,#N/A,FALSE,"Plan1";#N/A,#N/A,FALSE,"Plan2"}</definedName>
    <definedName name="nchngdfhgdh" hidden="1">{#N/A,#N/A,FALSE,"Plan1";#N/A,#N/A,FALSE,"Plan2"}</definedName>
    <definedName name="NCJFKNGJHF" localSheetId="3" hidden="1">{#N/A,#N/A,FALSE,"Plan1";#N/A,#N/A,FALSE,"Plan2"}</definedName>
    <definedName name="NCJFKNGJHF" localSheetId="8" hidden="1">{#N/A,#N/A,FALSE,"Plan1";#N/A,#N/A,FALSE,"Plan2"}</definedName>
    <definedName name="NCJFKNGJHF" localSheetId="2" hidden="1">{#N/A,#N/A,FALSE,"Plan1";#N/A,#N/A,FALSE,"Plan2"}</definedName>
    <definedName name="NCJFKNGJHF" localSheetId="9" hidden="1">{#N/A,#N/A,FALSE,"Plan1";#N/A,#N/A,FALSE,"Plan2"}</definedName>
    <definedName name="NCJFKNGJHF" localSheetId="13" hidden="1">{#N/A,#N/A,FALSE,"Plan1";#N/A,#N/A,FALSE,"Plan2"}</definedName>
    <definedName name="NCJFKNGJHF" localSheetId="0" hidden="1">{#N/A,#N/A,FALSE,"Plan1";#N/A,#N/A,FALSE,"Plan2"}</definedName>
    <definedName name="NCJFKNGJHF" hidden="1">{#N/A,#N/A,FALSE,"Plan1";#N/A,#N/A,FALSE,"Plan2"}</definedName>
    <definedName name="NDATA" localSheetId="3">#REF!</definedName>
    <definedName name="NDATA" localSheetId="2">#REF!</definedName>
    <definedName name="NDATA">#REF!</definedName>
    <definedName name="ndcxhgdhf" localSheetId="3" hidden="1">{#N/A,#N/A,FALSE,"Plan1";#N/A,#N/A,FALSE,"Plan2"}</definedName>
    <definedName name="ndcxhgdhf" localSheetId="8" hidden="1">{#N/A,#N/A,FALSE,"Plan1";#N/A,#N/A,FALSE,"Plan2"}</definedName>
    <definedName name="ndcxhgdhf" localSheetId="2" hidden="1">{#N/A,#N/A,FALSE,"Plan1";#N/A,#N/A,FALSE,"Plan2"}</definedName>
    <definedName name="ndcxhgdhf" localSheetId="9" hidden="1">{#N/A,#N/A,FALSE,"Plan1";#N/A,#N/A,FALSE,"Plan2"}</definedName>
    <definedName name="ndcxhgdhf" localSheetId="13" hidden="1">{#N/A,#N/A,FALSE,"Plan1";#N/A,#N/A,FALSE,"Plan2"}</definedName>
    <definedName name="ndcxhgdhf" localSheetId="0" hidden="1">{#N/A,#N/A,FALSE,"Plan1";#N/A,#N/A,FALSE,"Plan2"}</definedName>
    <definedName name="ndcxhgdhf" hidden="1">{#N/A,#N/A,FALSE,"Plan1";#N/A,#N/A,FALSE,"Plan2"}</definedName>
    <definedName name="ndfjnjkrhdgt" localSheetId="3" hidden="1">{#N/A,#N/A,FALSE,"Plan1";#N/A,#N/A,FALSE,"Plan2"}</definedName>
    <definedName name="ndfjnjkrhdgt" localSheetId="8" hidden="1">{#N/A,#N/A,FALSE,"Plan1";#N/A,#N/A,FALSE,"Plan2"}</definedName>
    <definedName name="ndfjnjkrhdgt" localSheetId="2" hidden="1">{#N/A,#N/A,FALSE,"Plan1";#N/A,#N/A,FALSE,"Plan2"}</definedName>
    <definedName name="ndfjnjkrhdgt" localSheetId="9" hidden="1">{#N/A,#N/A,FALSE,"Plan1";#N/A,#N/A,FALSE,"Plan2"}</definedName>
    <definedName name="ndfjnjkrhdgt" localSheetId="13" hidden="1">{#N/A,#N/A,FALSE,"Plan1";#N/A,#N/A,FALSE,"Plan2"}</definedName>
    <definedName name="ndfjnjkrhdgt" localSheetId="0" hidden="1">{#N/A,#N/A,FALSE,"Plan1";#N/A,#N/A,FALSE,"Plan2"}</definedName>
    <definedName name="ndfjnjkrhdgt" hidden="1">{#N/A,#N/A,FALSE,"Plan1";#N/A,#N/A,FALSE,"Plan2"}</definedName>
    <definedName name="ndfkghkjthfyst" localSheetId="3" hidden="1">{#N/A,#N/A,FALSE,"Plan1";#N/A,#N/A,FALSE,"Plan2"}</definedName>
    <definedName name="ndfkghkjthfyst" localSheetId="8" hidden="1">{#N/A,#N/A,FALSE,"Plan1";#N/A,#N/A,FALSE,"Plan2"}</definedName>
    <definedName name="ndfkghkjthfyst" localSheetId="2" hidden="1">{#N/A,#N/A,FALSE,"Plan1";#N/A,#N/A,FALSE,"Plan2"}</definedName>
    <definedName name="ndfkghkjthfyst" localSheetId="9" hidden="1">{#N/A,#N/A,FALSE,"Plan1";#N/A,#N/A,FALSE,"Plan2"}</definedName>
    <definedName name="ndfkghkjthfyst" localSheetId="13" hidden="1">{#N/A,#N/A,FALSE,"Plan1";#N/A,#N/A,FALSE,"Plan2"}</definedName>
    <definedName name="ndfkghkjthfyst" localSheetId="0" hidden="1">{#N/A,#N/A,FALSE,"Plan1";#N/A,#N/A,FALSE,"Plan2"}</definedName>
    <definedName name="ndfkghkjthfyst" hidden="1">{#N/A,#N/A,FALSE,"Plan1";#N/A,#N/A,FALSE,"Plan2"}</definedName>
    <definedName name="ndfldslvjnvberugberqubquierbv" localSheetId="3">#REF!</definedName>
    <definedName name="ndfldslvjnvberugberqubquierbv" localSheetId="2">#REF!</definedName>
    <definedName name="ndfldslvjnvberugberqubquierbv">#REF!</definedName>
    <definedName name="NDJGKFKGHUFG" localSheetId="3" hidden="1">{#N/A,#N/A,FALSE,"Plan1";#N/A,#N/A,FALSE,"Plan2"}</definedName>
    <definedName name="NDJGKFKGHUFG" localSheetId="8" hidden="1">{#N/A,#N/A,FALSE,"Plan1";#N/A,#N/A,FALSE,"Plan2"}</definedName>
    <definedName name="NDJGKFKGHUFG" localSheetId="2" hidden="1">{#N/A,#N/A,FALSE,"Plan1";#N/A,#N/A,FALSE,"Plan2"}</definedName>
    <definedName name="NDJGKFKGHUFG" localSheetId="9" hidden="1">{#N/A,#N/A,FALSE,"Plan1";#N/A,#N/A,FALSE,"Plan2"}</definedName>
    <definedName name="NDJGKFKGHUFG" localSheetId="13" hidden="1">{#N/A,#N/A,FALSE,"Plan1";#N/A,#N/A,FALSE,"Plan2"}</definedName>
    <definedName name="NDJGKFKGHUFG" localSheetId="0" hidden="1">{#N/A,#N/A,FALSE,"Plan1";#N/A,#N/A,FALSE,"Plan2"}</definedName>
    <definedName name="NDJGKFKGHUFG" hidden="1">{#N/A,#N/A,FALSE,"Plan1";#N/A,#N/A,FALSE,"Plan2"}</definedName>
    <definedName name="ndrjkt" localSheetId="3" hidden="1">{#N/A,#N/A,FALSE,"Plan1";#N/A,#N/A,FALSE,"Plan2"}</definedName>
    <definedName name="ndrjkt" localSheetId="8" hidden="1">{#N/A,#N/A,FALSE,"Plan1";#N/A,#N/A,FALSE,"Plan2"}</definedName>
    <definedName name="ndrjkt" localSheetId="2" hidden="1">{#N/A,#N/A,FALSE,"Plan1";#N/A,#N/A,FALSE,"Plan2"}</definedName>
    <definedName name="ndrjkt" localSheetId="9" hidden="1">{#N/A,#N/A,FALSE,"Plan1";#N/A,#N/A,FALSE,"Plan2"}</definedName>
    <definedName name="ndrjkt" localSheetId="13" hidden="1">{#N/A,#N/A,FALSE,"Plan1";#N/A,#N/A,FALSE,"Plan2"}</definedName>
    <definedName name="ndrjkt" localSheetId="0" hidden="1">{#N/A,#N/A,FALSE,"Plan1";#N/A,#N/A,FALSE,"Plan2"}</definedName>
    <definedName name="ndrjkt" hidden="1">{#N/A,#N/A,FALSE,"Plan1";#N/A,#N/A,FALSE,"Plan2"}</definedName>
    <definedName name="new" localSheetId="3" hidden="1">{#N/A,#N/A,FALSE,"Global by BU";#N/A,#N/A,FALSE,"U.S. by BU";#N/A,#N/A,FALSE,"Canada by BU";#N/A,#N/A,FALSE,"Europe by BU";#N/A,#N/A,FALSE,"Asia by BU";#N/A,#N/A,FALSE,"Cala by BU"}</definedName>
    <definedName name="new" localSheetId="8" hidden="1">{#N/A,#N/A,FALSE,"Global by BU";#N/A,#N/A,FALSE,"U.S. by BU";#N/A,#N/A,FALSE,"Canada by BU";#N/A,#N/A,FALSE,"Europe by BU";#N/A,#N/A,FALSE,"Asia by BU";#N/A,#N/A,FALSE,"Cala by BU"}</definedName>
    <definedName name="new" localSheetId="2" hidden="1">{#N/A,#N/A,FALSE,"Global by BU";#N/A,#N/A,FALSE,"U.S. by BU";#N/A,#N/A,FALSE,"Canada by BU";#N/A,#N/A,FALSE,"Europe by BU";#N/A,#N/A,FALSE,"Asia by BU";#N/A,#N/A,FALSE,"Cala by BU"}</definedName>
    <definedName name="new" localSheetId="9" hidden="1">{#N/A,#N/A,FALSE,"Global by BU";#N/A,#N/A,FALSE,"U.S. by BU";#N/A,#N/A,FALSE,"Canada by BU";#N/A,#N/A,FALSE,"Europe by BU";#N/A,#N/A,FALSE,"Asia by BU";#N/A,#N/A,FALSE,"Cala by BU"}</definedName>
    <definedName name="new" localSheetId="13" hidden="1">{#N/A,#N/A,FALSE,"Global by BU";#N/A,#N/A,FALSE,"U.S. by BU";#N/A,#N/A,FALSE,"Canada by BU";#N/A,#N/A,FALSE,"Europe by BU";#N/A,#N/A,FALSE,"Asia by BU";#N/A,#N/A,FALSE,"Cala by BU"}</definedName>
    <definedName name="new" localSheetId="0" hidden="1">{#N/A,#N/A,FALSE,"Global by BU";#N/A,#N/A,FALSE,"U.S. by BU";#N/A,#N/A,FALSE,"Canada by BU";#N/A,#N/A,FALSE,"Europe by BU";#N/A,#N/A,FALSE,"Asia by BU";#N/A,#N/A,FALSE,"Cala by BU"}</definedName>
    <definedName name="new" hidden="1">{#N/A,#N/A,FALSE,"Global by BU";#N/A,#N/A,FALSE,"U.S. by BU";#N/A,#N/A,FALSE,"Canada by BU";#N/A,#N/A,FALSE,"Europe by BU";#N/A,#N/A,FALSE,"Asia by BU";#N/A,#N/A,FALSE,"Cala by BU"}</definedName>
    <definedName name="NEWNAME" localSheetId="3" hidden="1">{#N/A,#N/A,FALSE,"CCTV"}</definedName>
    <definedName name="NEWNAME" localSheetId="8" hidden="1">{#N/A,#N/A,FALSE,"CCTV"}</definedName>
    <definedName name="NEWNAME" localSheetId="2" hidden="1">{#N/A,#N/A,FALSE,"CCTV"}</definedName>
    <definedName name="NEWNAME" localSheetId="9" hidden="1">{#N/A,#N/A,FALSE,"CCTV"}</definedName>
    <definedName name="NEWNAME" localSheetId="13" hidden="1">{#N/A,#N/A,FALSE,"CCTV"}</definedName>
    <definedName name="NEWNAME" localSheetId="0" hidden="1">{#N/A,#N/A,FALSE,"CCTV"}</definedName>
    <definedName name="NEWNAME" hidden="1">{#N/A,#N/A,FALSE,"CCTV"}</definedName>
    <definedName name="nfgjkhvhfghn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fgjkhvhfghnf" hidden="1">{TRUE,TRUE,-1.25,-15.5,604.5,366.75,FALSE,FALSE,TRUE,TRUE,0,1,#N/A,1,#N/A,9.0125,24.4117647058824,1,FALSE,FALSE,3,TRUE,1,FALSE,100,"Swvu.PLANILHA2.","ACwvu.PLANILHA2.",#N/A,FALSE,FALSE,0.787401575,0.34,0.46,0.5,1,"","",FALSE,FALSE,FALSE,FALSE,1,#N/A,1,1,FALSE,FALSE,#N/A,#N/A,FALSE,FALSE,FALSE,9,65532,65532,FALSE,FALSE,TRUE,TRUE,TRUE}</definedName>
    <definedName name="nfkhdjkthde" localSheetId="3" hidden="1">{#N/A,#N/A,FALSE,"Plan1";#N/A,#N/A,FALSE,"Plan2"}</definedName>
    <definedName name="nfkhdjkthde" localSheetId="8" hidden="1">{#N/A,#N/A,FALSE,"Plan1";#N/A,#N/A,FALSE,"Plan2"}</definedName>
    <definedName name="nfkhdjkthde" localSheetId="2" hidden="1">{#N/A,#N/A,FALSE,"Plan1";#N/A,#N/A,FALSE,"Plan2"}</definedName>
    <definedName name="nfkhdjkthde" localSheetId="9" hidden="1">{#N/A,#N/A,FALSE,"Plan1";#N/A,#N/A,FALSE,"Plan2"}</definedName>
    <definedName name="nfkhdjkthde" localSheetId="13" hidden="1">{#N/A,#N/A,FALSE,"Plan1";#N/A,#N/A,FALSE,"Plan2"}</definedName>
    <definedName name="nfkhdjkthde" localSheetId="0" hidden="1">{#N/A,#N/A,FALSE,"Plan1";#N/A,#N/A,FALSE,"Plan2"}</definedName>
    <definedName name="nfkhdjkthde" hidden="1">{#N/A,#N/A,FALSE,"Plan1";#N/A,#N/A,FALSE,"Plan2"}</definedName>
    <definedName name="nh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h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hj" hidden="1">{TRUE,TRUE,-1.25,-15.5,604.5,366.75,FALSE,FALSE,TRUE,TRUE,0,1,#N/A,1,#N/A,9.0125,24.4117647058824,1,FALSE,FALSE,3,TRUE,1,FALSE,100,"Swvu.PLANILHA2.","ACwvu.PLANILHA2.",#N/A,FALSE,FALSE,0.787401575,0.34,0.46,0.5,1,"","",FALSE,FALSE,FALSE,FALSE,1,#N/A,1,1,FALSE,FALSE,#N/A,#N/A,FALSE,FALSE,FALSE,9,65532,65532,FALSE,FALSE,TRUE,TRUE,TRUE}</definedName>
    <definedName name="NHJHFDSHF" localSheetId="3" hidden="1">{#N/A,#N/A,FALSE,"Plan1";#N/A,#N/A,FALSE,"Plan2"}</definedName>
    <definedName name="NHJHFDSHF" localSheetId="8" hidden="1">{#N/A,#N/A,FALSE,"Plan1";#N/A,#N/A,FALSE,"Plan2"}</definedName>
    <definedName name="NHJHFDSHF" localSheetId="2" hidden="1">{#N/A,#N/A,FALSE,"Plan1";#N/A,#N/A,FALSE,"Plan2"}</definedName>
    <definedName name="NHJHFDSHF" localSheetId="9" hidden="1">{#N/A,#N/A,FALSE,"Plan1";#N/A,#N/A,FALSE,"Plan2"}</definedName>
    <definedName name="NHJHFDSHF" localSheetId="13" hidden="1">{#N/A,#N/A,FALSE,"Plan1";#N/A,#N/A,FALSE,"Plan2"}</definedName>
    <definedName name="NHJHFDSHF" localSheetId="0" hidden="1">{#N/A,#N/A,FALSE,"Plan1";#N/A,#N/A,FALSE,"Plan2"}</definedName>
    <definedName name="NHJHFDSHF" hidden="1">{#N/A,#N/A,FALSE,"Plan1";#N/A,#N/A,FALSE,"Plan2"}</definedName>
    <definedName name="NJSDFHERTG" localSheetId="3" hidden="1">{#N/A,#N/A,FALSE,"Plan1";#N/A,#N/A,FALSE,"Plan2"}</definedName>
    <definedName name="NJSDFHERTG" localSheetId="8" hidden="1">{#N/A,#N/A,FALSE,"Plan1";#N/A,#N/A,FALSE,"Plan2"}</definedName>
    <definedName name="NJSDFHERTG" localSheetId="2" hidden="1">{#N/A,#N/A,FALSE,"Plan1";#N/A,#N/A,FALSE,"Plan2"}</definedName>
    <definedName name="NJSDFHERTG" localSheetId="9" hidden="1">{#N/A,#N/A,FALSE,"Plan1";#N/A,#N/A,FALSE,"Plan2"}</definedName>
    <definedName name="NJSDFHERTG" localSheetId="13" hidden="1">{#N/A,#N/A,FALSE,"Plan1";#N/A,#N/A,FALSE,"Plan2"}</definedName>
    <definedName name="NJSDFHERTG" localSheetId="0" hidden="1">{#N/A,#N/A,FALSE,"Plan1";#N/A,#N/A,FALSE,"Plan2"}</definedName>
    <definedName name="NJSDFHERTG" hidden="1">{#N/A,#N/A,FALSE,"Plan1";#N/A,#N/A,FALSE,"Plan2"}</definedName>
    <definedName name="nkfnsskdn" localSheetId="3" hidden="1">{#N/A,#N/A,FALSE,"Plan1";#N/A,#N/A,FALSE,"Plan2"}</definedName>
    <definedName name="nkfnsskdn" localSheetId="8" hidden="1">{#N/A,#N/A,FALSE,"Plan1";#N/A,#N/A,FALSE,"Plan2"}</definedName>
    <definedName name="nkfnsskdn" localSheetId="2" hidden="1">{#N/A,#N/A,FALSE,"Plan1";#N/A,#N/A,FALSE,"Plan2"}</definedName>
    <definedName name="nkfnsskdn" localSheetId="9" hidden="1">{#N/A,#N/A,FALSE,"Plan1";#N/A,#N/A,FALSE,"Plan2"}</definedName>
    <definedName name="nkfnsskdn" localSheetId="13" hidden="1">{#N/A,#N/A,FALSE,"Plan1";#N/A,#N/A,FALSE,"Plan2"}</definedName>
    <definedName name="nkfnsskdn" localSheetId="0" hidden="1">{#N/A,#N/A,FALSE,"Plan1";#N/A,#N/A,FALSE,"Plan2"}</definedName>
    <definedName name="nkfnsskdn" hidden="1">{#N/A,#N/A,FALSE,"Plan1";#N/A,#N/A,FALSE,"Plan2"}</definedName>
    <definedName name="NKJL"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NKJL"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NKJL" hidden="1">{TRUE,TRUE,-1.25,-15.5,604.5,366.75,FALSE,FALSE,TRUE,TRUE,0,1,#N/A,1,#N/A,9.0125,24.4117647058824,1,FALSE,FALSE,3,TRUE,1,FALSE,100,"Swvu.PLANILHA2.","ACwvu.PLANILHA2.",#N/A,FALSE,FALSE,0.787401575,0.34,0.46,0.5,1,"","",FALSE,FALSE,FALSE,FALSE,1,#N/A,1,1,FALSE,FALSE,#N/A,#N/A,FALSE,FALSE,FALSE,9,65532,65532,FALSE,FALSE,TRUE,TRUE,TRUE}</definedName>
    <definedName name="nl" localSheetId="3">#REF!</definedName>
    <definedName name="nl" localSheetId="2">#REF!</definedName>
    <definedName name="nl">#REF!</definedName>
    <definedName name="nlaksjdwe" localSheetId="3" hidden="1">{#N/A,#N/A,FALSE,"Plan1";#N/A,#N/A,FALSE,"Plan2"}</definedName>
    <definedName name="nlaksjdwe" localSheetId="8" hidden="1">{#N/A,#N/A,FALSE,"Plan1";#N/A,#N/A,FALSE,"Plan2"}</definedName>
    <definedName name="nlaksjdwe" localSheetId="2" hidden="1">{#N/A,#N/A,FALSE,"Plan1";#N/A,#N/A,FALSE,"Plan2"}</definedName>
    <definedName name="nlaksjdwe" localSheetId="9" hidden="1">{#N/A,#N/A,FALSE,"Plan1";#N/A,#N/A,FALSE,"Plan2"}</definedName>
    <definedName name="nlaksjdwe" localSheetId="13" hidden="1">{#N/A,#N/A,FALSE,"Plan1";#N/A,#N/A,FALSE,"Plan2"}</definedName>
    <definedName name="nlaksjdwe" localSheetId="0" hidden="1">{#N/A,#N/A,FALSE,"Plan1";#N/A,#N/A,FALSE,"Plan2"}</definedName>
    <definedName name="nlaksjdwe" hidden="1">{#N/A,#N/A,FALSE,"Plan1";#N/A,#N/A,FALSE,"Plan2"}</definedName>
    <definedName name="nljsdfljfdsfr" localSheetId="3" hidden="1">{#N/A,#N/A,FALSE,"Plan1";#N/A,#N/A,FALSE,"Plan2"}</definedName>
    <definedName name="nljsdfljfdsfr" localSheetId="8" hidden="1">{#N/A,#N/A,FALSE,"Plan1";#N/A,#N/A,FALSE,"Plan2"}</definedName>
    <definedName name="nljsdfljfdsfr" localSheetId="2" hidden="1">{#N/A,#N/A,FALSE,"Plan1";#N/A,#N/A,FALSE,"Plan2"}</definedName>
    <definedName name="nljsdfljfdsfr" localSheetId="9" hidden="1">{#N/A,#N/A,FALSE,"Plan1";#N/A,#N/A,FALSE,"Plan2"}</definedName>
    <definedName name="nljsdfljfdsfr" localSheetId="13" hidden="1">{#N/A,#N/A,FALSE,"Plan1";#N/A,#N/A,FALSE,"Plan2"}</definedName>
    <definedName name="nljsdfljfdsfr" localSheetId="0" hidden="1">{#N/A,#N/A,FALSE,"Plan1";#N/A,#N/A,FALSE,"Plan2"}</definedName>
    <definedName name="nljsdfljfdsfr" hidden="1">{#N/A,#N/A,FALSE,"Plan1";#N/A,#N/A,FALSE,"Plan2"}</definedName>
    <definedName name="nm_k1" localSheetId="3">#REF!</definedName>
    <definedName name="nm_k1" localSheetId="2">#REF!</definedName>
    <definedName name="nm_k1">#REF!</definedName>
    <definedName name="nm_k2" localSheetId="3">#REF!</definedName>
    <definedName name="nm_k2" localSheetId="2">#REF!</definedName>
    <definedName name="nm_k2">#REF!</definedName>
    <definedName name="nm_k3" localSheetId="3">#REF!</definedName>
    <definedName name="nm_k3" localSheetId="2">#REF!</definedName>
    <definedName name="nm_k3">#REF!</definedName>
    <definedName name="nmjdfhxj" localSheetId="3" hidden="1">{#N/A,#N/A,FALSE,"Plan1";#N/A,#N/A,FALSE,"Plan2"}</definedName>
    <definedName name="nmjdfhxj" localSheetId="8" hidden="1">{#N/A,#N/A,FALSE,"Plan1";#N/A,#N/A,FALSE,"Plan2"}</definedName>
    <definedName name="nmjdfhxj" localSheetId="2" hidden="1">{#N/A,#N/A,FALSE,"Plan1";#N/A,#N/A,FALSE,"Plan2"}</definedName>
    <definedName name="nmjdfhxj" localSheetId="9" hidden="1">{#N/A,#N/A,FALSE,"Plan1";#N/A,#N/A,FALSE,"Plan2"}</definedName>
    <definedName name="nmjdfhxj" localSheetId="13" hidden="1">{#N/A,#N/A,FALSE,"Plan1";#N/A,#N/A,FALSE,"Plan2"}</definedName>
    <definedName name="nmjdfhxj" localSheetId="0" hidden="1">{#N/A,#N/A,FALSE,"Plan1";#N/A,#N/A,FALSE,"Plan2"}</definedName>
    <definedName name="nmjdfhxj" hidden="1">{#N/A,#N/A,FALSE,"Plan1";#N/A,#N/A,FALSE,"Plan2"}</definedName>
    <definedName name="nnmn" localSheetId="3" hidden="1">{#N/A,#N/A,FALSE,"Plan1";#N/A,#N/A,FALSE,"Plan2"}</definedName>
    <definedName name="nnmn" localSheetId="8" hidden="1">{#N/A,#N/A,FALSE,"Plan1";#N/A,#N/A,FALSE,"Plan2"}</definedName>
    <definedName name="nnmn" localSheetId="2" hidden="1">{#N/A,#N/A,FALSE,"Plan1";#N/A,#N/A,FALSE,"Plan2"}</definedName>
    <definedName name="nnmn" localSheetId="9" hidden="1">{#N/A,#N/A,FALSE,"Plan1";#N/A,#N/A,FALSE,"Plan2"}</definedName>
    <definedName name="nnmn" localSheetId="13" hidden="1">{#N/A,#N/A,FALSE,"Plan1";#N/A,#N/A,FALSE,"Plan2"}</definedName>
    <definedName name="nnmn" localSheetId="0" hidden="1">{#N/A,#N/A,FALSE,"Plan1";#N/A,#N/A,FALSE,"Plan2"}</definedName>
    <definedName name="nnmn" hidden="1">{#N/A,#N/A,FALSE,"Plan1";#N/A,#N/A,FALSE,"Plan2"}</definedName>
    <definedName name="nnn" localSheetId="3" hidden="1">{#N/A,#N/A,FALSE,"$170M Cash";#N/A,#N/A,FALSE,"$250M Cash";#N/A,#N/A,FALSE,"$325M Cash"}</definedName>
    <definedName name="nnn" localSheetId="8" hidden="1">{#N/A,#N/A,FALSE,"$170M Cash";#N/A,#N/A,FALSE,"$250M Cash";#N/A,#N/A,FALSE,"$325M Cash"}</definedName>
    <definedName name="nnn" localSheetId="2" hidden="1">{#N/A,#N/A,FALSE,"Plan1";#N/A,#N/A,FALSE,"Plan2"}</definedName>
    <definedName name="nnn" localSheetId="9" hidden="1">{#N/A,#N/A,FALSE,"$170M Cash";#N/A,#N/A,FALSE,"$250M Cash";#N/A,#N/A,FALSE,"$325M Cash"}</definedName>
    <definedName name="nnn" localSheetId="13" hidden="1">{#N/A,#N/A,FALSE,"$170M Cash";#N/A,#N/A,FALSE,"$250M Cash";#N/A,#N/A,FALSE,"$325M Cash"}</definedName>
    <definedName name="nnn" localSheetId="0" hidden="1">{#N/A,#N/A,FALSE,"Plan1";#N/A,#N/A,FALSE,"Plan2"}</definedName>
    <definedName name="nnn" hidden="1">{#N/A,#N/A,FALSE,"$170M Cash";#N/A,#N/A,FALSE,"$250M Cash";#N/A,#N/A,FALSE,"$325M Cash"}</definedName>
    <definedName name="nnnnnnnnnnn" localSheetId="3" hidden="1">{"HW",#N/A,FALSE,"1998"}</definedName>
    <definedName name="nnnnnnnnnnn" localSheetId="8" hidden="1">{"HW",#N/A,FALSE,"1998"}</definedName>
    <definedName name="nnnnnnnnnnn" localSheetId="2" hidden="1">{"HW",#N/A,FALSE,"1998"}</definedName>
    <definedName name="nnnnnnnnnnn" localSheetId="9" hidden="1">{"HW",#N/A,FALSE,"1998"}</definedName>
    <definedName name="nnnnnnnnnnn" localSheetId="13" hidden="1">{"HW",#N/A,FALSE,"1998"}</definedName>
    <definedName name="nnnnnnnnnnn" localSheetId="0" hidden="1">{"HW",#N/A,FALSE,"1998"}</definedName>
    <definedName name="nnnnnnnnnnn" hidden="1">{"HW",#N/A,FALSE,"1998"}</definedName>
    <definedName name="NNNNNNNNNNNNNNN" localSheetId="3" hidden="1">{#N/A,#N/A,FALSE,"Plan1";#N/A,#N/A,FALSE,"Plan2"}</definedName>
    <definedName name="NNNNNNNNNNNNNNN" localSheetId="8" hidden="1">{#N/A,#N/A,FALSE,"Plan1";#N/A,#N/A,FALSE,"Plan2"}</definedName>
    <definedName name="NNNNNNNNNNNNNNN" localSheetId="2" hidden="1">{#N/A,#N/A,FALSE,"Plan1";#N/A,#N/A,FALSE,"Plan2"}</definedName>
    <definedName name="NNNNNNNNNNNNNNN" localSheetId="9" hidden="1">{#N/A,#N/A,FALSE,"Plan1";#N/A,#N/A,FALSE,"Plan2"}</definedName>
    <definedName name="NNNNNNNNNNNNNNN" localSheetId="13" hidden="1">{#N/A,#N/A,FALSE,"Plan1";#N/A,#N/A,FALSE,"Plan2"}</definedName>
    <definedName name="NNNNNNNNNNNNNNN" localSheetId="0" hidden="1">{#N/A,#N/A,FALSE,"Plan1";#N/A,#N/A,FALSE,"Plan2"}</definedName>
    <definedName name="NNNNNNNNNNNNNNN" hidden="1">{#N/A,#N/A,FALSE,"Plan1";#N/A,#N/A,FALSE,"Plan2"}</definedName>
    <definedName name="nnnnnnnnnnnnnnnnnnnn" localSheetId="3" hidden="1">{#N/A,#N/A,FALSE,"Plan1";#N/A,#N/A,FALSE,"Plan2"}</definedName>
    <definedName name="nnnnnnnnnnnnnnnnnnnn" localSheetId="8" hidden="1">{#N/A,#N/A,FALSE,"Plan1";#N/A,#N/A,FALSE,"Plan2"}</definedName>
    <definedName name="nnnnnnnnnnnnnnnnnnnn" localSheetId="2" hidden="1">{#N/A,#N/A,FALSE,"Plan1";#N/A,#N/A,FALSE,"Plan2"}</definedName>
    <definedName name="nnnnnnnnnnnnnnnnnnnn" localSheetId="9" hidden="1">{#N/A,#N/A,FALSE,"Plan1";#N/A,#N/A,FALSE,"Plan2"}</definedName>
    <definedName name="nnnnnnnnnnnnnnnnnnnn" localSheetId="13" hidden="1">{#N/A,#N/A,FALSE,"Plan1";#N/A,#N/A,FALSE,"Plan2"}</definedName>
    <definedName name="nnnnnnnnnnnnnnnnnnnn" localSheetId="0" hidden="1">{#N/A,#N/A,FALSE,"Plan1";#N/A,#N/A,FALSE,"Plan2"}</definedName>
    <definedName name="nnnnnnnnnnnnnnnnnnnn" hidden="1">{#N/A,#N/A,FALSE,"Plan1";#N/A,#N/A,FALSE,"Plan2"}</definedName>
    <definedName name="NNXFT" localSheetId="3" hidden="1">{#N/A,#N/A,FALSE,"Plan1";#N/A,#N/A,FALSE,"Plan2"}</definedName>
    <definedName name="NNXFT" localSheetId="8" hidden="1">{#N/A,#N/A,FALSE,"Plan1";#N/A,#N/A,FALSE,"Plan2"}</definedName>
    <definedName name="NNXFT" localSheetId="2" hidden="1">{#N/A,#N/A,FALSE,"Plan1";#N/A,#N/A,FALSE,"Plan2"}</definedName>
    <definedName name="NNXFT" localSheetId="9" hidden="1">{#N/A,#N/A,FALSE,"Plan1";#N/A,#N/A,FALSE,"Plan2"}</definedName>
    <definedName name="NNXFT" localSheetId="13" hidden="1">{#N/A,#N/A,FALSE,"Plan1";#N/A,#N/A,FALSE,"Plan2"}</definedName>
    <definedName name="NNXFT" localSheetId="0" hidden="1">{#N/A,#N/A,FALSE,"Plan1";#N/A,#N/A,FALSE,"Plan2"}</definedName>
    <definedName name="NNXFT" hidden="1">{#N/A,#N/A,FALSE,"Plan1";#N/A,#N/A,FALSE,"Plan2"}</definedName>
    <definedName name="no" localSheetId="3">#REF!</definedName>
    <definedName name="no" localSheetId="2">#REF!</definedName>
    <definedName name="no">#REF!</definedName>
    <definedName name="NOME" localSheetId="3">#REF!</definedName>
    <definedName name="NOME" localSheetId="2">#REF!</definedName>
    <definedName name="NOME">#REF!</definedName>
    <definedName name="nome2" localSheetId="3">#REF!</definedName>
    <definedName name="nome2" localSheetId="2">#REF!</definedName>
    <definedName name="nome2">#REF!</definedName>
    <definedName name="NOMEITEM" localSheetId="2">#REF!</definedName>
    <definedName name="NOMEITEM">#REF!</definedName>
    <definedName name="NOMEOBRA" localSheetId="2">#REF!</definedName>
    <definedName name="NOMEOBRA">#REF!</definedName>
    <definedName name="nov17RJ" localSheetId="2">#REF!</definedName>
    <definedName name="nov17RJ">#REF!</definedName>
    <definedName name="NOVE" localSheetId="2">#REF!</definedName>
    <definedName name="NOVE">#REF!</definedName>
    <definedName name="NOVEMBRO" localSheetId="2">#REF!</definedName>
    <definedName name="NOVEMBRO">#REF!</definedName>
    <definedName name="nsdkfndgfdnatf" localSheetId="3" hidden="1">{#N/A,#N/A,FALSE,"Plan1";#N/A,#N/A,FALSE,"Plan2"}</definedName>
    <definedName name="nsdkfndgfdnatf" localSheetId="8" hidden="1">{#N/A,#N/A,FALSE,"Plan1";#N/A,#N/A,FALSE,"Plan2"}</definedName>
    <definedName name="nsdkfndgfdnatf" localSheetId="2" hidden="1">{#N/A,#N/A,FALSE,"Plan1";#N/A,#N/A,FALSE,"Plan2"}</definedName>
    <definedName name="nsdkfndgfdnatf" localSheetId="9" hidden="1">{#N/A,#N/A,FALSE,"Plan1";#N/A,#N/A,FALSE,"Plan2"}</definedName>
    <definedName name="nsdkfndgfdnatf" localSheetId="13" hidden="1">{#N/A,#N/A,FALSE,"Plan1";#N/A,#N/A,FALSE,"Plan2"}</definedName>
    <definedName name="nsdkfndgfdnatf" localSheetId="0" hidden="1">{#N/A,#N/A,FALSE,"Plan1";#N/A,#N/A,FALSE,"Plan2"}</definedName>
    <definedName name="nsdkfndgfdnatf" hidden="1">{#N/A,#N/A,FALSE,"Plan1";#N/A,#N/A,FALSE,"Plan2"}</definedName>
    <definedName name="nsfljdiljrf" localSheetId="3" hidden="1">{#N/A,#N/A,FALSE,"Plan1";#N/A,#N/A,FALSE,"Plan2"}</definedName>
    <definedName name="nsfljdiljrf" localSheetId="8" hidden="1">{#N/A,#N/A,FALSE,"Plan1";#N/A,#N/A,FALSE,"Plan2"}</definedName>
    <definedName name="nsfljdiljrf" localSheetId="2" hidden="1">{#N/A,#N/A,FALSE,"Plan1";#N/A,#N/A,FALSE,"Plan2"}</definedName>
    <definedName name="nsfljdiljrf" localSheetId="9" hidden="1">{#N/A,#N/A,FALSE,"Plan1";#N/A,#N/A,FALSE,"Plan2"}</definedName>
    <definedName name="nsfljdiljrf" localSheetId="13" hidden="1">{#N/A,#N/A,FALSE,"Plan1";#N/A,#N/A,FALSE,"Plan2"}</definedName>
    <definedName name="nsfljdiljrf" localSheetId="0" hidden="1">{#N/A,#N/A,FALSE,"Plan1";#N/A,#N/A,FALSE,"Plan2"}</definedName>
    <definedName name="nsfljdiljrf" hidden="1">{#N/A,#N/A,FALSE,"Plan1";#N/A,#N/A,FALSE,"Plan2"}</definedName>
    <definedName name="NUCOPIAS" localSheetId="3">#REF!</definedName>
    <definedName name="NUCOPIAS" localSheetId="2">#REF!</definedName>
    <definedName name="NUCOPIAS">#REF!</definedName>
    <definedName name="NUMOBRA" localSheetId="3">#REF!</definedName>
    <definedName name="NUMOBRA" localSheetId="2">#REF!</definedName>
    <definedName name="NUMOBRA">#REF!</definedName>
    <definedName name="NutN" localSheetId="3">#REF!</definedName>
    <definedName name="NutN" localSheetId="2">#REF!</definedName>
    <definedName name="NutN">#REF!</definedName>
    <definedName name="nzxcnnjkd" localSheetId="3" hidden="1">{#N/A,#N/A,FALSE,"Plan1";#N/A,#N/A,FALSE,"Plan2"}</definedName>
    <definedName name="nzxcnnjkd" localSheetId="8" hidden="1">{#N/A,#N/A,FALSE,"Plan1";#N/A,#N/A,FALSE,"Plan2"}</definedName>
    <definedName name="nzxcnnjkd" localSheetId="2" hidden="1">{#N/A,#N/A,FALSE,"Plan1";#N/A,#N/A,FALSE,"Plan2"}</definedName>
    <definedName name="nzxcnnjkd" localSheetId="9" hidden="1">{#N/A,#N/A,FALSE,"Plan1";#N/A,#N/A,FALSE,"Plan2"}</definedName>
    <definedName name="nzxcnnjkd" localSheetId="13" hidden="1">{#N/A,#N/A,FALSE,"Plan1";#N/A,#N/A,FALSE,"Plan2"}</definedName>
    <definedName name="nzxcnnjkd" localSheetId="0" hidden="1">{#N/A,#N/A,FALSE,"Plan1";#N/A,#N/A,FALSE,"Plan2"}</definedName>
    <definedName name="nzxcnnjkd" hidden="1">{#N/A,#N/A,FALSE,"Plan1";#N/A,#N/A,FALSE,"Plan2"}</definedName>
    <definedName name="OAE" localSheetId="3">#REF!</definedName>
    <definedName name="OAE" localSheetId="4">#REF!</definedName>
    <definedName name="OAE" localSheetId="8">#REF!</definedName>
    <definedName name="OAE" localSheetId="2">#REF!</definedName>
    <definedName name="OAE" localSheetId="9">#REF!</definedName>
    <definedName name="OAE" localSheetId="13">#REF!</definedName>
    <definedName name="OAE" localSheetId="0">#REF!</definedName>
    <definedName name="OAE">#REF!</definedName>
    <definedName name="OBRA" localSheetId="2">#REF!</definedName>
    <definedName name="OBRA">#REF!</definedName>
    <definedName name="Obra_Fin_Medição" localSheetId="2">#REF!</definedName>
    <definedName name="Obra_Fin_Medição">#REF!</definedName>
    <definedName name="OBRA_PROJETADO" localSheetId="2">#REF!</definedName>
    <definedName name="OBRA_PROJETADO">#REF!</definedName>
    <definedName name="Obra_Rel_Controladoria" localSheetId="2">#REF!</definedName>
    <definedName name="Obra_Rel_Controladoria">#REF!</definedName>
    <definedName name="Obra_Sienge" localSheetId="2">#REF!</definedName>
    <definedName name="Obra_Sienge">#REF!</definedName>
    <definedName name="Obra2_Fin_Medição" localSheetId="2">#REF!</definedName>
    <definedName name="Obra2_Fin_Medição">#REF!</definedName>
    <definedName name="OBRALOC" localSheetId="2">#REF!</definedName>
    <definedName name="OBRALOC">#REF!</definedName>
    <definedName name="OBRAS" localSheetId="2">#REF!</definedName>
    <definedName name="OBRAS">#REF!</definedName>
    <definedName name="Obras_Apoio_Rel_Controladoria" localSheetId="2">#REF!</definedName>
    <definedName name="Obras_Apoio_Rel_Controladoria">#REF!</definedName>
    <definedName name="OBRAS_REALIZADO" localSheetId="2">#REF!</definedName>
    <definedName name="OBRAS_REALIZADO">#REF!</definedName>
    <definedName name="OBRASEL" localSheetId="2">#REF!</definedName>
    <definedName name="OBRASEL">#REF!</definedName>
    <definedName name="odflgj" hidden="1">25</definedName>
    <definedName name="odfuudor" localSheetId="3" hidden="1">{#N/A,#N/A,FALSE,"Plan1";#N/A,#N/A,FALSE,"Plan2"}</definedName>
    <definedName name="odfuudor" localSheetId="8" hidden="1">{#N/A,#N/A,FALSE,"Plan1";#N/A,#N/A,FALSE,"Plan2"}</definedName>
    <definedName name="odfuudor" localSheetId="2" hidden="1">{#N/A,#N/A,FALSE,"Plan1";#N/A,#N/A,FALSE,"Plan2"}</definedName>
    <definedName name="odfuudor" localSheetId="9" hidden="1">{#N/A,#N/A,FALSE,"Plan1";#N/A,#N/A,FALSE,"Plan2"}</definedName>
    <definedName name="odfuudor" localSheetId="13" hidden="1">{#N/A,#N/A,FALSE,"Plan1";#N/A,#N/A,FALSE,"Plan2"}</definedName>
    <definedName name="odfuudor" localSheetId="0" hidden="1">{#N/A,#N/A,FALSE,"Plan1";#N/A,#N/A,FALSE,"Plan2"}</definedName>
    <definedName name="odfuudor" hidden="1">{#N/A,#N/A,FALSE,"Plan1";#N/A,#N/A,FALSE,"Plan2"}</definedName>
    <definedName name="ODH" localSheetId="3" hidden="1">#REF!</definedName>
    <definedName name="ODH" localSheetId="8" hidden="1">#REF!</definedName>
    <definedName name="ODH" localSheetId="2" hidden="1">#REF!</definedName>
    <definedName name="ODH" localSheetId="9" hidden="1">#REF!</definedName>
    <definedName name="ODH" localSheetId="13" hidden="1">#REF!</definedName>
    <definedName name="ODH" localSheetId="0" hidden="1">#REF!</definedName>
    <definedName name="ODH" hidden="1">#REF!</definedName>
    <definedName name="oficial_mes" localSheetId="3">#REF!</definedName>
    <definedName name="oficial_mes" localSheetId="8">#REF!</definedName>
    <definedName name="oficial_mes" localSheetId="2">#REF!</definedName>
    <definedName name="oficial_mes" localSheetId="9">#REF!</definedName>
    <definedName name="oficial_mes" localSheetId="13">#REF!</definedName>
    <definedName name="oficial_mes">#REF!</definedName>
    <definedName name="oficial2_mes" localSheetId="2">#REF!</definedName>
    <definedName name="oficial2_mes">#REF!</definedName>
    <definedName name="oiditrot" localSheetId="3" hidden="1">{#N/A,#N/A,FALSE,"Plan1";#N/A,#N/A,FALSE,"Plan2"}</definedName>
    <definedName name="oiditrot" localSheetId="8" hidden="1">{#N/A,#N/A,FALSE,"Plan1";#N/A,#N/A,FALSE,"Plan2"}</definedName>
    <definedName name="oiditrot" localSheetId="2" hidden="1">{#N/A,#N/A,FALSE,"Plan1";#N/A,#N/A,FALSE,"Plan2"}</definedName>
    <definedName name="oiditrot" localSheetId="9" hidden="1">{#N/A,#N/A,FALSE,"Plan1";#N/A,#N/A,FALSE,"Plan2"}</definedName>
    <definedName name="oiditrot" localSheetId="13" hidden="1">{#N/A,#N/A,FALSE,"Plan1";#N/A,#N/A,FALSE,"Plan2"}</definedName>
    <definedName name="oiditrot" localSheetId="0" hidden="1">{#N/A,#N/A,FALSE,"Plan1";#N/A,#N/A,FALSE,"Plan2"}</definedName>
    <definedName name="oiditrot" hidden="1">{#N/A,#N/A,FALSE,"Plan1";#N/A,#N/A,FALSE,"Plan2"}</definedName>
    <definedName name="oio" localSheetId="3" hidden="1">{#N/A,#N/A,FALSE,"Plan1";#N/A,#N/A,FALSE,"Plan2"}</definedName>
    <definedName name="oio" localSheetId="8" hidden="1">{#N/A,#N/A,FALSE,"Plan1";#N/A,#N/A,FALSE,"Plan2"}</definedName>
    <definedName name="oio" localSheetId="2" hidden="1">{#N/A,#N/A,FALSE,"Plan1";#N/A,#N/A,FALSE,"Plan2"}</definedName>
    <definedName name="oio" localSheetId="9" hidden="1">{#N/A,#N/A,FALSE,"Plan1";#N/A,#N/A,FALSE,"Plan2"}</definedName>
    <definedName name="oio" localSheetId="13" hidden="1">{#N/A,#N/A,FALSE,"Plan1";#N/A,#N/A,FALSE,"Plan2"}</definedName>
    <definedName name="oio" localSheetId="0" hidden="1">{#N/A,#N/A,FALSE,"Plan1";#N/A,#N/A,FALSE,"Plan2"}</definedName>
    <definedName name="oio" hidden="1">{#N/A,#N/A,FALSE,"Plan1";#N/A,#N/A,FALSE,"Plan2"}</definedName>
    <definedName name="OITO" localSheetId="3">#REF!</definedName>
    <definedName name="OITO" localSheetId="2">#REF!</definedName>
    <definedName name="OITO">#REF!</definedName>
    <definedName name="oiufioorif" localSheetId="3" hidden="1">#REF!</definedName>
    <definedName name="oiufioorif" localSheetId="8" hidden="1">#REF!</definedName>
    <definedName name="oiufioorif" localSheetId="9" hidden="1">#REF!</definedName>
    <definedName name="oiufioorif" localSheetId="13" hidden="1">#REF!</definedName>
    <definedName name="oiufioorif" localSheetId="0" hidden="1">#REF!</definedName>
    <definedName name="oiufioorif" hidden="1">#REF!</definedName>
    <definedName name="OJÇLJ" localSheetId="3" hidden="1">{#N/A,#N/A,FALSE,"Plan1";#N/A,#N/A,FALSE,"Plan2"}</definedName>
    <definedName name="OJÇLJ" localSheetId="8" hidden="1">{#N/A,#N/A,FALSE,"Plan1";#N/A,#N/A,FALSE,"Plan2"}</definedName>
    <definedName name="OJÇLJ" localSheetId="2" hidden="1">{#N/A,#N/A,FALSE,"Plan1";#N/A,#N/A,FALSE,"Plan2"}</definedName>
    <definedName name="OJÇLJ" localSheetId="9" hidden="1">{#N/A,#N/A,FALSE,"Plan1";#N/A,#N/A,FALSE,"Plan2"}</definedName>
    <definedName name="OJÇLJ" localSheetId="13" hidden="1">{#N/A,#N/A,FALSE,"Plan1";#N/A,#N/A,FALSE,"Plan2"}</definedName>
    <definedName name="OJÇLJ" localSheetId="0" hidden="1">{#N/A,#N/A,FALSE,"Plan1";#N/A,#N/A,FALSE,"Plan2"}</definedName>
    <definedName name="OJÇLJ" hidden="1">{#N/A,#N/A,FALSE,"Plan1";#N/A,#N/A,FALSE,"Plan2"}</definedName>
    <definedName name="ojkdfit" localSheetId="3" hidden="1">{#N/A,#N/A,FALSE,"Plan1";#N/A,#N/A,FALSE,"Plan2"}</definedName>
    <definedName name="ojkdfit" localSheetId="8" hidden="1">{#N/A,#N/A,FALSE,"Plan1";#N/A,#N/A,FALSE,"Plan2"}</definedName>
    <definedName name="ojkdfit" localSheetId="2" hidden="1">{#N/A,#N/A,FALSE,"Plan1";#N/A,#N/A,FALSE,"Plan2"}</definedName>
    <definedName name="ojkdfit" localSheetId="9" hidden="1">{#N/A,#N/A,FALSE,"Plan1";#N/A,#N/A,FALSE,"Plan2"}</definedName>
    <definedName name="ojkdfit" localSheetId="13" hidden="1">{#N/A,#N/A,FALSE,"Plan1";#N/A,#N/A,FALSE,"Plan2"}</definedName>
    <definedName name="ojkdfit" localSheetId="0" hidden="1">{#N/A,#N/A,FALSE,"Plan1";#N/A,#N/A,FALSE,"Plan2"}</definedName>
    <definedName name="ojkdfit" hidden="1">{#N/A,#N/A,FALSE,"Plan1";#N/A,#N/A,FALSE,"Plan2"}</definedName>
    <definedName name="oMISSOS" localSheetId="3" hidden="1">#REF!</definedName>
    <definedName name="oMISSOS" localSheetId="8" hidden="1">#REF!</definedName>
    <definedName name="oMISSOS" localSheetId="9" hidden="1">#REF!</definedName>
    <definedName name="oMISSOS" localSheetId="13" hidden="1">#REF!</definedName>
    <definedName name="oMISSOS" localSheetId="0" hidden="1">#REF!</definedName>
    <definedName name="oMISSOS" hidden="1">#REF!</definedName>
    <definedName name="ONZE" localSheetId="3">#REF!</definedName>
    <definedName name="ONZE" localSheetId="8">#REF!</definedName>
    <definedName name="ONZE" localSheetId="2">#REF!</definedName>
    <definedName name="ONZE" localSheetId="9">#REF!</definedName>
    <definedName name="ONZE" localSheetId="13">#REF!</definedName>
    <definedName name="ONZE">#REF!</definedName>
    <definedName name="ooo" localSheetId="3" hidden="1">{#N/A,#N/A,FALSE,"Plan1";#N/A,#N/A,FALSE,"Plan2"}</definedName>
    <definedName name="ooo" localSheetId="8" hidden="1">{#N/A,#N/A,FALSE,"Plan1";#N/A,#N/A,FALSE,"Plan2"}</definedName>
    <definedName name="ooo" localSheetId="2" hidden="1">{#N/A,#N/A,FALSE,"Plan1";#N/A,#N/A,FALSE,"Plan2"}</definedName>
    <definedName name="ooo" localSheetId="9" hidden="1">{#N/A,#N/A,FALSE,"Plan1";#N/A,#N/A,FALSE,"Plan2"}</definedName>
    <definedName name="ooo" localSheetId="13" hidden="1">{#N/A,#N/A,FALSE,"Plan1";#N/A,#N/A,FALSE,"Plan2"}</definedName>
    <definedName name="ooo" localSheetId="0" hidden="1">{#N/A,#N/A,FALSE,"Plan1";#N/A,#N/A,FALSE,"Plan2"}</definedName>
    <definedName name="ooo" hidden="1">{#N/A,#N/A,FALSE,"Plan1";#N/A,#N/A,FALSE,"Plan2"}</definedName>
    <definedName name="OPASEDWED" localSheetId="3" hidden="1">{"Econ Consolidado",#N/A,FALSE,"Econ Consol";"Fluxo de Caixa",#N/A,FALSE,"Fluxo Caixa";"Investimentos",#N/A,FALSE,"Investimentos"}</definedName>
    <definedName name="OPASEDWED" localSheetId="8" hidden="1">{"Econ Consolidado",#N/A,FALSE,"Econ Consol";"Fluxo de Caixa",#N/A,FALSE,"Fluxo Caixa";"Investimentos",#N/A,FALSE,"Investimentos"}</definedName>
    <definedName name="OPASEDWED" localSheetId="2" hidden="1">{"Econ Consolidado",#N/A,FALSE,"Econ Consol";"Fluxo de Caixa",#N/A,FALSE,"Fluxo Caixa";"Investimentos",#N/A,FALSE,"Investimentos"}</definedName>
    <definedName name="OPASEDWED" localSheetId="9" hidden="1">{"Econ Consolidado",#N/A,FALSE,"Econ Consol";"Fluxo de Caixa",#N/A,FALSE,"Fluxo Caixa";"Investimentos",#N/A,FALSE,"Investimentos"}</definedName>
    <definedName name="OPASEDWED" localSheetId="13" hidden="1">{"Econ Consolidado",#N/A,FALSE,"Econ Consol";"Fluxo de Caixa",#N/A,FALSE,"Fluxo Caixa";"Investimentos",#N/A,FALSE,"Investimentos"}</definedName>
    <definedName name="OPASEDWED" localSheetId="0" hidden="1">{"Econ Consolidado",#N/A,FALSE,"Econ Consol";"Fluxo de Caixa",#N/A,FALSE,"Fluxo Caixa";"Investimentos",#N/A,FALSE,"Investimentos"}</definedName>
    <definedName name="OPASEDWED" hidden="1">{"Econ Consolidado",#N/A,FALSE,"Econ Consol";"Fluxo de Caixa",#N/A,FALSE,"Fluxo Caixa";"Investimentos",#N/A,FALSE,"Investimentos"}</definedName>
    <definedName name="opcao_taxa_desconto" localSheetId="3">#REF!</definedName>
    <definedName name="opcao_taxa_desconto" localSheetId="2">#REF!</definedName>
    <definedName name="opcao_taxa_desconto">#REF!</definedName>
    <definedName name="opções" localSheetId="3">#REF!</definedName>
    <definedName name="opções" localSheetId="2">#REF!</definedName>
    <definedName name="opções">#REF!</definedName>
    <definedName name="opiwre" localSheetId="3" hidden="1">{#N/A,#N/A,FALSE,"Plan1";#N/A,#N/A,FALSE,"Plan2"}</definedName>
    <definedName name="opiwre" localSheetId="8" hidden="1">{#N/A,#N/A,FALSE,"Plan1";#N/A,#N/A,FALSE,"Plan2"}</definedName>
    <definedName name="opiwre" localSheetId="2" hidden="1">{#N/A,#N/A,FALSE,"Plan1";#N/A,#N/A,FALSE,"Plan2"}</definedName>
    <definedName name="opiwre" localSheetId="9" hidden="1">{#N/A,#N/A,FALSE,"Plan1";#N/A,#N/A,FALSE,"Plan2"}</definedName>
    <definedName name="opiwre" localSheetId="13" hidden="1">{#N/A,#N/A,FALSE,"Plan1";#N/A,#N/A,FALSE,"Plan2"}</definedName>
    <definedName name="opiwre" localSheetId="0" hidden="1">{#N/A,#N/A,FALSE,"Plan1";#N/A,#N/A,FALSE,"Plan2"}</definedName>
    <definedName name="opiwre" hidden="1">{#N/A,#N/A,FALSE,"Plan1";#N/A,#N/A,FALSE,"Plan2"}</definedName>
    <definedName name="ORCAMEN" localSheetId="3">#REF!</definedName>
    <definedName name="ORCAMEN" localSheetId="2">#REF!</definedName>
    <definedName name="ORCAMEN">#REF!</definedName>
    <definedName name="Orcamentistas" localSheetId="3">#REF!</definedName>
    <definedName name="Orcamentistas" localSheetId="2">#REF!</definedName>
    <definedName name="Orcamentistas">#REF!</definedName>
    <definedName name="origem_recebiveis" localSheetId="3">#REF!</definedName>
    <definedName name="origem_recebiveis" localSheetId="2">#REF!</definedName>
    <definedName name="origem_recebiveis">#REF!</definedName>
    <definedName name="origem_unidades" localSheetId="2">#REF!</definedName>
    <definedName name="origem_unidades">#REF!</definedName>
    <definedName name="Origem2_Recebimento_Fin_Medições" localSheetId="2">#REF!</definedName>
    <definedName name="Origem2_Recebimento_Fin_Medições">#REF!</definedName>
    <definedName name="os" localSheetId="3" hidden="1">{#N/A,#N/A,FALSE,"TABLE"}</definedName>
    <definedName name="os" localSheetId="8" hidden="1">{#N/A,#N/A,FALSE,"TABLE"}</definedName>
    <definedName name="os" localSheetId="2" hidden="1">{#N/A,#N/A,FALSE,"TABLE"}</definedName>
    <definedName name="os" localSheetId="9" hidden="1">{#N/A,#N/A,FALSE,"TABLE"}</definedName>
    <definedName name="os" localSheetId="13" hidden="1">{#N/A,#N/A,FALSE,"TABLE"}</definedName>
    <definedName name="os" localSheetId="0" hidden="1">{#N/A,#N/A,FALSE,"TABLE"}</definedName>
    <definedName name="os" hidden="1">{#N/A,#N/A,FALSE,"TABLE"}</definedName>
    <definedName name="osca_cdi" localSheetId="3">#REF!</definedName>
    <definedName name="osca_cdi" localSheetId="2">#REF!</definedName>
    <definedName name="osca_cdi">#REF!</definedName>
    <definedName name="osca_hist" localSheetId="3">#REF!</definedName>
    <definedName name="osca_hist" localSheetId="2">#REF!</definedName>
    <definedName name="osca_hist">#REF!</definedName>
    <definedName name="osca_uss" localSheetId="3">#REF!</definedName>
    <definedName name="osca_uss" localSheetId="2">#REF!</definedName>
    <definedName name="osca_uss">#REF!</definedName>
    <definedName name="otodgkrjglsrd" localSheetId="3" hidden="1">{#N/A,#N/A,FALSE,"Plan1";#N/A,#N/A,FALSE,"Plan2"}</definedName>
    <definedName name="otodgkrjglsrd" localSheetId="8" hidden="1">{#N/A,#N/A,FALSE,"Plan1";#N/A,#N/A,FALSE,"Plan2"}</definedName>
    <definedName name="otodgkrjglsrd" localSheetId="2" hidden="1">{#N/A,#N/A,FALSE,"Plan1";#N/A,#N/A,FALSE,"Plan2"}</definedName>
    <definedName name="otodgkrjglsrd" localSheetId="9" hidden="1">{#N/A,#N/A,FALSE,"Plan1";#N/A,#N/A,FALSE,"Plan2"}</definedName>
    <definedName name="otodgkrjglsrd" localSheetId="13" hidden="1">{#N/A,#N/A,FALSE,"Plan1";#N/A,#N/A,FALSE,"Plan2"}</definedName>
    <definedName name="otodgkrjglsrd" localSheetId="0" hidden="1">{#N/A,#N/A,FALSE,"Plan1";#N/A,#N/A,FALSE,"Plan2"}</definedName>
    <definedName name="otodgkrjglsrd" hidden="1">{#N/A,#N/A,FALSE,"Plan1";#N/A,#N/A,FALSE,"Plan2"}</definedName>
    <definedName name="OUERWRSR" localSheetId="3" hidden="1">{#N/A,#N/A,FALSE,"Plan1";#N/A,#N/A,FALSE,"Plan2"}</definedName>
    <definedName name="OUERWRSR" localSheetId="8" hidden="1">{#N/A,#N/A,FALSE,"Plan1";#N/A,#N/A,FALSE,"Plan2"}</definedName>
    <definedName name="OUERWRSR" localSheetId="2" hidden="1">{#N/A,#N/A,FALSE,"Plan1";#N/A,#N/A,FALSE,"Plan2"}</definedName>
    <definedName name="OUERWRSR" localSheetId="9" hidden="1">{#N/A,#N/A,FALSE,"Plan1";#N/A,#N/A,FALSE,"Plan2"}</definedName>
    <definedName name="OUERWRSR" localSheetId="13" hidden="1">{#N/A,#N/A,FALSE,"Plan1";#N/A,#N/A,FALSE,"Plan2"}</definedName>
    <definedName name="OUERWRSR" localSheetId="0" hidden="1">{#N/A,#N/A,FALSE,"Plan1";#N/A,#N/A,FALSE,"Plan2"}</definedName>
    <definedName name="OUERWRSR" hidden="1">{#N/A,#N/A,FALSE,"Plan1";#N/A,#N/A,FALSE,"Plan2"}</definedName>
    <definedName name="out17RJ" localSheetId="3">#REF!</definedName>
    <definedName name="out17RJ" localSheetId="2">#REF!</definedName>
    <definedName name="out17RJ">#REF!</definedName>
    <definedName name="outro" localSheetId="3" hidden="1">#REF!</definedName>
    <definedName name="outro" localSheetId="8" hidden="1">#REF!</definedName>
    <definedName name="outro" localSheetId="2" hidden="1">#REF!</definedName>
    <definedName name="outro" localSheetId="9" hidden="1">#REF!</definedName>
    <definedName name="outro" localSheetId="13" hidden="1">#REF!</definedName>
    <definedName name="outro" localSheetId="0" hidden="1">#REF!</definedName>
    <definedName name="outro" hidden="1">#REF!</definedName>
    <definedName name="OUTROS" localSheetId="2">#REF!</definedName>
    <definedName name="OUTROS">#REF!</definedName>
    <definedName name="OUTROS_CCUSTO" localSheetId="2">#REF!</definedName>
    <definedName name="OUTROS_CCUSTO">#REF!</definedName>
    <definedName name="Outros_Pisos" localSheetId="2">#REF!</definedName>
    <definedName name="Outros_Pisos">#REF!</definedName>
    <definedName name="Outros1" localSheetId="2">#REF!</definedName>
    <definedName name="Outros1">#REF!</definedName>
    <definedName name="OUTUBRO" localSheetId="2">#REF!</definedName>
    <definedName name="OUTUBRO">#REF!</definedName>
    <definedName name="overhau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 localSheetId="3">#REF!</definedName>
    <definedName name="oxfo_cdi" localSheetId="2">#REF!</definedName>
    <definedName name="oxfo_cdi">#REF!</definedName>
    <definedName name="oxfo_hist" localSheetId="3">#REF!</definedName>
    <definedName name="oxfo_hist" localSheetId="2">#REF!</definedName>
    <definedName name="oxfo_hist">#REF!</definedName>
    <definedName name="oxfo_uss" localSheetId="3">#REF!</definedName>
    <definedName name="oxfo_uss" localSheetId="2">#REF!</definedName>
    <definedName name="oxfo_uss">#REF!</definedName>
    <definedName name="P" localSheetId="2">#REF!</definedName>
    <definedName name="P">#REF!</definedName>
    <definedName name="PA" localSheetId="2">#REF!</definedName>
    <definedName name="PA">#REF!</definedName>
    <definedName name="Padrao_A" localSheetId="2">#REF!</definedName>
    <definedName name="Padrao_A">#REF!</definedName>
    <definedName name="Padrao_B" localSheetId="2">#REF!</definedName>
    <definedName name="Padrao_B">#REF!</definedName>
    <definedName name="Padrao_C" localSheetId="2">#REF!</definedName>
    <definedName name="Padrao_C">#REF!</definedName>
    <definedName name="Padrao_D" localSheetId="2">#REF!</definedName>
    <definedName name="Padrao_D">#REF!</definedName>
    <definedName name="Padrao_E" localSheetId="2">#REF!</definedName>
    <definedName name="Padrao_E">#REF!</definedName>
    <definedName name="Padrao_F" localSheetId="2">#REF!</definedName>
    <definedName name="Padrao_F">#REF!</definedName>
    <definedName name="Pagamento_Num" localSheetId="3">ROW()-Linha_Cabeçalho</definedName>
    <definedName name="Pagamento_Num" localSheetId="8">ROW()-Linha_Cabeçalho</definedName>
    <definedName name="Pagamento_Num" localSheetId="2">ROW()-Linha_Cabeçalho</definedName>
    <definedName name="Pagamento_Num" localSheetId="9">ROW()-Linha_Cabeçalho</definedName>
    <definedName name="Pagamento_Num" localSheetId="13">ROW()-Linha_Cabeçalho</definedName>
    <definedName name="Pagamento_Num" localSheetId="0">ROW()-Linha_Cabeçalho</definedName>
    <definedName name="Pagamento_Num">ROW()-Linha_Cabeçalho</definedName>
    <definedName name="Pago_Até_2015_Controladoria" localSheetId="3">#REF!</definedName>
    <definedName name="Pago_Até_2015_Controladoria" localSheetId="8">#REF!</definedName>
    <definedName name="Pago_Até_2015_Controladoria" localSheetId="2">#REF!</definedName>
    <definedName name="Pago_Até_2015_Controladoria" localSheetId="9">#REF!</definedName>
    <definedName name="Pago_Até_2015_Controladoria" localSheetId="13">#REF!</definedName>
    <definedName name="Pago_Até_2015_Controladoria">#REF!</definedName>
    <definedName name="Pal_Workbook_GUID" hidden="1">"3HURD34M2XKWJ5V6M4BWCR5Q"</definedName>
    <definedName name="PAP" localSheetId="3">#REF!</definedName>
    <definedName name="PAP" localSheetId="2">#REF!</definedName>
    <definedName name="PAP">#REF!</definedName>
    <definedName name="PARAM_FIS_1" localSheetId="3">#REF!</definedName>
    <definedName name="PARAM_FIS_1" localSheetId="2">#REF!</definedName>
    <definedName name="PARAM_FIS_1">#REF!</definedName>
    <definedName name="PARAM_FIS_2" localSheetId="3">#REF!</definedName>
    <definedName name="PARAM_FIS_2" localSheetId="2">#REF!</definedName>
    <definedName name="PARAM_FIS_2">#REF!</definedName>
    <definedName name="ParamValues1" localSheetId="2">#REF!</definedName>
    <definedName name="ParamValues1" localSheetId="0">[3]ParamValues!$A$1:$A$39</definedName>
    <definedName name="ParamValues1">[3]ParamValues!$A$1:$A$39</definedName>
    <definedName name="ParamValues2" localSheetId="3">#REF!</definedName>
    <definedName name="ParamValues2" localSheetId="8">#REF!</definedName>
    <definedName name="ParamValues2" localSheetId="2">#REF!</definedName>
    <definedName name="ParamValues2" localSheetId="9">#REF!</definedName>
    <definedName name="ParamValues2" localSheetId="13">#REF!</definedName>
    <definedName name="ParamValues2">#REF!</definedName>
    <definedName name="Parao_E" localSheetId="3">#REF!</definedName>
    <definedName name="Parao_E" localSheetId="8">#REF!</definedName>
    <definedName name="Parao_E" localSheetId="2">#REF!</definedName>
    <definedName name="Parao_E" localSheetId="9">#REF!</definedName>
    <definedName name="Parao_E" localSheetId="13">#REF!</definedName>
    <definedName name="Parao_E">#REF!</definedName>
    <definedName name="Parede1" localSheetId="3">#REF!</definedName>
    <definedName name="Parede1" localSheetId="8">#REF!</definedName>
    <definedName name="Parede1" localSheetId="2">#REF!</definedName>
    <definedName name="Parede1" localSheetId="9">#REF!</definedName>
    <definedName name="Parede1" localSheetId="13">#REF!</definedName>
    <definedName name="Parede1">#REF!</definedName>
    <definedName name="Parede2" localSheetId="2">#REF!</definedName>
    <definedName name="Parede2">#REF!</definedName>
    <definedName name="PAREDES" localSheetId="2">#REF!</definedName>
    <definedName name="PAREDES">#REF!</definedName>
    <definedName name="PAV" localSheetId="4">#REF!</definedName>
    <definedName name="PAV" localSheetId="2">#REF!</definedName>
    <definedName name="PAV" localSheetId="13">#REF!</definedName>
    <definedName name="PAV" localSheetId="0">#REF!</definedName>
    <definedName name="PAV">#REF!</definedName>
    <definedName name="PAVILHAO" localSheetId="2">#REF!</definedName>
    <definedName name="PAVILHAO">#REF!</definedName>
    <definedName name="PAVT" localSheetId="2">#REF!</definedName>
    <definedName name="PAVT">#REF!</definedName>
    <definedName name="pçgktr" hidden="1">#REF!</definedName>
    <definedName name="PDER" localSheetId="2">#REF!</definedName>
    <definedName name="PDER">#REF!</definedName>
    <definedName name="PDIVERS" localSheetId="2">#REF!</definedName>
    <definedName name="PDIVERS">#REF!</definedName>
    <definedName name="PE" localSheetId="2">#REF!</definedName>
    <definedName name="PE">#REF!</definedName>
    <definedName name="PEMD" localSheetId="2">#REF!</definedName>
    <definedName name="PEMD">#REF!</definedName>
    <definedName name="Pendencias" localSheetId="3" hidden="1">{#N/A,#N/A,FALSE,"GERAL";#N/A,#N/A,FALSE,"012-96";#N/A,#N/A,FALSE,"018-96";#N/A,#N/A,FALSE,"027-96";#N/A,#N/A,FALSE,"059-96";#N/A,#N/A,FALSE,"076-96";#N/A,#N/A,FALSE,"019-97";#N/A,#N/A,FALSE,"021-97";#N/A,#N/A,FALSE,"022-97";#N/A,#N/A,FALSE,"028-97"}</definedName>
    <definedName name="Pendencias" localSheetId="8" hidden="1">{#N/A,#N/A,FALSE,"GERAL";#N/A,#N/A,FALSE,"012-96";#N/A,#N/A,FALSE,"018-96";#N/A,#N/A,FALSE,"027-96";#N/A,#N/A,FALSE,"059-96";#N/A,#N/A,FALSE,"076-96";#N/A,#N/A,FALSE,"019-97";#N/A,#N/A,FALSE,"021-97";#N/A,#N/A,FALSE,"022-97";#N/A,#N/A,FALSE,"028-97"}</definedName>
    <definedName name="Pendencias" localSheetId="2" hidden="1">{#N/A,#N/A,FALSE,"GERAL";#N/A,#N/A,FALSE,"012-96";#N/A,#N/A,FALSE,"018-96";#N/A,#N/A,FALSE,"027-96";#N/A,#N/A,FALSE,"059-96";#N/A,#N/A,FALSE,"076-96";#N/A,#N/A,FALSE,"019-97";#N/A,#N/A,FALSE,"021-97";#N/A,#N/A,FALSE,"022-97";#N/A,#N/A,FALSE,"028-97"}</definedName>
    <definedName name="Pendencias" localSheetId="9" hidden="1">{#N/A,#N/A,FALSE,"GERAL";#N/A,#N/A,FALSE,"012-96";#N/A,#N/A,FALSE,"018-96";#N/A,#N/A,FALSE,"027-96";#N/A,#N/A,FALSE,"059-96";#N/A,#N/A,FALSE,"076-96";#N/A,#N/A,FALSE,"019-97";#N/A,#N/A,FALSE,"021-97";#N/A,#N/A,FALSE,"022-97";#N/A,#N/A,FALSE,"028-97"}</definedName>
    <definedName name="Pendencias" localSheetId="13" hidden="1">{#N/A,#N/A,FALSE,"GERAL";#N/A,#N/A,FALSE,"012-96";#N/A,#N/A,FALSE,"018-96";#N/A,#N/A,FALSE,"027-96";#N/A,#N/A,FALSE,"059-96";#N/A,#N/A,FALSE,"076-96";#N/A,#N/A,FALSE,"019-97";#N/A,#N/A,FALSE,"021-97";#N/A,#N/A,FALSE,"022-97";#N/A,#N/A,FALSE,"028-97"}</definedName>
    <definedName name="Pendencias" localSheetId="0" hidden="1">{#N/A,#N/A,FALSE,"GERAL";#N/A,#N/A,FALSE,"012-96";#N/A,#N/A,FALSE,"018-96";#N/A,#N/A,FALSE,"027-96";#N/A,#N/A,FALSE,"059-96";#N/A,#N/A,FALSE,"076-96";#N/A,#N/A,FALSE,"019-97";#N/A,#N/A,FALSE,"021-97";#N/A,#N/A,FALSE,"022-97";#N/A,#N/A,FALSE,"028-97"}</definedName>
    <definedName name="Pendencias" hidden="1">{#N/A,#N/A,FALSE,"GERAL";#N/A,#N/A,FALSE,"012-96";#N/A,#N/A,FALSE,"018-96";#N/A,#N/A,FALSE,"027-96";#N/A,#N/A,FALSE,"059-96";#N/A,#N/A,FALSE,"076-96";#N/A,#N/A,FALSE,"019-97";#N/A,#N/A,FALSE,"021-97";#N/A,#N/A,FALSE,"022-97";#N/A,#N/A,FALSE,"028-97"}</definedName>
    <definedName name="pendencias2" localSheetId="3" hidden="1">{#N/A,#N/A,FALSE,"GERAL";#N/A,#N/A,FALSE,"012-96";#N/A,#N/A,FALSE,"018-96";#N/A,#N/A,FALSE,"027-96";#N/A,#N/A,FALSE,"059-96";#N/A,#N/A,FALSE,"076-96";#N/A,#N/A,FALSE,"019-97";#N/A,#N/A,FALSE,"021-97";#N/A,#N/A,FALSE,"022-97";#N/A,#N/A,FALSE,"028-97"}</definedName>
    <definedName name="pendencias2" localSheetId="8" hidden="1">{#N/A,#N/A,FALSE,"GERAL";#N/A,#N/A,FALSE,"012-96";#N/A,#N/A,FALSE,"018-96";#N/A,#N/A,FALSE,"027-96";#N/A,#N/A,FALSE,"059-96";#N/A,#N/A,FALSE,"076-96";#N/A,#N/A,FALSE,"019-97";#N/A,#N/A,FALSE,"021-97";#N/A,#N/A,FALSE,"022-97";#N/A,#N/A,FALSE,"028-97"}</definedName>
    <definedName name="pendencias2" localSheetId="2" hidden="1">{#N/A,#N/A,FALSE,"GERAL";#N/A,#N/A,FALSE,"012-96";#N/A,#N/A,FALSE,"018-96";#N/A,#N/A,FALSE,"027-96";#N/A,#N/A,FALSE,"059-96";#N/A,#N/A,FALSE,"076-96";#N/A,#N/A,FALSE,"019-97";#N/A,#N/A,FALSE,"021-97";#N/A,#N/A,FALSE,"022-97";#N/A,#N/A,FALSE,"028-97"}</definedName>
    <definedName name="pendencias2" localSheetId="9" hidden="1">{#N/A,#N/A,FALSE,"GERAL";#N/A,#N/A,FALSE,"012-96";#N/A,#N/A,FALSE,"018-96";#N/A,#N/A,FALSE,"027-96";#N/A,#N/A,FALSE,"059-96";#N/A,#N/A,FALSE,"076-96";#N/A,#N/A,FALSE,"019-97";#N/A,#N/A,FALSE,"021-97";#N/A,#N/A,FALSE,"022-97";#N/A,#N/A,FALSE,"028-97"}</definedName>
    <definedName name="pendencias2" localSheetId="13" hidden="1">{#N/A,#N/A,FALSE,"GERAL";#N/A,#N/A,FALSE,"012-96";#N/A,#N/A,FALSE,"018-96";#N/A,#N/A,FALSE,"027-96";#N/A,#N/A,FALSE,"059-96";#N/A,#N/A,FALSE,"076-96";#N/A,#N/A,FALSE,"019-97";#N/A,#N/A,FALSE,"021-97";#N/A,#N/A,FALSE,"022-97";#N/A,#N/A,FALSE,"028-97"}</definedName>
    <definedName name="pendencias2" localSheetId="0"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encias3" localSheetId="3" hidden="1">{#N/A,#N/A,FALSE,"GERAL";#N/A,#N/A,FALSE,"012-96";#N/A,#N/A,FALSE,"018-96";#N/A,#N/A,FALSE,"027-96";#N/A,#N/A,FALSE,"059-96";#N/A,#N/A,FALSE,"076-96";#N/A,#N/A,FALSE,"019-97";#N/A,#N/A,FALSE,"021-97";#N/A,#N/A,FALSE,"022-97";#N/A,#N/A,FALSE,"028-97"}</definedName>
    <definedName name="pendencias3" localSheetId="8" hidden="1">{#N/A,#N/A,FALSE,"GERAL";#N/A,#N/A,FALSE,"012-96";#N/A,#N/A,FALSE,"018-96";#N/A,#N/A,FALSE,"027-96";#N/A,#N/A,FALSE,"059-96";#N/A,#N/A,FALSE,"076-96";#N/A,#N/A,FALSE,"019-97";#N/A,#N/A,FALSE,"021-97";#N/A,#N/A,FALSE,"022-97";#N/A,#N/A,FALSE,"028-97"}</definedName>
    <definedName name="pendencias3" localSheetId="2" hidden="1">{#N/A,#N/A,FALSE,"GERAL";#N/A,#N/A,FALSE,"012-96";#N/A,#N/A,FALSE,"018-96";#N/A,#N/A,FALSE,"027-96";#N/A,#N/A,FALSE,"059-96";#N/A,#N/A,FALSE,"076-96";#N/A,#N/A,FALSE,"019-97";#N/A,#N/A,FALSE,"021-97";#N/A,#N/A,FALSE,"022-97";#N/A,#N/A,FALSE,"028-97"}</definedName>
    <definedName name="pendencias3" localSheetId="9" hidden="1">{#N/A,#N/A,FALSE,"GERAL";#N/A,#N/A,FALSE,"012-96";#N/A,#N/A,FALSE,"018-96";#N/A,#N/A,FALSE,"027-96";#N/A,#N/A,FALSE,"059-96";#N/A,#N/A,FALSE,"076-96";#N/A,#N/A,FALSE,"019-97";#N/A,#N/A,FALSE,"021-97";#N/A,#N/A,FALSE,"022-97";#N/A,#N/A,FALSE,"028-97"}</definedName>
    <definedName name="pendencias3" localSheetId="13" hidden="1">{#N/A,#N/A,FALSE,"GERAL";#N/A,#N/A,FALSE,"012-96";#N/A,#N/A,FALSE,"018-96";#N/A,#N/A,FALSE,"027-96";#N/A,#N/A,FALSE,"059-96";#N/A,#N/A,FALSE,"076-96";#N/A,#N/A,FALSE,"019-97";#N/A,#N/A,FALSE,"021-97";#N/A,#N/A,FALSE,"022-97";#N/A,#N/A,FALSE,"028-97"}</definedName>
    <definedName name="pendencias3" localSheetId="0"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rfura" localSheetId="3">#REF!</definedName>
    <definedName name="perfura" localSheetId="2">#REF!</definedName>
    <definedName name="perfura">#REF!</definedName>
    <definedName name="Perímetro_lajão" localSheetId="3">#REF!</definedName>
    <definedName name="Perímetro_lajão" localSheetId="8">#REF!</definedName>
    <definedName name="Perímetro_lajão" localSheetId="2">#REF!</definedName>
    <definedName name="Perímetro_lajão" localSheetId="9">#REF!</definedName>
    <definedName name="Perímetro_lajão" localSheetId="13">#REF!</definedName>
    <definedName name="Perímetro_lajão" localSheetId="0">#REF!</definedName>
    <definedName name="Perímetro_lajão">#REF!</definedName>
    <definedName name="Perímetro_Terreno" localSheetId="3">#REF!</definedName>
    <definedName name="Perímetro_Terreno" localSheetId="8">#REF!</definedName>
    <definedName name="Perímetro_Terreno" localSheetId="2">#REF!</definedName>
    <definedName name="Perímetro_Terreno" localSheetId="9">#REF!</definedName>
    <definedName name="Perímetro_Terreno" localSheetId="13">#REF!</definedName>
    <definedName name="Perímetro_Terreno" localSheetId="0">#REF!</definedName>
    <definedName name="Perímetro_Terreno">#REF!</definedName>
    <definedName name="Perímetro_torre" localSheetId="2">#REF!</definedName>
    <definedName name="Perímetro_torre" localSheetId="0">#REF!</definedName>
    <definedName name="Perímetro_torre">#REF!</definedName>
    <definedName name="pessoal" localSheetId="2">#REF!</definedName>
    <definedName name="pessoal">#REF!</definedName>
    <definedName name="petro2" hidden="1">#REF!</definedName>
    <definedName name="PhyG" localSheetId="2">#REF!</definedName>
    <definedName name="PhyG">#REF!</definedName>
    <definedName name="PhyGS" localSheetId="2">#REF!</definedName>
    <definedName name="PhyGS">#REF!</definedName>
    <definedName name="PI" localSheetId="2">#REF!</definedName>
    <definedName name="PI">#REF!</definedName>
    <definedName name="piaz"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piaz"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iaz" hidden="1">{TRUE,TRUE,-1.25,-15.5,604.5,366.75,FALSE,FALSE,TRUE,TRUE,0,1,#N/A,1,#N/A,9.0125,24.4117647058824,1,FALSE,FALSE,3,TRUE,1,FALSE,100,"Swvu.PLANILHA2.","ACwvu.PLANILHA2.",#N/A,FALSE,FALSE,0.787401575,0.34,0.46,0.5,1,"","",FALSE,FALSE,FALSE,FALSE,1,#N/A,1,1,FALSE,FALSE,#N/A,#N/A,FALSE,FALSE,FALSE,9,65532,65532,FALSE,FALSE,TRUE,TRUE,TRUE}</definedName>
    <definedName name="PIEQUIP" localSheetId="3">#REF!</definedName>
    <definedName name="PIEQUIP" localSheetId="2">#REF!</definedName>
    <definedName name="PIEQUIP">#REF!</definedName>
    <definedName name="Pintura" localSheetId="3">'[1]M.O.'!#REF!</definedName>
    <definedName name="Pintura">'[1]M.O.'!#REF!</definedName>
    <definedName name="PIS_COFINS" localSheetId="3">#REF!</definedName>
    <definedName name="PIS_COFINS" localSheetId="8">#REF!</definedName>
    <definedName name="PIS_COFINS" localSheetId="2">#REF!</definedName>
    <definedName name="PIS_COFINS" localSheetId="9">#REF!</definedName>
    <definedName name="PIS_COFINS" localSheetId="13">#REF!</definedName>
    <definedName name="PIS_COFINS">#REF!</definedName>
    <definedName name="PisCofins" localSheetId="3">#REF!</definedName>
    <definedName name="PisCofins" localSheetId="8">#REF!</definedName>
    <definedName name="PisCofins" localSheetId="2">#REF!</definedName>
    <definedName name="PisCofins" localSheetId="9">#REF!</definedName>
    <definedName name="PisCofins" localSheetId="13">#REF!</definedName>
    <definedName name="PisCofins">#REF!</definedName>
    <definedName name="Piso1" localSheetId="3">#REF!</definedName>
    <definedName name="Piso1" localSheetId="8">#REF!</definedName>
    <definedName name="Piso1" localSheetId="2">#REF!</definedName>
    <definedName name="Piso1" localSheetId="9">#REF!</definedName>
    <definedName name="Piso1" localSheetId="13">#REF!</definedName>
    <definedName name="Piso1">#REF!</definedName>
    <definedName name="Piso2" localSheetId="2">#REF!</definedName>
    <definedName name="Piso2">#REF!</definedName>
    <definedName name="PISOS" localSheetId="2">#REF!</definedName>
    <definedName name="PISOS">#REF!</definedName>
    <definedName name="PL" localSheetId="2">#REF!</definedName>
    <definedName name="PL">#REF!</definedName>
    <definedName name="PLACAS" localSheetId="3" hidden="1">{#N/A,#N/A,TRUE,"Quinzena 01 à 15-04-98 "}</definedName>
    <definedName name="PLACAS" localSheetId="8" hidden="1">{#N/A,#N/A,TRUE,"Quinzena 01 à 15-04-98 "}</definedName>
    <definedName name="PLACAS" localSheetId="2" hidden="1">{#N/A,#N/A,TRUE,"Quinzena 01 à 15-04-98 "}</definedName>
    <definedName name="PLACAS" localSheetId="9" hidden="1">{#N/A,#N/A,TRUE,"Quinzena 01 à 15-04-98 "}</definedName>
    <definedName name="PLACAS" localSheetId="13" hidden="1">{#N/A,#N/A,TRUE,"Quinzena 01 à 15-04-98 "}</definedName>
    <definedName name="PLACAS" localSheetId="0" hidden="1">{#N/A,#N/A,TRUE,"Quinzena 01 à 15-04-98 "}</definedName>
    <definedName name="PLACAS" hidden="1">{#N/A,#N/A,TRUE,"Quinzena 01 à 15-04-98 "}</definedName>
    <definedName name="Placas_Areas" localSheetId="3" hidden="1">{#N/A,#N/A,TRUE,"Quinzena 01 à 15-04-98 "}</definedName>
    <definedName name="Placas_Areas" localSheetId="8" hidden="1">{#N/A,#N/A,TRUE,"Quinzena 01 à 15-04-98 "}</definedName>
    <definedName name="Placas_Areas" localSheetId="2" hidden="1">{#N/A,#N/A,TRUE,"Quinzena 01 à 15-04-98 "}</definedName>
    <definedName name="Placas_Areas" localSheetId="9" hidden="1">{#N/A,#N/A,TRUE,"Quinzena 01 à 15-04-98 "}</definedName>
    <definedName name="Placas_Areas" localSheetId="13" hidden="1">{#N/A,#N/A,TRUE,"Quinzena 01 à 15-04-98 "}</definedName>
    <definedName name="Placas_Areas" localSheetId="0" hidden="1">{#N/A,#N/A,TRUE,"Quinzena 01 à 15-04-98 "}</definedName>
    <definedName name="Placas_Areas" hidden="1">{#N/A,#N/A,TRUE,"Quinzena 01 à 15-04-98 "}</definedName>
    <definedName name="plan" localSheetId="3" hidden="1">#REF!</definedName>
    <definedName name="plan" localSheetId="8" hidden="1">#REF!</definedName>
    <definedName name="PLAN" localSheetId="2">#REF!</definedName>
    <definedName name="plan" localSheetId="9" hidden="1">#REF!</definedName>
    <definedName name="plan" localSheetId="13" hidden="1">#REF!</definedName>
    <definedName name="plan" localSheetId="0" hidden="1">#REF!</definedName>
    <definedName name="plan" hidden="1">#REF!</definedName>
    <definedName name="plan2"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plan2" hidden="1">{TRUE,TRUE,-1.25,-15.5,604.5,366.75,FALSE,FALSE,TRUE,TRUE,0,1,#N/A,1,#N/A,9.0125,24.4117647058824,1,FALSE,FALSE,3,TRUE,1,FALSE,100,"Swvu.PLANILHA2.","ACwvu.PLANILHA2.",#N/A,FALSE,FALSE,0.787401575,0.34,0.46,0.5,1,"","",FALSE,FALSE,FALSE,FALSE,1,#N/A,1,1,FALSE,FALSE,#N/A,#N/A,FALSE,FALSE,FALSE,9,65532,65532,FALSE,FALSE,TRUE,TRUE,TRUE}</definedName>
    <definedName name="PLANILHA" localSheetId="3">#REF!</definedName>
    <definedName name="PLANILHA" localSheetId="2">#REF!</definedName>
    <definedName name="PLANILHA">#REF!</definedName>
    <definedName name="Planilha2" localSheetId="3">#REF!</definedName>
    <definedName name="Planilha2" localSheetId="2">#REF!</definedName>
    <definedName name="Planilha2">#REF!</definedName>
    <definedName name="plasçdeaw" localSheetId="3" hidden="1">{#N/A,#N/A,FALSE,"Plan1";#N/A,#N/A,FALSE,"Plan2"}</definedName>
    <definedName name="plasçdeaw" localSheetId="8" hidden="1">{#N/A,#N/A,FALSE,"Plan1";#N/A,#N/A,FALSE,"Plan2"}</definedName>
    <definedName name="plasçdeaw" localSheetId="2" hidden="1">{#N/A,#N/A,FALSE,"Plan1";#N/A,#N/A,FALSE,"Plan2"}</definedName>
    <definedName name="plasçdeaw" localSheetId="9" hidden="1">{#N/A,#N/A,FALSE,"Plan1";#N/A,#N/A,FALSE,"Plan2"}</definedName>
    <definedName name="plasçdeaw" localSheetId="13" hidden="1">{#N/A,#N/A,FALSE,"Plan1";#N/A,#N/A,FALSE,"Plan2"}</definedName>
    <definedName name="plasçdeaw" localSheetId="0" hidden="1">{#N/A,#N/A,FALSE,"Plan1";#N/A,#N/A,FALSE,"Plan2"}</definedName>
    <definedName name="plasçdeaw" hidden="1">{#N/A,#N/A,FALSE,"Plan1";#N/A,#N/A,FALSE,"Plan2"}</definedName>
    <definedName name="plaslrswe" localSheetId="3" hidden="1">{#N/A,#N/A,FALSE,"Plan1";#N/A,#N/A,FALSE,"Plan2"}</definedName>
    <definedName name="plaslrswe" localSheetId="8" hidden="1">{#N/A,#N/A,FALSE,"Plan1";#N/A,#N/A,FALSE,"Plan2"}</definedName>
    <definedName name="plaslrswe" localSheetId="2" hidden="1">{#N/A,#N/A,FALSE,"Plan1";#N/A,#N/A,FALSE,"Plan2"}</definedName>
    <definedName name="plaslrswe" localSheetId="9" hidden="1">{#N/A,#N/A,FALSE,"Plan1";#N/A,#N/A,FALSE,"Plan2"}</definedName>
    <definedName name="plaslrswe" localSheetId="13" hidden="1">{#N/A,#N/A,FALSE,"Plan1";#N/A,#N/A,FALSE,"Plan2"}</definedName>
    <definedName name="plaslrswe" localSheetId="0" hidden="1">{#N/A,#N/A,FALSE,"Plan1";#N/A,#N/A,FALSE,"Plan2"}</definedName>
    <definedName name="plaslrswe" hidden="1">{#N/A,#N/A,FALSE,"Plan1";#N/A,#N/A,FALSE,"Plan2"}</definedName>
    <definedName name="pls" localSheetId="3" hidden="1">#REF!</definedName>
    <definedName name="pls" localSheetId="8" hidden="1">#REF!</definedName>
    <definedName name="pls" localSheetId="2" hidden="1">#REF!</definedName>
    <definedName name="pls" localSheetId="9" hidden="1">#REF!</definedName>
    <definedName name="pls" localSheetId="13" hidden="1">#REF!</definedName>
    <definedName name="pls" localSheetId="0" hidden="1">#REF!</definedName>
    <definedName name="pls" hidden="1">#REF!</definedName>
    <definedName name="plsearpef" localSheetId="3" hidden="1">{#N/A,#N/A,FALSE,"Plan1";#N/A,#N/A,FALSE,"Plan2"}</definedName>
    <definedName name="plsearpef" localSheetId="8" hidden="1">{#N/A,#N/A,FALSE,"Plan1";#N/A,#N/A,FALSE,"Plan2"}</definedName>
    <definedName name="plsearpef" localSheetId="2" hidden="1">{#N/A,#N/A,FALSE,"Plan1";#N/A,#N/A,FALSE,"Plan2"}</definedName>
    <definedName name="plsearpef" localSheetId="9" hidden="1">{#N/A,#N/A,FALSE,"Plan1";#N/A,#N/A,FALSE,"Plan2"}</definedName>
    <definedName name="plsearpef" localSheetId="13" hidden="1">{#N/A,#N/A,FALSE,"Plan1";#N/A,#N/A,FALSE,"Plan2"}</definedName>
    <definedName name="plsearpef" localSheetId="0" hidden="1">{#N/A,#N/A,FALSE,"Plan1";#N/A,#N/A,FALSE,"Plan2"}</definedName>
    <definedName name="plsearpef" hidden="1">{#N/A,#N/A,FALSE,"Plan1";#N/A,#N/A,FALSE,"Plan2"}</definedName>
    <definedName name="plss" localSheetId="3" hidden="1">{#N/A,#N/A,FALSE,"Plan1";#N/A,#N/A,FALSE,"Plan2"}</definedName>
    <definedName name="plss" localSheetId="8" hidden="1">{#N/A,#N/A,FALSE,"Plan1";#N/A,#N/A,FALSE,"Plan2"}</definedName>
    <definedName name="plss" localSheetId="2" hidden="1">{#N/A,#N/A,FALSE,"Plan1";#N/A,#N/A,FALSE,"Plan2"}</definedName>
    <definedName name="plss" localSheetId="9" hidden="1">{#N/A,#N/A,FALSE,"Plan1";#N/A,#N/A,FALSE,"Plan2"}</definedName>
    <definedName name="plss" localSheetId="13" hidden="1">{#N/A,#N/A,FALSE,"Plan1";#N/A,#N/A,FALSE,"Plan2"}</definedName>
    <definedName name="plss" localSheetId="0" hidden="1">{#N/A,#N/A,FALSE,"Plan1";#N/A,#N/A,FALSE,"Plan2"}</definedName>
    <definedName name="plss" hidden="1">{#N/A,#N/A,FALSE,"Plan1";#N/A,#N/A,FALSE,"Plan2"}</definedName>
    <definedName name="PMUR" localSheetId="3">#REF!</definedName>
    <definedName name="PMUR" localSheetId="2">#REF!</definedName>
    <definedName name="PMUR">#REF!</definedName>
    <definedName name="PN2건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 localSheetId="3">#REF!</definedName>
    <definedName name="Ponderações" localSheetId="2">#REF!</definedName>
    <definedName name="Ponderações">#REF!</definedName>
    <definedName name="Pós_Chaves" localSheetId="3">#REF!</definedName>
    <definedName name="Pós_Chaves" localSheetId="2">#REF!</definedName>
    <definedName name="Pós_Chaves">#REF!</definedName>
    <definedName name="pr" localSheetId="4">#REF!</definedName>
    <definedName name="pr" localSheetId="2">#REF!</definedName>
    <definedName name="pr" localSheetId="13">#REF!</definedName>
    <definedName name="pr" localSheetId="0">#REF!</definedName>
    <definedName name="pr">#REF!</definedName>
    <definedName name="PRAZO" localSheetId="2">#REF!</definedName>
    <definedName name="PRAZO">#REF!</definedName>
    <definedName name="Prazo_da_Estrutura" localSheetId="2">#REF!</definedName>
    <definedName name="Prazo_da_Estrutura" localSheetId="0">#REF!</definedName>
    <definedName name="Prazo_da_Estrutura">#REF!</definedName>
    <definedName name="PRAZO_EDITAL" localSheetId="2">#REF!</definedName>
    <definedName name="PRAZO_EDITAL">#REF!</definedName>
    <definedName name="Prazo_Obra" localSheetId="2">#REF!</definedName>
    <definedName name="Prazo_Obra" localSheetId="0">#REF!</definedName>
    <definedName name="Prazo_Obra">#REF!</definedName>
    <definedName name="PRAZO_ORC" localSheetId="2">#REF!</definedName>
    <definedName name="PRAZO_ORC">#REF!</definedName>
    <definedName name="prazo2" localSheetId="2">#REF!</definedName>
    <definedName name="prazo2">#REF!</definedName>
    <definedName name="PRE" localSheetId="4">#REF!</definedName>
    <definedName name="PRE" localSheetId="2">#REF!</definedName>
    <definedName name="PRE" localSheetId="13">#REF!</definedName>
    <definedName name="PRE" localSheetId="0">#REF!</definedName>
    <definedName name="PRE">#REF!</definedName>
    <definedName name="PREÇ" localSheetId="3">OFFSET(#REF!,0,0,COUNTA(#REF!),1)</definedName>
    <definedName name="PREÇ" localSheetId="2">OFFSET(#REF!,0,0,COUNTA(#REF!),1)</definedName>
    <definedName name="PREÇ">OFFSET(#REF!,0,0,COUNTA(#REF!),1)</definedName>
    <definedName name="Previsão_Inicial_abr_16" localSheetId="3">#REF!</definedName>
    <definedName name="Previsão_Inicial_abr_16" localSheetId="2">#REF!</definedName>
    <definedName name="Previsão_Inicial_abr_16">#REF!</definedName>
    <definedName name="Previsão_Inicial_ago_16" localSheetId="3">#REF!</definedName>
    <definedName name="Previsão_Inicial_ago_16" localSheetId="2">#REF!</definedName>
    <definedName name="Previsão_Inicial_ago_16">#REF!</definedName>
    <definedName name="Previsão_Inicial_dez_16" localSheetId="3">#REF!</definedName>
    <definedName name="Previsão_Inicial_dez_16" localSheetId="2">#REF!</definedName>
    <definedName name="Previsão_Inicial_dez_16">#REF!</definedName>
    <definedName name="Previsão_Inicial_fev_16" localSheetId="2">#REF!</definedName>
    <definedName name="Previsão_Inicial_fev_16">#REF!</definedName>
    <definedName name="Previsão_Inicial_jan_16" localSheetId="2">#REF!</definedName>
    <definedName name="Previsão_Inicial_jan_16">#REF!</definedName>
    <definedName name="Previsão_Inicial_jul_16" localSheetId="2">#REF!</definedName>
    <definedName name="Previsão_Inicial_jul_16">#REF!</definedName>
    <definedName name="Previsão_Inicial_jun_16" localSheetId="2">#REF!</definedName>
    <definedName name="Previsão_Inicial_jun_16">#REF!</definedName>
    <definedName name="Previsão_Inicial_mai_16" localSheetId="2">#REF!</definedName>
    <definedName name="Previsão_Inicial_mai_16">#REF!</definedName>
    <definedName name="Previsão_Inicial_mar_16" localSheetId="2">#REF!</definedName>
    <definedName name="Previsão_Inicial_mar_16">#REF!</definedName>
    <definedName name="Previsão_Inicial_nov_16" localSheetId="2">#REF!</definedName>
    <definedName name="Previsão_Inicial_nov_16">#REF!</definedName>
    <definedName name="Previsão_Inicial_out_16" localSheetId="2">#REF!</definedName>
    <definedName name="Previsão_Inicial_out_16">#REF!</definedName>
    <definedName name="Previsão_Inicial_set_16" localSheetId="2">#REF!</definedName>
    <definedName name="Previsão_Inicial_set_16">#REF!</definedName>
    <definedName name="Previsão_Vento1" localSheetId="2">#REF!</definedName>
    <definedName name="Previsão_Vento1">#REF!</definedName>
    <definedName name="Previsto_a_medir_Fin_Medições" localSheetId="2">#REF!</definedName>
    <definedName name="Previsto_a_medir_Fin_Medições">#REF!</definedName>
    <definedName name="print" localSheetId="3" hidden="1">{#N/A,#N/A,FALSE,"$170M Cash";#N/A,#N/A,FALSE,"$250M Cash";#N/A,#N/A,FALSE,"$325M Cash"}</definedName>
    <definedName name="print" localSheetId="8" hidden="1">{#N/A,#N/A,FALSE,"$170M Cash";#N/A,#N/A,FALSE,"$250M Cash";#N/A,#N/A,FALSE,"$325M Cash"}</definedName>
    <definedName name="print" localSheetId="2" hidden="1">{#N/A,#N/A,FALSE,"$170M Cash";#N/A,#N/A,FALSE,"$250M Cash";#N/A,#N/A,FALSE,"$325M Cash"}</definedName>
    <definedName name="print" localSheetId="9" hidden="1">{#N/A,#N/A,FALSE,"$170M Cash";#N/A,#N/A,FALSE,"$250M Cash";#N/A,#N/A,FALSE,"$325M Cash"}</definedName>
    <definedName name="print" localSheetId="13" hidden="1">{#N/A,#N/A,FALSE,"$170M Cash";#N/A,#N/A,FALSE,"$250M Cash";#N/A,#N/A,FALSE,"$325M Cash"}</definedName>
    <definedName name="print" localSheetId="0" hidden="1">{#N/A,#N/A,FALSE,"$170M Cash";#N/A,#N/A,FALSE,"$250M Cash";#N/A,#N/A,FALSE,"$325M Cash"}</definedName>
    <definedName name="print" hidden="1">{#N/A,#N/A,FALSE,"$170M Cash";#N/A,#N/A,FALSE,"$250M Cash";#N/A,#N/A,FALSE,"$325M Cash"}</definedName>
    <definedName name="Print_Area" localSheetId="3">#REF!</definedName>
    <definedName name="Print_Area" localSheetId="2">#REF!</definedName>
    <definedName name="Print_Area" localSheetId="13">MOBILIÁRIO!$B$5:$G$146</definedName>
    <definedName name="Print_Area">#REF!</definedName>
    <definedName name="Print_Area_MI" localSheetId="4">#REF!</definedName>
    <definedName name="Print_Area_MI" localSheetId="2">#REF!</definedName>
    <definedName name="Print_Area_MI" localSheetId="13">#REF!</definedName>
    <definedName name="Print_Area_MI" localSheetId="0">#REF!</definedName>
    <definedName name="Print_Area_MI">#REF!</definedName>
    <definedName name="Print_Titles" localSheetId="2">#REF!</definedName>
    <definedName name="Print_Titles" localSheetId="13">#REF!</definedName>
    <definedName name="Print_Titles">#REF!</definedName>
    <definedName name="PRINT_TITLES_MI" localSheetId="2">#REF!</definedName>
    <definedName name="PRINT_TITLES_MI">#REF!</definedName>
    <definedName name="programa" localSheetId="2">#REF!</definedName>
    <definedName name="programa">#REF!</definedName>
    <definedName name="Programaa" localSheetId="2">#REF!</definedName>
    <definedName name="Programaa">#REF!</definedName>
    <definedName name="Projeção_torre" localSheetId="2">#REF!</definedName>
    <definedName name="Projeção_torre" localSheetId="0">#REF!</definedName>
    <definedName name="Projeção_torre">#REF!</definedName>
    <definedName name="projeto_nome_com" localSheetId="3">IF((COUNTA(#REF!)-2)&gt;1,"TERRENO "&amp;VLOOKUP(#REF!,#REF!,8,0),VLOOKUP(#REF!,#REF!,3,0))</definedName>
    <definedName name="projeto_nome_com" localSheetId="2">IF((COUNTA(#REF!)-2)&gt;1,"TERRENO "&amp;VLOOKUP(#REF!,#REF!,8,0),VLOOKUP(#REF!,#REF!,3,0))</definedName>
    <definedName name="projeto_nome_com">IF((COUNTA(#REF!)-2)&gt;1,"TERRENO "&amp;VLOOKUP(#REF!,#REF!,8,0),VLOOKUP(#REF!,#REF!,3,0))</definedName>
    <definedName name="PROPAGANDA" localSheetId="3">#REF!</definedName>
    <definedName name="PROPAGANDA" localSheetId="2">#REF!</definedName>
    <definedName name="PROPAGANDA">#REF!</definedName>
    <definedName name="ptirigyiotut" localSheetId="3" hidden="1">{#N/A,#N/A,FALSE,"Plan1";#N/A,#N/A,FALSE,"Plan2"}</definedName>
    <definedName name="ptirigyiotut" localSheetId="8" hidden="1">{#N/A,#N/A,FALSE,"Plan1";#N/A,#N/A,FALSE,"Plan2"}</definedName>
    <definedName name="ptirigyiotut" localSheetId="2" hidden="1">{#N/A,#N/A,FALSE,"Plan1";#N/A,#N/A,FALSE,"Plan2"}</definedName>
    <definedName name="ptirigyiotut" localSheetId="9" hidden="1">{#N/A,#N/A,FALSE,"Plan1";#N/A,#N/A,FALSE,"Plan2"}</definedName>
    <definedName name="ptirigyiotut" localSheetId="13" hidden="1">{#N/A,#N/A,FALSE,"Plan1";#N/A,#N/A,FALSE,"Plan2"}</definedName>
    <definedName name="ptirigyiotut" localSheetId="0" hidden="1">{#N/A,#N/A,FALSE,"Plan1";#N/A,#N/A,FALSE,"Plan2"}</definedName>
    <definedName name="ptirigyiotut" hidden="1">{#N/A,#N/A,FALSE,"Plan1";#N/A,#N/A,FALSE,"Plan2"}</definedName>
    <definedName name="PWER3" localSheetId="3" hidden="1">{#N/A,#N/A,FALSE,"Plan1";#N/A,#N/A,FALSE,"Plan2"}</definedName>
    <definedName name="PWER3" localSheetId="8" hidden="1">{#N/A,#N/A,FALSE,"Plan1";#N/A,#N/A,FALSE,"Plan2"}</definedName>
    <definedName name="PWER3" localSheetId="2" hidden="1">{#N/A,#N/A,FALSE,"Plan1";#N/A,#N/A,FALSE,"Plan2"}</definedName>
    <definedName name="PWER3" localSheetId="9" hidden="1">{#N/A,#N/A,FALSE,"Plan1";#N/A,#N/A,FALSE,"Plan2"}</definedName>
    <definedName name="PWER3" localSheetId="13" hidden="1">{#N/A,#N/A,FALSE,"Plan1";#N/A,#N/A,FALSE,"Plan2"}</definedName>
    <definedName name="PWER3" localSheetId="0" hidden="1">{#N/A,#N/A,FALSE,"Plan1";#N/A,#N/A,FALSE,"Plan2"}</definedName>
    <definedName name="PWER3" hidden="1">{#N/A,#N/A,FALSE,"Plan1";#N/A,#N/A,FALSE,"Plan2"}</definedName>
    <definedName name="q" localSheetId="3" hidden="1">#REF!</definedName>
    <definedName name="q" localSheetId="8" hidden="1">#REF!</definedName>
    <definedName name="q" localSheetId="2">#REF!</definedName>
    <definedName name="q" localSheetId="9" hidden="1">#REF!</definedName>
    <definedName name="q" localSheetId="13" hidden="1">#REF!</definedName>
    <definedName name="q" localSheetId="0" hidden="1">#REF!</definedName>
    <definedName name="q" hidden="1">#REF!</definedName>
    <definedName name="QCLIENTE_PCLIENTE" localSheetId="3">#REF!</definedName>
    <definedName name="QCLIENTE_PCLIENTE" localSheetId="8">#REF!</definedName>
    <definedName name="QCLIENTE_PCLIENTE" localSheetId="2">#REF!</definedName>
    <definedName name="QCLIENTE_PCLIENTE" localSheetId="9">#REF!</definedName>
    <definedName name="QCLIENTE_PCLIENTE" localSheetId="13">#REF!</definedName>
    <definedName name="QCLIENTE_PCLIENTE">#REF!</definedName>
    <definedName name="QCliente_PCliente1" localSheetId="2">#REF!</definedName>
    <definedName name="QCliente_PCliente1">#REF!</definedName>
    <definedName name="qe" localSheetId="4">#REF!</definedName>
    <definedName name="qe" localSheetId="2">#REF!</definedName>
    <definedName name="qe" localSheetId="13">#REF!</definedName>
    <definedName name="qe" localSheetId="0">#REF!</definedName>
    <definedName name="qe">#REF!</definedName>
    <definedName name="qee" localSheetId="4">#REF!</definedName>
    <definedName name="qee" localSheetId="2">#REF!</definedName>
    <definedName name="qee" localSheetId="13">#REF!</definedName>
    <definedName name="qee" localSheetId="0">#REF!</definedName>
    <definedName name="qee">#REF!</definedName>
    <definedName name="qkqh1" localSheetId="3" hidden="1">{#N/A,#N/A,FALSE,"명세표"}</definedName>
    <definedName name="qkqh1" localSheetId="8" hidden="1">{#N/A,#N/A,FALSE,"명세표"}</definedName>
    <definedName name="qkqh1" localSheetId="2" hidden="1">{#N/A,#N/A,FALSE,"명세표"}</definedName>
    <definedName name="qkqh1" localSheetId="9" hidden="1">{#N/A,#N/A,FALSE,"명세표"}</definedName>
    <definedName name="qkqh1" localSheetId="13" hidden="1">{#N/A,#N/A,FALSE,"명세표"}</definedName>
    <definedName name="qkqh1" localSheetId="0" hidden="1">{#N/A,#N/A,FALSE,"명세표"}</definedName>
    <definedName name="qkqh1" hidden="1">{#N/A,#N/A,FALSE,"명세표"}</definedName>
    <definedName name="QOAS_POAS" localSheetId="3">#REF!</definedName>
    <definedName name="QOAS_POAS" localSheetId="2">#REF!</definedName>
    <definedName name="QOAS_POAS">#REF!</definedName>
    <definedName name="QQ"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3">#REF!:#REF!</definedName>
    <definedName name="QQQ" localSheetId="8">#REF!:#REF!</definedName>
    <definedName name="QQQ" localSheetId="2">#REF!:#REF!</definedName>
    <definedName name="QQQ" localSheetId="9">#REF!:#REF!</definedName>
    <definedName name="QQQ" localSheetId="13">#REF!:#REF!</definedName>
    <definedName name="QQQ">#REF!:#REF!</definedName>
    <definedName name="QQQQQQQQ" localSheetId="3" hidden="1">#REF!</definedName>
    <definedName name="QQQQQQQQ" localSheetId="8" hidden="1">#REF!</definedName>
    <definedName name="QQQQQQQQ" localSheetId="2" hidden="1">#REF!</definedName>
    <definedName name="QQQQQQQQ" localSheetId="9" hidden="1">#REF!</definedName>
    <definedName name="QQQQQQQQ" localSheetId="13" hidden="1">#REF!</definedName>
    <definedName name="QQQQQQQQ" localSheetId="0" hidden="1">#REF!</definedName>
    <definedName name="QQQQQQQQ" hidden="1">#REF!</definedName>
    <definedName name="QREAL_PCLIENTE" localSheetId="3">#REF!</definedName>
    <definedName name="QREAL_PCLIENTE" localSheetId="8">#REF!</definedName>
    <definedName name="QREAL_PCLIENTE" localSheetId="2">#REF!</definedName>
    <definedName name="QREAL_PCLIENTE" localSheetId="9">#REF!</definedName>
    <definedName name="QREAL_PCLIENTE" localSheetId="13">#REF!</definedName>
    <definedName name="QREAL_PCLIENTE">#REF!</definedName>
    <definedName name="QReal_PCliente1" localSheetId="2">#REF!</definedName>
    <definedName name="QReal_PCliente1">#REF!</definedName>
    <definedName name="QSQWSE" localSheetId="3" hidden="1">{#N/A,#N/A,FALSE,"Plan1";#N/A,#N/A,FALSE,"Plan2"}</definedName>
    <definedName name="QSQWSE" localSheetId="8" hidden="1">{#N/A,#N/A,FALSE,"Plan1";#N/A,#N/A,FALSE,"Plan2"}</definedName>
    <definedName name="QSQWSE" localSheetId="2" hidden="1">{#N/A,#N/A,FALSE,"Plan1";#N/A,#N/A,FALSE,"Plan2"}</definedName>
    <definedName name="QSQWSE" localSheetId="9" hidden="1">{#N/A,#N/A,FALSE,"Plan1";#N/A,#N/A,FALSE,"Plan2"}</definedName>
    <definedName name="QSQWSE" localSheetId="13" hidden="1">{#N/A,#N/A,FALSE,"Plan1";#N/A,#N/A,FALSE,"Plan2"}</definedName>
    <definedName name="QSQWSE" localSheetId="0" hidden="1">{#N/A,#N/A,FALSE,"Plan1";#N/A,#N/A,FALSE,"Plan2"}</definedName>
    <definedName name="QSQWSE" hidden="1">{#N/A,#N/A,FALSE,"Plan1";#N/A,#N/A,FALSE,"Plan2"}</definedName>
    <definedName name="qtd_mensal" localSheetId="3">#REF!</definedName>
    <definedName name="qtd_mensal" localSheetId="2">#REF!</definedName>
    <definedName name="qtd_mensal">#REF!</definedName>
    <definedName name="qtd3esta" localSheetId="3">#REF!</definedName>
    <definedName name="qtd3esta" localSheetId="2">#REF!</definedName>
    <definedName name="qtd3esta">#REF!</definedName>
    <definedName name="qtdbase" localSheetId="3">#REF!</definedName>
    <definedName name="qtdbase" localSheetId="2">#REF!</definedName>
    <definedName name="qtdbase">#REF!</definedName>
    <definedName name="qtdbltub" localSheetId="2">#REF!</definedName>
    <definedName name="qtdbltub">#REF!</definedName>
    <definedName name="qtdestac" localSheetId="2">#REF!</definedName>
    <definedName name="qtdestac">#REF!</definedName>
    <definedName name="qtdsap" localSheetId="2">#REF!</definedName>
    <definedName name="qtdsap">#REF!</definedName>
    <definedName name="qtdtub" localSheetId="2">#REF!</definedName>
    <definedName name="qtdtub">#REF!</definedName>
    <definedName name="QTNULO" localSheetId="2">#REF!</definedName>
    <definedName name="QTNULO">#REF!</definedName>
    <definedName name="QTPADRAO" localSheetId="2">#REF!</definedName>
    <definedName name="QTPADRAO">#REF!</definedName>
    <definedName name="QTRES" localSheetId="2">#REF!</definedName>
    <definedName name="QTRES">#REF!</definedName>
    <definedName name="QuadraE" localSheetId="2">#REF!</definedName>
    <definedName name="QuadraE">#REF!</definedName>
    <definedName name="quadrocompar." localSheetId="2">#REF!</definedName>
    <definedName name="quadrocompar.">#REF!</definedName>
    <definedName name="QUANT" localSheetId="2">#REF!</definedName>
    <definedName name="QUANT">#REF!</definedName>
    <definedName name="Quant_Aptos" localSheetId="2">#REF!</definedName>
    <definedName name="Quant_Aptos" localSheetId="0">#REF!</definedName>
    <definedName name="Quant_Aptos">#REF!</definedName>
    <definedName name="Quant_Cremalheira" localSheetId="2">#REF!</definedName>
    <definedName name="Quant_Cremalheira" localSheetId="0">#REF!</definedName>
    <definedName name="Quant_Cremalheira">#REF!</definedName>
    <definedName name="Quant_grua" localSheetId="2">#REF!</definedName>
    <definedName name="Quant_grua" localSheetId="0">#REF!</definedName>
    <definedName name="Quant_grua">#REF!</definedName>
    <definedName name="Quant_pav_lajão" localSheetId="2">#REF!</definedName>
    <definedName name="Quant_pav_lajão" localSheetId="0">#REF!</definedName>
    <definedName name="Quant_pav_lajão">#REF!</definedName>
    <definedName name="Quant_tipo" localSheetId="2">#REF!</definedName>
    <definedName name="Quant_tipo" localSheetId="0">#REF!</definedName>
    <definedName name="Quant_tipo">#REF!</definedName>
    <definedName name="Quant_torres" localSheetId="2">#REF!</definedName>
    <definedName name="Quant_torres" localSheetId="0">#REF!</definedName>
    <definedName name="Quant_torres">#REF!</definedName>
    <definedName name="Quantidade_Elevadores" localSheetId="2">#REF!</definedName>
    <definedName name="Quantidade_Elevadores" localSheetId="0">#REF!</definedName>
    <definedName name="Quantidade_Elevadores">#REF!</definedName>
    <definedName name="QUANTP" localSheetId="2">#REF!</definedName>
    <definedName name="QUANTP">#REF!</definedName>
    <definedName name="QUATRO" localSheetId="2">#REF!</definedName>
    <definedName name="QUATRO">#REF!</definedName>
    <definedName name="QUINZE" localSheetId="2">#REF!</definedName>
    <definedName name="QUINZE">#REF!</definedName>
    <definedName name="qwdqw" localSheetId="3" hidden="1">{#N/A,#N/A,FALSE,"Plan1";#N/A,#N/A,FALSE,"Plan2"}</definedName>
    <definedName name="qwdqw" localSheetId="8" hidden="1">{#N/A,#N/A,FALSE,"Plan1";#N/A,#N/A,FALSE,"Plan2"}</definedName>
    <definedName name="qwdqw" localSheetId="2" hidden="1">{#N/A,#N/A,FALSE,"Plan1";#N/A,#N/A,FALSE,"Plan2"}</definedName>
    <definedName name="qwdqw" localSheetId="9" hidden="1">{#N/A,#N/A,FALSE,"Plan1";#N/A,#N/A,FALSE,"Plan2"}</definedName>
    <definedName name="qwdqw" localSheetId="13" hidden="1">{#N/A,#N/A,FALSE,"Plan1";#N/A,#N/A,FALSE,"Plan2"}</definedName>
    <definedName name="qwdqw" localSheetId="0" hidden="1">{#N/A,#N/A,FALSE,"Plan1";#N/A,#N/A,FALSE,"Plan2"}</definedName>
    <definedName name="qwdqw" hidden="1">{#N/A,#N/A,FALSE,"Plan1";#N/A,#N/A,FALSE,"Plan2"}</definedName>
    <definedName name="qweqwe" localSheetId="3" hidden="1">{#N/A,#N/A,FALSE,"Plan1";#N/A,#N/A,FALSE,"Plan2"}</definedName>
    <definedName name="qweqwe" localSheetId="8" hidden="1">{#N/A,#N/A,FALSE,"Plan1";#N/A,#N/A,FALSE,"Plan2"}</definedName>
    <definedName name="qweqwe" localSheetId="2" hidden="1">{#N/A,#N/A,FALSE,"Plan1";#N/A,#N/A,FALSE,"Plan2"}</definedName>
    <definedName name="qweqwe" localSheetId="9" hidden="1">{#N/A,#N/A,FALSE,"Plan1";#N/A,#N/A,FALSE,"Plan2"}</definedName>
    <definedName name="qweqwe" localSheetId="13" hidden="1">{#N/A,#N/A,FALSE,"Plan1";#N/A,#N/A,FALSE,"Plan2"}</definedName>
    <definedName name="qweqwe" localSheetId="0" hidden="1">{#N/A,#N/A,FALSE,"Plan1";#N/A,#N/A,FALSE,"Plan2"}</definedName>
    <definedName name="qweqwe" hidden="1">{#N/A,#N/A,FALSE,"Plan1";#N/A,#N/A,FALSE,"Plan2"}</definedName>
    <definedName name="qweqwe4"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qweqwe4" hidden="1">{TRUE,TRUE,-1.25,-15.5,604.5,366.75,FALSE,FALSE,TRUE,TRUE,0,1,#N/A,1,#N/A,9.0125,24.4117647058824,1,FALSE,FALSE,3,TRUE,1,FALSE,100,"Swvu.PLANILHA2.","ACwvu.PLANILHA2.",#N/A,FALSE,FALSE,0.787401575,0.34,0.46,0.5,1,"","",FALSE,FALSE,FALSE,FALSE,1,#N/A,1,1,FALSE,FALSE,#N/A,#N/A,FALSE,FALSE,FALSE,9,65532,65532,FALSE,FALSE,TRUE,TRUE,TRUE}</definedName>
    <definedName name="qwewqe" localSheetId="3" hidden="1">#REF!</definedName>
    <definedName name="qwewqe" localSheetId="8" hidden="1">#REF!</definedName>
    <definedName name="qwewqe" localSheetId="2" hidden="1">#REF!</definedName>
    <definedName name="qwewqe" localSheetId="9" hidden="1">#REF!</definedName>
    <definedName name="qwewqe" localSheetId="13" hidden="1">#REF!</definedName>
    <definedName name="qwewqe" localSheetId="0" hidden="1">#REF!</definedName>
    <definedName name="qwewqe" hidden="1">#REF!</definedName>
    <definedName name="qwqw" localSheetId="3" hidden="1">#REF!</definedName>
    <definedName name="qwqw" localSheetId="8" hidden="1">#REF!</definedName>
    <definedName name="qwqw" localSheetId="9" hidden="1">#REF!</definedName>
    <definedName name="qwqw" localSheetId="13" hidden="1">#REF!</definedName>
    <definedName name="qwqw" localSheetId="0" hidden="1">#REF!</definedName>
    <definedName name="qwqw" hidden="1">#REF!</definedName>
    <definedName name="R.imobAtualiz" localSheetId="2">#REF!</definedName>
    <definedName name="R.imobAtualiz">#REF!</definedName>
    <definedName name="R_CorretAtualiz" localSheetId="2">#REF!</definedName>
    <definedName name="R_CorretAtualiz">#REF!</definedName>
    <definedName name="R_G.Cobr.Atualiz" localSheetId="2">#REF!</definedName>
    <definedName name="R_G.Cobr.Atualiz">#REF!</definedName>
    <definedName name="R_PmaisJAtualiz" localSheetId="2">#REF!</definedName>
    <definedName name="R_PmaisJAtualiz">#REF!</definedName>
    <definedName name="R_Prev.PerdaAtualiz" localSheetId="2">#REF!</definedName>
    <definedName name="R_Prev.PerdaAtualiz">#REF!</definedName>
    <definedName name="RADIO" localSheetId="3" hidden="1">{"HW",#N/A,FALSE,"1998"}</definedName>
    <definedName name="RADIO" localSheetId="8" hidden="1">{"HW",#N/A,FALSE,"1998"}</definedName>
    <definedName name="RADIO" localSheetId="2" hidden="1">{"HW",#N/A,FALSE,"1998"}</definedName>
    <definedName name="RADIO" localSheetId="9" hidden="1">{"HW",#N/A,FALSE,"1998"}</definedName>
    <definedName name="RADIO" localSheetId="13" hidden="1">{"HW",#N/A,FALSE,"1998"}</definedName>
    <definedName name="RADIO" localSheetId="0" hidden="1">{"HW",#N/A,FALSE,"1998"}</definedName>
    <definedName name="RADIO" hidden="1">{"HW",#N/A,FALSE,"1998"}</definedName>
    <definedName name="RANGE" localSheetId="3">#REF!</definedName>
    <definedName name="RANGE" localSheetId="2">#REF!</definedName>
    <definedName name="RANGE">#REF!</definedName>
    <definedName name="RANGE1" localSheetId="3">#REF!</definedName>
    <definedName name="RANGE1" localSheetId="2">#REF!</definedName>
    <definedName name="RANGE1">#REF!</definedName>
    <definedName name="RANGE2" localSheetId="3">#REF!</definedName>
    <definedName name="RANGE2" localSheetId="2">#REF!</definedName>
    <definedName name="RANGE2">#REF!</definedName>
    <definedName name="RARQIMP" localSheetId="2">#REF!</definedName>
    <definedName name="RARQIMP">#REF!</definedName>
    <definedName name="RawData" localSheetId="2">#REF!</definedName>
    <definedName name="RawData">#REF!</definedName>
    <definedName name="RE" localSheetId="2">#REF!</definedName>
    <definedName name="RE">#REF!</definedName>
    <definedName name="RECADUC" localSheetId="2">#REF!</definedName>
    <definedName name="RECADUC">#REF!</definedName>
    <definedName name="Recebido_Acumulado_2015_Controladoria" localSheetId="2">#REF!</definedName>
    <definedName name="Recebido_Acumulado_2015_Controladoria">#REF!</definedName>
    <definedName name="RE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RE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REF" hidden="1">{TRUE,TRUE,-1.25,-15.5,604.5,366.75,FALSE,FALSE,TRUE,TRUE,0,1,#N/A,1,#N/A,9.0125,24.4117647058824,1,FALSE,FALSE,3,TRUE,1,FALSE,100,"Swvu.PLANILHA2.","ACwvu.PLANILHA2.",#N/A,FALSE,FALSE,0.787401575,0.34,0.46,0.5,1,"","",FALSE,FALSE,FALSE,FALSE,1,#N/A,1,1,FALSE,FALSE,#N/A,#N/A,FALSE,FALSE,FALSE,9,65532,65532,FALSE,FALSE,TRUE,TRUE,TRUE}</definedName>
    <definedName name="reforsu" localSheetId="3">#REF!</definedName>
    <definedName name="reforsu" localSheetId="4">#REF!</definedName>
    <definedName name="reforsu" localSheetId="8">#REF!</definedName>
    <definedName name="reforsu" localSheetId="2">#REF!</definedName>
    <definedName name="reforsu" localSheetId="9">#REF!</definedName>
    <definedName name="reforsu" localSheetId="13">#REF!</definedName>
    <definedName name="reforsu" localSheetId="0">#REF!</definedName>
    <definedName name="reforsu">#REF!</definedName>
    <definedName name="REL_RJ" localSheetId="2">#REF!</definedName>
    <definedName name="REL_RJ">#REF!</definedName>
    <definedName name="REL_SP" localSheetId="2">#REF!</definedName>
    <definedName name="REL_SP">#REF!</definedName>
    <definedName name="relat3" localSheetId="2">#REF!</definedName>
    <definedName name="relat3">#REF!</definedName>
    <definedName name="ren" localSheetId="4">#REF!</definedName>
    <definedName name="ren" localSheetId="2">#REF!</definedName>
    <definedName name="ren" localSheetId="13">#REF!</definedName>
    <definedName name="ren" localSheetId="0">#REF!</definedName>
    <definedName name="ren">#REF!</definedName>
    <definedName name="REPETIÇÃO" localSheetId="2">#REF!</definedName>
    <definedName name="REPETIÇÃO">#REF!</definedName>
    <definedName name="ReqC" localSheetId="2">#REF!</definedName>
    <definedName name="ReqC">#REF!</definedName>
    <definedName name="Responsável_Rel_Controladoria" localSheetId="2">#REF!</definedName>
    <definedName name="Responsável_Rel_Controladoria">#REF!</definedName>
    <definedName name="resum" localSheetId="3" hidden="1">{"'Ethernet Hubs'!$A$1:$F$14","'Licences'!$A$1:$F$16","'Ports and Converters'!$A$1:$F$46","'Standard Routers'!$A$1:$F$28","'Ports and Converters'!$A$1:$G$46","'Router Chassis'!$A$1:$F$21","'Cables and Connectors'!$A$1:$F$41","'Support, Training and Docs'!$A$1:$F$6","'Management'!$A$1:$F$8"}</definedName>
    <definedName name="resum" localSheetId="8" hidden="1">{"'Ethernet Hubs'!$A$1:$F$14","'Licences'!$A$1:$F$16","'Ports and Converters'!$A$1:$F$46","'Standard Routers'!$A$1:$F$28","'Ports and Converters'!$A$1:$G$46","'Router Chassis'!$A$1:$F$21","'Cables and Connectors'!$A$1:$F$41","'Support, Training and Docs'!$A$1:$F$6","'Management'!$A$1:$F$8"}</definedName>
    <definedName name="resum" localSheetId="2" hidden="1">{"'Ethernet Hubs'!$A$1:$F$14","'Licences'!$A$1:$F$16","'Ports and Converters'!$A$1:$F$46","'Standard Routers'!$A$1:$F$28","'Ports and Converters'!$A$1:$G$46","'Router Chassis'!$A$1:$F$21","'Cables and Connectors'!$A$1:$F$41","'Support, Training and Docs'!$A$1:$F$6","'Management'!$A$1:$F$8"}</definedName>
    <definedName name="resum" localSheetId="9" hidden="1">{"'Ethernet Hubs'!$A$1:$F$14","'Licences'!$A$1:$F$16","'Ports and Converters'!$A$1:$F$46","'Standard Routers'!$A$1:$F$28","'Ports and Converters'!$A$1:$G$46","'Router Chassis'!$A$1:$F$21","'Cables and Connectors'!$A$1:$F$41","'Support, Training and Docs'!$A$1:$F$6","'Management'!$A$1:$F$8"}</definedName>
    <definedName name="resum" localSheetId="13" hidden="1">{"'Ethernet Hubs'!$A$1:$F$14","'Licences'!$A$1:$F$16","'Ports and Converters'!$A$1:$F$46","'Standard Routers'!$A$1:$F$28","'Ports and Converters'!$A$1:$G$46","'Router Chassis'!$A$1:$F$21","'Cables and Connectors'!$A$1:$F$41","'Support, Training and Docs'!$A$1:$F$6","'Management'!$A$1:$F$8"}</definedName>
    <definedName name="resum" localSheetId="0" hidden="1">{"'Ethernet Hubs'!$A$1:$F$14","'Licences'!$A$1:$F$16","'Ports and Converters'!$A$1:$F$46","'Standard Routers'!$A$1:$F$28","'Ports and Converters'!$A$1:$G$46","'Router Chassis'!$A$1:$F$21","'Cables and Connectors'!$A$1:$F$41","'Support, Training and Docs'!$A$1:$F$6","'Management'!$A$1:$F$8"}</definedName>
    <definedName name="resum" hidden="1">{"'Ethernet Hubs'!$A$1:$F$14","'Licences'!$A$1:$F$16","'Ports and Converters'!$A$1:$F$46","'Standard Routers'!$A$1:$F$28","'Ports and Converters'!$A$1:$G$46","'Router Chassis'!$A$1:$F$21","'Cables and Connectors'!$A$1:$F$41","'Support, Training and Docs'!$A$1:$F$6","'Management'!$A$1:$F$8"}</definedName>
    <definedName name="RESUMO" localSheetId="3">#REF!</definedName>
    <definedName name="RESUMO" localSheetId="2">#REF!</definedName>
    <definedName name="RESUMO">#REF!</definedName>
    <definedName name="RESUMO2" localSheetId="3" hidden="1">{#N/A,#N/A,TRUE,"Quinzena 01 à 15-04-98 "}</definedName>
    <definedName name="RESUMO2" localSheetId="8" hidden="1">{#N/A,#N/A,TRUE,"Quinzena 01 à 15-04-98 "}</definedName>
    <definedName name="RESUMO2" localSheetId="2" hidden="1">{#N/A,#N/A,TRUE,"Quinzena 01 à 15-04-98 "}</definedName>
    <definedName name="RESUMO2" localSheetId="9" hidden="1">{#N/A,#N/A,TRUE,"Quinzena 01 à 15-04-98 "}</definedName>
    <definedName name="RESUMO2" localSheetId="13" hidden="1">{#N/A,#N/A,TRUE,"Quinzena 01 à 15-04-98 "}</definedName>
    <definedName name="RESUMO2" localSheetId="0" hidden="1">{#N/A,#N/A,TRUE,"Quinzena 01 à 15-04-98 "}</definedName>
    <definedName name="RESUMO2" hidden="1">{#N/A,#N/A,TRUE,"Quinzena 01 à 15-04-98 "}</definedName>
    <definedName name="REV" localSheetId="3">#REF!</definedName>
    <definedName name="REV" localSheetId="4">#REF!</definedName>
    <definedName name="REV" localSheetId="8">#REF!</definedName>
    <definedName name="REV" localSheetId="2">#REF!</definedName>
    <definedName name="REV" localSheetId="9">#REF!</definedName>
    <definedName name="REV" localSheetId="13">#REF!</definedName>
    <definedName name="REV" localSheetId="0">#REF!</definedName>
    <definedName name="REV">#REF!</definedName>
    <definedName name="RF" localSheetId="3" hidden="1">{#N/A,#N/A,FALSE,"CCTV"}</definedName>
    <definedName name="RF" localSheetId="8" hidden="1">{#N/A,#N/A,FALSE,"CCTV"}</definedName>
    <definedName name="RF" localSheetId="2" hidden="1">{#N/A,#N/A,FALSE,"CCTV"}</definedName>
    <definedName name="RF" localSheetId="9" hidden="1">{#N/A,#N/A,FALSE,"CCTV"}</definedName>
    <definedName name="RF" localSheetId="13" hidden="1">{#N/A,#N/A,FALSE,"CCTV"}</definedName>
    <definedName name="RF" localSheetId="0" hidden="1">{#N/A,#N/A,FALSE,"CCTV"}</definedName>
    <definedName name="RF" hidden="1">{#N/A,#N/A,FALSE,"CCTV"}</definedName>
    <definedName name="rgedrfrgfdg" localSheetId="3" hidden="1">{#N/A,#N/A,FALSE,"Plan1";#N/A,#N/A,FALSE,"Plan2"}</definedName>
    <definedName name="rgedrfrgfdg" localSheetId="8" hidden="1">{#N/A,#N/A,FALSE,"Plan1";#N/A,#N/A,FALSE,"Plan2"}</definedName>
    <definedName name="rgedrfrgfdg" localSheetId="2" hidden="1">{#N/A,#N/A,FALSE,"Plan1";#N/A,#N/A,FALSE,"Plan2"}</definedName>
    <definedName name="rgedrfrgfdg" localSheetId="9" hidden="1">{#N/A,#N/A,FALSE,"Plan1";#N/A,#N/A,FALSE,"Plan2"}</definedName>
    <definedName name="rgedrfrgfdg" localSheetId="13" hidden="1">{#N/A,#N/A,FALSE,"Plan1";#N/A,#N/A,FALSE,"Plan2"}</definedName>
    <definedName name="rgedrfrgfdg" localSheetId="0" hidden="1">{#N/A,#N/A,FALSE,"Plan1";#N/A,#N/A,FALSE,"Plan2"}</definedName>
    <definedName name="rgedrfrgfdg" hidden="1">{#N/A,#N/A,FALSE,"Plan1";#N/A,#N/A,FALSE,"Plan2"}</definedName>
    <definedName name="rhdrmq"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 localSheetId="3">#REF!</definedName>
    <definedName name="RI" localSheetId="2">#REF!</definedName>
    <definedName name="RI">#REF!</definedName>
    <definedName name="ridbeb" localSheetId="3">#REF!</definedName>
    <definedName name="ridbeb" localSheetId="2">#REF!</definedName>
    <definedName name="ridbeb">#REF!</definedName>
    <definedName name="RIDCHAF" localSheetId="3">#REF!</definedName>
    <definedName name="RIDCHAF" localSheetId="2">#REF!</definedName>
    <definedName name="RIDCHAF">#REF!</definedName>
    <definedName name="ridres05" localSheetId="2">#REF!</definedName>
    <definedName name="ridres05">#REF!</definedName>
    <definedName name="RIDRES10" localSheetId="2">#REF!</definedName>
    <definedName name="RIDRES10">#REF!</definedName>
    <definedName name="RIDRES15" localSheetId="2">#REF!</definedName>
    <definedName name="RIDRES15">#REF!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SwapState" hidden="1">"True"</definedName>
    <definedName name="RiskUpdateDisplay" hidden="1">FALSE</definedName>
    <definedName name="RiskUseDifferentSeedForEachSim" hidden="1">FALSE</definedName>
    <definedName name="RiskUseFixedSeed" hidden="1">FALSE</definedName>
    <definedName name="RiskUseMultipleCPUs" hidden="1">TRUE</definedName>
    <definedName name="RO" localSheetId="3">#REF!</definedName>
    <definedName name="RO" localSheetId="2">#REF!</definedName>
    <definedName name="RO">#REF!</definedName>
    <definedName name="Rodapé" localSheetId="3">#REF!</definedName>
    <definedName name="Rodapé" localSheetId="2">#REF!</definedName>
    <definedName name="Rodapé">#REF!</definedName>
    <definedName name="RODAPÉS" localSheetId="3">#REF!</definedName>
    <definedName name="RODAPÉS" localSheetId="2">#REF!</definedName>
    <definedName name="RODAPÉS">#REF!</definedName>
    <definedName name="ROMANO" localSheetId="2">#REF!</definedName>
    <definedName name="ROMANO">#REF!</definedName>
    <definedName name="ROTCOMP" localSheetId="2">#REF!</definedName>
    <definedName name="ROTCOMP">#REF!</definedName>
    <definedName name="ROTIMP" localSheetId="2">#REF!</definedName>
    <definedName name="ROTIMP">#REF!</definedName>
    <definedName name="ROTRES" localSheetId="2">#REF!</definedName>
    <definedName name="ROTRES">#REF!</definedName>
    <definedName name="RQTADUC" localSheetId="2">#REF!</definedName>
    <definedName name="RQTADUC">#REF!</definedName>
    <definedName name="rqtbeb" localSheetId="2">#REF!</definedName>
    <definedName name="rqtbeb">#REF!</definedName>
    <definedName name="RQTCHAF" localSheetId="2">#REF!</definedName>
    <definedName name="RQTCHAF">#REF!</definedName>
    <definedName name="RQTDERV" localSheetId="2">#REF!</definedName>
    <definedName name="RQTDERV">#REF!</definedName>
    <definedName name="rres05" localSheetId="2">#REF!</definedName>
    <definedName name="rres05">#REF!</definedName>
    <definedName name="RRES10" localSheetId="2">#REF!</definedName>
    <definedName name="RRES10">#REF!</definedName>
    <definedName name="RRES15" localSheetId="2">#REF!</definedName>
    <definedName name="RRES15">#REF!</definedName>
    <definedName name="RRES20" localSheetId="2">#REF!</definedName>
    <definedName name="RRES20">#REF!</definedName>
    <definedName name="RRR" localSheetId="0" hidden="1">#REF!</definedName>
    <definedName name="RRR" hidden="1">#REF!</definedName>
    <definedName name="rrrrr" localSheetId="3" hidden="1">{"'장비'!$A$3:$M$12"}</definedName>
    <definedName name="rrrrr" localSheetId="8" hidden="1">{"'장비'!$A$3:$M$12"}</definedName>
    <definedName name="rrrrr" localSheetId="2" hidden="1">{"'장비'!$A$3:$M$12"}</definedName>
    <definedName name="rrrrr" localSheetId="9" hidden="1">{"'장비'!$A$3:$M$12"}</definedName>
    <definedName name="rrrrr" localSheetId="13" hidden="1">{"'장비'!$A$3:$M$12"}</definedName>
    <definedName name="rrrrr" localSheetId="0" hidden="1">{"'장비'!$A$3:$M$12"}</definedName>
    <definedName name="rrrrr" hidden="1">{"'장비'!$A$3:$M$12"}</definedName>
    <definedName name="rrrrrrrr" localSheetId="3" hidden="1">{"'장비'!$A$3:$M$12"}</definedName>
    <definedName name="rrrrrrrr" localSheetId="8" hidden="1">{"'장비'!$A$3:$M$12"}</definedName>
    <definedName name="rrrrrrrr" localSheetId="2" hidden="1">{"'장비'!$A$3:$M$12"}</definedName>
    <definedName name="rrrrrrrr" localSheetId="9" hidden="1">{"'장비'!$A$3:$M$12"}</definedName>
    <definedName name="rrrrrrrr" localSheetId="13" hidden="1">{"'장비'!$A$3:$M$12"}</definedName>
    <definedName name="rrrrrrrr" localSheetId="0" hidden="1">{"'장비'!$A$3:$M$12"}</definedName>
    <definedName name="rrrrrrrr" hidden="1">{"'장비'!$A$3:$M$12"}</definedName>
    <definedName name="rrrrrrrrrrr" localSheetId="3" hidden="1">{#N/A,#N/A,TRUE,"Quinzena 01 à 15-04-98 "}</definedName>
    <definedName name="rrrrrrrrrrr" localSheetId="8" hidden="1">{#N/A,#N/A,TRUE,"Quinzena 01 à 15-04-98 "}</definedName>
    <definedName name="rrrrrrrrrrr" localSheetId="2" hidden="1">{#N/A,#N/A,TRUE,"Quinzena 01 à 15-04-98 "}</definedName>
    <definedName name="rrrrrrrrrrr" localSheetId="9" hidden="1">{#N/A,#N/A,TRUE,"Quinzena 01 à 15-04-98 "}</definedName>
    <definedName name="rrrrrrrrrrr" localSheetId="13" hidden="1">{#N/A,#N/A,TRUE,"Quinzena 01 à 15-04-98 "}</definedName>
    <definedName name="rrrrrrrrrrr" localSheetId="0" hidden="1">{#N/A,#N/A,TRUE,"Quinzena 01 à 15-04-98 "}</definedName>
    <definedName name="rrrrrrrrrrr" hidden="1">{#N/A,#N/A,TRUE,"Quinzena 01 à 15-04-98 "}</definedName>
    <definedName name="RSEQ" localSheetId="3">#REF!</definedName>
    <definedName name="RSEQ" localSheetId="2">#REF!</definedName>
    <definedName name="RSEQ">#REF!</definedName>
    <definedName name="RSUBTOT" localSheetId="3">#REF!</definedName>
    <definedName name="RSUBTOT" localSheetId="2">#REF!</definedName>
    <definedName name="RSUBTOT">#REF!</definedName>
    <definedName name="rtitbeb" localSheetId="3">#REF!</definedName>
    <definedName name="rtitbeb" localSheetId="2">#REF!</definedName>
    <definedName name="rtitbeb">#REF!</definedName>
    <definedName name="RTITCHAF" localSheetId="2">#REF!</definedName>
    <definedName name="RTITCHAF">#REF!</definedName>
    <definedName name="rtubos" localSheetId="2">#REF!</definedName>
    <definedName name="rtubos">#REF!</definedName>
    <definedName name="RTYE" localSheetId="3" hidden="1">{"'장비'!$A$3:$M$12"}</definedName>
    <definedName name="RTYE" localSheetId="8" hidden="1">{"'장비'!$A$3:$M$12"}</definedName>
    <definedName name="RTYE" localSheetId="2" hidden="1">{"'장비'!$A$3:$M$12"}</definedName>
    <definedName name="RTYE" localSheetId="9" hidden="1">{"'장비'!$A$3:$M$12"}</definedName>
    <definedName name="RTYE" localSheetId="13" hidden="1">{"'장비'!$A$3:$M$12"}</definedName>
    <definedName name="RTYE" localSheetId="0" hidden="1">{"'장비'!$A$3:$M$12"}</definedName>
    <definedName name="RTYE" hidden="1">{"'장비'!$A$3:$M$12"}</definedName>
    <definedName name="s" localSheetId="2">#REF!</definedName>
    <definedName name="s">#REF!</definedName>
    <definedName name="sa"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4">#REF!</definedName>
    <definedName name="sa"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 localSheetId="13">#REF!</definedName>
    <definedName name="sa"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#REF!</definedName>
    <definedName name="saa" localSheetId="3" hidden="1">{#N/A,#N/A,FALSE,"GERAL";#N/A,#N/A,FALSE,"012-96";#N/A,#N/A,FALSE,"018-96";#N/A,#N/A,FALSE,"027-96";#N/A,#N/A,FALSE,"059-96";#N/A,#N/A,FALSE,"076-96";#N/A,#N/A,FALSE,"019-97";#N/A,#N/A,FALSE,"021-97";#N/A,#N/A,FALSE,"022-97";#N/A,#N/A,FALSE,"028-97"}</definedName>
    <definedName name="saa" localSheetId="8" hidden="1">{#N/A,#N/A,FALSE,"GERAL";#N/A,#N/A,FALSE,"012-96";#N/A,#N/A,FALSE,"018-96";#N/A,#N/A,FALSE,"027-96";#N/A,#N/A,FALSE,"059-96";#N/A,#N/A,FALSE,"076-96";#N/A,#N/A,FALSE,"019-97";#N/A,#N/A,FALSE,"021-97";#N/A,#N/A,FALSE,"022-97";#N/A,#N/A,FALSE,"028-97"}</definedName>
    <definedName name="saa" localSheetId="2" hidden="1">{#N/A,#N/A,FALSE,"GERAL";#N/A,#N/A,FALSE,"012-96";#N/A,#N/A,FALSE,"018-96";#N/A,#N/A,FALSE,"027-96";#N/A,#N/A,FALSE,"059-96";#N/A,#N/A,FALSE,"076-96";#N/A,#N/A,FALSE,"019-97";#N/A,#N/A,FALSE,"021-97";#N/A,#N/A,FALSE,"022-97";#N/A,#N/A,FALSE,"028-97"}</definedName>
    <definedName name="saa" localSheetId="9" hidden="1">{#N/A,#N/A,FALSE,"GERAL";#N/A,#N/A,FALSE,"012-96";#N/A,#N/A,FALSE,"018-96";#N/A,#N/A,FALSE,"027-96";#N/A,#N/A,FALSE,"059-96";#N/A,#N/A,FALSE,"076-96";#N/A,#N/A,FALSE,"019-97";#N/A,#N/A,FALSE,"021-97";#N/A,#N/A,FALSE,"022-97";#N/A,#N/A,FALSE,"028-97"}</definedName>
    <definedName name="saa" localSheetId="13" hidden="1">{#N/A,#N/A,FALSE,"GERAL";#N/A,#N/A,FALSE,"012-96";#N/A,#N/A,FALSE,"018-96";#N/A,#N/A,FALSE,"027-96";#N/A,#N/A,FALSE,"059-96";#N/A,#N/A,FALSE,"076-96";#N/A,#N/A,FALSE,"019-97";#N/A,#N/A,FALSE,"021-97";#N/A,#N/A,FALSE,"022-97";#N/A,#N/A,FALSE,"028-97"}</definedName>
    <definedName name="saa" localSheetId="0"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a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 hidden="1">{TRUE,TRUE,-1.25,-15.5,604.5,366.75,FALSE,FALSE,TRUE,TRUE,0,1,#N/A,1,#N/A,9.0125,24.4117647058824,1,FALSE,FALSE,3,TRUE,1,FALSE,100,"Swvu.PLANILHA2.","ACwvu.PLANILHA2.",#N/A,FALSE,FALSE,0.787401575,0.34,0.46,0.5,1,"","",FALSE,FALSE,FALSE,FALSE,1,#N/A,1,1,FALSE,FALSE,#N/A,#N/A,FALSE,FALSE,FALSE,9,65532,65532,FALSE,FALSE,TRUE,TRUE,TRUE}</definedName>
    <definedName name="sadasd" localSheetId="3" hidden="1">{#N/A,#N/A,FALSE,"Plan1";#N/A,#N/A,FALSE,"Plan2"}</definedName>
    <definedName name="sadasd" localSheetId="8" hidden="1">{#N/A,#N/A,FALSE,"Plan1";#N/A,#N/A,FALSE,"Plan2"}</definedName>
    <definedName name="sadasd" localSheetId="2" hidden="1">{#N/A,#N/A,FALSE,"Plan1";#N/A,#N/A,FALSE,"Plan2"}</definedName>
    <definedName name="sadasd" localSheetId="9" hidden="1">{#N/A,#N/A,FALSE,"Plan1";#N/A,#N/A,FALSE,"Plan2"}</definedName>
    <definedName name="sadasd" localSheetId="13" hidden="1">{#N/A,#N/A,FALSE,"Plan1";#N/A,#N/A,FALSE,"Plan2"}</definedName>
    <definedName name="sadasd" localSheetId="0" hidden="1">{#N/A,#N/A,FALSE,"Plan1";#N/A,#N/A,FALSE,"Plan2"}</definedName>
    <definedName name="sadasd" hidden="1">{#N/A,#N/A,FALSE,"Plan1";#N/A,#N/A,FALSE,"Plan2"}</definedName>
    <definedName name="sadke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adked" hidden="1">{TRUE,TRUE,-1.25,-15.5,604.5,366.75,FALSE,FALSE,TRUE,TRUE,0,1,#N/A,1,#N/A,9.0125,24.4117647058824,1,FALSE,FALSE,3,TRUE,1,FALSE,100,"Swvu.PLANILHA2.","ACwvu.PLANILHA2.",#N/A,FALSE,FALSE,0.787401575,0.34,0.46,0.5,1,"","",FALSE,FALSE,FALSE,FALSE,1,#N/A,1,1,FALSE,FALSE,#N/A,#N/A,FALSE,FALSE,FALSE,9,65532,65532,FALSE,FALSE,TRUE,TRUE,TRUE}</definedName>
    <definedName name="sadkrjkedft" localSheetId="3" hidden="1">{#N/A,#N/A,FALSE,"Plan1";#N/A,#N/A,FALSE,"Plan2"}</definedName>
    <definedName name="sadkrjkedft" localSheetId="8" hidden="1">{#N/A,#N/A,FALSE,"Plan1";#N/A,#N/A,FALSE,"Plan2"}</definedName>
    <definedName name="sadkrjkedft" localSheetId="2" hidden="1">{#N/A,#N/A,FALSE,"Plan1";#N/A,#N/A,FALSE,"Plan2"}</definedName>
    <definedName name="sadkrjkedft" localSheetId="9" hidden="1">{#N/A,#N/A,FALSE,"Plan1";#N/A,#N/A,FALSE,"Plan2"}</definedName>
    <definedName name="sadkrjkedft" localSheetId="13" hidden="1">{#N/A,#N/A,FALSE,"Plan1";#N/A,#N/A,FALSE,"Plan2"}</definedName>
    <definedName name="sadkrjkedft" localSheetId="0" hidden="1">{#N/A,#N/A,FALSE,"Plan1";#N/A,#N/A,FALSE,"Plan2"}</definedName>
    <definedName name="sadkrjkedft" hidden="1">{#N/A,#N/A,FALSE,"Plan1";#N/A,#N/A,FALSE,"Plan2"}</definedName>
    <definedName name="SADSRTR" localSheetId="3" hidden="1">{#N/A,#N/A,FALSE,"Plan1";#N/A,#N/A,FALSE,"Plan2"}</definedName>
    <definedName name="SADSRTR" localSheetId="8" hidden="1">{#N/A,#N/A,FALSE,"Plan1";#N/A,#N/A,FALSE,"Plan2"}</definedName>
    <definedName name="SADSRTR" localSheetId="2" hidden="1">{#N/A,#N/A,FALSE,"Plan1";#N/A,#N/A,FALSE,"Plan2"}</definedName>
    <definedName name="SADSRTR" localSheetId="9" hidden="1">{#N/A,#N/A,FALSE,"Plan1";#N/A,#N/A,FALSE,"Plan2"}</definedName>
    <definedName name="SADSRTR" localSheetId="13" hidden="1">{#N/A,#N/A,FALSE,"Plan1";#N/A,#N/A,FALSE,"Plan2"}</definedName>
    <definedName name="SADSRTR" localSheetId="0" hidden="1">{#N/A,#N/A,FALSE,"Plan1";#N/A,#N/A,FALSE,"Plan2"}</definedName>
    <definedName name="SADSRTR" hidden="1">{#N/A,#N/A,FALSE,"Plan1";#N/A,#N/A,FALSE,"Plan2"}</definedName>
    <definedName name="sadwde" localSheetId="3" hidden="1">{#N/A,#N/A,FALSE,"Plan1";#N/A,#N/A,FALSE,"Plan2"}</definedName>
    <definedName name="sadwde" localSheetId="8" hidden="1">{#N/A,#N/A,FALSE,"Plan1";#N/A,#N/A,FALSE,"Plan2"}</definedName>
    <definedName name="sadwde" localSheetId="2" hidden="1">{#N/A,#N/A,FALSE,"Plan1";#N/A,#N/A,FALSE,"Plan2"}</definedName>
    <definedName name="sadwde" localSheetId="9" hidden="1">{#N/A,#N/A,FALSE,"Plan1";#N/A,#N/A,FALSE,"Plan2"}</definedName>
    <definedName name="sadwde" localSheetId="13" hidden="1">{#N/A,#N/A,FALSE,"Plan1";#N/A,#N/A,FALSE,"Plan2"}</definedName>
    <definedName name="sadwde" localSheetId="0" hidden="1">{#N/A,#N/A,FALSE,"Plan1";#N/A,#N/A,FALSE,"Plan2"}</definedName>
    <definedName name="sadwde" hidden="1">{#N/A,#N/A,FALSE,"Plan1";#N/A,#N/A,FALSE,"Plan2"}</definedName>
    <definedName name="Salas" localSheetId="3">#REF!</definedName>
    <definedName name="Salas" localSheetId="2">#REF!</definedName>
    <definedName name="Salas">#REF!</definedName>
    <definedName name="sanjay" localSheetId="3" hidden="1">{#N/A,#N/A,FALSE,"TABLE"}</definedName>
    <definedName name="sanjay" localSheetId="8" hidden="1">{#N/A,#N/A,FALSE,"TABLE"}</definedName>
    <definedName name="sanjay" localSheetId="2" hidden="1">{#N/A,#N/A,FALSE,"TABLE"}</definedName>
    <definedName name="sanjay" localSheetId="9" hidden="1">{#N/A,#N/A,FALSE,"TABLE"}</definedName>
    <definedName name="sanjay" localSheetId="13" hidden="1">{#N/A,#N/A,FALSE,"TABLE"}</definedName>
    <definedName name="sanjay" localSheetId="0" hidden="1">{#N/A,#N/A,FALSE,"TABLE"}</definedName>
    <definedName name="sanjay" hidden="1">{#N/A,#N/A,FALSE,"TABLE"}</definedName>
    <definedName name="sapata" localSheetId="3">#REF!</definedName>
    <definedName name="sapata" localSheetId="2">#REF!</definedName>
    <definedName name="sapata">#REF!</definedName>
    <definedName name="SAPBEXrevision" hidden="1">14</definedName>
    <definedName name="SAPBEXsysID" hidden="1">"BW3"</definedName>
    <definedName name="SAPBEXwbID" hidden="1">"3SO04G3IWYENSZLK6QOKKYLB2"</definedName>
    <definedName name="SAS" localSheetId="3" hidden="1">{#N/A,#N/A,FALSE,"Plan1";#N/A,#N/A,FALSE,"Plan2"}</definedName>
    <definedName name="SAS" localSheetId="8" hidden="1">{#N/A,#N/A,FALSE,"Plan1";#N/A,#N/A,FALSE,"Plan2"}</definedName>
    <definedName name="SAS" localSheetId="2" hidden="1">{#N/A,#N/A,FALSE,"Plan1";#N/A,#N/A,FALSE,"Plan2"}</definedName>
    <definedName name="SAS" localSheetId="9" hidden="1">{#N/A,#N/A,FALSE,"Plan1";#N/A,#N/A,FALSE,"Plan2"}</definedName>
    <definedName name="SAS" localSheetId="13" hidden="1">{#N/A,#N/A,FALSE,"Plan1";#N/A,#N/A,FALSE,"Plan2"}</definedName>
    <definedName name="SAS" localSheetId="0" hidden="1">{#N/A,#N/A,FALSE,"Plan1";#N/A,#N/A,FALSE,"Plan2"}</definedName>
    <definedName name="SAS" hidden="1">{#N/A,#N/A,FALSE,"Plan1";#N/A,#N/A,FALSE,"Plan2"}</definedName>
    <definedName name="sasads" localSheetId="3" hidden="1">{#N/A,#N/A,FALSE,"Plan1";#N/A,#N/A,FALSE,"Plan2"}</definedName>
    <definedName name="sasads" localSheetId="8" hidden="1">{#N/A,#N/A,FALSE,"Plan1";#N/A,#N/A,FALSE,"Plan2"}</definedName>
    <definedName name="sasads" localSheetId="2" hidden="1">{#N/A,#N/A,FALSE,"Plan1";#N/A,#N/A,FALSE,"Plan2"}</definedName>
    <definedName name="sasads" localSheetId="9" hidden="1">{#N/A,#N/A,FALSE,"Plan1";#N/A,#N/A,FALSE,"Plan2"}</definedName>
    <definedName name="sasads" localSheetId="13" hidden="1">{#N/A,#N/A,FALSE,"Plan1";#N/A,#N/A,FALSE,"Plan2"}</definedName>
    <definedName name="sasads" localSheetId="0" hidden="1">{#N/A,#N/A,FALSE,"Plan1";#N/A,#N/A,FALSE,"Plan2"}</definedName>
    <definedName name="sasads" hidden="1">{#N/A,#N/A,FALSE,"Plan1";#N/A,#N/A,FALSE,"Plan2"}</definedName>
    <definedName name="SC" localSheetId="3" hidden="1">#REF!</definedName>
    <definedName name="SC" localSheetId="8" hidden="1">#REF!</definedName>
    <definedName name="SC" localSheetId="2" hidden="1">#REF!</definedName>
    <definedName name="SC" localSheetId="9" hidden="1">#REF!</definedName>
    <definedName name="SC" localSheetId="13" hidden="1">#REF!</definedName>
    <definedName name="SC" localSheetId="0" hidden="1">#REF!</definedName>
    <definedName name="SC" hidden="1">#REF!</definedName>
    <definedName name="sçadldfsfd" hidden="1">25</definedName>
    <definedName name="sda" localSheetId="3">#REF!</definedName>
    <definedName name="sda" localSheetId="8">#REF!</definedName>
    <definedName name="sda" localSheetId="2">#REF!</definedName>
    <definedName name="sda" localSheetId="9">#REF!</definedName>
    <definedName name="sda" localSheetId="13">#REF!</definedName>
    <definedName name="sda">#REF!</definedName>
    <definedName name="sda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aer" hidden="1">{TRUE,TRUE,-1.25,-15.5,604.5,366.75,FALSE,FALSE,TRUE,TRUE,0,1,#N/A,1,#N/A,9.0125,24.4117647058824,1,FALSE,FALSE,3,TRUE,1,FALSE,100,"Swvu.PLANILHA2.","ACwvu.PLANILHA2.",#N/A,FALSE,FALSE,0.787401575,0.34,0.46,0.5,1,"","",FALSE,FALSE,FALSE,FALSE,1,#N/A,1,1,FALSE,FALSE,#N/A,#N/A,FALSE,FALSE,FALSE,9,65532,65532,FALSE,FALSE,TRUE,TRUE,TRUE}</definedName>
    <definedName name="SDAOTGFR" localSheetId="3" hidden="1">{#N/A,#N/A,FALSE,"Plan1";#N/A,#N/A,FALSE,"Plan2"}</definedName>
    <definedName name="SDAOTGFR" localSheetId="8" hidden="1">{#N/A,#N/A,FALSE,"Plan1";#N/A,#N/A,FALSE,"Plan2"}</definedName>
    <definedName name="SDAOTGFR" localSheetId="2" hidden="1">{#N/A,#N/A,FALSE,"Plan1";#N/A,#N/A,FALSE,"Plan2"}</definedName>
    <definedName name="SDAOTGFR" localSheetId="9" hidden="1">{#N/A,#N/A,FALSE,"Plan1";#N/A,#N/A,FALSE,"Plan2"}</definedName>
    <definedName name="SDAOTGFR" localSheetId="13" hidden="1">{#N/A,#N/A,FALSE,"Plan1";#N/A,#N/A,FALSE,"Plan2"}</definedName>
    <definedName name="SDAOTGFR" localSheetId="0" hidden="1">{#N/A,#N/A,FALSE,"Plan1";#N/A,#N/A,FALSE,"Plan2"}</definedName>
    <definedName name="SDAOTGFR" hidden="1">{#N/A,#N/A,FALSE,"Plan1";#N/A,#N/A,FALSE,"Plan2"}</definedName>
    <definedName name="sdckd" localSheetId="3" hidden="1">{#N/A,#N/A,FALSE,"Plan1";#N/A,#N/A,FALSE,"Plan2"}</definedName>
    <definedName name="sdckd" localSheetId="8" hidden="1">{#N/A,#N/A,FALSE,"Plan1";#N/A,#N/A,FALSE,"Plan2"}</definedName>
    <definedName name="sdckd" localSheetId="2" hidden="1">{#N/A,#N/A,FALSE,"Plan1";#N/A,#N/A,FALSE,"Plan2"}</definedName>
    <definedName name="sdckd" localSheetId="9" hidden="1">{#N/A,#N/A,FALSE,"Plan1";#N/A,#N/A,FALSE,"Plan2"}</definedName>
    <definedName name="sdckd" localSheetId="13" hidden="1">{#N/A,#N/A,FALSE,"Plan1";#N/A,#N/A,FALSE,"Plan2"}</definedName>
    <definedName name="sdckd" localSheetId="0" hidden="1">{#N/A,#N/A,FALSE,"Plan1";#N/A,#N/A,FALSE,"Plan2"}</definedName>
    <definedName name="sdckd" hidden="1">{#N/A,#N/A,FALSE,"Plan1";#N/A,#N/A,FALSE,"Plan2"}</definedName>
    <definedName name="SDDFKSEDE" localSheetId="3" hidden="1">{#N/A,#N/A,FALSE,"Plan1";#N/A,#N/A,FALSE,"Plan2"}</definedName>
    <definedName name="SDDFKSEDE" localSheetId="8" hidden="1">{#N/A,#N/A,FALSE,"Plan1";#N/A,#N/A,FALSE,"Plan2"}</definedName>
    <definedName name="SDDFKSEDE" localSheetId="2" hidden="1">{#N/A,#N/A,FALSE,"Plan1";#N/A,#N/A,FALSE,"Plan2"}</definedName>
    <definedName name="SDDFKSEDE" localSheetId="9" hidden="1">{#N/A,#N/A,FALSE,"Plan1";#N/A,#N/A,FALSE,"Plan2"}</definedName>
    <definedName name="SDDFKSEDE" localSheetId="13" hidden="1">{#N/A,#N/A,FALSE,"Plan1";#N/A,#N/A,FALSE,"Plan2"}</definedName>
    <definedName name="SDDFKSEDE" localSheetId="0" hidden="1">{#N/A,#N/A,FALSE,"Plan1";#N/A,#N/A,FALSE,"Plan2"}</definedName>
    <definedName name="SDDFKSEDE" hidden="1">{#N/A,#N/A,FALSE,"Plan1";#N/A,#N/A,FALSE,"Plan2"}</definedName>
    <definedName name="sddkslker" localSheetId="3" hidden="1">{#N/A,#N/A,FALSE,"Plan1";#N/A,#N/A,FALSE,"Plan2"}</definedName>
    <definedName name="sddkslker" localSheetId="8" hidden="1">{#N/A,#N/A,FALSE,"Plan1";#N/A,#N/A,FALSE,"Plan2"}</definedName>
    <definedName name="sddkslker" localSheetId="2" hidden="1">{#N/A,#N/A,FALSE,"Plan1";#N/A,#N/A,FALSE,"Plan2"}</definedName>
    <definedName name="sddkslker" localSheetId="9" hidden="1">{#N/A,#N/A,FALSE,"Plan1";#N/A,#N/A,FALSE,"Plan2"}</definedName>
    <definedName name="sddkslker" localSheetId="13" hidden="1">{#N/A,#N/A,FALSE,"Plan1";#N/A,#N/A,FALSE,"Plan2"}</definedName>
    <definedName name="sddkslker" localSheetId="0" hidden="1">{#N/A,#N/A,FALSE,"Plan1";#N/A,#N/A,FALSE,"Plan2"}</definedName>
    <definedName name="sddkslker" hidden="1">{#N/A,#N/A,FALSE,"Plan1";#N/A,#N/A,FALSE,"Plan2"}</definedName>
    <definedName name="sdefr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frr"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erj" hidden="1">{TRUE,TRUE,-1.25,-15.5,604.5,366.75,FALSE,FALSE,TRUE,TRUE,0,1,#N/A,1,#N/A,9.0125,24.4117647058824,1,FALSE,FALSE,3,TRUE,1,FALSE,100,"Swvu.PLANILHA2.","ACwvu.PLANILHA2.",#N/A,FALSE,FALSE,0.787401575,0.34,0.46,0.5,1,"","",FALSE,FALSE,FALSE,FALSE,1,#N/A,1,1,FALSE,FALSE,#N/A,#N/A,FALSE,FALSE,FALSE,9,65532,65532,FALSE,FALSE,TRUE,TRUE,TRUE}</definedName>
    <definedName name="sdert" localSheetId="3" hidden="1">#REF!</definedName>
    <definedName name="sdert" localSheetId="8" hidden="1">#REF!</definedName>
    <definedName name="sdert" localSheetId="2" hidden="1">#REF!</definedName>
    <definedName name="sdert" localSheetId="9" hidden="1">#REF!</definedName>
    <definedName name="sdert" localSheetId="13" hidden="1">#REF!</definedName>
    <definedName name="sdert" localSheetId="0" hidden="1">#REF!</definedName>
    <definedName name="sdert" hidden="1">#REF!</definedName>
    <definedName name="sdf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 hidden="1">{TRUE,TRUE,-1.25,-15.5,604.5,366.75,FALSE,FALSE,TRUE,TRUE,0,1,#N/A,1,#N/A,9.0125,24.4117647058824,1,FALSE,FALSE,3,TRUE,1,FALSE,100,"Swvu.PLANILHA2.","ACwvu.PLANILHA2.",#N/A,FALSE,FALSE,0.787401575,0.34,0.46,0.5,1,"","",FALSE,FALSE,FALSE,FALSE,1,#N/A,1,1,FALSE,FALSE,#N/A,#N/A,FALSE,FALSE,FALSE,9,65532,65532,FALSE,FALSE,TRUE,TRUE,TRUE}</definedName>
    <definedName name="sdfdds" localSheetId="3" hidden="1">{#N/A,#N/A,FALSE,"Plan1";#N/A,#N/A,FALSE,"Plan2"}</definedName>
    <definedName name="sdfdds" localSheetId="8" hidden="1">{#N/A,#N/A,FALSE,"Plan1";#N/A,#N/A,FALSE,"Plan2"}</definedName>
    <definedName name="sdfdds" localSheetId="2" hidden="1">{#N/A,#N/A,FALSE,"Plan1";#N/A,#N/A,FALSE,"Plan2"}</definedName>
    <definedName name="sdfdds" localSheetId="9" hidden="1">{#N/A,#N/A,FALSE,"Plan1";#N/A,#N/A,FALSE,"Plan2"}</definedName>
    <definedName name="sdfdds" localSheetId="13" hidden="1">{#N/A,#N/A,FALSE,"Plan1";#N/A,#N/A,FALSE,"Plan2"}</definedName>
    <definedName name="sdfdds" localSheetId="0" hidden="1">{#N/A,#N/A,FALSE,"Plan1";#N/A,#N/A,FALSE,"Plan2"}</definedName>
    <definedName name="sdfdds" hidden="1">{#N/A,#N/A,FALSE,"Plan1";#N/A,#N/A,FALSE,"Plan2"}</definedName>
    <definedName name="sdfdfc" localSheetId="3" hidden="1">{#N/A,#N/A,FALSE,"Plan1";#N/A,#N/A,FALSE,"Plan2"}</definedName>
    <definedName name="sdfdfc" localSheetId="8" hidden="1">{#N/A,#N/A,FALSE,"Plan1";#N/A,#N/A,FALSE,"Plan2"}</definedName>
    <definedName name="sdfdfc" localSheetId="2" hidden="1">{#N/A,#N/A,FALSE,"Plan1";#N/A,#N/A,FALSE,"Plan2"}</definedName>
    <definedName name="sdfdfc" localSheetId="9" hidden="1">{#N/A,#N/A,FALSE,"Plan1";#N/A,#N/A,FALSE,"Plan2"}</definedName>
    <definedName name="sdfdfc" localSheetId="13" hidden="1">{#N/A,#N/A,FALSE,"Plan1";#N/A,#N/A,FALSE,"Plan2"}</definedName>
    <definedName name="sdfdfc" localSheetId="0" hidden="1">{#N/A,#N/A,FALSE,"Plan1";#N/A,#N/A,FALSE,"Plan2"}</definedName>
    <definedName name="sdfdfc" hidden="1">{#N/A,#N/A,FALSE,"Plan1";#N/A,#N/A,FALSE,"Plan2"}</definedName>
    <definedName name="sdfdf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dfr" hidden="1">{TRUE,TRUE,-1.25,-15.5,604.5,366.75,FALSE,FALSE,TRUE,TRUE,0,1,#N/A,1,#N/A,9.0125,24.4117647058824,1,FALSE,FALSE,3,TRUE,1,FALSE,100,"Swvu.PLANILHA2.","ACwvu.PLANILHA2.",#N/A,FALSE,FALSE,0.787401575,0.34,0.46,0.5,1,"","",FALSE,FALSE,FALSE,FALSE,1,#N/A,1,1,FALSE,FALSE,#N/A,#N/A,FALSE,FALSE,FALSE,9,65532,65532,FALSE,FALSE,TRUE,TRUE,TRUE}</definedName>
    <definedName name="sdfdgft" localSheetId="3" hidden="1">{#N/A,#N/A,FALSE,"Plan1";#N/A,#N/A,FALSE,"Plan2"}</definedName>
    <definedName name="sdfdgft" localSheetId="8" hidden="1">{#N/A,#N/A,FALSE,"Plan1";#N/A,#N/A,FALSE,"Plan2"}</definedName>
    <definedName name="sdfdgft" localSheetId="2" hidden="1">{#N/A,#N/A,FALSE,"Plan1";#N/A,#N/A,FALSE,"Plan2"}</definedName>
    <definedName name="sdfdgft" localSheetId="9" hidden="1">{#N/A,#N/A,FALSE,"Plan1";#N/A,#N/A,FALSE,"Plan2"}</definedName>
    <definedName name="sdfdgft" localSheetId="13" hidden="1">{#N/A,#N/A,FALSE,"Plan1";#N/A,#N/A,FALSE,"Plan2"}</definedName>
    <definedName name="sdfdgft" localSheetId="0" hidden="1">{#N/A,#N/A,FALSE,"Plan1";#N/A,#N/A,FALSE,"Plan2"}</definedName>
    <definedName name="sdfdgft" hidden="1">{#N/A,#N/A,FALSE,"Plan1";#N/A,#N/A,FALSE,"Plan2"}</definedName>
    <definedName name="sdfdsf" localSheetId="3" hidden="1">{#N/A,#N/A,FALSE,"Plan1";#N/A,#N/A,FALSE,"Plan2"}</definedName>
    <definedName name="sdfdsf" localSheetId="8" hidden="1">{#N/A,#N/A,FALSE,"Plan1";#N/A,#N/A,FALSE,"Plan2"}</definedName>
    <definedName name="sdfdsf" localSheetId="2" hidden="1">{#N/A,#N/A,FALSE,"Plan1";#N/A,#N/A,FALSE,"Plan2"}</definedName>
    <definedName name="sdfdsf" localSheetId="9" hidden="1">{#N/A,#N/A,FALSE,"Plan1";#N/A,#N/A,FALSE,"Plan2"}</definedName>
    <definedName name="sdfdsf" localSheetId="13" hidden="1">{#N/A,#N/A,FALSE,"Plan1";#N/A,#N/A,FALSE,"Plan2"}</definedName>
    <definedName name="sdfdsf" localSheetId="0" hidden="1">{#N/A,#N/A,FALSE,"Plan1";#N/A,#N/A,FALSE,"Plan2"}</definedName>
    <definedName name="sdfdsf" hidden="1">{#N/A,#N/A,FALSE,"Plan1";#N/A,#N/A,FALSE,"Plan2"}</definedName>
    <definedName name="sdfdsf\da" localSheetId="3" hidden="1">{#N/A,#N/A,FALSE,"Plan1";#N/A,#N/A,FALSE,"Plan2"}</definedName>
    <definedName name="sdfdsf\da" localSheetId="8" hidden="1">{#N/A,#N/A,FALSE,"Plan1";#N/A,#N/A,FALSE,"Plan2"}</definedName>
    <definedName name="sdfdsf\da" localSheetId="2" hidden="1">{#N/A,#N/A,FALSE,"Plan1";#N/A,#N/A,FALSE,"Plan2"}</definedName>
    <definedName name="sdfdsf\da" localSheetId="9" hidden="1">{#N/A,#N/A,FALSE,"Plan1";#N/A,#N/A,FALSE,"Plan2"}</definedName>
    <definedName name="sdfdsf\da" localSheetId="13" hidden="1">{#N/A,#N/A,FALSE,"Plan1";#N/A,#N/A,FALSE,"Plan2"}</definedName>
    <definedName name="sdfdsf\da" localSheetId="0" hidden="1">{#N/A,#N/A,FALSE,"Plan1";#N/A,#N/A,FALSE,"Plan2"}</definedName>
    <definedName name="sdfdsf\da" hidden="1">{#N/A,#N/A,FALSE,"Plan1";#N/A,#N/A,FALSE,"Plan2"}</definedName>
    <definedName name="SDFEDRT" localSheetId="3" hidden="1">{#N/A,#N/A,FALSE,"Plan1";#N/A,#N/A,FALSE,"Plan2"}</definedName>
    <definedName name="SDFEDRT" localSheetId="8" hidden="1">{#N/A,#N/A,FALSE,"Plan1";#N/A,#N/A,FALSE,"Plan2"}</definedName>
    <definedName name="SDFEDRT" localSheetId="2" hidden="1">{#N/A,#N/A,FALSE,"Plan1";#N/A,#N/A,FALSE,"Plan2"}</definedName>
    <definedName name="SDFEDRT" localSheetId="9" hidden="1">{#N/A,#N/A,FALSE,"Plan1";#N/A,#N/A,FALSE,"Plan2"}</definedName>
    <definedName name="SDFEDRT" localSheetId="13" hidden="1">{#N/A,#N/A,FALSE,"Plan1";#N/A,#N/A,FALSE,"Plan2"}</definedName>
    <definedName name="SDFEDRT" localSheetId="0" hidden="1">{#N/A,#N/A,FALSE,"Plan1";#N/A,#N/A,FALSE,"Plan2"}</definedName>
    <definedName name="SDFEDRT" hidden="1">{#N/A,#N/A,FALSE,"Plan1";#N/A,#N/A,FALSE,"Plan2"}</definedName>
    <definedName name="sdfer" localSheetId="3" hidden="1">{#N/A,#N/A,FALSE,"Plan1";#N/A,#N/A,FALSE,"Plan2"}</definedName>
    <definedName name="sdfer" localSheetId="8" hidden="1">{#N/A,#N/A,FALSE,"Plan1";#N/A,#N/A,FALSE,"Plan2"}</definedName>
    <definedName name="sdfer" localSheetId="2" hidden="1">{#N/A,#N/A,FALSE,"Plan1";#N/A,#N/A,FALSE,"Plan2"}</definedName>
    <definedName name="sdfer" localSheetId="9" hidden="1">{#N/A,#N/A,FALSE,"Plan1";#N/A,#N/A,FALSE,"Plan2"}</definedName>
    <definedName name="sdfer" localSheetId="13" hidden="1">{#N/A,#N/A,FALSE,"Plan1";#N/A,#N/A,FALSE,"Plan2"}</definedName>
    <definedName name="sdfer" localSheetId="0" hidden="1">{#N/A,#N/A,FALSE,"Plan1";#N/A,#N/A,FALSE,"Plan2"}</definedName>
    <definedName name="sdfer" hidden="1">{#N/A,#N/A,FALSE,"Plan1";#N/A,#N/A,FALSE,"Plan2"}</definedName>
    <definedName name="sdferr" localSheetId="3" hidden="1">{#N/A,#N/A,FALSE,"Plan1";#N/A,#N/A,FALSE,"Plan2"}</definedName>
    <definedName name="sdferr" localSheetId="8" hidden="1">{#N/A,#N/A,FALSE,"Plan1";#N/A,#N/A,FALSE,"Plan2"}</definedName>
    <definedName name="sdferr" localSheetId="2" hidden="1">{#N/A,#N/A,FALSE,"Plan1";#N/A,#N/A,FALSE,"Plan2"}</definedName>
    <definedName name="sdferr" localSheetId="9" hidden="1">{#N/A,#N/A,FALSE,"Plan1";#N/A,#N/A,FALSE,"Plan2"}</definedName>
    <definedName name="sdferr" localSheetId="13" hidden="1">{#N/A,#N/A,FALSE,"Plan1";#N/A,#N/A,FALSE,"Plan2"}</definedName>
    <definedName name="sdferr" localSheetId="0" hidden="1">{#N/A,#N/A,FALSE,"Plan1";#N/A,#N/A,FALSE,"Plan2"}</definedName>
    <definedName name="sdferr" hidden="1">{#N/A,#N/A,FALSE,"Plan1";#N/A,#N/A,FALSE,"Plan2"}</definedName>
    <definedName name="sdfe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et" hidden="1">{TRUE,TRUE,-1.25,-15.5,604.5,366.75,FALSE,FALSE,TRUE,TRUE,0,1,#N/A,1,#N/A,9.0125,24.4117647058824,1,FALSE,FALSE,3,TRUE,1,FALSE,100,"Swvu.PLANILHA2.","ACwvu.PLANILHA2.",#N/A,FALSE,FALSE,0.787401575,0.34,0.46,0.5,1,"","",FALSE,FALSE,FALSE,FALSE,1,#N/A,1,1,FALSE,FALSE,#N/A,#N/A,FALSE,FALSE,FALSE,9,65532,65532,FALSE,FALSE,TRUE,TRUE,TRUE}</definedName>
    <definedName name="SDFGJFSRF" localSheetId="3" hidden="1">{#N/A,#N/A,FALSE,"Plan1";#N/A,#N/A,FALSE,"Plan2"}</definedName>
    <definedName name="SDFGJFSRF" localSheetId="8" hidden="1">{#N/A,#N/A,FALSE,"Plan1";#N/A,#N/A,FALSE,"Plan2"}</definedName>
    <definedName name="SDFGJFSRF" localSheetId="2" hidden="1">{#N/A,#N/A,FALSE,"Plan1";#N/A,#N/A,FALSE,"Plan2"}</definedName>
    <definedName name="SDFGJFSRF" localSheetId="9" hidden="1">{#N/A,#N/A,FALSE,"Plan1";#N/A,#N/A,FALSE,"Plan2"}</definedName>
    <definedName name="SDFGJFSRF" localSheetId="13" hidden="1">{#N/A,#N/A,FALSE,"Plan1";#N/A,#N/A,FALSE,"Plan2"}</definedName>
    <definedName name="SDFGJFSRF" localSheetId="0" hidden="1">{#N/A,#N/A,FALSE,"Plan1";#N/A,#N/A,FALSE,"Plan2"}</definedName>
    <definedName name="SDFGJFSRF" hidden="1">{#N/A,#N/A,FALSE,"Plan1";#N/A,#N/A,FALSE,"Plan2"}</definedName>
    <definedName name="sdfgtr" localSheetId="3" hidden="1">{#N/A,#N/A,FALSE,"Plan1";#N/A,#N/A,FALSE,"Plan2"}</definedName>
    <definedName name="sdfgtr" localSheetId="8" hidden="1">{#N/A,#N/A,FALSE,"Plan1";#N/A,#N/A,FALSE,"Plan2"}</definedName>
    <definedName name="sdfgtr" localSheetId="2" hidden="1">{#N/A,#N/A,FALSE,"Plan1";#N/A,#N/A,FALSE,"Plan2"}</definedName>
    <definedName name="sdfgtr" localSheetId="9" hidden="1">{#N/A,#N/A,FALSE,"Plan1";#N/A,#N/A,FALSE,"Plan2"}</definedName>
    <definedName name="sdfgtr" localSheetId="13" hidden="1">{#N/A,#N/A,FALSE,"Plan1";#N/A,#N/A,FALSE,"Plan2"}</definedName>
    <definedName name="sdfgtr" localSheetId="0" hidden="1">{#N/A,#N/A,FALSE,"Plan1";#N/A,#N/A,FALSE,"Plan2"}</definedName>
    <definedName name="sdfgtr" hidden="1">{#N/A,#N/A,FALSE,"Plan1";#N/A,#N/A,FALSE,"Plan2"}</definedName>
    <definedName name="sdfjdetrt" localSheetId="3" hidden="1">{#N/A,#N/A,FALSE,"Plan1";#N/A,#N/A,FALSE,"Plan2"}</definedName>
    <definedName name="sdfjdetrt" localSheetId="8" hidden="1">{#N/A,#N/A,FALSE,"Plan1";#N/A,#N/A,FALSE,"Plan2"}</definedName>
    <definedName name="sdfjdetrt" localSheetId="2" hidden="1">{#N/A,#N/A,FALSE,"Plan1";#N/A,#N/A,FALSE,"Plan2"}</definedName>
    <definedName name="sdfjdetrt" localSheetId="9" hidden="1">{#N/A,#N/A,FALSE,"Plan1";#N/A,#N/A,FALSE,"Plan2"}</definedName>
    <definedName name="sdfjdetrt" localSheetId="13" hidden="1">{#N/A,#N/A,FALSE,"Plan1";#N/A,#N/A,FALSE,"Plan2"}</definedName>
    <definedName name="sdfjdetrt" localSheetId="0" hidden="1">{#N/A,#N/A,FALSE,"Plan1";#N/A,#N/A,FALSE,"Plan2"}</definedName>
    <definedName name="sdfjdetrt" hidden="1">{#N/A,#N/A,FALSE,"Plan1";#N/A,#N/A,FALSE,"Plan2"}</definedName>
    <definedName name="SDFJDRTJEIDR" localSheetId="3" hidden="1">{#N/A,#N/A,FALSE,"Plan1";#N/A,#N/A,FALSE,"Plan2"}</definedName>
    <definedName name="SDFJDRTJEIDR" localSheetId="8" hidden="1">{#N/A,#N/A,FALSE,"Plan1";#N/A,#N/A,FALSE,"Plan2"}</definedName>
    <definedName name="SDFJDRTJEIDR" localSheetId="2" hidden="1">{#N/A,#N/A,FALSE,"Plan1";#N/A,#N/A,FALSE,"Plan2"}</definedName>
    <definedName name="SDFJDRTJEIDR" localSheetId="9" hidden="1">{#N/A,#N/A,FALSE,"Plan1";#N/A,#N/A,FALSE,"Plan2"}</definedName>
    <definedName name="SDFJDRTJEIDR" localSheetId="13" hidden="1">{#N/A,#N/A,FALSE,"Plan1";#N/A,#N/A,FALSE,"Plan2"}</definedName>
    <definedName name="SDFJDRTJEIDR" localSheetId="0" hidden="1">{#N/A,#N/A,FALSE,"Plan1";#N/A,#N/A,FALSE,"Plan2"}</definedName>
    <definedName name="SDFJDRTJEIDR" hidden="1">{#N/A,#N/A,FALSE,"Plan1";#N/A,#N/A,FALSE,"Plan2"}</definedName>
    <definedName name="sdfjergtij" localSheetId="3" hidden="1">{#N/A,#N/A,FALSE,"Plan1";#N/A,#N/A,FALSE,"Plan2"}</definedName>
    <definedName name="sdfjergtij" localSheetId="8" hidden="1">{#N/A,#N/A,FALSE,"Plan1";#N/A,#N/A,FALSE,"Plan2"}</definedName>
    <definedName name="sdfjergtij" localSheetId="2" hidden="1">{#N/A,#N/A,FALSE,"Plan1";#N/A,#N/A,FALSE,"Plan2"}</definedName>
    <definedName name="sdfjergtij" localSheetId="9" hidden="1">{#N/A,#N/A,FALSE,"Plan1";#N/A,#N/A,FALSE,"Plan2"}</definedName>
    <definedName name="sdfjergtij" localSheetId="13" hidden="1">{#N/A,#N/A,FALSE,"Plan1";#N/A,#N/A,FALSE,"Plan2"}</definedName>
    <definedName name="sdfjergtij" localSheetId="0" hidden="1">{#N/A,#N/A,FALSE,"Plan1";#N/A,#N/A,FALSE,"Plan2"}</definedName>
    <definedName name="sdfjergtij" hidden="1">{#N/A,#N/A,FALSE,"Plan1";#N/A,#N/A,FALSE,"Plan2"}</definedName>
    <definedName name="SDFOPJKWE" localSheetId="3" hidden="1">{#N/A,#N/A,FALSE,"Plan1";#N/A,#N/A,FALSE,"Plan2"}</definedName>
    <definedName name="SDFOPJKWE" localSheetId="8" hidden="1">{#N/A,#N/A,FALSE,"Plan1";#N/A,#N/A,FALSE,"Plan2"}</definedName>
    <definedName name="SDFOPJKWE" localSheetId="2" hidden="1">{#N/A,#N/A,FALSE,"Plan1";#N/A,#N/A,FALSE,"Plan2"}</definedName>
    <definedName name="SDFOPJKWE" localSheetId="9" hidden="1">{#N/A,#N/A,FALSE,"Plan1";#N/A,#N/A,FALSE,"Plan2"}</definedName>
    <definedName name="SDFOPJKWE" localSheetId="13" hidden="1">{#N/A,#N/A,FALSE,"Plan1";#N/A,#N/A,FALSE,"Plan2"}</definedName>
    <definedName name="SDFOPJKWE" localSheetId="0" hidden="1">{#N/A,#N/A,FALSE,"Plan1";#N/A,#N/A,FALSE,"Plan2"}</definedName>
    <definedName name="SDFOPJKWE" hidden="1">{#N/A,#N/A,FALSE,"Plan1";#N/A,#N/A,FALSE,"Plan2"}</definedName>
    <definedName name="sdfrdt5"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frdt5" hidden="1">{TRUE,TRUE,-1.25,-15.5,604.5,366.75,FALSE,FALSE,TRUE,TRUE,0,1,#N/A,1,#N/A,9.0125,24.4117647058824,1,FALSE,FALSE,3,TRUE,1,FALSE,100,"Swvu.PLANILHA2.","ACwvu.PLANILHA2.",#N/A,FALSE,FALSE,0.787401575,0.34,0.46,0.5,1,"","",FALSE,FALSE,FALSE,FALSE,1,#N/A,1,1,FALSE,FALSE,#N/A,#N/A,FALSE,FALSE,FALSE,9,65532,65532,FALSE,FALSE,TRUE,TRUE,TRUE}</definedName>
    <definedName name="sdfrt" localSheetId="3" hidden="1">{#N/A,#N/A,FALSE,"Plan1";#N/A,#N/A,FALSE,"Plan2"}</definedName>
    <definedName name="sdfrt" localSheetId="8" hidden="1">{#N/A,#N/A,FALSE,"Plan1";#N/A,#N/A,FALSE,"Plan2"}</definedName>
    <definedName name="sdfrt" localSheetId="2" hidden="1">{#N/A,#N/A,FALSE,"Plan1";#N/A,#N/A,FALSE,"Plan2"}</definedName>
    <definedName name="sdfrt" localSheetId="9" hidden="1">{#N/A,#N/A,FALSE,"Plan1";#N/A,#N/A,FALSE,"Plan2"}</definedName>
    <definedName name="sdfrt" localSheetId="13" hidden="1">{#N/A,#N/A,FALSE,"Plan1";#N/A,#N/A,FALSE,"Plan2"}</definedName>
    <definedName name="sdfrt" localSheetId="0" hidden="1">{#N/A,#N/A,FALSE,"Plan1";#N/A,#N/A,FALSE,"Plan2"}</definedName>
    <definedName name="sdfrt" hidden="1">{#N/A,#N/A,FALSE,"Plan1";#N/A,#N/A,FALSE,"Plan2"}</definedName>
    <definedName name="SDFRTKK" localSheetId="3" hidden="1">{#N/A,#N/A,FALSE,"Plan1";#N/A,#N/A,FALSE,"Plan2"}</definedName>
    <definedName name="SDFRTKK" localSheetId="8" hidden="1">{#N/A,#N/A,FALSE,"Plan1";#N/A,#N/A,FALSE,"Plan2"}</definedName>
    <definedName name="SDFRTKK" localSheetId="2" hidden="1">{#N/A,#N/A,FALSE,"Plan1";#N/A,#N/A,FALSE,"Plan2"}</definedName>
    <definedName name="SDFRTKK" localSheetId="9" hidden="1">{#N/A,#N/A,FALSE,"Plan1";#N/A,#N/A,FALSE,"Plan2"}</definedName>
    <definedName name="SDFRTKK" localSheetId="13" hidden="1">{#N/A,#N/A,FALSE,"Plan1";#N/A,#N/A,FALSE,"Plan2"}</definedName>
    <definedName name="SDFRTKK" localSheetId="0" hidden="1">{#N/A,#N/A,FALSE,"Plan1";#N/A,#N/A,FALSE,"Plan2"}</definedName>
    <definedName name="SDFRTKK" hidden="1">{#N/A,#N/A,FALSE,"Plan1";#N/A,#N/A,FALSE,"Plan2"}</definedName>
    <definedName name="SDFRTR" localSheetId="3" hidden="1">{#N/A,#N/A,FALSE,"Plan1";#N/A,#N/A,FALSE,"Plan2"}</definedName>
    <definedName name="SDFRTR" localSheetId="8" hidden="1">{#N/A,#N/A,FALSE,"Plan1";#N/A,#N/A,FALSE,"Plan2"}</definedName>
    <definedName name="SDFRTR" localSheetId="2" hidden="1">{#N/A,#N/A,FALSE,"Plan1";#N/A,#N/A,FALSE,"Plan2"}</definedName>
    <definedName name="SDFRTR" localSheetId="9" hidden="1">{#N/A,#N/A,FALSE,"Plan1";#N/A,#N/A,FALSE,"Plan2"}</definedName>
    <definedName name="SDFRTR" localSheetId="13" hidden="1">{#N/A,#N/A,FALSE,"Plan1";#N/A,#N/A,FALSE,"Plan2"}</definedName>
    <definedName name="SDFRTR" localSheetId="0" hidden="1">{#N/A,#N/A,FALSE,"Plan1";#N/A,#N/A,FALSE,"Plan2"}</definedName>
    <definedName name="SDFRTR" hidden="1">{#N/A,#N/A,FALSE,"Plan1";#N/A,#N/A,FALSE,"Plan2"}</definedName>
    <definedName name="sdfry6" localSheetId="3" hidden="1">{#N/A,#N/A,FALSE,"Plan1";#N/A,#N/A,FALSE,"Plan2"}</definedName>
    <definedName name="sdfry6" localSheetId="8" hidden="1">{#N/A,#N/A,FALSE,"Plan1";#N/A,#N/A,FALSE,"Plan2"}</definedName>
    <definedName name="sdfry6" localSheetId="2" hidden="1">{#N/A,#N/A,FALSE,"Plan1";#N/A,#N/A,FALSE,"Plan2"}</definedName>
    <definedName name="sdfry6" localSheetId="9" hidden="1">{#N/A,#N/A,FALSE,"Plan1";#N/A,#N/A,FALSE,"Plan2"}</definedName>
    <definedName name="sdfry6" localSheetId="13" hidden="1">{#N/A,#N/A,FALSE,"Plan1";#N/A,#N/A,FALSE,"Plan2"}</definedName>
    <definedName name="sdfry6" localSheetId="0" hidden="1">{#N/A,#N/A,FALSE,"Plan1";#N/A,#N/A,FALSE,"Plan2"}</definedName>
    <definedName name="sdfry6" hidden="1">{#N/A,#N/A,FALSE,"Plan1";#N/A,#N/A,FALSE,"Plan2"}</definedName>
    <definedName name="sdfsaf" localSheetId="3" hidden="1">{#N/A,#N/A,FALSE,"Plan1";#N/A,#N/A,FALSE,"Plan2"}</definedName>
    <definedName name="sdfsaf" localSheetId="8" hidden="1">{#N/A,#N/A,FALSE,"Plan1";#N/A,#N/A,FALSE,"Plan2"}</definedName>
    <definedName name="sdfsaf" localSheetId="2" hidden="1">{#N/A,#N/A,FALSE,"Plan1";#N/A,#N/A,FALSE,"Plan2"}</definedName>
    <definedName name="sdfsaf" localSheetId="9" hidden="1">{#N/A,#N/A,FALSE,"Plan1";#N/A,#N/A,FALSE,"Plan2"}</definedName>
    <definedName name="sdfsaf" localSheetId="13" hidden="1">{#N/A,#N/A,FALSE,"Plan1";#N/A,#N/A,FALSE,"Plan2"}</definedName>
    <definedName name="sdfsaf" localSheetId="0" hidden="1">{#N/A,#N/A,FALSE,"Plan1";#N/A,#N/A,FALSE,"Plan2"}</definedName>
    <definedName name="sdfsaf" hidden="1">{#N/A,#N/A,FALSE,"Plan1";#N/A,#N/A,FALSE,"Plan2"}</definedName>
    <definedName name="sdfsd" localSheetId="3" hidden="1">{"'Estimativa de Lançamento-JAN'!$A$1:$AI$85"}</definedName>
    <definedName name="sdfsd" localSheetId="8" hidden="1">{"'Estimativa de Lançamento-JAN'!$A$1:$AI$85"}</definedName>
    <definedName name="sdfsd" localSheetId="2" hidden="1">{"'Estimativa de Lançamento-JAN'!$A$1:$AI$85"}</definedName>
    <definedName name="sdfsd" localSheetId="9" hidden="1">{"'Estimativa de Lançamento-JAN'!$A$1:$AI$85"}</definedName>
    <definedName name="sdfsd" localSheetId="13" hidden="1">{"'Estimativa de Lançamento-JAN'!$A$1:$AI$85"}</definedName>
    <definedName name="sdfsd" localSheetId="0" hidden="1">{"'Estimativa de Lançamento-JAN'!$A$1:$AI$85"}</definedName>
    <definedName name="sdfsd" hidden="1">{"'Estimativa de Lançamento-JAN'!$A$1:$AI$85"}</definedName>
    <definedName name="sdfsdfg" localSheetId="3" hidden="1">{#N/A,#N/A,FALSE,"Plan1";#N/A,#N/A,FALSE,"Plan2"}</definedName>
    <definedName name="sdfsdfg" localSheetId="8" hidden="1">{#N/A,#N/A,FALSE,"Plan1";#N/A,#N/A,FALSE,"Plan2"}</definedName>
    <definedName name="sdfsdfg" localSheetId="2" hidden="1">{#N/A,#N/A,FALSE,"Plan1";#N/A,#N/A,FALSE,"Plan2"}</definedName>
    <definedName name="sdfsdfg" localSheetId="9" hidden="1">{#N/A,#N/A,FALSE,"Plan1";#N/A,#N/A,FALSE,"Plan2"}</definedName>
    <definedName name="sdfsdfg" localSheetId="13" hidden="1">{#N/A,#N/A,FALSE,"Plan1";#N/A,#N/A,FALSE,"Plan2"}</definedName>
    <definedName name="sdfsdfg" localSheetId="0" hidden="1">{#N/A,#N/A,FALSE,"Plan1";#N/A,#N/A,FALSE,"Plan2"}</definedName>
    <definedName name="sdfsdfg" hidden="1">{#N/A,#N/A,FALSE,"Plan1";#N/A,#N/A,FALSE,"Plan2"}</definedName>
    <definedName name="SDFSDFK" localSheetId="3" hidden="1">{#N/A,#N/A,FALSE,"Plan1";#N/A,#N/A,FALSE,"Plan2"}</definedName>
    <definedName name="SDFSDFK" localSheetId="8" hidden="1">{#N/A,#N/A,FALSE,"Plan1";#N/A,#N/A,FALSE,"Plan2"}</definedName>
    <definedName name="SDFSDFK" localSheetId="2" hidden="1">{#N/A,#N/A,FALSE,"Plan1";#N/A,#N/A,FALSE,"Plan2"}</definedName>
    <definedName name="SDFSDFK" localSheetId="9" hidden="1">{#N/A,#N/A,FALSE,"Plan1";#N/A,#N/A,FALSE,"Plan2"}</definedName>
    <definedName name="SDFSDFK" localSheetId="13" hidden="1">{#N/A,#N/A,FALSE,"Plan1";#N/A,#N/A,FALSE,"Plan2"}</definedName>
    <definedName name="SDFSDFK" localSheetId="0" hidden="1">{#N/A,#N/A,FALSE,"Plan1";#N/A,#N/A,FALSE,"Plan2"}</definedName>
    <definedName name="SDFSDFK" hidden="1">{#N/A,#N/A,FALSE,"Plan1";#N/A,#N/A,FALSE,"Plan2"}</definedName>
    <definedName name="sdfsdgftret" localSheetId="3" hidden="1">{#N/A,#N/A,FALSE,"Plan1";#N/A,#N/A,FALSE,"Plan2"}</definedName>
    <definedName name="sdfsdgftret" localSheetId="8" hidden="1">{#N/A,#N/A,FALSE,"Plan1";#N/A,#N/A,FALSE,"Plan2"}</definedName>
    <definedName name="sdfsdgftret" localSheetId="2" hidden="1">{#N/A,#N/A,FALSE,"Plan1";#N/A,#N/A,FALSE,"Plan2"}</definedName>
    <definedName name="sdfsdgftret" localSheetId="9" hidden="1">{#N/A,#N/A,FALSE,"Plan1";#N/A,#N/A,FALSE,"Plan2"}</definedName>
    <definedName name="sdfsdgftret" localSheetId="13" hidden="1">{#N/A,#N/A,FALSE,"Plan1";#N/A,#N/A,FALSE,"Plan2"}</definedName>
    <definedName name="sdfsdgftret" localSheetId="0" hidden="1">{#N/A,#N/A,FALSE,"Plan1";#N/A,#N/A,FALSE,"Plan2"}</definedName>
    <definedName name="sdfsdgftret" hidden="1">{#N/A,#N/A,FALSE,"Plan1";#N/A,#N/A,FALSE,"Plan2"}</definedName>
    <definedName name="sdfsdr" hidden="1">1</definedName>
    <definedName name="SDFSF" localSheetId="3" hidden="1">{#N/A,#N/A,FALSE,"GERAL";#N/A,#N/A,FALSE,"012-96";#N/A,#N/A,FALSE,"018-96";#N/A,#N/A,FALSE,"027-96";#N/A,#N/A,FALSE,"059-96";#N/A,#N/A,FALSE,"076-96";#N/A,#N/A,FALSE,"019-97";#N/A,#N/A,FALSE,"021-97";#N/A,#N/A,FALSE,"022-97";#N/A,#N/A,FALSE,"028-97"}</definedName>
    <definedName name="SDFSF" localSheetId="8" hidden="1">{#N/A,#N/A,FALSE,"GERAL";#N/A,#N/A,FALSE,"012-96";#N/A,#N/A,FALSE,"018-96";#N/A,#N/A,FALSE,"027-96";#N/A,#N/A,FALSE,"059-96";#N/A,#N/A,FALSE,"076-96";#N/A,#N/A,FALSE,"019-97";#N/A,#N/A,FALSE,"021-97";#N/A,#N/A,FALSE,"022-97";#N/A,#N/A,FALSE,"028-97"}</definedName>
    <definedName name="sdfsf" localSheetId="2" hidden="1">{#N/A,#N/A,FALSE,"Plan1";#N/A,#N/A,FALSE,"Plan2"}</definedName>
    <definedName name="SDFSF" localSheetId="9" hidden="1">{#N/A,#N/A,FALSE,"GERAL";#N/A,#N/A,FALSE,"012-96";#N/A,#N/A,FALSE,"018-96";#N/A,#N/A,FALSE,"027-96";#N/A,#N/A,FALSE,"059-96";#N/A,#N/A,FALSE,"076-96";#N/A,#N/A,FALSE,"019-97";#N/A,#N/A,FALSE,"021-97";#N/A,#N/A,FALSE,"022-97";#N/A,#N/A,FALSE,"028-97"}</definedName>
    <definedName name="SDFSF" localSheetId="13" hidden="1">{#N/A,#N/A,FALSE,"GERAL";#N/A,#N/A,FALSE,"012-96";#N/A,#N/A,FALSE,"018-96";#N/A,#N/A,FALSE,"027-96";#N/A,#N/A,FALSE,"059-96";#N/A,#N/A,FALSE,"076-96";#N/A,#N/A,FALSE,"019-97";#N/A,#N/A,FALSE,"021-97";#N/A,#N/A,FALSE,"022-97";#N/A,#N/A,FALSE,"028-97"}</definedName>
    <definedName name="sdfsf" localSheetId="0" hidden="1">{#N/A,#N/A,FALSE,"Plan1";#N/A,#N/A,FALSE,"Plan2"}</definedName>
    <definedName name="SDFSF" hidden="1">{#N/A,#N/A,FALSE,"GERAL";#N/A,#N/A,FALSE,"012-96";#N/A,#N/A,FALSE,"018-96";#N/A,#N/A,FALSE,"027-96";#N/A,#N/A,FALSE,"059-96";#N/A,#N/A,FALSE,"076-96";#N/A,#N/A,FALSE,"019-97";#N/A,#N/A,FALSE,"021-97";#N/A,#N/A,FALSE,"022-97";#N/A,#N/A,FALSE,"028-97"}</definedName>
    <definedName name="SDFSFRT" localSheetId="3" hidden="1">{"Econ Consolidado",#N/A,FALSE,"Econ Consol";"Fluxo de Caixa",#N/A,FALSE,"Fluxo Caixa";"Investimentos",#N/A,FALSE,"Investimentos"}</definedName>
    <definedName name="SDFSFRT" localSheetId="8" hidden="1">{"Econ Consolidado",#N/A,FALSE,"Econ Consol";"Fluxo de Caixa",#N/A,FALSE,"Fluxo Caixa";"Investimentos",#N/A,FALSE,"Investimentos"}</definedName>
    <definedName name="SDFSFRT" localSheetId="2" hidden="1">{"Econ Consolidado",#N/A,FALSE,"Econ Consol";"Fluxo de Caixa",#N/A,FALSE,"Fluxo Caixa";"Investimentos",#N/A,FALSE,"Investimentos"}</definedName>
    <definedName name="SDFSFRT" localSheetId="9" hidden="1">{"Econ Consolidado",#N/A,FALSE,"Econ Consol";"Fluxo de Caixa",#N/A,FALSE,"Fluxo Caixa";"Investimentos",#N/A,FALSE,"Investimentos"}</definedName>
    <definedName name="SDFSFRT" localSheetId="13" hidden="1">{"Econ Consolidado",#N/A,FALSE,"Econ Consol";"Fluxo de Caixa",#N/A,FALSE,"Fluxo Caixa";"Investimentos",#N/A,FALSE,"Investimentos"}</definedName>
    <definedName name="SDFSFRT" localSheetId="0" hidden="1">{"Econ Consolidado",#N/A,FALSE,"Econ Consol";"Fluxo de Caixa",#N/A,FALSE,"Fluxo Caixa";"Investimentos",#N/A,FALSE,"Investimentos"}</definedName>
    <definedName name="SDFSFRT" hidden="1">{"Econ Consolidado",#N/A,FALSE,"Econ Consol";"Fluxo de Caixa",#N/A,FALSE,"Fluxo Caixa";"Investimentos",#N/A,FALSE,"Investimentos"}</definedName>
    <definedName name="sdfsr" localSheetId="3" hidden="1">{#N/A,#N/A,FALSE,"Plan1";#N/A,#N/A,FALSE,"Plan2"}</definedName>
    <definedName name="sdfsr" localSheetId="8" hidden="1">{#N/A,#N/A,FALSE,"Plan1";#N/A,#N/A,FALSE,"Plan2"}</definedName>
    <definedName name="sdfsr" localSheetId="2" hidden="1">{#N/A,#N/A,FALSE,"Plan1";#N/A,#N/A,FALSE,"Plan2"}</definedName>
    <definedName name="sdfsr" localSheetId="9" hidden="1">{#N/A,#N/A,FALSE,"Plan1";#N/A,#N/A,FALSE,"Plan2"}</definedName>
    <definedName name="sdfsr" localSheetId="13" hidden="1">{#N/A,#N/A,FALSE,"Plan1";#N/A,#N/A,FALSE,"Plan2"}</definedName>
    <definedName name="sdfsr" localSheetId="0" hidden="1">{#N/A,#N/A,FALSE,"Plan1";#N/A,#N/A,FALSE,"Plan2"}</definedName>
    <definedName name="sdfsr" hidden="1">{#N/A,#N/A,FALSE,"Plan1";#N/A,#N/A,FALSE,"Plan2"}</definedName>
    <definedName name="sdfty" localSheetId="3" hidden="1">{#N/A,#N/A,FALSE,"Plan1";#N/A,#N/A,FALSE,"Plan2"}</definedName>
    <definedName name="sdfty" localSheetId="8" hidden="1">{#N/A,#N/A,FALSE,"Plan1";#N/A,#N/A,FALSE,"Plan2"}</definedName>
    <definedName name="sdfty" localSheetId="2" hidden="1">{#N/A,#N/A,FALSE,"Plan1";#N/A,#N/A,FALSE,"Plan2"}</definedName>
    <definedName name="sdfty" localSheetId="9" hidden="1">{#N/A,#N/A,FALSE,"Plan1";#N/A,#N/A,FALSE,"Plan2"}</definedName>
    <definedName name="sdfty" localSheetId="13" hidden="1">{#N/A,#N/A,FALSE,"Plan1";#N/A,#N/A,FALSE,"Plan2"}</definedName>
    <definedName name="sdfty" localSheetId="0" hidden="1">{#N/A,#N/A,FALSE,"Plan1";#N/A,#N/A,FALSE,"Plan2"}</definedName>
    <definedName name="sdfty" hidden="1">{#N/A,#N/A,FALSE,"Plan1";#N/A,#N/A,FALSE,"Plan2"}</definedName>
    <definedName name="sdgdf" localSheetId="3" hidden="1">{#N/A,#N/A,FALSE,"Plan1";#N/A,#N/A,FALSE,"Plan2"}</definedName>
    <definedName name="sdgdf" localSheetId="8" hidden="1">{#N/A,#N/A,FALSE,"Plan1";#N/A,#N/A,FALSE,"Plan2"}</definedName>
    <definedName name="sdgdf" localSheetId="2" hidden="1">{#N/A,#N/A,FALSE,"Plan1";#N/A,#N/A,FALSE,"Plan2"}</definedName>
    <definedName name="sdgdf" localSheetId="9" hidden="1">{#N/A,#N/A,FALSE,"Plan1";#N/A,#N/A,FALSE,"Plan2"}</definedName>
    <definedName name="sdgdf" localSheetId="13" hidden="1">{#N/A,#N/A,FALSE,"Plan1";#N/A,#N/A,FALSE,"Plan2"}</definedName>
    <definedName name="sdgdf" localSheetId="0" hidden="1">{#N/A,#N/A,FALSE,"Plan1";#N/A,#N/A,FALSE,"Plan2"}</definedName>
    <definedName name="sdgdf" hidden="1">{#N/A,#N/A,FALSE,"Plan1";#N/A,#N/A,FALSE,"Plan2"}</definedName>
    <definedName name="sdgfrt" localSheetId="3" hidden="1">{#N/A,#N/A,FALSE,"Plan1";#N/A,#N/A,FALSE,"Plan2"}</definedName>
    <definedName name="sdgfrt" localSheetId="8" hidden="1">{#N/A,#N/A,FALSE,"Plan1";#N/A,#N/A,FALSE,"Plan2"}</definedName>
    <definedName name="sdgfrt" localSheetId="2" hidden="1">{#N/A,#N/A,FALSE,"Plan1";#N/A,#N/A,FALSE,"Plan2"}</definedName>
    <definedName name="sdgfrt" localSheetId="9" hidden="1">{#N/A,#N/A,FALSE,"Plan1";#N/A,#N/A,FALSE,"Plan2"}</definedName>
    <definedName name="sdgfrt" localSheetId="13" hidden="1">{#N/A,#N/A,FALSE,"Plan1";#N/A,#N/A,FALSE,"Plan2"}</definedName>
    <definedName name="sdgfrt" localSheetId="0" hidden="1">{#N/A,#N/A,FALSE,"Plan1";#N/A,#N/A,FALSE,"Plan2"}</definedName>
    <definedName name="sdgfrt" hidden="1">{#N/A,#N/A,FALSE,"Plan1";#N/A,#N/A,FALSE,"Plan2"}</definedName>
    <definedName name="sdgft" localSheetId="3" hidden="1">{#N/A,#N/A,FALSE,"Plan1";#N/A,#N/A,FALSE,"Plan2"}</definedName>
    <definedName name="sdgft" localSheetId="8" hidden="1">{#N/A,#N/A,FALSE,"Plan1";#N/A,#N/A,FALSE,"Plan2"}</definedName>
    <definedName name="sdgft" localSheetId="2" hidden="1">{#N/A,#N/A,FALSE,"Plan1";#N/A,#N/A,FALSE,"Plan2"}</definedName>
    <definedName name="sdgft" localSheetId="9" hidden="1">{#N/A,#N/A,FALSE,"Plan1";#N/A,#N/A,FALSE,"Plan2"}</definedName>
    <definedName name="sdgft" localSheetId="13" hidden="1">{#N/A,#N/A,FALSE,"Plan1";#N/A,#N/A,FALSE,"Plan2"}</definedName>
    <definedName name="sdgft" localSheetId="0" hidden="1">{#N/A,#N/A,FALSE,"Plan1";#N/A,#N/A,FALSE,"Plan2"}</definedName>
    <definedName name="sdgft" hidden="1">{#N/A,#N/A,FALSE,"Plan1";#N/A,#N/A,FALSE,"Plan2"}</definedName>
    <definedName name="sdgt" localSheetId="3" hidden="1">{#N/A,#N/A,FALSE,"Plan1";#N/A,#N/A,FALSE,"Plan2"}</definedName>
    <definedName name="sdgt" localSheetId="8" hidden="1">{#N/A,#N/A,FALSE,"Plan1";#N/A,#N/A,FALSE,"Plan2"}</definedName>
    <definedName name="sdgt" localSheetId="2" hidden="1">{#N/A,#N/A,FALSE,"Plan1";#N/A,#N/A,FALSE,"Plan2"}</definedName>
    <definedName name="sdgt" localSheetId="9" hidden="1">{#N/A,#N/A,FALSE,"Plan1";#N/A,#N/A,FALSE,"Plan2"}</definedName>
    <definedName name="sdgt" localSheetId="13" hidden="1">{#N/A,#N/A,FALSE,"Plan1";#N/A,#N/A,FALSE,"Plan2"}</definedName>
    <definedName name="sdgt" localSheetId="0" hidden="1">{#N/A,#N/A,FALSE,"Plan1";#N/A,#N/A,FALSE,"Plan2"}</definedName>
    <definedName name="sdgt" hidden="1">{#N/A,#N/A,FALSE,"Plan1";#N/A,#N/A,FALSE,"Plan2"}</definedName>
    <definedName name="sdgtry" localSheetId="3" hidden="1">#REF!</definedName>
    <definedName name="sdgtry" localSheetId="8" hidden="1">#REF!</definedName>
    <definedName name="sdgtry" localSheetId="2" hidden="1">#REF!</definedName>
    <definedName name="sdgtry" localSheetId="9" hidden="1">#REF!</definedName>
    <definedName name="sdgtry" localSheetId="13" hidden="1">#REF!</definedName>
    <definedName name="sdgtry" localSheetId="0" hidden="1">#REF!</definedName>
    <definedName name="sdgtry" hidden="1">#REF!</definedName>
    <definedName name="sdhfghdsfg" localSheetId="3" hidden="1">{#N/A,#N/A,FALSE,"Plan1";#N/A,#N/A,FALSE,"Plan2"}</definedName>
    <definedName name="sdhfghdsfg" localSheetId="8" hidden="1">{#N/A,#N/A,FALSE,"Plan1";#N/A,#N/A,FALSE,"Plan2"}</definedName>
    <definedName name="sdhfghdsfg" localSheetId="2" hidden="1">{#N/A,#N/A,FALSE,"Plan1";#N/A,#N/A,FALSE,"Plan2"}</definedName>
    <definedName name="sdhfghdsfg" localSheetId="9" hidden="1">{#N/A,#N/A,FALSE,"Plan1";#N/A,#N/A,FALSE,"Plan2"}</definedName>
    <definedName name="sdhfghdsfg" localSheetId="13" hidden="1">{#N/A,#N/A,FALSE,"Plan1";#N/A,#N/A,FALSE,"Plan2"}</definedName>
    <definedName name="sdhfghdsfg" localSheetId="0" hidden="1">{#N/A,#N/A,FALSE,"Plan1";#N/A,#N/A,FALSE,"Plan2"}</definedName>
    <definedName name="sdhfghdsfg" hidden="1">{#N/A,#N/A,FALSE,"Plan1";#N/A,#N/A,FALSE,"Plan2"}</definedName>
    <definedName name="SDHFJKHDFJRE" localSheetId="3" hidden="1">{#N/A,#N/A,FALSE,"Plan1";#N/A,#N/A,FALSE,"Plan2"}</definedName>
    <definedName name="SDHFJKHDFJRE" localSheetId="8" hidden="1">{#N/A,#N/A,FALSE,"Plan1";#N/A,#N/A,FALSE,"Plan2"}</definedName>
    <definedName name="SDHFJKHDFJRE" localSheetId="2" hidden="1">{#N/A,#N/A,FALSE,"Plan1";#N/A,#N/A,FALSE,"Plan2"}</definedName>
    <definedName name="SDHFJKHDFJRE" localSheetId="9" hidden="1">{#N/A,#N/A,FALSE,"Plan1";#N/A,#N/A,FALSE,"Plan2"}</definedName>
    <definedName name="SDHFJKHDFJRE" localSheetId="13" hidden="1">{#N/A,#N/A,FALSE,"Plan1";#N/A,#N/A,FALSE,"Plan2"}</definedName>
    <definedName name="SDHFJKHDFJRE" localSheetId="0" hidden="1">{#N/A,#N/A,FALSE,"Plan1";#N/A,#N/A,FALSE,"Plan2"}</definedName>
    <definedName name="SDHFJKHDFJRE" hidden="1">{#N/A,#N/A,FALSE,"Plan1";#N/A,#N/A,FALSE,"Plan2"}</definedName>
    <definedName name="SDHKFDRKGTR" localSheetId="3" hidden="1">{#N/A,#N/A,FALSE,"Plan1";#N/A,#N/A,FALSE,"Plan2"}</definedName>
    <definedName name="SDHKFDRKGTR" localSheetId="8" hidden="1">{#N/A,#N/A,FALSE,"Plan1";#N/A,#N/A,FALSE,"Plan2"}</definedName>
    <definedName name="SDHKFDRKGTR" localSheetId="2" hidden="1">{#N/A,#N/A,FALSE,"Plan1";#N/A,#N/A,FALSE,"Plan2"}</definedName>
    <definedName name="SDHKFDRKGTR" localSheetId="9" hidden="1">{#N/A,#N/A,FALSE,"Plan1";#N/A,#N/A,FALSE,"Plan2"}</definedName>
    <definedName name="SDHKFDRKGTR" localSheetId="13" hidden="1">{#N/A,#N/A,FALSE,"Plan1";#N/A,#N/A,FALSE,"Plan2"}</definedName>
    <definedName name="SDHKFDRKGTR" localSheetId="0" hidden="1">{#N/A,#N/A,FALSE,"Plan1";#N/A,#N/A,FALSE,"Plan2"}</definedName>
    <definedName name="SDHKFDRKGTR" hidden="1">{#N/A,#N/A,FALSE,"Plan1";#N/A,#N/A,FALSE,"Plan2"}</definedName>
    <definedName name="sdjdswger" localSheetId="3" hidden="1">{#N/A,#N/A,FALSE,"Plan1";#N/A,#N/A,FALSE,"Plan2"}</definedName>
    <definedName name="sdjdswger" localSheetId="8" hidden="1">{#N/A,#N/A,FALSE,"Plan1";#N/A,#N/A,FALSE,"Plan2"}</definedName>
    <definedName name="sdjdswger" localSheetId="2" hidden="1">{#N/A,#N/A,FALSE,"Plan1";#N/A,#N/A,FALSE,"Plan2"}</definedName>
    <definedName name="sdjdswger" localSheetId="9" hidden="1">{#N/A,#N/A,FALSE,"Plan1";#N/A,#N/A,FALSE,"Plan2"}</definedName>
    <definedName name="sdjdswger" localSheetId="13" hidden="1">{#N/A,#N/A,FALSE,"Plan1";#N/A,#N/A,FALSE,"Plan2"}</definedName>
    <definedName name="sdjdswger" localSheetId="0" hidden="1">{#N/A,#N/A,FALSE,"Plan1";#N/A,#N/A,FALSE,"Plan2"}</definedName>
    <definedName name="sdjdswger" hidden="1">{#N/A,#N/A,FALSE,"Plan1";#N/A,#N/A,FALSE,"Plan2"}</definedName>
    <definedName name="sdjfdf" localSheetId="3" hidden="1">{#N/A,#N/A,FALSE,"Plan1";#N/A,#N/A,FALSE,"Plan2"}</definedName>
    <definedName name="sdjfdf" localSheetId="8" hidden="1">{#N/A,#N/A,FALSE,"Plan1";#N/A,#N/A,FALSE,"Plan2"}</definedName>
    <definedName name="sdjfdf" localSheetId="2" hidden="1">{#N/A,#N/A,FALSE,"Plan1";#N/A,#N/A,FALSE,"Plan2"}</definedName>
    <definedName name="sdjfdf" localSheetId="9" hidden="1">{#N/A,#N/A,FALSE,"Plan1";#N/A,#N/A,FALSE,"Plan2"}</definedName>
    <definedName name="sdjfdf" localSheetId="13" hidden="1">{#N/A,#N/A,FALSE,"Plan1";#N/A,#N/A,FALSE,"Plan2"}</definedName>
    <definedName name="sdjfdf" localSheetId="0" hidden="1">{#N/A,#N/A,FALSE,"Plan1";#N/A,#N/A,FALSE,"Plan2"}</definedName>
    <definedName name="sdjfdf" hidden="1">{#N/A,#N/A,FALSE,"Plan1";#N/A,#N/A,FALSE,"Plan2"}</definedName>
    <definedName name="sdjfhdjk" localSheetId="3" hidden="1">{#N/A,#N/A,FALSE,"Plan1";#N/A,#N/A,FALSE,"Plan2"}</definedName>
    <definedName name="sdjfhdjk" localSheetId="8" hidden="1">{#N/A,#N/A,FALSE,"Plan1";#N/A,#N/A,FALSE,"Plan2"}</definedName>
    <definedName name="sdjfhdjk" localSheetId="2" hidden="1">{#N/A,#N/A,FALSE,"Plan1";#N/A,#N/A,FALSE,"Plan2"}</definedName>
    <definedName name="sdjfhdjk" localSheetId="9" hidden="1">{#N/A,#N/A,FALSE,"Plan1";#N/A,#N/A,FALSE,"Plan2"}</definedName>
    <definedName name="sdjfhdjk" localSheetId="13" hidden="1">{#N/A,#N/A,FALSE,"Plan1";#N/A,#N/A,FALSE,"Plan2"}</definedName>
    <definedName name="sdjfhdjk" localSheetId="0" hidden="1">{#N/A,#N/A,FALSE,"Plan1";#N/A,#N/A,FALSE,"Plan2"}</definedName>
    <definedName name="sdjfhdjk" hidden="1">{#N/A,#N/A,FALSE,"Plan1";#N/A,#N/A,FALSE,"Plan2"}</definedName>
    <definedName name="SDJFJDER" localSheetId="3" hidden="1">{#N/A,#N/A,FALSE,"Plan1";#N/A,#N/A,FALSE,"Plan2"}</definedName>
    <definedName name="SDJFJDER" localSheetId="8" hidden="1">{#N/A,#N/A,FALSE,"Plan1";#N/A,#N/A,FALSE,"Plan2"}</definedName>
    <definedName name="SDJFJDER" localSheetId="2" hidden="1">{#N/A,#N/A,FALSE,"Plan1";#N/A,#N/A,FALSE,"Plan2"}</definedName>
    <definedName name="SDJFJDER" localSheetId="9" hidden="1">{#N/A,#N/A,FALSE,"Plan1";#N/A,#N/A,FALSE,"Plan2"}</definedName>
    <definedName name="SDJFJDER" localSheetId="13" hidden="1">{#N/A,#N/A,FALSE,"Plan1";#N/A,#N/A,FALSE,"Plan2"}</definedName>
    <definedName name="SDJFJDER" localSheetId="0" hidden="1">{#N/A,#N/A,FALSE,"Plan1";#N/A,#N/A,FALSE,"Plan2"}</definedName>
    <definedName name="SDJFJDER" hidden="1">{#N/A,#N/A,FALSE,"Plan1";#N/A,#N/A,FALSE,"Plan2"}</definedName>
    <definedName name="sdjflsdjfl" localSheetId="3" hidden="1">{#N/A,#N/A,FALSE,"Plan1";#N/A,#N/A,FALSE,"Plan2"}</definedName>
    <definedName name="sdjflsdjfl" localSheetId="8" hidden="1">{#N/A,#N/A,FALSE,"Plan1";#N/A,#N/A,FALSE,"Plan2"}</definedName>
    <definedName name="sdjflsdjfl" localSheetId="2" hidden="1">{#N/A,#N/A,FALSE,"Plan1";#N/A,#N/A,FALSE,"Plan2"}</definedName>
    <definedName name="sdjflsdjfl" localSheetId="9" hidden="1">{#N/A,#N/A,FALSE,"Plan1";#N/A,#N/A,FALSE,"Plan2"}</definedName>
    <definedName name="sdjflsdjfl" localSheetId="13" hidden="1">{#N/A,#N/A,FALSE,"Plan1";#N/A,#N/A,FALSE,"Plan2"}</definedName>
    <definedName name="sdjflsdjfl" localSheetId="0" hidden="1">{#N/A,#N/A,FALSE,"Plan1";#N/A,#N/A,FALSE,"Plan2"}</definedName>
    <definedName name="sdjflsdjfl" hidden="1">{#N/A,#N/A,FALSE,"Plan1";#N/A,#N/A,FALSE,"Plan2"}</definedName>
    <definedName name="SDJHF" localSheetId="3" hidden="1">{#N/A,#N/A,FALSE,"Plan1";#N/A,#N/A,FALSE,"Plan2"}</definedName>
    <definedName name="SDJHF" localSheetId="8" hidden="1">{#N/A,#N/A,FALSE,"Plan1";#N/A,#N/A,FALSE,"Plan2"}</definedName>
    <definedName name="SDJHF" localSheetId="2" hidden="1">{#N/A,#N/A,FALSE,"Plan1";#N/A,#N/A,FALSE,"Plan2"}</definedName>
    <definedName name="SDJHF" localSheetId="9" hidden="1">{#N/A,#N/A,FALSE,"Plan1";#N/A,#N/A,FALSE,"Plan2"}</definedName>
    <definedName name="SDJHF" localSheetId="13" hidden="1">{#N/A,#N/A,FALSE,"Plan1";#N/A,#N/A,FALSE,"Plan2"}</definedName>
    <definedName name="SDJHF" localSheetId="0" hidden="1">{#N/A,#N/A,FALSE,"Plan1";#N/A,#N/A,FALSE,"Plan2"}</definedName>
    <definedName name="SDJHF" hidden="1">{#N/A,#N/A,FALSE,"Plan1";#N/A,#N/A,FALSE,"Plan2"}</definedName>
    <definedName name="sdjrderertrr" localSheetId="3" hidden="1">{#N/A,#N/A,FALSE,"Plan1";#N/A,#N/A,FALSE,"Plan2"}</definedName>
    <definedName name="sdjrderertrr" localSheetId="8" hidden="1">{#N/A,#N/A,FALSE,"Plan1";#N/A,#N/A,FALSE,"Plan2"}</definedName>
    <definedName name="sdjrderertrr" localSheetId="2" hidden="1">{#N/A,#N/A,FALSE,"Plan1";#N/A,#N/A,FALSE,"Plan2"}</definedName>
    <definedName name="sdjrderertrr" localSheetId="9" hidden="1">{#N/A,#N/A,FALSE,"Plan1";#N/A,#N/A,FALSE,"Plan2"}</definedName>
    <definedName name="sdjrderertrr" localSheetId="13" hidden="1">{#N/A,#N/A,FALSE,"Plan1";#N/A,#N/A,FALSE,"Plan2"}</definedName>
    <definedName name="sdjrderertrr" localSheetId="0" hidden="1">{#N/A,#N/A,FALSE,"Plan1";#N/A,#N/A,FALSE,"Plan2"}</definedName>
    <definedName name="sdjrderertrr" hidden="1">{#N/A,#N/A,FALSE,"Plan1";#N/A,#N/A,FALSE,"Plan2"}</definedName>
    <definedName name="sdkdjk" localSheetId="3" hidden="1">{#N/A,#N/A,FALSE,"Plan1";#N/A,#N/A,FALSE,"Plan2"}</definedName>
    <definedName name="sdkdjk" localSheetId="8" hidden="1">{#N/A,#N/A,FALSE,"Plan1";#N/A,#N/A,FALSE,"Plan2"}</definedName>
    <definedName name="sdkdjk" localSheetId="2" hidden="1">{#N/A,#N/A,FALSE,"Plan1";#N/A,#N/A,FALSE,"Plan2"}</definedName>
    <definedName name="sdkdjk" localSheetId="9" hidden="1">{#N/A,#N/A,FALSE,"Plan1";#N/A,#N/A,FALSE,"Plan2"}</definedName>
    <definedName name="sdkdjk" localSheetId="13" hidden="1">{#N/A,#N/A,FALSE,"Plan1";#N/A,#N/A,FALSE,"Plan2"}</definedName>
    <definedName name="sdkdjk" localSheetId="0" hidden="1">{#N/A,#N/A,FALSE,"Plan1";#N/A,#N/A,FALSE,"Plan2"}</definedName>
    <definedName name="sdkdjk" hidden="1">{#N/A,#N/A,FALSE,"Plan1";#N/A,#N/A,FALSE,"Plan2"}</definedName>
    <definedName name="sdkfjhkdgfhk"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kfjhkdgfhk" hidden="1">{TRUE,TRUE,-1.25,-15.5,604.5,366.75,FALSE,FALSE,TRUE,TRUE,0,1,#N/A,1,#N/A,9.0125,24.4117647058824,1,FALSE,FALSE,3,TRUE,1,FALSE,100,"Swvu.PLANILHA2.","ACwvu.PLANILHA2.",#N/A,FALSE,FALSE,0.787401575,0.34,0.46,0.5,1,"","",FALSE,FALSE,FALSE,FALSE,1,#N/A,1,1,FALSE,FALSE,#N/A,#N/A,FALSE,FALSE,FALSE,9,65532,65532,FALSE,FALSE,TRUE,TRUE,TRUE}</definedName>
    <definedName name="sdkfnjd" localSheetId="3" hidden="1">{#N/A,#N/A,FALSE,"Plan1";#N/A,#N/A,FALSE,"Plan2"}</definedName>
    <definedName name="sdkfnjd" localSheetId="8" hidden="1">{#N/A,#N/A,FALSE,"Plan1";#N/A,#N/A,FALSE,"Plan2"}</definedName>
    <definedName name="sdkfnjd" localSheetId="2" hidden="1">{#N/A,#N/A,FALSE,"Plan1";#N/A,#N/A,FALSE,"Plan2"}</definedName>
    <definedName name="sdkfnjd" localSheetId="9" hidden="1">{#N/A,#N/A,FALSE,"Plan1";#N/A,#N/A,FALSE,"Plan2"}</definedName>
    <definedName name="sdkfnjd" localSheetId="13" hidden="1">{#N/A,#N/A,FALSE,"Plan1";#N/A,#N/A,FALSE,"Plan2"}</definedName>
    <definedName name="sdkfnjd" localSheetId="0" hidden="1">{#N/A,#N/A,FALSE,"Plan1";#N/A,#N/A,FALSE,"Plan2"}</definedName>
    <definedName name="sdkfnjd" hidden="1">{#N/A,#N/A,FALSE,"Plan1";#N/A,#N/A,FALSE,"Plan2"}</definedName>
    <definedName name="sdkk" localSheetId="3" hidden="1">{#N/A,#N/A,FALSE,"Plan1";#N/A,#N/A,FALSE,"Plan2"}</definedName>
    <definedName name="sdkk" localSheetId="8" hidden="1">{#N/A,#N/A,FALSE,"Plan1";#N/A,#N/A,FALSE,"Plan2"}</definedName>
    <definedName name="sdkk" localSheetId="2" hidden="1">{#N/A,#N/A,FALSE,"Plan1";#N/A,#N/A,FALSE,"Plan2"}</definedName>
    <definedName name="sdkk" localSheetId="9" hidden="1">{#N/A,#N/A,FALSE,"Plan1";#N/A,#N/A,FALSE,"Plan2"}</definedName>
    <definedName name="sdkk" localSheetId="13" hidden="1">{#N/A,#N/A,FALSE,"Plan1";#N/A,#N/A,FALSE,"Plan2"}</definedName>
    <definedName name="sdkk" localSheetId="0" hidden="1">{#N/A,#N/A,FALSE,"Plan1";#N/A,#N/A,FALSE,"Plan2"}</definedName>
    <definedName name="sdkk" hidden="1">{#N/A,#N/A,FALSE,"Plan1";#N/A,#N/A,FALSE,"Plan2"}</definedName>
    <definedName name="sdlfsdflj" localSheetId="3" hidden="1">{#N/A,#N/A,FALSE,"Plan1";#N/A,#N/A,FALSE,"Plan2"}</definedName>
    <definedName name="sdlfsdflj" localSheetId="8" hidden="1">{#N/A,#N/A,FALSE,"Plan1";#N/A,#N/A,FALSE,"Plan2"}</definedName>
    <definedName name="sdlfsdflj" localSheetId="2" hidden="1">{#N/A,#N/A,FALSE,"Plan1";#N/A,#N/A,FALSE,"Plan2"}</definedName>
    <definedName name="sdlfsdflj" localSheetId="9" hidden="1">{#N/A,#N/A,FALSE,"Plan1";#N/A,#N/A,FALSE,"Plan2"}</definedName>
    <definedName name="sdlfsdflj" localSheetId="13" hidden="1">{#N/A,#N/A,FALSE,"Plan1";#N/A,#N/A,FALSE,"Plan2"}</definedName>
    <definedName name="sdlfsdflj" localSheetId="0" hidden="1">{#N/A,#N/A,FALSE,"Plan1";#N/A,#N/A,FALSE,"Plan2"}</definedName>
    <definedName name="sdlfsdflj" hidden="1">{#N/A,#N/A,FALSE,"Plan1";#N/A,#N/A,FALSE,"Plan2"}</definedName>
    <definedName name="sdmfmdfsgfd" localSheetId="3" hidden="1">{#N/A,#N/A,FALSE,"Plan1";#N/A,#N/A,FALSE,"Plan2"}</definedName>
    <definedName name="sdmfmdfsgfd" localSheetId="8" hidden="1">{#N/A,#N/A,FALSE,"Plan1";#N/A,#N/A,FALSE,"Plan2"}</definedName>
    <definedName name="sdmfmdfsgfd" localSheetId="2" hidden="1">{#N/A,#N/A,FALSE,"Plan1";#N/A,#N/A,FALSE,"Plan2"}</definedName>
    <definedName name="sdmfmdfsgfd" localSheetId="9" hidden="1">{#N/A,#N/A,FALSE,"Plan1";#N/A,#N/A,FALSE,"Plan2"}</definedName>
    <definedName name="sdmfmdfsgfd" localSheetId="13" hidden="1">{#N/A,#N/A,FALSE,"Plan1";#N/A,#N/A,FALSE,"Plan2"}</definedName>
    <definedName name="sdmfmdfsgfd" localSheetId="0" hidden="1">{#N/A,#N/A,FALSE,"Plan1";#N/A,#N/A,FALSE,"Plan2"}</definedName>
    <definedName name="sdmfmdfsgfd" hidden="1">{#N/A,#N/A,FALSE,"Plan1";#N/A,#N/A,FALSE,"Plan2"}</definedName>
    <definedName name="sd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r" hidden="1">{TRUE,TRUE,-1.25,-15.5,604.5,366.75,FALSE,FALSE,TRUE,TRUE,0,1,#N/A,1,#N/A,9.0125,24.4117647058824,1,FALSE,FALSE,3,TRUE,1,FALSE,100,"Swvu.PLANILHA2.","ACwvu.PLANILHA2.",#N/A,FALSE,FALSE,0.787401575,0.34,0.46,0.5,1,"","",FALSE,FALSE,FALSE,FALSE,1,#N/A,1,1,FALSE,FALSE,#N/A,#N/A,FALSE,FALSE,FALSE,9,65532,65532,FALSE,FALSE,TRUE,TRUE,TRUE}</definedName>
    <definedName name="sdrfgt" localSheetId="3" hidden="1">{#N/A,#N/A,FALSE,"Plan1";#N/A,#N/A,FALSE,"Plan2"}</definedName>
    <definedName name="sdrfgt" localSheetId="8" hidden="1">{#N/A,#N/A,FALSE,"Plan1";#N/A,#N/A,FALSE,"Plan2"}</definedName>
    <definedName name="sdrfgt" localSheetId="2" hidden="1">{#N/A,#N/A,FALSE,"Plan1";#N/A,#N/A,FALSE,"Plan2"}</definedName>
    <definedName name="sdrfgt" localSheetId="9" hidden="1">{#N/A,#N/A,FALSE,"Plan1";#N/A,#N/A,FALSE,"Plan2"}</definedName>
    <definedName name="sdrfgt" localSheetId="13" hidden="1">{#N/A,#N/A,FALSE,"Plan1";#N/A,#N/A,FALSE,"Plan2"}</definedName>
    <definedName name="sdrfgt" localSheetId="0" hidden="1">{#N/A,#N/A,FALSE,"Plan1";#N/A,#N/A,FALSE,"Plan2"}</definedName>
    <definedName name="sdrfgt" hidden="1">{#N/A,#N/A,FALSE,"Plan1";#N/A,#N/A,FALSE,"Plan2"}</definedName>
    <definedName name="sdsd" localSheetId="3" hidden="1">{#N/A,#N/A,FALSE,"Plan1";#N/A,#N/A,FALSE,"Plan2"}</definedName>
    <definedName name="sdsd" localSheetId="8" hidden="1">{#N/A,#N/A,FALSE,"Plan1";#N/A,#N/A,FALSE,"Plan2"}</definedName>
    <definedName name="sdsd" localSheetId="2" hidden="1">{#N/A,#N/A,FALSE,"Plan1";#N/A,#N/A,FALSE,"Plan2"}</definedName>
    <definedName name="sdsd" localSheetId="9" hidden="1">{#N/A,#N/A,FALSE,"Plan1";#N/A,#N/A,FALSE,"Plan2"}</definedName>
    <definedName name="sdsd" localSheetId="13" hidden="1">{#N/A,#N/A,FALSE,"Plan1";#N/A,#N/A,FALSE,"Plan2"}</definedName>
    <definedName name="sdsd" localSheetId="0" hidden="1">{#N/A,#N/A,FALSE,"Plan1";#N/A,#N/A,FALSE,"Plan2"}</definedName>
    <definedName name="sdsd" hidden="1">{#N/A,#N/A,FALSE,"Plan1";#N/A,#N/A,FALSE,"Plan2"}</definedName>
    <definedName name="sdser" localSheetId="3" hidden="1">{#N/A,#N/A,FALSE,"Plan1";#N/A,#N/A,FALSE,"Plan2"}</definedName>
    <definedName name="sdser" localSheetId="8" hidden="1">{#N/A,#N/A,FALSE,"Plan1";#N/A,#N/A,FALSE,"Plan2"}</definedName>
    <definedName name="sdser" localSheetId="2" hidden="1">{#N/A,#N/A,FALSE,"Plan1";#N/A,#N/A,FALSE,"Plan2"}</definedName>
    <definedName name="sdser" localSheetId="9" hidden="1">{#N/A,#N/A,FALSE,"Plan1";#N/A,#N/A,FALSE,"Plan2"}</definedName>
    <definedName name="sdser" localSheetId="13" hidden="1">{#N/A,#N/A,FALSE,"Plan1";#N/A,#N/A,FALSE,"Plan2"}</definedName>
    <definedName name="sdser" localSheetId="0" hidden="1">{#N/A,#N/A,FALSE,"Plan1";#N/A,#N/A,FALSE,"Plan2"}</definedName>
    <definedName name="sdser" hidden="1">{#N/A,#N/A,FALSE,"Plan1";#N/A,#N/A,FALSE,"Plan2"}</definedName>
    <definedName name="sdsre" localSheetId="3" hidden="1">{#N/A,#N/A,FALSE,"Plan1";#N/A,#N/A,FALSE,"Plan2"}</definedName>
    <definedName name="sdsre" localSheetId="8" hidden="1">{#N/A,#N/A,FALSE,"Plan1";#N/A,#N/A,FALSE,"Plan2"}</definedName>
    <definedName name="sdsre" localSheetId="2" hidden="1">{#N/A,#N/A,FALSE,"Plan1";#N/A,#N/A,FALSE,"Plan2"}</definedName>
    <definedName name="sdsre" localSheetId="9" hidden="1">{#N/A,#N/A,FALSE,"Plan1";#N/A,#N/A,FALSE,"Plan2"}</definedName>
    <definedName name="sdsre" localSheetId="13" hidden="1">{#N/A,#N/A,FALSE,"Plan1";#N/A,#N/A,FALSE,"Plan2"}</definedName>
    <definedName name="sdsre" localSheetId="0" hidden="1">{#N/A,#N/A,FALSE,"Plan1";#N/A,#N/A,FALSE,"Plan2"}</definedName>
    <definedName name="sdsre" hidden="1">{#N/A,#N/A,FALSE,"Plan1";#N/A,#N/A,FALSE,"Plan2"}</definedName>
    <definedName name="sdss" localSheetId="3" hidden="1">{#N/A,#N/A,FALSE,"Plan1";#N/A,#N/A,FALSE,"Plan2"}</definedName>
    <definedName name="sdss" localSheetId="8" hidden="1">{#N/A,#N/A,FALSE,"Plan1";#N/A,#N/A,FALSE,"Plan2"}</definedName>
    <definedName name="sdss" localSheetId="2" hidden="1">{#N/A,#N/A,FALSE,"Plan1";#N/A,#N/A,FALSE,"Plan2"}</definedName>
    <definedName name="sdss" localSheetId="9" hidden="1">{#N/A,#N/A,FALSE,"Plan1";#N/A,#N/A,FALSE,"Plan2"}</definedName>
    <definedName name="sdss" localSheetId="13" hidden="1">{#N/A,#N/A,FALSE,"Plan1";#N/A,#N/A,FALSE,"Plan2"}</definedName>
    <definedName name="sdss" localSheetId="0" hidden="1">{#N/A,#N/A,FALSE,"Plan1";#N/A,#N/A,FALSE,"Plan2"}</definedName>
    <definedName name="sdss" hidden="1">{#N/A,#N/A,FALSE,"Plan1";#N/A,#N/A,FALSE,"Plan2"}</definedName>
    <definedName name="sdtrtg" localSheetId="3" hidden="1">#REF!</definedName>
    <definedName name="sdtrtg" localSheetId="8" hidden="1">#REF!</definedName>
    <definedName name="sdtrtg" localSheetId="2" hidden="1">#REF!</definedName>
    <definedName name="sdtrtg" localSheetId="9" hidden="1">#REF!</definedName>
    <definedName name="sdtrtg" localSheetId="13" hidden="1">#REF!</definedName>
    <definedName name="sdtrtg" localSheetId="0" hidden="1">#REF!</definedName>
    <definedName name="sdtrtg" hidden="1">#REF!</definedName>
    <definedName name="sdusi"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dusi" hidden="1">{TRUE,TRUE,-1.25,-15.5,604.5,366.75,FALSE,FALSE,TRUE,TRUE,0,1,#N/A,1,#N/A,9.0125,24.4117647058824,1,FALSE,FALSE,3,TRUE,1,FALSE,100,"Swvu.PLANILHA2.","ACwvu.PLANILHA2.",#N/A,FALSE,FALSE,0.787401575,0.34,0.46,0.5,1,"","",FALSE,FALSE,FALSE,FALSE,1,#N/A,1,1,FALSE,FALSE,#N/A,#N/A,FALSE,FALSE,FALSE,9,65532,65532,FALSE,FALSE,TRUE,TRUE,TRUE}</definedName>
    <definedName name="SDWER" localSheetId="3" hidden="1">{"Econ Consolidado",#N/A,FALSE,"Econ Consol";"Fluxo de Caixa",#N/A,FALSE,"Fluxo Caixa";"Investimentos",#N/A,FALSE,"Investimentos"}</definedName>
    <definedName name="SDWER" localSheetId="8" hidden="1">{"Econ Consolidado",#N/A,FALSE,"Econ Consol";"Fluxo de Caixa",#N/A,FALSE,"Fluxo Caixa";"Investimentos",#N/A,FALSE,"Investimentos"}</definedName>
    <definedName name="SDWER" localSheetId="2" hidden="1">{"Econ Consolidado",#N/A,FALSE,"Econ Consol";"Fluxo de Caixa",#N/A,FALSE,"Fluxo Caixa";"Investimentos",#N/A,FALSE,"Investimentos"}</definedName>
    <definedName name="SDWER" localSheetId="9" hidden="1">{"Econ Consolidado",#N/A,FALSE,"Econ Consol";"Fluxo de Caixa",#N/A,FALSE,"Fluxo Caixa";"Investimentos",#N/A,FALSE,"Investimentos"}</definedName>
    <definedName name="SDWER" localSheetId="13" hidden="1">{"Econ Consolidado",#N/A,FALSE,"Econ Consol";"Fluxo de Caixa",#N/A,FALSE,"Fluxo Caixa";"Investimentos",#N/A,FALSE,"Investimentos"}</definedName>
    <definedName name="SDWER" localSheetId="0" hidden="1">{"Econ Consolidado",#N/A,FALSE,"Econ Consol";"Fluxo de Caixa",#N/A,FALSE,"Fluxo Caixa";"Investimentos",#N/A,FALSE,"Investimentos"}</definedName>
    <definedName name="SDWER" hidden="1">{"Econ Consolidado",#N/A,FALSE,"Econ Consol";"Fluxo de Caixa",#N/A,FALSE,"Fluxo Caixa";"Investimentos",#N/A,FALSE,"Investimentos"}</definedName>
    <definedName name="sdxfrt" localSheetId="3" hidden="1">{#N/A,#N/A,FALSE,"Plan1";#N/A,#N/A,FALSE,"Plan2"}</definedName>
    <definedName name="sdxfrt" localSheetId="8" hidden="1">{#N/A,#N/A,FALSE,"Plan1";#N/A,#N/A,FALSE,"Plan2"}</definedName>
    <definedName name="sdxfrt" localSheetId="2" hidden="1">{#N/A,#N/A,FALSE,"Plan1";#N/A,#N/A,FALSE,"Plan2"}</definedName>
    <definedName name="sdxfrt" localSheetId="9" hidden="1">{#N/A,#N/A,FALSE,"Plan1";#N/A,#N/A,FALSE,"Plan2"}</definedName>
    <definedName name="sdxfrt" localSheetId="13" hidden="1">{#N/A,#N/A,FALSE,"Plan1";#N/A,#N/A,FALSE,"Plan2"}</definedName>
    <definedName name="sdxfrt" localSheetId="0" hidden="1">{#N/A,#N/A,FALSE,"Plan1";#N/A,#N/A,FALSE,"Plan2"}</definedName>
    <definedName name="sdxfrt" hidden="1">{#N/A,#N/A,FALSE,"Plan1";#N/A,#N/A,FALSE,"Plan2"}</definedName>
    <definedName name="SDZFERF" localSheetId="3" hidden="1">{#N/A,#N/A,FALSE,"Plan1";#N/A,#N/A,FALSE,"Plan2"}</definedName>
    <definedName name="SDZFERF" localSheetId="8" hidden="1">{#N/A,#N/A,FALSE,"Plan1";#N/A,#N/A,FALSE,"Plan2"}</definedName>
    <definedName name="SDZFERF" localSheetId="2" hidden="1">{#N/A,#N/A,FALSE,"Plan1";#N/A,#N/A,FALSE,"Plan2"}</definedName>
    <definedName name="SDZFERF" localSheetId="9" hidden="1">{#N/A,#N/A,FALSE,"Plan1";#N/A,#N/A,FALSE,"Plan2"}</definedName>
    <definedName name="SDZFERF" localSheetId="13" hidden="1">{#N/A,#N/A,FALSE,"Plan1";#N/A,#N/A,FALSE,"Plan2"}</definedName>
    <definedName name="SDZFERF" localSheetId="0" hidden="1">{#N/A,#N/A,FALSE,"Plan1";#N/A,#N/A,FALSE,"Plan2"}</definedName>
    <definedName name="SDZFERF" hidden="1">{#N/A,#N/A,FALSE,"Plan1";#N/A,#N/A,FALSE,"Plan2"}</definedName>
    <definedName name="se" localSheetId="3">#REF!</definedName>
    <definedName name="se" localSheetId="2">#REF!</definedName>
    <definedName name="se">#REF!</definedName>
    <definedName name="SEDE" localSheetId="3">#REF!</definedName>
    <definedName name="SEDE" localSheetId="2">#REF!</definedName>
    <definedName name="SEDE">#REF!</definedName>
    <definedName name="sefret4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efret4rt" hidden="1">{TRUE,TRUE,-1.25,-15.5,604.5,366.75,FALSE,FALSE,TRUE,TRUE,0,1,#N/A,1,#N/A,9.0125,24.4117647058824,1,FALSE,FALSE,3,TRUE,1,FALSE,100,"Swvu.PLANILHA2.","ACwvu.PLANILHA2.",#N/A,FALSE,FALSE,0.787401575,0.34,0.46,0.5,1,"","",FALSE,FALSE,FALSE,FALSE,1,#N/A,1,1,FALSE,FALSE,#N/A,#N/A,FALSE,FALSE,FALSE,9,65532,65532,FALSE,FALSE,TRUE,TRUE,TRUE}</definedName>
    <definedName name="SEG" localSheetId="3">#REF!</definedName>
    <definedName name="SEG" localSheetId="4">#REF!</definedName>
    <definedName name="SEG" localSheetId="8">#REF!</definedName>
    <definedName name="SEG" localSheetId="2">#REF!</definedName>
    <definedName name="SEG" localSheetId="9">#REF!</definedName>
    <definedName name="SEG" localSheetId="13">#REF!</definedName>
    <definedName name="SEG" localSheetId="0">#REF!</definedName>
    <definedName name="SEG">#REF!</definedName>
    <definedName name="segftru" localSheetId="3" hidden="1">{#N/A,#N/A,FALSE,"Plan1";#N/A,#N/A,FALSE,"Plan2"}</definedName>
    <definedName name="segftru" localSheetId="8" hidden="1">{#N/A,#N/A,FALSE,"Plan1";#N/A,#N/A,FALSE,"Plan2"}</definedName>
    <definedName name="segftru" localSheetId="2" hidden="1">{#N/A,#N/A,FALSE,"Plan1";#N/A,#N/A,FALSE,"Plan2"}</definedName>
    <definedName name="segftru" localSheetId="9" hidden="1">{#N/A,#N/A,FALSE,"Plan1";#N/A,#N/A,FALSE,"Plan2"}</definedName>
    <definedName name="segftru" localSheetId="13" hidden="1">{#N/A,#N/A,FALSE,"Plan1";#N/A,#N/A,FALSE,"Plan2"}</definedName>
    <definedName name="segftru" localSheetId="0" hidden="1">{#N/A,#N/A,FALSE,"Plan1";#N/A,#N/A,FALSE,"Plan2"}</definedName>
    <definedName name="segftru" hidden="1">{#N/A,#N/A,FALSE,"Plan1";#N/A,#N/A,FALSE,"Plan2"}</definedName>
    <definedName name="SegmentaçãodeDados_UF1">""</definedName>
    <definedName name="SegmentaçãodeDados_UF11">""</definedName>
    <definedName name="SegmentaçãodeDados_UF12">""</definedName>
    <definedName name="SEIS" localSheetId="3">#REF!</definedName>
    <definedName name="SEIS" localSheetId="2">#REF!</definedName>
    <definedName name="SEIS">#REF!</definedName>
    <definedName name="sencount" localSheetId="2" hidden="1">3</definedName>
    <definedName name="sencount" localSheetId="0" hidden="1">3</definedName>
    <definedName name="sencount" hidden="1">1</definedName>
    <definedName name="SEQUENCIA" localSheetId="3">#REF!</definedName>
    <definedName name="SEQUENCIA" localSheetId="2">#REF!</definedName>
    <definedName name="SEQUENCIA">#REF!</definedName>
    <definedName name="SEREWRSWE" localSheetId="3" hidden="1">{"tabela",#N/A,FALSE,"Tabela";"decoração",#N/A,FALSE,"Decor.";"Informações",#N/A,FALSE,"Inform."}</definedName>
    <definedName name="SEREWRSWE" localSheetId="8" hidden="1">{"tabela",#N/A,FALSE,"Tabela";"decoração",#N/A,FALSE,"Decor.";"Informações",#N/A,FALSE,"Inform."}</definedName>
    <definedName name="SEREWRSWE" localSheetId="2" hidden="1">{"tabela",#N/A,FALSE,"Tabela";"decoração",#N/A,FALSE,"Decor.";"Informações",#N/A,FALSE,"Inform."}</definedName>
    <definedName name="SEREWRSWE" localSheetId="9" hidden="1">{"tabela",#N/A,FALSE,"Tabela";"decoração",#N/A,FALSE,"Decor.";"Informações",#N/A,FALSE,"Inform."}</definedName>
    <definedName name="SEREWRSWE" localSheetId="13" hidden="1">{"tabela",#N/A,FALSE,"Tabela";"decoração",#N/A,FALSE,"Decor.";"Informações",#N/A,FALSE,"Inform."}</definedName>
    <definedName name="SEREWRSWE" localSheetId="0" hidden="1">{"tabela",#N/A,FALSE,"Tabela";"decoração",#N/A,FALSE,"Decor.";"Informações",#N/A,FALSE,"Inform."}</definedName>
    <definedName name="SEREWRSWE" hidden="1">{"tabela",#N/A,FALSE,"Tabela";"decoração",#N/A,FALSE,"Decor.";"Informações",#N/A,FALSE,"Inform."}</definedName>
    <definedName name="Set_17" localSheetId="3">#REF!</definedName>
    <definedName name="Set_17" localSheetId="2">#REF!</definedName>
    <definedName name="Set_17">#REF!</definedName>
    <definedName name="SETE" localSheetId="3">#REF!</definedName>
    <definedName name="SETE" localSheetId="2">#REF!</definedName>
    <definedName name="SETE">#REF!</definedName>
    <definedName name="SETEMBRO" localSheetId="3">#REF!</definedName>
    <definedName name="SETEMBRO" localSheetId="2">#REF!</definedName>
    <definedName name="SETEMBRO">#REF!</definedName>
    <definedName name="setRJ17" localSheetId="2">#REF!</definedName>
    <definedName name="setRJ17">#REF!</definedName>
    <definedName name="severo" localSheetId="2">#REF!</definedName>
    <definedName name="severo">#REF!</definedName>
    <definedName name="sf" localSheetId="3" hidden="1">{#N/A,#N/A,FALSE,"Plan1";#N/A,#N/A,FALSE,"Plan2"}</definedName>
    <definedName name="sf" localSheetId="8" hidden="1">{#N/A,#N/A,FALSE,"Plan1";#N/A,#N/A,FALSE,"Plan2"}</definedName>
    <definedName name="sf" localSheetId="2" hidden="1">{#N/A,#N/A,FALSE,"Plan1";#N/A,#N/A,FALSE,"Plan2"}</definedName>
    <definedName name="sf" localSheetId="9" hidden="1">{#N/A,#N/A,FALSE,"Plan1";#N/A,#N/A,FALSE,"Plan2"}</definedName>
    <definedName name="sf" localSheetId="13" hidden="1">{#N/A,#N/A,FALSE,"Plan1";#N/A,#N/A,FALSE,"Plan2"}</definedName>
    <definedName name="sf" localSheetId="0" hidden="1">{#N/A,#N/A,FALSE,"Plan1";#N/A,#N/A,FALSE,"Plan2"}</definedName>
    <definedName name="sf" hidden="1">{#N/A,#N/A,FALSE,"Plan1";#N/A,#N/A,FALSE,"Plan2"}</definedName>
    <definedName name="sfcre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fcrert" hidden="1">{TRUE,TRUE,-1.25,-15.5,604.5,366.75,FALSE,FALSE,TRUE,TRUE,0,1,#N/A,1,#N/A,9.0125,24.4117647058824,1,FALSE,FALSE,3,TRUE,1,FALSE,100,"Swvu.PLANILHA2.","ACwvu.PLANILHA2.",#N/A,FALSE,FALSE,0.787401575,0.34,0.46,0.5,1,"","",FALSE,FALSE,FALSE,FALSE,1,#N/A,1,1,FALSE,FALSE,#N/A,#N/A,FALSE,FALSE,FALSE,9,65532,65532,FALSE,FALSE,TRUE,TRUE,TRUE}</definedName>
    <definedName name="sfddfd" localSheetId="3" hidden="1">{#N/A,#N/A,FALSE,"Plan1";#N/A,#N/A,FALSE,"Plan2"}</definedName>
    <definedName name="sfddfd" localSheetId="8" hidden="1">{#N/A,#N/A,FALSE,"Plan1";#N/A,#N/A,FALSE,"Plan2"}</definedName>
    <definedName name="sfddfd" localSheetId="2" hidden="1">{#N/A,#N/A,FALSE,"Plan1";#N/A,#N/A,FALSE,"Plan2"}</definedName>
    <definedName name="sfddfd" localSheetId="9" hidden="1">{#N/A,#N/A,FALSE,"Plan1";#N/A,#N/A,FALSE,"Plan2"}</definedName>
    <definedName name="sfddfd" localSheetId="13" hidden="1">{#N/A,#N/A,FALSE,"Plan1";#N/A,#N/A,FALSE,"Plan2"}</definedName>
    <definedName name="sfddfd" localSheetId="0" hidden="1">{#N/A,#N/A,FALSE,"Plan1";#N/A,#N/A,FALSE,"Plan2"}</definedName>
    <definedName name="sfddfd" hidden="1">{#N/A,#N/A,FALSE,"Plan1";#N/A,#N/A,FALSE,"Plan2"}</definedName>
    <definedName name="sfds" localSheetId="3" hidden="1">{#N/A,#N/A,FALSE,"Plan1";#N/A,#N/A,FALSE,"Plan2"}</definedName>
    <definedName name="sfds" localSheetId="8" hidden="1">{#N/A,#N/A,FALSE,"Plan1";#N/A,#N/A,FALSE,"Plan2"}</definedName>
    <definedName name="sfds" localSheetId="2" hidden="1">{#N/A,#N/A,FALSE,"Plan1";#N/A,#N/A,FALSE,"Plan2"}</definedName>
    <definedName name="sfds" localSheetId="9" hidden="1">{#N/A,#N/A,FALSE,"Plan1";#N/A,#N/A,FALSE,"Plan2"}</definedName>
    <definedName name="sfds" localSheetId="13" hidden="1">{#N/A,#N/A,FALSE,"Plan1";#N/A,#N/A,FALSE,"Plan2"}</definedName>
    <definedName name="sfds" localSheetId="0" hidden="1">{#N/A,#N/A,FALSE,"Plan1";#N/A,#N/A,FALSE,"Plan2"}</definedName>
    <definedName name="sfds" hidden="1">{#N/A,#N/A,FALSE,"Plan1";#N/A,#N/A,FALSE,"Plan2"}</definedName>
    <definedName name="sfdsd" localSheetId="3" hidden="1">{#N/A,#N/A,FALSE,"Plan1";#N/A,#N/A,FALSE,"Plan2"}</definedName>
    <definedName name="sfdsd" localSheetId="8" hidden="1">{#N/A,#N/A,FALSE,"Plan1";#N/A,#N/A,FALSE,"Plan2"}</definedName>
    <definedName name="sfdsd" localSheetId="2" hidden="1">{#N/A,#N/A,FALSE,"Plan1";#N/A,#N/A,FALSE,"Plan2"}</definedName>
    <definedName name="sfdsd" localSheetId="9" hidden="1">{#N/A,#N/A,FALSE,"Plan1";#N/A,#N/A,FALSE,"Plan2"}</definedName>
    <definedName name="sfdsd" localSheetId="13" hidden="1">{#N/A,#N/A,FALSE,"Plan1";#N/A,#N/A,FALSE,"Plan2"}</definedName>
    <definedName name="sfdsd" localSheetId="0" hidden="1">{#N/A,#N/A,FALSE,"Plan1";#N/A,#N/A,FALSE,"Plan2"}</definedName>
    <definedName name="sfdsd" hidden="1">{#N/A,#N/A,FALSE,"Plan1";#N/A,#N/A,FALSE,"Plan2"}</definedName>
    <definedName name="SFDSF" hidden="1">34</definedName>
    <definedName name="sfrsdrgt" localSheetId="3" hidden="1">{#N/A,#N/A,FALSE,"Plan1";#N/A,#N/A,FALSE,"Plan2"}</definedName>
    <definedName name="sfrsdrgt" localSheetId="8" hidden="1">{#N/A,#N/A,FALSE,"Plan1";#N/A,#N/A,FALSE,"Plan2"}</definedName>
    <definedName name="sfrsdrgt" localSheetId="2" hidden="1">{#N/A,#N/A,FALSE,"Plan1";#N/A,#N/A,FALSE,"Plan2"}</definedName>
    <definedName name="sfrsdrgt" localSheetId="9" hidden="1">{#N/A,#N/A,FALSE,"Plan1";#N/A,#N/A,FALSE,"Plan2"}</definedName>
    <definedName name="sfrsdrgt" localSheetId="13" hidden="1">{#N/A,#N/A,FALSE,"Plan1";#N/A,#N/A,FALSE,"Plan2"}</definedName>
    <definedName name="sfrsdrgt" localSheetId="0" hidden="1">{#N/A,#N/A,FALSE,"Plan1";#N/A,#N/A,FALSE,"Plan2"}</definedName>
    <definedName name="sfrsdrgt" hidden="1">{#N/A,#N/A,FALSE,"Plan1";#N/A,#N/A,FALSE,"Plan2"}</definedName>
    <definedName name="SFRT" localSheetId="3" hidden="1">{#N/A,#N/A,FALSE,"Plan1";#N/A,#N/A,FALSE,"Plan2"}</definedName>
    <definedName name="SFRT" localSheetId="8" hidden="1">{#N/A,#N/A,FALSE,"Plan1";#N/A,#N/A,FALSE,"Plan2"}</definedName>
    <definedName name="SFRT" localSheetId="2" hidden="1">{#N/A,#N/A,FALSE,"Plan1";#N/A,#N/A,FALSE,"Plan2"}</definedName>
    <definedName name="SFRT" localSheetId="9" hidden="1">{#N/A,#N/A,FALSE,"Plan1";#N/A,#N/A,FALSE,"Plan2"}</definedName>
    <definedName name="SFRT" localSheetId="13" hidden="1">{#N/A,#N/A,FALSE,"Plan1";#N/A,#N/A,FALSE,"Plan2"}</definedName>
    <definedName name="SFRT" localSheetId="0" hidden="1">{#N/A,#N/A,FALSE,"Plan1";#N/A,#N/A,FALSE,"Plan2"}</definedName>
    <definedName name="SFRT" hidden="1">{#N/A,#N/A,FALSE,"Plan1";#N/A,#N/A,FALSE,"Plan2"}</definedName>
    <definedName name="sfsdferf" localSheetId="3" hidden="1">{#N/A,#N/A,FALSE,"Plan1";#N/A,#N/A,FALSE,"Plan2"}</definedName>
    <definedName name="sfsdferf" localSheetId="8" hidden="1">{#N/A,#N/A,FALSE,"Plan1";#N/A,#N/A,FALSE,"Plan2"}</definedName>
    <definedName name="sfsdferf" localSheetId="2" hidden="1">{#N/A,#N/A,FALSE,"Plan1";#N/A,#N/A,FALSE,"Plan2"}</definedName>
    <definedName name="sfsdferf" localSheetId="9" hidden="1">{#N/A,#N/A,FALSE,"Plan1";#N/A,#N/A,FALSE,"Plan2"}</definedName>
    <definedName name="sfsdferf" localSheetId="13" hidden="1">{#N/A,#N/A,FALSE,"Plan1";#N/A,#N/A,FALSE,"Plan2"}</definedName>
    <definedName name="sfsdferf" localSheetId="0" hidden="1">{#N/A,#N/A,FALSE,"Plan1";#N/A,#N/A,FALSE,"Plan2"}</definedName>
    <definedName name="sfsdferf" hidden="1">{#N/A,#N/A,FALSE,"Plan1";#N/A,#N/A,FALSE,"Plan2"}</definedName>
    <definedName name="sfsdfs" hidden="1">34</definedName>
    <definedName name="SFSDS" localSheetId="3" hidden="1">{#N/A,#N/A,FALSE,"Plan1";#N/A,#N/A,FALSE,"Plan2"}</definedName>
    <definedName name="SFSDS" localSheetId="8" hidden="1">{#N/A,#N/A,FALSE,"Plan1";#N/A,#N/A,FALSE,"Plan2"}</definedName>
    <definedName name="SFSDS" localSheetId="2" hidden="1">{#N/A,#N/A,FALSE,"Plan1";#N/A,#N/A,FALSE,"Plan2"}</definedName>
    <definedName name="SFSDS" localSheetId="9" hidden="1">{#N/A,#N/A,FALSE,"Plan1";#N/A,#N/A,FALSE,"Plan2"}</definedName>
    <definedName name="SFSDS" localSheetId="13" hidden="1">{#N/A,#N/A,FALSE,"Plan1";#N/A,#N/A,FALSE,"Plan2"}</definedName>
    <definedName name="SFSDS" localSheetId="0" hidden="1">{#N/A,#N/A,FALSE,"Plan1";#N/A,#N/A,FALSE,"Plan2"}</definedName>
    <definedName name="SFSDS" hidden="1">{#N/A,#N/A,FALSE,"Plan1";#N/A,#N/A,FALSE,"Plan2"}</definedName>
    <definedName name="SGarantia" localSheetId="3">#REF!</definedName>
    <definedName name="SGarantia" localSheetId="2">#REF!</definedName>
    <definedName name="SGarantia">#REF!</definedName>
    <definedName name="sgtghty" localSheetId="3" hidden="1">{#N/A,#N/A,FALSE,"Plan1";#N/A,#N/A,FALSE,"Plan2"}</definedName>
    <definedName name="sgtghty" localSheetId="8" hidden="1">{#N/A,#N/A,FALSE,"Plan1";#N/A,#N/A,FALSE,"Plan2"}</definedName>
    <definedName name="sgtghty" localSheetId="2" hidden="1">{#N/A,#N/A,FALSE,"Plan1";#N/A,#N/A,FALSE,"Plan2"}</definedName>
    <definedName name="sgtghty" localSheetId="9" hidden="1">{#N/A,#N/A,FALSE,"Plan1";#N/A,#N/A,FALSE,"Plan2"}</definedName>
    <definedName name="sgtghty" localSheetId="13" hidden="1">{#N/A,#N/A,FALSE,"Plan1";#N/A,#N/A,FALSE,"Plan2"}</definedName>
    <definedName name="sgtghty" localSheetId="0" hidden="1">{#N/A,#N/A,FALSE,"Plan1";#N/A,#N/A,FALSE,"Plan2"}</definedName>
    <definedName name="sgtghty" hidden="1">{#N/A,#N/A,FALSE,"Plan1";#N/A,#N/A,FALSE,"Plan2"}</definedName>
    <definedName name="SH" localSheetId="3" hidden="1">{#N/A,#N/A,FALSE,"GERAL";#N/A,#N/A,FALSE,"012-96";#N/A,#N/A,FALSE,"018-96";#N/A,#N/A,FALSE,"027-96";#N/A,#N/A,FALSE,"059-96";#N/A,#N/A,FALSE,"076-96";#N/A,#N/A,FALSE,"019-97";#N/A,#N/A,FALSE,"021-97";#N/A,#N/A,FALSE,"022-97";#N/A,#N/A,FALSE,"028-97"}</definedName>
    <definedName name="SH" localSheetId="8" hidden="1">{#N/A,#N/A,FALSE,"GERAL";#N/A,#N/A,FALSE,"012-96";#N/A,#N/A,FALSE,"018-96";#N/A,#N/A,FALSE,"027-96";#N/A,#N/A,FALSE,"059-96";#N/A,#N/A,FALSE,"076-96";#N/A,#N/A,FALSE,"019-97";#N/A,#N/A,FALSE,"021-97";#N/A,#N/A,FALSE,"022-97";#N/A,#N/A,FALSE,"028-97"}</definedName>
    <definedName name="SH" localSheetId="2" hidden="1">{#N/A,#N/A,FALSE,"GERAL";#N/A,#N/A,FALSE,"012-96";#N/A,#N/A,FALSE,"018-96";#N/A,#N/A,FALSE,"027-96";#N/A,#N/A,FALSE,"059-96";#N/A,#N/A,FALSE,"076-96";#N/A,#N/A,FALSE,"019-97";#N/A,#N/A,FALSE,"021-97";#N/A,#N/A,FALSE,"022-97";#N/A,#N/A,FALSE,"028-97"}</definedName>
    <definedName name="SH" localSheetId="9" hidden="1">{#N/A,#N/A,FALSE,"GERAL";#N/A,#N/A,FALSE,"012-96";#N/A,#N/A,FALSE,"018-96";#N/A,#N/A,FALSE,"027-96";#N/A,#N/A,FALSE,"059-96";#N/A,#N/A,FALSE,"076-96";#N/A,#N/A,FALSE,"019-97";#N/A,#N/A,FALSE,"021-97";#N/A,#N/A,FALSE,"022-97";#N/A,#N/A,FALSE,"028-97"}</definedName>
    <definedName name="SH" localSheetId="13" hidden="1">{#N/A,#N/A,FALSE,"GERAL";#N/A,#N/A,FALSE,"012-96";#N/A,#N/A,FALSE,"018-96";#N/A,#N/A,FALSE,"027-96";#N/A,#N/A,FALSE,"059-96";#N/A,#N/A,FALSE,"076-96";#N/A,#N/A,FALSE,"019-97";#N/A,#N/A,FALSE,"021-97";#N/A,#N/A,FALSE,"022-97";#N/A,#N/A,FALSE,"028-97"}</definedName>
    <definedName name="SH" localSheetId="0" hidden="1">{#N/A,#N/A,FALSE,"GERAL";#N/A,#N/A,FALSE,"012-96";#N/A,#N/A,FALSE,"018-96";#N/A,#N/A,FALSE,"027-96";#N/A,#N/A,FALSE,"059-96";#N/A,#N/A,FALSE,"076-96";#N/A,#N/A,FALSE,"019-97";#N/A,#N/A,FALSE,"021-97";#N/A,#N/A,FALSE,"022-97";#N/A,#N/A,FALSE,"028-97"}</definedName>
    <definedName name="SH" hidden="1">{#N/A,#N/A,FALSE,"GERAL";#N/A,#N/A,FALSE,"012-96";#N/A,#N/A,FALSE,"018-96";#N/A,#N/A,FALSE,"027-96";#N/A,#N/A,FALSE,"059-96";#N/A,#N/A,FALSE,"076-96";#N/A,#N/A,FALSE,"019-97";#N/A,#N/A,FALSE,"021-97";#N/A,#N/A,FALSE,"022-97";#N/A,#N/A,FALSE,"028-97"}</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7">#N/A</definedName>
    <definedName name="SHARED_FORMULA_8">#N/A</definedName>
    <definedName name="SHARED_FORMULA_9">#N/A</definedName>
    <definedName name="SIH" localSheetId="3">#REF!</definedName>
    <definedName name="SIH" localSheetId="4">#REF!</definedName>
    <definedName name="SIH" localSheetId="8">#REF!</definedName>
    <definedName name="SIH" localSheetId="2">#REF!</definedName>
    <definedName name="SIH" localSheetId="9">#REF!</definedName>
    <definedName name="SIH" localSheetId="13">#REF!</definedName>
    <definedName name="SIH" localSheetId="0">#REF!</definedName>
    <definedName name="SIH">#REF!</definedName>
    <definedName name="SISTEM1" localSheetId="2">#REF!</definedName>
    <definedName name="SISTEM1">#REF!</definedName>
    <definedName name="SISTEM2" localSheetId="2">#REF!</definedName>
    <definedName name="SISTEM2">#REF!</definedName>
    <definedName name="SIV" localSheetId="4">#REF!</definedName>
    <definedName name="SIV" localSheetId="2">#REF!</definedName>
    <definedName name="SIV" localSheetId="13">#REF!</definedName>
    <definedName name="SIV" localSheetId="0">#REF!</definedName>
    <definedName name="SIV">#REF!</definedName>
    <definedName name="sjawe" localSheetId="3" hidden="1">{#N/A,#N/A,FALSE,"Plan1";#N/A,#N/A,FALSE,"Plan2"}</definedName>
    <definedName name="sjawe" localSheetId="8" hidden="1">{#N/A,#N/A,FALSE,"Plan1";#N/A,#N/A,FALSE,"Plan2"}</definedName>
    <definedName name="sjawe" localSheetId="2" hidden="1">{#N/A,#N/A,FALSE,"Plan1";#N/A,#N/A,FALSE,"Plan2"}</definedName>
    <definedName name="sjawe" localSheetId="9" hidden="1">{#N/A,#N/A,FALSE,"Plan1";#N/A,#N/A,FALSE,"Plan2"}</definedName>
    <definedName name="sjawe" localSheetId="13" hidden="1">{#N/A,#N/A,FALSE,"Plan1";#N/A,#N/A,FALSE,"Plan2"}</definedName>
    <definedName name="sjawe" localSheetId="0" hidden="1">{#N/A,#N/A,FALSE,"Plan1";#N/A,#N/A,FALSE,"Plan2"}</definedName>
    <definedName name="sjawe" hidden="1">{#N/A,#N/A,FALSE,"Plan1";#N/A,#N/A,FALSE,"Plan2"}</definedName>
    <definedName name="sjdffd" localSheetId="3" hidden="1">{#N/A,#N/A,FALSE,"Plan1";#N/A,#N/A,FALSE,"Plan2"}</definedName>
    <definedName name="sjdffd" localSheetId="8" hidden="1">{#N/A,#N/A,FALSE,"Plan1";#N/A,#N/A,FALSE,"Plan2"}</definedName>
    <definedName name="sjdffd" localSheetId="2" hidden="1">{#N/A,#N/A,FALSE,"Plan1";#N/A,#N/A,FALSE,"Plan2"}</definedName>
    <definedName name="sjdffd" localSheetId="9" hidden="1">{#N/A,#N/A,FALSE,"Plan1";#N/A,#N/A,FALSE,"Plan2"}</definedName>
    <definedName name="sjdffd" localSheetId="13" hidden="1">{#N/A,#N/A,FALSE,"Plan1";#N/A,#N/A,FALSE,"Plan2"}</definedName>
    <definedName name="sjdffd" localSheetId="0" hidden="1">{#N/A,#N/A,FALSE,"Plan1";#N/A,#N/A,FALSE,"Plan2"}</definedName>
    <definedName name="sjdffd" hidden="1">{#N/A,#N/A,FALSE,"Plan1";#N/A,#N/A,FALSE,"Plan2"}</definedName>
    <definedName name="SJDFHDJS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SJDFHDJSF" hidden="1">{TRUE,TRUE,-1.25,-15.5,604.5,366.75,FALSE,FALSE,TRUE,TRUE,0,1,#N/A,1,#N/A,9.0125,24.4117647058824,1,FALSE,FALSE,3,TRUE,1,FALSE,100,"Swvu.PLANILHA2.","ACwvu.PLANILHA2.",#N/A,FALSE,FALSE,0.787401575,0.34,0.46,0.5,1,"","",FALSE,FALSE,FALSE,FALSE,1,#N/A,1,1,FALSE,FALSE,#N/A,#N/A,FALSE,FALSE,FALSE,9,65532,65532,FALSE,FALSE,TRUE,TRUE,TRUE}</definedName>
    <definedName name="SJDHFHRE" localSheetId="3" hidden="1">{#N/A,#N/A,FALSE,"Plan1";#N/A,#N/A,FALSE,"Plan2"}</definedName>
    <definedName name="SJDHFHRE" localSheetId="8" hidden="1">{#N/A,#N/A,FALSE,"Plan1";#N/A,#N/A,FALSE,"Plan2"}</definedName>
    <definedName name="SJDHFHRE" localSheetId="2" hidden="1">{#N/A,#N/A,FALSE,"Plan1";#N/A,#N/A,FALSE,"Plan2"}</definedName>
    <definedName name="SJDHFHRE" localSheetId="9" hidden="1">{#N/A,#N/A,FALSE,"Plan1";#N/A,#N/A,FALSE,"Plan2"}</definedName>
    <definedName name="SJDHFHRE" localSheetId="13" hidden="1">{#N/A,#N/A,FALSE,"Plan1";#N/A,#N/A,FALSE,"Plan2"}</definedName>
    <definedName name="SJDHFHRE" localSheetId="0" hidden="1">{#N/A,#N/A,FALSE,"Plan1";#N/A,#N/A,FALSE,"Plan2"}</definedName>
    <definedName name="SJDHFHRE" hidden="1">{#N/A,#N/A,FALSE,"Plan1";#N/A,#N/A,FALSE,"Plan2"}</definedName>
    <definedName name="SJDKJDE" localSheetId="3" hidden="1">{"Econ Consolidado",#N/A,FALSE,"Econ Consol";"Fluxo de Caixa",#N/A,FALSE,"Fluxo Caixa";"Investimentos",#N/A,FALSE,"Investimentos"}</definedName>
    <definedName name="SJDKJDE" localSheetId="8" hidden="1">{"Econ Consolidado",#N/A,FALSE,"Econ Consol";"Fluxo de Caixa",#N/A,FALSE,"Fluxo Caixa";"Investimentos",#N/A,FALSE,"Investimentos"}</definedName>
    <definedName name="SJDKJDE" localSheetId="2" hidden="1">{"Econ Consolidado",#N/A,FALSE,"Econ Consol";"Fluxo de Caixa",#N/A,FALSE,"Fluxo Caixa";"Investimentos",#N/A,FALSE,"Investimentos"}</definedName>
    <definedName name="SJDKJDE" localSheetId="9" hidden="1">{"Econ Consolidado",#N/A,FALSE,"Econ Consol";"Fluxo de Caixa",#N/A,FALSE,"Fluxo Caixa";"Investimentos",#N/A,FALSE,"Investimentos"}</definedName>
    <definedName name="SJDKJDE" localSheetId="13" hidden="1">{"Econ Consolidado",#N/A,FALSE,"Econ Consol";"Fluxo de Caixa",#N/A,FALSE,"Fluxo Caixa";"Investimentos",#N/A,FALSE,"Investimentos"}</definedName>
    <definedName name="SJDKJDE" localSheetId="0" hidden="1">{"Econ Consolidado",#N/A,FALSE,"Econ Consol";"Fluxo de Caixa",#N/A,FALSE,"Fluxo Caixa";"Investimentos",#N/A,FALSE,"Investimentos"}</definedName>
    <definedName name="SJDKJDE" hidden="1">{"Econ Consolidado",#N/A,FALSE,"Econ Consol";"Fluxo de Caixa",#N/A,FALSE,"Fluxo Caixa";"Investimentos",#N/A,FALSE,"Investimentos"}</definedName>
    <definedName name="sjekwjri" localSheetId="3" hidden="1">{#N/A,#N/A,FALSE,"Plan1";#N/A,#N/A,FALSE,"Plan2"}</definedName>
    <definedName name="sjekwjri" localSheetId="8" hidden="1">{#N/A,#N/A,FALSE,"Plan1";#N/A,#N/A,FALSE,"Plan2"}</definedName>
    <definedName name="sjekwjri" localSheetId="2" hidden="1">{#N/A,#N/A,FALSE,"Plan1";#N/A,#N/A,FALSE,"Plan2"}</definedName>
    <definedName name="sjekwjri" localSheetId="9" hidden="1">{#N/A,#N/A,FALSE,"Plan1";#N/A,#N/A,FALSE,"Plan2"}</definedName>
    <definedName name="sjekwjri" localSheetId="13" hidden="1">{#N/A,#N/A,FALSE,"Plan1";#N/A,#N/A,FALSE,"Plan2"}</definedName>
    <definedName name="sjekwjri" localSheetId="0" hidden="1">{#N/A,#N/A,FALSE,"Plan1";#N/A,#N/A,FALSE,"Plan2"}</definedName>
    <definedName name="sjekwjri" hidden="1">{#N/A,#N/A,FALSE,"Plan1";#N/A,#N/A,FALSE,"Plan2"}</definedName>
    <definedName name="sjfkdhsfds" localSheetId="3" hidden="1">{#N/A,#N/A,FALSE,"Plan1";#N/A,#N/A,FALSE,"Plan2"}</definedName>
    <definedName name="sjfkdhsfds" localSheetId="8" hidden="1">{#N/A,#N/A,FALSE,"Plan1";#N/A,#N/A,FALSE,"Plan2"}</definedName>
    <definedName name="sjfkdhsfds" localSheetId="2" hidden="1">{#N/A,#N/A,FALSE,"Plan1";#N/A,#N/A,FALSE,"Plan2"}</definedName>
    <definedName name="sjfkdhsfds" localSheetId="9" hidden="1">{#N/A,#N/A,FALSE,"Plan1";#N/A,#N/A,FALSE,"Plan2"}</definedName>
    <definedName name="sjfkdhsfds" localSheetId="13" hidden="1">{#N/A,#N/A,FALSE,"Plan1";#N/A,#N/A,FALSE,"Plan2"}</definedName>
    <definedName name="sjfkdhsfds" localSheetId="0" hidden="1">{#N/A,#N/A,FALSE,"Plan1";#N/A,#N/A,FALSE,"Plan2"}</definedName>
    <definedName name="sjfkdhsfds" hidden="1">{#N/A,#N/A,FALSE,"Plan1";#N/A,#N/A,FALSE,"Plan2"}</definedName>
    <definedName name="sjkdljslkrje" localSheetId="3" hidden="1">{#N/A,#N/A,FALSE,"Plan1";#N/A,#N/A,FALSE,"Plan2"}</definedName>
    <definedName name="sjkdljslkrje" localSheetId="8" hidden="1">{#N/A,#N/A,FALSE,"Plan1";#N/A,#N/A,FALSE,"Plan2"}</definedName>
    <definedName name="sjkdljslkrje" localSheetId="2" hidden="1">{#N/A,#N/A,FALSE,"Plan1";#N/A,#N/A,FALSE,"Plan2"}</definedName>
    <definedName name="sjkdljslkrje" localSheetId="9" hidden="1">{#N/A,#N/A,FALSE,"Plan1";#N/A,#N/A,FALSE,"Plan2"}</definedName>
    <definedName name="sjkdljslkrje" localSheetId="13" hidden="1">{#N/A,#N/A,FALSE,"Plan1";#N/A,#N/A,FALSE,"Plan2"}</definedName>
    <definedName name="sjkdljslkrje" localSheetId="0" hidden="1">{#N/A,#N/A,FALSE,"Plan1";#N/A,#N/A,FALSE,"Plan2"}</definedName>
    <definedName name="sjkdljslkrje" hidden="1">{#N/A,#N/A,FALSE,"Plan1";#N/A,#N/A,FALSE,"Plan2"}</definedName>
    <definedName name="skadadaszs" localSheetId="3" hidden="1">{#N/A,#N/A,FALSE,"Plan1";#N/A,#N/A,FALSE,"Plan2"}</definedName>
    <definedName name="skadadaszs" localSheetId="8" hidden="1">{#N/A,#N/A,FALSE,"Plan1";#N/A,#N/A,FALSE,"Plan2"}</definedName>
    <definedName name="skadadaszs" localSheetId="2" hidden="1">{#N/A,#N/A,FALSE,"Plan1";#N/A,#N/A,FALSE,"Plan2"}</definedName>
    <definedName name="skadadaszs" localSheetId="9" hidden="1">{#N/A,#N/A,FALSE,"Plan1";#N/A,#N/A,FALSE,"Plan2"}</definedName>
    <definedName name="skadadaszs" localSheetId="13" hidden="1">{#N/A,#N/A,FALSE,"Plan1";#N/A,#N/A,FALSE,"Plan2"}</definedName>
    <definedName name="skadadaszs" localSheetId="0" hidden="1">{#N/A,#N/A,FALSE,"Plan1";#N/A,#N/A,FALSE,"Plan2"}</definedName>
    <definedName name="skadadaszs" hidden="1">{#N/A,#N/A,FALSE,"Plan1";#N/A,#N/A,FALSE,"Plan2"}</definedName>
    <definedName name="SKASH" localSheetId="3" hidden="1">{#N/A,#N/A,FALSE,"Plan1";#N/A,#N/A,FALSE,"Plan2"}</definedName>
    <definedName name="SKASH" localSheetId="8" hidden="1">{#N/A,#N/A,FALSE,"Plan1";#N/A,#N/A,FALSE,"Plan2"}</definedName>
    <definedName name="SKASH" localSheetId="2" hidden="1">{#N/A,#N/A,FALSE,"Plan1";#N/A,#N/A,FALSE,"Plan2"}</definedName>
    <definedName name="SKASH" localSheetId="9" hidden="1">{#N/A,#N/A,FALSE,"Plan1";#N/A,#N/A,FALSE,"Plan2"}</definedName>
    <definedName name="SKASH" localSheetId="13" hidden="1">{#N/A,#N/A,FALSE,"Plan1";#N/A,#N/A,FALSE,"Plan2"}</definedName>
    <definedName name="SKASH" localSheetId="0" hidden="1">{#N/A,#N/A,FALSE,"Plan1";#N/A,#N/A,FALSE,"Plan2"}</definedName>
    <definedName name="SKASH" hidden="1">{#N/A,#N/A,FALSE,"Plan1";#N/A,#N/A,FALSE,"Plan2"}</definedName>
    <definedName name="skldfrde" localSheetId="3" hidden="1">{#N/A,#N/A,FALSE,"Plan1";#N/A,#N/A,FALSE,"Plan2"}</definedName>
    <definedName name="skldfrde" localSheetId="8" hidden="1">{#N/A,#N/A,FALSE,"Plan1";#N/A,#N/A,FALSE,"Plan2"}</definedName>
    <definedName name="skldfrde" localSheetId="2" hidden="1">{#N/A,#N/A,FALSE,"Plan1";#N/A,#N/A,FALSE,"Plan2"}</definedName>
    <definedName name="skldfrde" localSheetId="9" hidden="1">{#N/A,#N/A,FALSE,"Plan1";#N/A,#N/A,FALSE,"Plan2"}</definedName>
    <definedName name="skldfrde" localSheetId="13" hidden="1">{#N/A,#N/A,FALSE,"Plan1";#N/A,#N/A,FALSE,"Plan2"}</definedName>
    <definedName name="skldfrde" localSheetId="0" hidden="1">{#N/A,#N/A,FALSE,"Plan1";#N/A,#N/A,FALSE,"Plan2"}</definedName>
    <definedName name="skldfrde" hidden="1">{#N/A,#N/A,FALSE,"Plan1";#N/A,#N/A,FALSE,"Plan2"}</definedName>
    <definedName name="skosroer" localSheetId="3" hidden="1">{#N/A,#N/A,FALSE,"Plan1";#N/A,#N/A,FALSE,"Plan2"}</definedName>
    <definedName name="skosroer" localSheetId="8" hidden="1">{#N/A,#N/A,FALSE,"Plan1";#N/A,#N/A,FALSE,"Plan2"}</definedName>
    <definedName name="skosroer" localSheetId="2" hidden="1">{#N/A,#N/A,FALSE,"Plan1";#N/A,#N/A,FALSE,"Plan2"}</definedName>
    <definedName name="skosroer" localSheetId="9" hidden="1">{#N/A,#N/A,FALSE,"Plan1";#N/A,#N/A,FALSE,"Plan2"}</definedName>
    <definedName name="skosroer" localSheetId="13" hidden="1">{#N/A,#N/A,FALSE,"Plan1";#N/A,#N/A,FALSE,"Plan2"}</definedName>
    <definedName name="skosroer" localSheetId="0" hidden="1">{#N/A,#N/A,FALSE,"Plan1";#N/A,#N/A,FALSE,"Plan2"}</definedName>
    <definedName name="skosroer" hidden="1">{#N/A,#N/A,FALSE,"Plan1";#N/A,#N/A,FALSE,"Plan2"}</definedName>
    <definedName name="SO" localSheetId="3">#REF!</definedName>
    <definedName name="SO" localSheetId="2">#REF!</definedName>
    <definedName name="SO">#REF!</definedName>
    <definedName name="solver_lin" hidden="1">0</definedName>
    <definedName name="solver_num" hidden="1">0</definedName>
    <definedName name="solver_rel1" hidden="1">3</definedName>
    <definedName name="solver_rhs1" hidden="1">0</definedName>
    <definedName name="solver_tmp" hidden="1">0</definedName>
    <definedName name="solver_typ" hidden="1">1</definedName>
    <definedName name="solver_val" hidden="1">0</definedName>
    <definedName name="soma" localSheetId="3">#REF!</definedName>
    <definedName name="soma" localSheetId="2">#REF!</definedName>
    <definedName name="soma">#REF!</definedName>
    <definedName name="sp"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 localSheetId="3" hidden="1">{#N/A,#N/A,FALSE,"Plan1";#N/A,#N/A,FALSE,"Plan2"}</definedName>
    <definedName name="sQEWWE" localSheetId="8" hidden="1">{#N/A,#N/A,FALSE,"Plan1";#N/A,#N/A,FALSE,"Plan2"}</definedName>
    <definedName name="sQEWWE" localSheetId="2" hidden="1">{#N/A,#N/A,FALSE,"Plan1";#N/A,#N/A,FALSE,"Plan2"}</definedName>
    <definedName name="sQEWWE" localSheetId="9" hidden="1">{#N/A,#N/A,FALSE,"Plan1";#N/A,#N/A,FALSE,"Plan2"}</definedName>
    <definedName name="sQEWWE" localSheetId="13" hidden="1">{#N/A,#N/A,FALSE,"Plan1";#N/A,#N/A,FALSE,"Plan2"}</definedName>
    <definedName name="sQEWWE" localSheetId="0" hidden="1">{#N/A,#N/A,FALSE,"Plan1";#N/A,#N/A,FALSE,"Plan2"}</definedName>
    <definedName name="sQEWWE" hidden="1">{#N/A,#N/A,FALSE,"Plan1";#N/A,#N/A,FALSE,"Plan2"}</definedName>
    <definedName name="SR" localSheetId="3" hidden="1">#REF!</definedName>
    <definedName name="SR" localSheetId="8" hidden="1">#REF!</definedName>
    <definedName name="SR" localSheetId="2" hidden="1">#REF!</definedName>
    <definedName name="SR" localSheetId="9" hidden="1">#REF!</definedName>
    <definedName name="SR" localSheetId="13" hidden="1">#REF!</definedName>
    <definedName name="SR" localSheetId="0" hidden="1">#REF!</definedName>
    <definedName name="SR" hidden="1">#REF!</definedName>
    <definedName name="SRH" localSheetId="3" hidden="1">{#N/A,#N/A,FALSE,"GERAL";#N/A,#N/A,FALSE,"012-96";#N/A,#N/A,FALSE,"018-96";#N/A,#N/A,FALSE,"027-96";#N/A,#N/A,FALSE,"059-96";#N/A,#N/A,FALSE,"076-96";#N/A,#N/A,FALSE,"019-97";#N/A,#N/A,FALSE,"021-97";#N/A,#N/A,FALSE,"022-97";#N/A,#N/A,FALSE,"028-97"}</definedName>
    <definedName name="SRH" localSheetId="8" hidden="1">{#N/A,#N/A,FALSE,"GERAL";#N/A,#N/A,FALSE,"012-96";#N/A,#N/A,FALSE,"018-96";#N/A,#N/A,FALSE,"027-96";#N/A,#N/A,FALSE,"059-96";#N/A,#N/A,FALSE,"076-96";#N/A,#N/A,FALSE,"019-97";#N/A,#N/A,FALSE,"021-97";#N/A,#N/A,FALSE,"022-97";#N/A,#N/A,FALSE,"028-97"}</definedName>
    <definedName name="SRH" localSheetId="2" hidden="1">{#N/A,#N/A,FALSE,"GERAL";#N/A,#N/A,FALSE,"012-96";#N/A,#N/A,FALSE,"018-96";#N/A,#N/A,FALSE,"027-96";#N/A,#N/A,FALSE,"059-96";#N/A,#N/A,FALSE,"076-96";#N/A,#N/A,FALSE,"019-97";#N/A,#N/A,FALSE,"021-97";#N/A,#N/A,FALSE,"022-97";#N/A,#N/A,FALSE,"028-97"}</definedName>
    <definedName name="SRH" localSheetId="9" hidden="1">{#N/A,#N/A,FALSE,"GERAL";#N/A,#N/A,FALSE,"012-96";#N/A,#N/A,FALSE,"018-96";#N/A,#N/A,FALSE,"027-96";#N/A,#N/A,FALSE,"059-96";#N/A,#N/A,FALSE,"076-96";#N/A,#N/A,FALSE,"019-97";#N/A,#N/A,FALSE,"021-97";#N/A,#N/A,FALSE,"022-97";#N/A,#N/A,FALSE,"028-97"}</definedName>
    <definedName name="SRH" localSheetId="13" hidden="1">{#N/A,#N/A,FALSE,"GERAL";#N/A,#N/A,FALSE,"012-96";#N/A,#N/A,FALSE,"018-96";#N/A,#N/A,FALSE,"027-96";#N/A,#N/A,FALSE,"059-96";#N/A,#N/A,FALSE,"076-96";#N/A,#N/A,FALSE,"019-97";#N/A,#N/A,FALSE,"021-97";#N/A,#N/A,FALSE,"022-97";#N/A,#N/A,FALSE,"028-97"}</definedName>
    <definedName name="SRH" localSheetId="0" hidden="1">{#N/A,#N/A,FALSE,"GERAL";#N/A,#N/A,FALSE,"012-96";#N/A,#N/A,FALSE,"018-96";#N/A,#N/A,FALSE,"027-96";#N/A,#N/A,FALSE,"059-96";#N/A,#N/A,FALSE,"076-96";#N/A,#N/A,FALSE,"019-97";#N/A,#N/A,FALSE,"021-97";#N/A,#N/A,FALSE,"022-97";#N/A,#N/A,FALSE,"028-97"}</definedName>
    <definedName name="SRH" hidden="1">{#N/A,#N/A,FALSE,"GERAL";#N/A,#N/A,FALSE,"012-96";#N/A,#N/A,FALSE,"018-96";#N/A,#N/A,FALSE,"027-96";#N/A,#N/A,FALSE,"059-96";#N/A,#N/A,FALSE,"076-96";#N/A,#N/A,FALSE,"019-97";#N/A,#N/A,FALSE,"021-97";#N/A,#N/A,FALSE,"022-97";#N/A,#N/A,FALSE,"028-97"}</definedName>
    <definedName name="SRTSRT" localSheetId="3" hidden="1">{#N/A,#N/A,FALSE,"GERAL";#N/A,#N/A,FALSE,"012-96";#N/A,#N/A,FALSE,"018-96";#N/A,#N/A,FALSE,"027-96";#N/A,#N/A,FALSE,"059-96";#N/A,#N/A,FALSE,"076-96";#N/A,#N/A,FALSE,"019-97";#N/A,#N/A,FALSE,"021-97";#N/A,#N/A,FALSE,"022-97";#N/A,#N/A,FALSE,"028-97"}</definedName>
    <definedName name="SRTSRT" localSheetId="8" hidden="1">{#N/A,#N/A,FALSE,"GERAL";#N/A,#N/A,FALSE,"012-96";#N/A,#N/A,FALSE,"018-96";#N/A,#N/A,FALSE,"027-96";#N/A,#N/A,FALSE,"059-96";#N/A,#N/A,FALSE,"076-96";#N/A,#N/A,FALSE,"019-97";#N/A,#N/A,FALSE,"021-97";#N/A,#N/A,FALSE,"022-97";#N/A,#N/A,FALSE,"028-97"}</definedName>
    <definedName name="SRTSRT" localSheetId="2" hidden="1">{#N/A,#N/A,FALSE,"GERAL";#N/A,#N/A,FALSE,"012-96";#N/A,#N/A,FALSE,"018-96";#N/A,#N/A,FALSE,"027-96";#N/A,#N/A,FALSE,"059-96";#N/A,#N/A,FALSE,"076-96";#N/A,#N/A,FALSE,"019-97";#N/A,#N/A,FALSE,"021-97";#N/A,#N/A,FALSE,"022-97";#N/A,#N/A,FALSE,"028-97"}</definedName>
    <definedName name="SRTSRT" localSheetId="9" hidden="1">{#N/A,#N/A,FALSE,"GERAL";#N/A,#N/A,FALSE,"012-96";#N/A,#N/A,FALSE,"018-96";#N/A,#N/A,FALSE,"027-96";#N/A,#N/A,FALSE,"059-96";#N/A,#N/A,FALSE,"076-96";#N/A,#N/A,FALSE,"019-97";#N/A,#N/A,FALSE,"021-97";#N/A,#N/A,FALSE,"022-97";#N/A,#N/A,FALSE,"028-97"}</definedName>
    <definedName name="SRTSRT" localSheetId="13" hidden="1">{#N/A,#N/A,FALSE,"GERAL";#N/A,#N/A,FALSE,"012-96";#N/A,#N/A,FALSE,"018-96";#N/A,#N/A,FALSE,"027-96";#N/A,#N/A,FALSE,"059-96";#N/A,#N/A,FALSE,"076-96";#N/A,#N/A,FALSE,"019-97";#N/A,#N/A,FALSE,"021-97";#N/A,#N/A,FALSE,"022-97";#N/A,#N/A,FALSE,"028-97"}</definedName>
    <definedName name="SRTSRT" localSheetId="0"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localSheetId="3" hidden="1">{#N/A,#N/A,FALSE,"GERAL";#N/A,#N/A,FALSE,"012-96";#N/A,#N/A,FALSE,"018-96";#N/A,#N/A,FALSE,"027-96";#N/A,#N/A,FALSE,"059-96";#N/A,#N/A,FALSE,"076-96";#N/A,#N/A,FALSE,"019-97";#N/A,#N/A,FALSE,"021-97";#N/A,#N/A,FALSE,"022-97";#N/A,#N/A,FALSE,"028-97"}</definedName>
    <definedName name="SRTST" localSheetId="8" hidden="1">{#N/A,#N/A,FALSE,"GERAL";#N/A,#N/A,FALSE,"012-96";#N/A,#N/A,FALSE,"018-96";#N/A,#N/A,FALSE,"027-96";#N/A,#N/A,FALSE,"059-96";#N/A,#N/A,FALSE,"076-96";#N/A,#N/A,FALSE,"019-97";#N/A,#N/A,FALSE,"021-97";#N/A,#N/A,FALSE,"022-97";#N/A,#N/A,FALSE,"028-97"}</definedName>
    <definedName name="SRTST" localSheetId="2" hidden="1">{#N/A,#N/A,FALSE,"GERAL";#N/A,#N/A,FALSE,"012-96";#N/A,#N/A,FALSE,"018-96";#N/A,#N/A,FALSE,"027-96";#N/A,#N/A,FALSE,"059-96";#N/A,#N/A,FALSE,"076-96";#N/A,#N/A,FALSE,"019-97";#N/A,#N/A,FALSE,"021-97";#N/A,#N/A,FALSE,"022-97";#N/A,#N/A,FALSE,"028-97"}</definedName>
    <definedName name="SRTST" localSheetId="9" hidden="1">{#N/A,#N/A,FALSE,"GERAL";#N/A,#N/A,FALSE,"012-96";#N/A,#N/A,FALSE,"018-96";#N/A,#N/A,FALSE,"027-96";#N/A,#N/A,FALSE,"059-96";#N/A,#N/A,FALSE,"076-96";#N/A,#N/A,FALSE,"019-97";#N/A,#N/A,FALSE,"021-97";#N/A,#N/A,FALSE,"022-97";#N/A,#N/A,FALSE,"028-97"}</definedName>
    <definedName name="SRTST" localSheetId="13" hidden="1">{#N/A,#N/A,FALSE,"GERAL";#N/A,#N/A,FALSE,"012-96";#N/A,#N/A,FALSE,"018-96";#N/A,#N/A,FALSE,"027-96";#N/A,#N/A,FALSE,"059-96";#N/A,#N/A,FALSE,"076-96";#N/A,#N/A,FALSE,"019-97";#N/A,#N/A,FALSE,"021-97";#N/A,#N/A,FALSE,"022-97";#N/A,#N/A,FALSE,"028-97"}</definedName>
    <definedName name="SRTST" localSheetId="0"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S" localSheetId="3" hidden="1">#REF!</definedName>
    <definedName name="ss" localSheetId="4">#REF!</definedName>
    <definedName name="SS" localSheetId="8" hidden="1">#REF!</definedName>
    <definedName name="SS" localSheetId="9" hidden="1">#REF!</definedName>
    <definedName name="ss" localSheetId="13">#REF!</definedName>
    <definedName name="ss">#REF!</definedName>
    <definedName name="sssss" localSheetId="2" hidden="1">#REF!</definedName>
    <definedName name="sssss" localSheetId="0" hidden="1">#REF!</definedName>
    <definedName name="sssss" hidden="1">#REF!</definedName>
    <definedName name="stake_cury" localSheetId="2">#REF!</definedName>
    <definedName name="stake_cury">#REF!</definedName>
    <definedName name="status_projeto" localSheetId="3" hidden="1">OFFSET(INDEX(#REF!,MATCH(#REF!,#REF!,0)),1,0,COUNTA(#REF!)-1)</definedName>
    <definedName name="status_projeto" localSheetId="8" hidden="1">OFFSET(INDEX(#REF!,MATCH(#REF!,#REF!,0)),1,0,COUNTA(#REF!)-1)</definedName>
    <definedName name="status_projeto" localSheetId="2" hidden="1">OFFSET(INDEX(#REF!,MATCH(#REF!,#REF!,0)),1,0,COUNTA(#REF!)-1)</definedName>
    <definedName name="status_projeto" localSheetId="9" hidden="1">OFFSET(INDEX(#REF!,MATCH(#REF!,#REF!,0)),1,0,COUNTA(#REF!)-1)</definedName>
    <definedName name="status_projeto" localSheetId="13" hidden="1">OFFSET(INDEX(#REF!,MATCH(#REF!,#REF!,0)),1,0,COUNTA(#REF!)-1)</definedName>
    <definedName name="status_projeto" localSheetId="0" hidden="1">OFFSET(INDEX(#REF!,MATCH(#REF!,#REF!,0)),1,0,COUNTA(#REF!)-1)</definedName>
    <definedName name="status_projeto" hidden="1">OFFSET(INDEX(#REF!,MATCH(#REF!,#REF!,0)),1,0,COUNTA(#REF!)-1)</definedName>
    <definedName name="SUB_TOTAL_1" localSheetId="3">#REF!</definedName>
    <definedName name="SUB_TOTAL_1" localSheetId="2">#REF!</definedName>
    <definedName name="SUB_TOTAL_1">#REF!</definedName>
    <definedName name="SUBDER" localSheetId="3">#REF!</definedName>
    <definedName name="SUBDER" localSheetId="2">#REF!</definedName>
    <definedName name="SUBDER">#REF!</definedName>
    <definedName name="SUBDIV" localSheetId="3">#REF!</definedName>
    <definedName name="SUBDIV" localSheetId="2">#REF!</definedName>
    <definedName name="SUBDIV">#REF!</definedName>
    <definedName name="SUBEQP" localSheetId="2">#REF!</definedName>
    <definedName name="SUBEQP">#REF!</definedName>
    <definedName name="SUBMUR" localSheetId="2">#REF!</definedName>
    <definedName name="SUBMUR">#REF!</definedName>
    <definedName name="summ" localSheetId="0" hidden="1">#REF!</definedName>
    <definedName name="summ" hidden="1">#REF!</definedName>
    <definedName name="susref" localSheetId="4">#REF!</definedName>
    <definedName name="susref" localSheetId="2">#REF!</definedName>
    <definedName name="susref" localSheetId="13">#REF!</definedName>
    <definedName name="susref" localSheetId="0">#REF!</definedName>
    <definedName name="susref">#REF!</definedName>
    <definedName name="Swvu.Características." hidden="1">#REF!</definedName>
    <definedName name="Swvu.Ciclos." hidden="1">#REF!</definedName>
    <definedName name="Swvu.Custos." hidden="1">#REF!</definedName>
    <definedName name="Swvu.PLANILHA2." hidden="1">#REF!</definedName>
    <definedName name="Swvu.Recursos." hidden="1">#REF!</definedName>
    <definedName name="T_actual" localSheetId="2">#REF!</definedName>
    <definedName name="T_actual">#REF!</definedName>
    <definedName name="t_cc" localSheetId="2">#REF!</definedName>
    <definedName name="t_cc">#REF!</definedName>
    <definedName name="t_KSB1_Transport" localSheetId="2">#REF!</definedName>
    <definedName name="t_KSB1_Transport">#REF!</definedName>
    <definedName name="tab"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tab"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tab" hidden="1">{TRUE,TRUE,-1.25,-15.5,604.5,366.75,FALSE,FALSE,TRUE,TRUE,0,1,#N/A,1,#N/A,9.0125,24.4117647058824,1,FALSE,FALSE,3,TRUE,1,FALSE,100,"Swvu.PLANILHA2.","ACwvu.PLANILHA2.",#N/A,FALSE,FALSE,0.787401575,0.34,0.46,0.5,1,"","",FALSE,FALSE,FALSE,FALSE,1,#N/A,1,1,FALSE,FALSE,#N/A,#N/A,FALSE,FALSE,FALSE,9,65532,65532,FALSE,FALSE,TRUE,TRUE,TRUE}</definedName>
    <definedName name="TAB_GASTOS" localSheetId="3">#REF!</definedName>
    <definedName name="TAB_GASTOS" localSheetId="2">#REF!</definedName>
    <definedName name="TAB_GASTOS">#REF!</definedName>
    <definedName name="TABACABAMENTOS" localSheetId="3">#REF!</definedName>
    <definedName name="TABACABAMENTOS" localSheetId="2">#REF!</definedName>
    <definedName name="TABACABAMENTOS">#REF!</definedName>
    <definedName name="tabela" localSheetId="3">#REF!</definedName>
    <definedName name="tabela" localSheetId="2">#REF!</definedName>
    <definedName name="tabela">#REF!</definedName>
    <definedName name="Tabela_Atribuição" localSheetId="2">#REF!</definedName>
    <definedName name="Tabela_Atribuição">#REF!</definedName>
    <definedName name="TABELA_DE_REVESTIMENTOS" localSheetId="2">#REF!</definedName>
    <definedName name="TABELA_DE_REVESTIMENTOS">#REF!</definedName>
    <definedName name="Tabela_Recursos" localSheetId="2">#REF!</definedName>
    <definedName name="Tabela_Recursos">#REF!</definedName>
    <definedName name="Tabela_Tarefas" localSheetId="2">#REF!</definedName>
    <definedName name="Tabela_Tarefas">#REF!</definedName>
    <definedName name="Tabela1" localSheetId="2">#REF!</definedName>
    <definedName name="Tabela1">#REF!</definedName>
    <definedName name="Tabela2" localSheetId="2">#REF!</definedName>
    <definedName name="Tabela2">#REF!</definedName>
    <definedName name="tabela3" localSheetId="2">#REF!</definedName>
    <definedName name="tabela3">#REF!</definedName>
    <definedName name="TABREF" localSheetId="2">#REF!</definedName>
    <definedName name="TABREF">#REF!</definedName>
    <definedName name="tania" localSheetId="4">#REF!</definedName>
    <definedName name="tania" localSheetId="2">#REF!</definedName>
    <definedName name="tania" localSheetId="13">#REF!</definedName>
    <definedName name="tania" localSheetId="0">#REF!</definedName>
    <definedName name="tania">#REF!</definedName>
    <definedName name="TAUX2" localSheetId="3">OFFSET(#REF!,0,0,COUNTA(#REF!)+1,1)</definedName>
    <definedName name="TAUX2" localSheetId="2">OFFSET(#REF!,0,0,COUNTA(#REF!)+1,1)</definedName>
    <definedName name="TAUX2">OFFSET(#REF!,0,0,COUNTA(#REF!)+1,1)</definedName>
    <definedName name="TAUX3" localSheetId="2">OFFSET(#REF!,0,0,COUNTA(#REF!)+1,1)</definedName>
    <definedName name="TAUX3">OFFSET(#REF!,0,0,COUNTA(#REF!)+1,1)</definedName>
    <definedName name="TAXA_VENTO" localSheetId="3">#REF!</definedName>
    <definedName name="TAXA_VENTO" localSheetId="2">#REF!</definedName>
    <definedName name="TAXA_VENTO">#REF!</definedName>
    <definedName name="TAXAS" localSheetId="3">#REF!</definedName>
    <definedName name="TAXAS" localSheetId="2">#REF!</definedName>
    <definedName name="TAXAS">#REF!</definedName>
    <definedName name="TbDin" localSheetId="3">OFFSET(#REF!,0,0,COUNTA(#REF!),13)</definedName>
    <definedName name="TbDin" localSheetId="2">OFFSET(#REF!,0,0,COUNTA(#REF!),13)</definedName>
    <definedName name="TbDin">OFFSET(#REF!,0,0,COUNTA(#REF!),13)</definedName>
    <definedName name="tc" localSheetId="3">#REF!</definedName>
    <definedName name="tc" localSheetId="4">#REF!</definedName>
    <definedName name="tc" localSheetId="8">#REF!</definedName>
    <definedName name="tc" localSheetId="2">#REF!</definedName>
    <definedName name="tc" localSheetId="9">#REF!</definedName>
    <definedName name="tc" localSheetId="13">#REF!</definedName>
    <definedName name="tc" localSheetId="0">#REF!</definedName>
    <definedName name="tc">#REF!</definedName>
    <definedName name="TE" localSheetId="2">#REF!</definedName>
    <definedName name="TE">#REF!</definedName>
    <definedName name="TECLA" localSheetId="2">#REF!</definedName>
    <definedName name="TECLA">#REF!</definedName>
    <definedName name="Tendência_Obra_Controladoria" localSheetId="2">#REF!</definedName>
    <definedName name="Tendência_Obra_Controladoria">#REF!</definedName>
    <definedName name="TERRENO" localSheetId="2">#REF!</definedName>
    <definedName name="TERRENO">#REF!</definedName>
    <definedName name="Test" localSheetId="3" hidden="1">{"'Edit'!$A$1:$V$2277"}</definedName>
    <definedName name="Test" localSheetId="8" hidden="1">{"'Edit'!$A$1:$V$2277"}</definedName>
    <definedName name="Test" localSheetId="2" hidden="1">{"'Edit'!$A$1:$V$2277"}</definedName>
    <definedName name="Test" localSheetId="9" hidden="1">{"'Edit'!$A$1:$V$2277"}</definedName>
    <definedName name="Test" localSheetId="13" hidden="1">{"'Edit'!$A$1:$V$2277"}</definedName>
    <definedName name="Test" localSheetId="0" hidden="1">{"'Edit'!$A$1:$V$2277"}</definedName>
    <definedName name="Test" hidden="1">{"'Edit'!$A$1:$V$2277"}</definedName>
    <definedName name="TESTANDO" localSheetId="3" hidden="1">{#N/A,#N/A,TRUE,"Quinzena 01 à 15-04-98 "}</definedName>
    <definedName name="TESTANDO" localSheetId="8" hidden="1">{#N/A,#N/A,TRUE,"Quinzena 01 à 15-04-98 "}</definedName>
    <definedName name="TESTANDO" localSheetId="2" hidden="1">{#N/A,#N/A,TRUE,"Quinzena 01 à 15-04-98 "}</definedName>
    <definedName name="TESTANDO" localSheetId="9" hidden="1">{#N/A,#N/A,TRUE,"Quinzena 01 à 15-04-98 "}</definedName>
    <definedName name="TESTANDO" localSheetId="13" hidden="1">{#N/A,#N/A,TRUE,"Quinzena 01 à 15-04-98 "}</definedName>
    <definedName name="TESTANDO" localSheetId="0" hidden="1">{#N/A,#N/A,TRUE,"Quinzena 01 à 15-04-98 "}</definedName>
    <definedName name="TESTANDO" hidden="1">{#N/A,#N/A,TRUE,"Quinzena 01 à 15-04-98 "}</definedName>
    <definedName name="teste" localSheetId="3">#REF!</definedName>
    <definedName name="teste" localSheetId="2">#REF!</definedName>
    <definedName name="teste">#REF!</definedName>
    <definedName name="teste1" localSheetId="3" hidden="1">{#N/A,#N/A,FALSE,"GERAL";#N/A,#N/A,FALSE,"012-96";#N/A,#N/A,FALSE,"018-96";#N/A,#N/A,FALSE,"027-96";#N/A,#N/A,FALSE,"059-96";#N/A,#N/A,FALSE,"076-96";#N/A,#N/A,FALSE,"019-97";#N/A,#N/A,FALSE,"021-97";#N/A,#N/A,FALSE,"022-97";#N/A,#N/A,FALSE,"028-97"}</definedName>
    <definedName name="teste1" localSheetId="8" hidden="1">{#N/A,#N/A,FALSE,"GERAL";#N/A,#N/A,FALSE,"012-96";#N/A,#N/A,FALSE,"018-96";#N/A,#N/A,FALSE,"027-96";#N/A,#N/A,FALSE,"059-96";#N/A,#N/A,FALSE,"076-96";#N/A,#N/A,FALSE,"019-97";#N/A,#N/A,FALSE,"021-97";#N/A,#N/A,FALSE,"022-97";#N/A,#N/A,FALSE,"028-97"}</definedName>
    <definedName name="teste1" localSheetId="2" hidden="1">{#N/A,#N/A,FALSE,"GERAL";#N/A,#N/A,FALSE,"012-96";#N/A,#N/A,FALSE,"018-96";#N/A,#N/A,FALSE,"027-96";#N/A,#N/A,FALSE,"059-96";#N/A,#N/A,FALSE,"076-96";#N/A,#N/A,FALSE,"019-97";#N/A,#N/A,FALSE,"021-97";#N/A,#N/A,FALSE,"022-97";#N/A,#N/A,FALSE,"028-97"}</definedName>
    <definedName name="teste1" localSheetId="9" hidden="1">{#N/A,#N/A,FALSE,"GERAL";#N/A,#N/A,FALSE,"012-96";#N/A,#N/A,FALSE,"018-96";#N/A,#N/A,FALSE,"027-96";#N/A,#N/A,FALSE,"059-96";#N/A,#N/A,FALSE,"076-96";#N/A,#N/A,FALSE,"019-97";#N/A,#N/A,FALSE,"021-97";#N/A,#N/A,FALSE,"022-97";#N/A,#N/A,FALSE,"028-97"}</definedName>
    <definedName name="teste1" localSheetId="13" hidden="1">{#N/A,#N/A,FALSE,"GERAL";#N/A,#N/A,FALSE,"012-96";#N/A,#N/A,FALSE,"018-96";#N/A,#N/A,FALSE,"027-96";#N/A,#N/A,FALSE,"059-96";#N/A,#N/A,FALSE,"076-96";#N/A,#N/A,FALSE,"019-97";#N/A,#N/A,FALSE,"021-97";#N/A,#N/A,FALSE,"022-97";#N/A,#N/A,FALSE,"028-97"}</definedName>
    <definedName name="teste1" localSheetId="0"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teste3" localSheetId="3">#REF!</definedName>
    <definedName name="teste3" localSheetId="2">#REF!</definedName>
    <definedName name="teste3">#REF!</definedName>
    <definedName name="TESTHKEY" localSheetId="3">#REF!</definedName>
    <definedName name="TESTHKEY" localSheetId="2">#REF!</definedName>
    <definedName name="TESTHKEY">#REF!</definedName>
    <definedName name="teto1" localSheetId="3">#REF!</definedName>
    <definedName name="teto1" localSheetId="2">#REF!</definedName>
    <definedName name="teto1">#REF!</definedName>
    <definedName name="Teto2" localSheetId="2">#REF!</definedName>
    <definedName name="Teto2">#REF!</definedName>
    <definedName name="tetuytw" localSheetId="2">#REF!</definedName>
    <definedName name="tetuytw">#REF!</definedName>
    <definedName name="TextRefCopyRangeCount" hidden="1">1</definedName>
    <definedName name="thjgsergsr" localSheetId="3" hidden="1">{#N/A,#N/A,FALSE,"Plan1";#N/A,#N/A,FALSE,"Plan2"}</definedName>
    <definedName name="thjgsergsr" localSheetId="8" hidden="1">{#N/A,#N/A,FALSE,"Plan1";#N/A,#N/A,FALSE,"Plan2"}</definedName>
    <definedName name="thjgsergsr" localSheetId="2" hidden="1">{#N/A,#N/A,FALSE,"Plan1";#N/A,#N/A,FALSE,"Plan2"}</definedName>
    <definedName name="thjgsergsr" localSheetId="9" hidden="1">{#N/A,#N/A,FALSE,"Plan1";#N/A,#N/A,FALSE,"Plan2"}</definedName>
    <definedName name="thjgsergsr" localSheetId="13" hidden="1">{#N/A,#N/A,FALSE,"Plan1";#N/A,#N/A,FALSE,"Plan2"}</definedName>
    <definedName name="thjgsergsr" localSheetId="0" hidden="1">{#N/A,#N/A,FALSE,"Plan1";#N/A,#N/A,FALSE,"Plan2"}</definedName>
    <definedName name="thjgsergsr" hidden="1">{#N/A,#N/A,FALSE,"Plan1";#N/A,#N/A,FALSE,"Plan2"}</definedName>
    <definedName name="THYJ" localSheetId="3" hidden="1">{#N/A,#N/A,FALSE,"Plan1";#N/A,#N/A,FALSE,"Plan2"}</definedName>
    <definedName name="THYJ" localSheetId="8" hidden="1">{#N/A,#N/A,FALSE,"Plan1";#N/A,#N/A,FALSE,"Plan2"}</definedName>
    <definedName name="THYJ" localSheetId="2" hidden="1">{#N/A,#N/A,FALSE,"Plan1";#N/A,#N/A,FALSE,"Plan2"}</definedName>
    <definedName name="THYJ" localSheetId="9" hidden="1">{#N/A,#N/A,FALSE,"Plan1";#N/A,#N/A,FALSE,"Plan2"}</definedName>
    <definedName name="THYJ" localSheetId="13" hidden="1">{#N/A,#N/A,FALSE,"Plan1";#N/A,#N/A,FALSE,"Plan2"}</definedName>
    <definedName name="THYJ" localSheetId="0" hidden="1">{#N/A,#N/A,FALSE,"Plan1";#N/A,#N/A,FALSE,"Plan2"}</definedName>
    <definedName name="THYJ" hidden="1">{#N/A,#N/A,FALSE,"Plan1";#N/A,#N/A,FALSE,"Plan2"}</definedName>
    <definedName name="tihjgih" localSheetId="3" hidden="1">{#N/A,#N/A,FALSE,"Plan1";#N/A,#N/A,FALSE,"Plan2"}</definedName>
    <definedName name="tihjgih" localSheetId="8" hidden="1">{#N/A,#N/A,FALSE,"Plan1";#N/A,#N/A,FALSE,"Plan2"}</definedName>
    <definedName name="tihjgih" localSheetId="2" hidden="1">{#N/A,#N/A,FALSE,"Plan1";#N/A,#N/A,FALSE,"Plan2"}</definedName>
    <definedName name="tihjgih" localSheetId="9" hidden="1">{#N/A,#N/A,FALSE,"Plan1";#N/A,#N/A,FALSE,"Plan2"}</definedName>
    <definedName name="tihjgih" localSheetId="13" hidden="1">{#N/A,#N/A,FALSE,"Plan1";#N/A,#N/A,FALSE,"Plan2"}</definedName>
    <definedName name="tihjgih" localSheetId="0" hidden="1">{#N/A,#N/A,FALSE,"Plan1";#N/A,#N/A,FALSE,"Plan2"}</definedName>
    <definedName name="tihjgih" hidden="1">{#N/A,#N/A,FALSE,"Plan1";#N/A,#N/A,FALSE,"Plan2"}</definedName>
    <definedName name="TIPO_CTT" localSheetId="3">#REF!</definedName>
    <definedName name="TIPO_CTT" localSheetId="2">#REF!</definedName>
    <definedName name="TIPO_CTT">#REF!</definedName>
    <definedName name="Tipo_de_Diretoria" localSheetId="3">#REF!</definedName>
    <definedName name="Tipo_de_Diretoria" localSheetId="2">#REF!</definedName>
    <definedName name="Tipo_de_Diretoria">#REF!</definedName>
    <definedName name="Tipo_de_Gestao" localSheetId="3">#REF!</definedName>
    <definedName name="Tipo_de_Gestao" localSheetId="2">#REF!</definedName>
    <definedName name="Tipo_de_Gestao">#REF!</definedName>
    <definedName name="Tipo_de_Padrao" localSheetId="2">#REF!</definedName>
    <definedName name="Tipo_de_Padrao">#REF!</definedName>
    <definedName name="Tipo_de_Regiao" localSheetId="2">#REF!</definedName>
    <definedName name="Tipo_de_Regiao">#REF!</definedName>
    <definedName name="Tipo_de_Segmento" localSheetId="2">#REF!</definedName>
    <definedName name="Tipo_de_Segmento">#REF!</definedName>
    <definedName name="Tipo_de_Status" localSheetId="2">#REF!</definedName>
    <definedName name="Tipo_de_Status">#REF!</definedName>
    <definedName name="Tipo_de_UF" localSheetId="2">#REF!</definedName>
    <definedName name="Tipo_de_UF">#REF!</definedName>
    <definedName name="Tipo_de_Unidade_de_Negocio" localSheetId="2">#REF!</definedName>
    <definedName name="Tipo_de_Unidade_de_Negocio">#REF!</definedName>
    <definedName name="Tipo_do_cliente" localSheetId="2">#REF!</definedName>
    <definedName name="Tipo_do_cliente">#REF!</definedName>
    <definedName name="tipo_subtotal" localSheetId="2">#REF!</definedName>
    <definedName name="tipo_subtotal">#REF!</definedName>
    <definedName name="tipobloco" localSheetId="2">#REF!</definedName>
    <definedName name="tipobloco">#REF!</definedName>
    <definedName name="titbeb" localSheetId="2">#REF!</definedName>
    <definedName name="titbeb">#REF!</definedName>
    <definedName name="TITCHAF" localSheetId="2">#REF!</definedName>
    <definedName name="TITCHAF">#REF!</definedName>
    <definedName name="TituloMkt" localSheetId="2">#REF!</definedName>
    <definedName name="TituloMkt">#REF!</definedName>
    <definedName name="titulos" localSheetId="2">#REF!</definedName>
    <definedName name="titulos" localSheetId="0">#REF!</definedName>
    <definedName name="titulos">#REF!</definedName>
    <definedName name="_xlnm.Print_Titles" localSheetId="2">#REF!</definedName>
    <definedName name="_xlnm.Print_Titles" localSheetId="0">#REF!</definedName>
    <definedName name="_xlnm.Print_Titles">#REF!</definedName>
    <definedName name="Títulos_impressão_IM" localSheetId="2">#REF!</definedName>
    <definedName name="Títulos_impressão_IM">#REF!</definedName>
    <definedName name="TMO" localSheetId="2">#REF!</definedName>
    <definedName name="TMO">#REF!</definedName>
    <definedName name="TOLTAL2" localSheetId="2">#REF!</definedName>
    <definedName name="TOLTAL2">#REF!</definedName>
    <definedName name="TOT" localSheetId="4">#REF!</definedName>
    <definedName name="TOT" localSheetId="2">#REF!</definedName>
    <definedName name="TOT" localSheetId="13">#REF!</definedName>
    <definedName name="TOT" localSheetId="0">#REF!</definedName>
    <definedName name="TOT">#REF!</definedName>
    <definedName name="tot3estac" localSheetId="2">#REF!</definedName>
    <definedName name="tot3estac">#REF!</definedName>
    <definedName name="TOTAIS" localSheetId="2">#REF!</definedName>
    <definedName name="TOTAIS">#REF!</definedName>
    <definedName name="Total" localSheetId="4">#REF!</definedName>
    <definedName name="Total" localSheetId="2">#REF!</definedName>
    <definedName name="Total" localSheetId="13">#REF!</definedName>
    <definedName name="Total" localSheetId="0">#REF!</definedName>
    <definedName name="Total">#REF!</definedName>
    <definedName name="Total_2016_Rel_Controladoria" localSheetId="2">#REF!</definedName>
    <definedName name="Total_2016_Rel_Controladoria">#REF!</definedName>
    <definedName name="Total_Parcelas_MAP" localSheetId="2">#REF!</definedName>
    <definedName name="Total_Parcelas_MAP">#REF!</definedName>
    <definedName name="total_unid" localSheetId="2">#REF!</definedName>
    <definedName name="total_unid">#REF!</definedName>
    <definedName name="TOTAL1" localSheetId="2">#REF!</definedName>
    <definedName name="TOTAL1">#REF!</definedName>
    <definedName name="TOTAL10" localSheetId="2">#REF!</definedName>
    <definedName name="TOTAL10">#REF!</definedName>
    <definedName name="TOTAL11" localSheetId="2">#REF!</definedName>
    <definedName name="TOTAL11">#REF!</definedName>
    <definedName name="TOTAL12" localSheetId="2">#REF!</definedName>
    <definedName name="TOTAL12">#REF!</definedName>
    <definedName name="TOTAL13" localSheetId="2">#REF!</definedName>
    <definedName name="TOTAL13">#REF!</definedName>
    <definedName name="TOTAL14" localSheetId="2">#REF!</definedName>
    <definedName name="TOTAL14">#REF!</definedName>
    <definedName name="TOTAL15" localSheetId="2">#REF!</definedName>
    <definedName name="TOTAL15">#REF!</definedName>
    <definedName name="TOTAL16" localSheetId="2">#REF!</definedName>
    <definedName name="TOTAL16">#REF!</definedName>
    <definedName name="TOTAL2" localSheetId="2">#REF!</definedName>
    <definedName name="TOTAL2">#REF!</definedName>
    <definedName name="TOTAL3" localSheetId="2">#REF!</definedName>
    <definedName name="TOTAL3">#REF!</definedName>
    <definedName name="TOTAL4" localSheetId="2">#REF!</definedName>
    <definedName name="TOTAL4">#REF!</definedName>
    <definedName name="TOTAL5" localSheetId="2">#REF!</definedName>
    <definedName name="TOTAL5">#REF!</definedName>
    <definedName name="TOTAL6" localSheetId="2">#REF!</definedName>
    <definedName name="TOTAL6">#REF!</definedName>
    <definedName name="TOTAL7" localSheetId="2">#REF!</definedName>
    <definedName name="TOTAL7">#REF!</definedName>
    <definedName name="TOTAL8" localSheetId="2">#REF!</definedName>
    <definedName name="TOTAL8">#REF!</definedName>
    <definedName name="TOTAL9" localSheetId="2">#REF!</definedName>
    <definedName name="TOTAL9">#REF!</definedName>
    <definedName name="TOTALITEM" localSheetId="2">#REF!</definedName>
    <definedName name="TOTALITEM">#REF!</definedName>
    <definedName name="totbase" localSheetId="2">#REF!</definedName>
    <definedName name="totbase">#REF!</definedName>
    <definedName name="totestaca" localSheetId="2">#REF!</definedName>
    <definedName name="totestaca">#REF!</definedName>
    <definedName name="TOTG" localSheetId="3">OFFSET(#REF!,0,0,COUNTA(#REF!),1)</definedName>
    <definedName name="TOTG" localSheetId="2">OFFSET(#REF!,0,0,COUNTA(#REF!),1)</definedName>
    <definedName name="TOTG">OFFSET(#REF!,0,0,COUNTA(#REF!),1)</definedName>
    <definedName name="totperfura" localSheetId="3">#REF!</definedName>
    <definedName name="totperfura" localSheetId="2">#REF!</definedName>
    <definedName name="totperfura">#REF!</definedName>
    <definedName name="TOTQTS" localSheetId="3">#REF!</definedName>
    <definedName name="TOTQTS" localSheetId="2">#REF!</definedName>
    <definedName name="TOTQTS">#REF!</definedName>
    <definedName name="TOTT" localSheetId="3">OFFSET(#REF!,0,0,COUNTA(#REF!)+1,1)</definedName>
    <definedName name="TOTT" localSheetId="2">OFFSET(#REF!,0,0,COUNTA(#REF!)+1,1)</definedName>
    <definedName name="TOTT">OFFSET(#REF!,0,0,COUNTA(#REF!)+1,1)</definedName>
    <definedName name="TR" localSheetId="3">#REF!</definedName>
    <definedName name="TR" localSheetId="2">#REF!</definedName>
    <definedName name="TR">#REF!</definedName>
    <definedName name="Transferencia1" localSheetId="3">#REF!</definedName>
    <definedName name="Transferencia1" localSheetId="2">#REF!</definedName>
    <definedName name="Transferencia1">#REF!</definedName>
    <definedName name="TRES" localSheetId="3">#REF!</definedName>
    <definedName name="TRES" localSheetId="2">#REF!</definedName>
    <definedName name="TRES">#REF!</definedName>
    <definedName name="TREZE" localSheetId="2">#REF!</definedName>
    <definedName name="TREZE">#REF!</definedName>
    <definedName name="tri" localSheetId="2">#REF!</definedName>
    <definedName name="tri">#REF!</definedName>
    <definedName name="Trimestre_data_base" localSheetId="2">#REF!</definedName>
    <definedName name="Trimestre_data_base">#REF!</definedName>
    <definedName name="trjyidih" localSheetId="3" hidden="1">{#N/A,#N/A,FALSE,"Plan1";#N/A,#N/A,FALSE,"Plan2"}</definedName>
    <definedName name="trjyidih" localSheetId="8" hidden="1">{#N/A,#N/A,FALSE,"Plan1";#N/A,#N/A,FALSE,"Plan2"}</definedName>
    <definedName name="trjyidih" localSheetId="2" hidden="1">{#N/A,#N/A,FALSE,"Plan1";#N/A,#N/A,FALSE,"Plan2"}</definedName>
    <definedName name="trjyidih" localSheetId="9" hidden="1">{#N/A,#N/A,FALSE,"Plan1";#N/A,#N/A,FALSE,"Plan2"}</definedName>
    <definedName name="trjyidih" localSheetId="13" hidden="1">{#N/A,#N/A,FALSE,"Plan1";#N/A,#N/A,FALSE,"Plan2"}</definedName>
    <definedName name="trjyidih" localSheetId="0" hidden="1">{#N/A,#N/A,FALSE,"Plan1";#N/A,#N/A,FALSE,"Plan2"}</definedName>
    <definedName name="trjyidih" hidden="1">{#N/A,#N/A,FALSE,"Plan1";#N/A,#N/A,FALSE,"Plan2"}</definedName>
    <definedName name="TRP" localSheetId="3">#REF!</definedName>
    <definedName name="TRP" localSheetId="4">#REF!</definedName>
    <definedName name="TRP" localSheetId="8">#REF!</definedName>
    <definedName name="TRP" localSheetId="2">#REF!</definedName>
    <definedName name="TRP" localSheetId="9">#REF!</definedName>
    <definedName name="TRP" localSheetId="13">#REF!</definedName>
    <definedName name="TRP" localSheetId="0">#REF!</definedName>
    <definedName name="TRP">#REF!</definedName>
    <definedName name="TTT" localSheetId="2">#REF!</definedName>
    <definedName name="TTT">#REF!</definedName>
    <definedName name="TURNO" localSheetId="2">#REF!</definedName>
    <definedName name="TURNO">#REF!</definedName>
    <definedName name="tuyedjsksj" localSheetId="3" hidden="1">{#N/A,#N/A,FALSE,"Plan1";#N/A,#N/A,FALSE,"Plan2"}</definedName>
    <definedName name="tuyedjsksj" localSheetId="8" hidden="1">{#N/A,#N/A,FALSE,"Plan1";#N/A,#N/A,FALSE,"Plan2"}</definedName>
    <definedName name="tuyedjsksj" localSheetId="2" hidden="1">{#N/A,#N/A,FALSE,"Plan1";#N/A,#N/A,FALSE,"Plan2"}</definedName>
    <definedName name="tuyedjsksj" localSheetId="9" hidden="1">{#N/A,#N/A,FALSE,"Plan1";#N/A,#N/A,FALSE,"Plan2"}</definedName>
    <definedName name="tuyedjsksj" localSheetId="13" hidden="1">{#N/A,#N/A,FALSE,"Plan1";#N/A,#N/A,FALSE,"Plan2"}</definedName>
    <definedName name="tuyedjsksj" localSheetId="0" hidden="1">{#N/A,#N/A,FALSE,"Plan1";#N/A,#N/A,FALSE,"Plan2"}</definedName>
    <definedName name="tuyedjsksj" hidden="1">{#N/A,#N/A,FALSE,"Plan1";#N/A,#N/A,FALSE,"Plan2"}</definedName>
    <definedName name="TX_ADM" localSheetId="3">#REF!</definedName>
    <definedName name="TX_ADM" localSheetId="2">#REF!</definedName>
    <definedName name="TX_ADM">#REF!</definedName>
    <definedName name="tx_desconto_real" localSheetId="3">#REF!</definedName>
    <definedName name="tx_desconto_real" localSheetId="2">#REF!</definedName>
    <definedName name="tx_desconto_real">#REF!</definedName>
    <definedName name="TxAplicMes" localSheetId="3">#REF!</definedName>
    <definedName name="TxAplicMes" localSheetId="2">#REF!</definedName>
    <definedName name="TxAplicMes">#REF!</definedName>
    <definedName name="TxCdiMes" localSheetId="2">#REF!</definedName>
    <definedName name="TxCdiMes">#REF!</definedName>
    <definedName name="TxDescMes" localSheetId="2">#REF!</definedName>
    <definedName name="TxDescMes">#REF!</definedName>
    <definedName name="TxSecuritizacaoMes" localSheetId="2">#REF!</definedName>
    <definedName name="TxSecuritizacaoMes">#REF!</definedName>
    <definedName name="TxSfhEco" localSheetId="2">#REF!</definedName>
    <definedName name="TxSfhEco">#REF!</definedName>
    <definedName name="TxSfhMap" localSheetId="2">#REF!</definedName>
    <definedName name="TxSfhMap">#REF!</definedName>
    <definedName name="TXTEQUIP" localSheetId="2">#REF!</definedName>
    <definedName name="TXTEQUIP">#REF!</definedName>
    <definedName name="TXTMARCA" localSheetId="2">#REF!</definedName>
    <definedName name="TXTMARCA">#REF!</definedName>
    <definedName name="TXTMOD" localSheetId="2">#REF!</definedName>
    <definedName name="TXTMOD">#REF!</definedName>
    <definedName name="TXTPOT" localSheetId="2">#REF!</definedName>
    <definedName name="TXTPOT">#REF!</definedName>
    <definedName name="TYHGFHFHG" localSheetId="3" hidden="1">{#N/A,#N/A,FALSE,"Plan1";#N/A,#N/A,FALSE,"Plan2"}</definedName>
    <definedName name="TYHGFHFHG" localSheetId="8" hidden="1">{#N/A,#N/A,FALSE,"Plan1";#N/A,#N/A,FALSE,"Plan2"}</definedName>
    <definedName name="TYHGFHFHG" localSheetId="2" hidden="1">{#N/A,#N/A,FALSE,"Plan1";#N/A,#N/A,FALSE,"Plan2"}</definedName>
    <definedName name="TYHGFHFHG" localSheetId="9" hidden="1">{#N/A,#N/A,FALSE,"Plan1";#N/A,#N/A,FALSE,"Plan2"}</definedName>
    <definedName name="TYHGFHFHG" localSheetId="13" hidden="1">{#N/A,#N/A,FALSE,"Plan1";#N/A,#N/A,FALSE,"Plan2"}</definedName>
    <definedName name="TYHGFHFHG" localSheetId="0" hidden="1">{#N/A,#N/A,FALSE,"Plan1";#N/A,#N/A,FALSE,"Plan2"}</definedName>
    <definedName name="TYHGFHFHG" hidden="1">{#N/A,#N/A,FALSE,"Plan1";#N/A,#N/A,FALSE,"Plan2"}</definedName>
    <definedName name="u" localSheetId="5">{#N/A,#N/A,FALSE,"ET-CAPA";#N/A,#N/A,FALSE,"ET-PAG1";#N/A,#N/A,FALSE,"ET-PAG2";#N/A,#N/A,FALSE,"ET-PAG3";#N/A,#N/A,FALSE,"ET-PAG4";#N/A,#N/A,FALSE,"ET-PAG5"}</definedName>
    <definedName name="u" localSheetId="3" hidden="1">{#N/A,#N/A,FALSE,"ET-CAPA";#N/A,#N/A,FALSE,"ET-PAG1";#N/A,#N/A,FALSE,"ET-PAG2";#N/A,#N/A,FALSE,"ET-PAG3";#N/A,#N/A,FALSE,"ET-PAG4";#N/A,#N/A,FALSE,"ET-PAG5"}</definedName>
    <definedName name="u" localSheetId="4">{#N/A,#N/A,FALSE,"ET-CAPA";#N/A,#N/A,FALSE,"ET-PAG1";#N/A,#N/A,FALSE,"ET-PAG2";#N/A,#N/A,FALSE,"ET-PAG3";#N/A,#N/A,FALSE,"ET-PAG4";#N/A,#N/A,FALSE,"ET-PAG5"}</definedName>
    <definedName name="u" localSheetId="8" hidden="1">{#N/A,#N/A,FALSE,"ET-CAPA";#N/A,#N/A,FALSE,"ET-PAG1";#N/A,#N/A,FALSE,"ET-PAG2";#N/A,#N/A,FALSE,"ET-PAG3";#N/A,#N/A,FALSE,"ET-PAG4";#N/A,#N/A,FALSE,"ET-PAG5"}</definedName>
    <definedName name="u" localSheetId="2" hidden="1">{#N/A,#N/A,FALSE,"ET-CAPA";#N/A,#N/A,FALSE,"ET-PAG1";#N/A,#N/A,FALSE,"ET-PAG2";#N/A,#N/A,FALSE,"ET-PAG3";#N/A,#N/A,FALSE,"ET-PAG4";#N/A,#N/A,FALSE,"ET-PAG5"}</definedName>
    <definedName name="u" localSheetId="9" hidden="1">{#N/A,#N/A,FALSE,"ET-CAPA";#N/A,#N/A,FALSE,"ET-PAG1";#N/A,#N/A,FALSE,"ET-PAG2";#N/A,#N/A,FALSE,"ET-PAG3";#N/A,#N/A,FALSE,"ET-PAG4";#N/A,#N/A,FALSE,"ET-PAG5"}</definedName>
    <definedName name="u" localSheetId="13" hidden="1">{#N/A,#N/A,FALSE,"ET-CAPA";#N/A,#N/A,FALSE,"ET-PAG1";#N/A,#N/A,FALSE,"ET-PAG2";#N/A,#N/A,FALSE,"ET-PAG3";#N/A,#N/A,FALSE,"ET-PAG4";#N/A,#N/A,FALSE,"ET-PAG5"}</definedName>
    <definedName name="u" localSheetId="0" hidden="1">{#N/A,#N/A,FALSE,"ET-CAPA";#N/A,#N/A,FALSE,"ET-PAG1";#N/A,#N/A,FALSE,"ET-PAG2";#N/A,#N/A,FALSE,"ET-PAG3";#N/A,#N/A,FALSE,"ET-PAG4";#N/A,#N/A,FALSE,"ET-PAG5"}</definedName>
    <definedName name="u">{#N/A,#N/A,FALSE,"ET-CAPA";#N/A,#N/A,FALSE,"ET-PAG1";#N/A,#N/A,FALSE,"ET-PAG2";#N/A,#N/A,FALSE,"ET-PAG3";#N/A,#N/A,FALSE,"ET-PAG4";#N/A,#N/A,FALSE,"ET-PAG5"}</definedName>
    <definedName name="udhgfhfg" localSheetId="3" hidden="1">{#N/A,#N/A,FALSE,"Plan1";#N/A,#N/A,FALSE,"Plan2"}</definedName>
    <definedName name="udhgfhfg" localSheetId="8" hidden="1">{#N/A,#N/A,FALSE,"Plan1";#N/A,#N/A,FALSE,"Plan2"}</definedName>
    <definedName name="udhgfhfg" localSheetId="2" hidden="1">{#N/A,#N/A,FALSE,"Plan1";#N/A,#N/A,FALSE,"Plan2"}</definedName>
    <definedName name="udhgfhfg" localSheetId="9" hidden="1">{#N/A,#N/A,FALSE,"Plan1";#N/A,#N/A,FALSE,"Plan2"}</definedName>
    <definedName name="udhgfhfg" localSheetId="13" hidden="1">{#N/A,#N/A,FALSE,"Plan1";#N/A,#N/A,FALSE,"Plan2"}</definedName>
    <definedName name="udhgfhfg" localSheetId="0" hidden="1">{#N/A,#N/A,FALSE,"Plan1";#N/A,#N/A,FALSE,"Plan2"}</definedName>
    <definedName name="udhgfhfg" hidden="1">{#N/A,#N/A,FALSE,"Plan1";#N/A,#N/A,FALSE,"Plan2"}</definedName>
    <definedName name="ueiutriuef" localSheetId="3" hidden="1">{#N/A,#N/A,FALSE,"Plan1";#N/A,#N/A,FALSE,"Plan2"}</definedName>
    <definedName name="ueiutriuef" localSheetId="8" hidden="1">{#N/A,#N/A,FALSE,"Plan1";#N/A,#N/A,FALSE,"Plan2"}</definedName>
    <definedName name="ueiutriuef" localSheetId="2" hidden="1">{#N/A,#N/A,FALSE,"Plan1";#N/A,#N/A,FALSE,"Plan2"}</definedName>
    <definedName name="ueiutriuef" localSheetId="9" hidden="1">{#N/A,#N/A,FALSE,"Plan1";#N/A,#N/A,FALSE,"Plan2"}</definedName>
    <definedName name="ueiutriuef" localSheetId="13" hidden="1">{#N/A,#N/A,FALSE,"Plan1";#N/A,#N/A,FALSE,"Plan2"}</definedName>
    <definedName name="ueiutriuef" localSheetId="0" hidden="1">{#N/A,#N/A,FALSE,"Plan1";#N/A,#N/A,FALSE,"Plan2"}</definedName>
    <definedName name="ueiutriuef" hidden="1">{#N/A,#N/A,FALSE,"Plan1";#N/A,#N/A,FALSE,"Plan2"}</definedName>
    <definedName name="UENSIT" localSheetId="3">#REF!</definedName>
    <definedName name="UENSIT" localSheetId="2">#REF!</definedName>
    <definedName name="UENSIT">#REF!</definedName>
    <definedName name="UENSITS" localSheetId="3">#REF!</definedName>
    <definedName name="UENSITS" localSheetId="2">#REF!</definedName>
    <definedName name="UENSITS">#REF!</definedName>
    <definedName name="UHGSDUS" localSheetId="3" hidden="1">{#N/A,#N/A,FALSE,"Plan1";#N/A,#N/A,FALSE,"Plan2"}</definedName>
    <definedName name="UHGSDUS" localSheetId="8" hidden="1">{#N/A,#N/A,FALSE,"Plan1";#N/A,#N/A,FALSE,"Plan2"}</definedName>
    <definedName name="UHGSDUS" localSheetId="2" hidden="1">{#N/A,#N/A,FALSE,"Plan1";#N/A,#N/A,FALSE,"Plan2"}</definedName>
    <definedName name="UHGSDUS" localSheetId="9" hidden="1">{#N/A,#N/A,FALSE,"Plan1";#N/A,#N/A,FALSE,"Plan2"}</definedName>
    <definedName name="UHGSDUS" localSheetId="13" hidden="1">{#N/A,#N/A,FALSE,"Plan1";#N/A,#N/A,FALSE,"Plan2"}</definedName>
    <definedName name="UHGSDUS" localSheetId="0" hidden="1">{#N/A,#N/A,FALSE,"Plan1";#N/A,#N/A,FALSE,"Plan2"}</definedName>
    <definedName name="UHGSDUS" hidden="1">{#N/A,#N/A,FALSE,"Plan1";#N/A,#N/A,FALSE,"Plan2"}</definedName>
    <definedName name="UI" localSheetId="3" hidden="1">#REF!</definedName>
    <definedName name="UI" localSheetId="8" hidden="1">#REF!</definedName>
    <definedName name="UI" localSheetId="2" hidden="1">#REF!</definedName>
    <definedName name="UI" localSheetId="9" hidden="1">#REF!</definedName>
    <definedName name="UI" localSheetId="13" hidden="1">#REF!</definedName>
    <definedName name="UI" localSheetId="0" hidden="1">#REF!</definedName>
    <definedName name="UI" hidden="1">#REF!</definedName>
    <definedName name="UIHWER45R" localSheetId="3" hidden="1">{#N/A,#N/A,FALSE,"Plan1";#N/A,#N/A,FALSE,"Plan2"}</definedName>
    <definedName name="UIHWER45R" localSheetId="8" hidden="1">{#N/A,#N/A,FALSE,"Plan1";#N/A,#N/A,FALSE,"Plan2"}</definedName>
    <definedName name="UIHWER45R" localSheetId="2" hidden="1">{#N/A,#N/A,FALSE,"Plan1";#N/A,#N/A,FALSE,"Plan2"}</definedName>
    <definedName name="UIHWER45R" localSheetId="9" hidden="1">{#N/A,#N/A,FALSE,"Plan1";#N/A,#N/A,FALSE,"Plan2"}</definedName>
    <definedName name="UIHWER45R" localSheetId="13" hidden="1">{#N/A,#N/A,FALSE,"Plan1";#N/A,#N/A,FALSE,"Plan2"}</definedName>
    <definedName name="UIHWER45R" localSheetId="0" hidden="1">{#N/A,#N/A,FALSE,"Plan1";#N/A,#N/A,FALSE,"Plan2"}</definedName>
    <definedName name="UIHWER45R" hidden="1">{#N/A,#N/A,FALSE,"Plan1";#N/A,#N/A,FALSE,"Plan2"}</definedName>
    <definedName name="uiosderuiu" localSheetId="3" hidden="1">{#N/A,#N/A,FALSE,"Plan1";#N/A,#N/A,FALSE,"Plan2"}</definedName>
    <definedName name="uiosderuiu" localSheetId="8" hidden="1">{#N/A,#N/A,FALSE,"Plan1";#N/A,#N/A,FALSE,"Plan2"}</definedName>
    <definedName name="uiosderuiu" localSheetId="2" hidden="1">{#N/A,#N/A,FALSE,"Plan1";#N/A,#N/A,FALSE,"Plan2"}</definedName>
    <definedName name="uiosderuiu" localSheetId="9" hidden="1">{#N/A,#N/A,FALSE,"Plan1";#N/A,#N/A,FALSE,"Plan2"}</definedName>
    <definedName name="uiosderuiu" localSheetId="13" hidden="1">{#N/A,#N/A,FALSE,"Plan1";#N/A,#N/A,FALSE,"Plan2"}</definedName>
    <definedName name="uiosderuiu" localSheetId="0" hidden="1">{#N/A,#N/A,FALSE,"Plan1";#N/A,#N/A,FALSE,"Plan2"}</definedName>
    <definedName name="uiosderuiu" hidden="1">{#N/A,#N/A,FALSE,"Plan1";#N/A,#N/A,FALSE,"Plan2"}</definedName>
    <definedName name="UIOURET" localSheetId="3" hidden="1">{#N/A,#N/A,FALSE,"Plan1";#N/A,#N/A,FALSE,"Plan2"}</definedName>
    <definedName name="UIOURET" localSheetId="8" hidden="1">{#N/A,#N/A,FALSE,"Plan1";#N/A,#N/A,FALSE,"Plan2"}</definedName>
    <definedName name="UIOURET" localSheetId="2" hidden="1">{#N/A,#N/A,FALSE,"Plan1";#N/A,#N/A,FALSE,"Plan2"}</definedName>
    <definedName name="UIOURET" localSheetId="9" hidden="1">{#N/A,#N/A,FALSE,"Plan1";#N/A,#N/A,FALSE,"Plan2"}</definedName>
    <definedName name="UIOURET" localSheetId="13" hidden="1">{#N/A,#N/A,FALSE,"Plan1";#N/A,#N/A,FALSE,"Plan2"}</definedName>
    <definedName name="UIOURET" localSheetId="0" hidden="1">{#N/A,#N/A,FALSE,"Plan1";#N/A,#N/A,FALSE,"Plan2"}</definedName>
    <definedName name="UIOURET" hidden="1">{#N/A,#N/A,FALSE,"Plan1";#N/A,#N/A,FALSE,"Plan2"}</definedName>
    <definedName name="uiwuer" localSheetId="3" hidden="1">{#N/A,#N/A,FALSE,"Plan1";#N/A,#N/A,FALSE,"Plan2"}</definedName>
    <definedName name="uiwuer" localSheetId="8" hidden="1">{#N/A,#N/A,FALSE,"Plan1";#N/A,#N/A,FALSE,"Plan2"}</definedName>
    <definedName name="uiwuer" localSheetId="2" hidden="1">{#N/A,#N/A,FALSE,"Plan1";#N/A,#N/A,FALSE,"Plan2"}</definedName>
    <definedName name="uiwuer" localSheetId="9" hidden="1">{#N/A,#N/A,FALSE,"Plan1";#N/A,#N/A,FALSE,"Plan2"}</definedName>
    <definedName name="uiwuer" localSheetId="13" hidden="1">{#N/A,#N/A,FALSE,"Plan1";#N/A,#N/A,FALSE,"Plan2"}</definedName>
    <definedName name="uiwuer" localSheetId="0" hidden="1">{#N/A,#N/A,FALSE,"Plan1";#N/A,#N/A,FALSE,"Plan2"}</definedName>
    <definedName name="uiwuer" hidden="1">{#N/A,#N/A,FALSE,"Plan1";#N/A,#N/A,FALSE,"Plan2"}</definedName>
    <definedName name="UKHDFDSGUDFKD" localSheetId="3" hidden="1">{#N/A,#N/A,FALSE,"Plan1";#N/A,#N/A,FALSE,"Plan2"}</definedName>
    <definedName name="UKHDFDSGUDFKD" localSheetId="8" hidden="1">{#N/A,#N/A,FALSE,"Plan1";#N/A,#N/A,FALSE,"Plan2"}</definedName>
    <definedName name="UKHDFDSGUDFKD" localSheetId="2" hidden="1">{#N/A,#N/A,FALSE,"Plan1";#N/A,#N/A,FALSE,"Plan2"}</definedName>
    <definedName name="UKHDFDSGUDFKD" localSheetId="9" hidden="1">{#N/A,#N/A,FALSE,"Plan1";#N/A,#N/A,FALSE,"Plan2"}</definedName>
    <definedName name="UKHDFDSGUDFKD" localSheetId="13" hidden="1">{#N/A,#N/A,FALSE,"Plan1";#N/A,#N/A,FALSE,"Plan2"}</definedName>
    <definedName name="UKHDFDSGUDFKD" localSheetId="0" hidden="1">{#N/A,#N/A,FALSE,"Plan1";#N/A,#N/A,FALSE,"Plan2"}</definedName>
    <definedName name="UKHDFDSGUDFKD" hidden="1">{#N/A,#N/A,FALSE,"Plan1";#N/A,#N/A,FALSE,"Plan2"}</definedName>
    <definedName name="UM" localSheetId="2">#REF!</definedName>
    <definedName name="um" localSheetId="0" hidden="1">0</definedName>
    <definedName name="um" hidden="1">0</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 localSheetId="3">OFFSET(#REF!,0,0,COUNTA(#REF!),1)</definedName>
    <definedName name="UNID" localSheetId="2">OFFSET(#REF!,0,0,COUNTA(#REF!),1)</definedName>
    <definedName name="UNID">OFFSET(#REF!,0,0,COUNTA(#REF!),1)</definedName>
    <definedName name="unit" localSheetId="3" hidden="1">{#N/A,#N/A,FALSE,"GERAL";#N/A,#N/A,FALSE,"012-96";#N/A,#N/A,FALSE,"018-96";#N/A,#N/A,FALSE,"027-96";#N/A,#N/A,FALSE,"059-96";#N/A,#N/A,FALSE,"076-96";#N/A,#N/A,FALSE,"019-97";#N/A,#N/A,FALSE,"021-97";#N/A,#N/A,FALSE,"022-97";#N/A,#N/A,FALSE,"028-97"}</definedName>
    <definedName name="unit" localSheetId="8" hidden="1">{#N/A,#N/A,FALSE,"GERAL";#N/A,#N/A,FALSE,"012-96";#N/A,#N/A,FALSE,"018-96";#N/A,#N/A,FALSE,"027-96";#N/A,#N/A,FALSE,"059-96";#N/A,#N/A,FALSE,"076-96";#N/A,#N/A,FALSE,"019-97";#N/A,#N/A,FALSE,"021-97";#N/A,#N/A,FALSE,"022-97";#N/A,#N/A,FALSE,"028-97"}</definedName>
    <definedName name="unit" localSheetId="2" hidden="1">{#N/A,#N/A,FALSE,"GERAL";#N/A,#N/A,FALSE,"012-96";#N/A,#N/A,FALSE,"018-96";#N/A,#N/A,FALSE,"027-96";#N/A,#N/A,FALSE,"059-96";#N/A,#N/A,FALSE,"076-96";#N/A,#N/A,FALSE,"019-97";#N/A,#N/A,FALSE,"021-97";#N/A,#N/A,FALSE,"022-97";#N/A,#N/A,FALSE,"028-97"}</definedName>
    <definedName name="unit" localSheetId="9" hidden="1">{#N/A,#N/A,FALSE,"GERAL";#N/A,#N/A,FALSE,"012-96";#N/A,#N/A,FALSE,"018-96";#N/A,#N/A,FALSE,"027-96";#N/A,#N/A,FALSE,"059-96";#N/A,#N/A,FALSE,"076-96";#N/A,#N/A,FALSE,"019-97";#N/A,#N/A,FALSE,"021-97";#N/A,#N/A,FALSE,"022-97";#N/A,#N/A,FALSE,"028-97"}</definedName>
    <definedName name="unit" localSheetId="13" hidden="1">{#N/A,#N/A,FALSE,"GERAL";#N/A,#N/A,FALSE,"012-96";#N/A,#N/A,FALSE,"018-96";#N/A,#N/A,FALSE,"027-96";#N/A,#N/A,FALSE,"059-96";#N/A,#N/A,FALSE,"076-96";#N/A,#N/A,FALSE,"019-97";#N/A,#N/A,FALSE,"021-97";#N/A,#N/A,FALSE,"022-97";#N/A,#N/A,FALSE,"028-97"}</definedName>
    <definedName name="unit" localSheetId="0" hidden="1">{#N/A,#N/A,FALSE,"GERAL";#N/A,#N/A,FALSE,"012-96";#N/A,#N/A,FALSE,"018-96";#N/A,#N/A,FALSE,"027-96";#N/A,#N/A,FALSE,"059-96";#N/A,#N/A,FALSE,"076-96";#N/A,#N/A,FALSE,"019-97";#N/A,#N/A,FALSE,"021-97";#N/A,#N/A,FALSE,"022-97";#N/A,#N/A,FALSE,"028-97"}</definedName>
    <definedName name="unit" hidden="1">{#N/A,#N/A,FALSE,"GERAL";#N/A,#N/A,FALSE,"012-96";#N/A,#N/A,FALSE,"018-96";#N/A,#N/A,FALSE,"027-96";#N/A,#N/A,FALSE,"059-96";#N/A,#N/A,FALSE,"076-96";#N/A,#N/A,FALSE,"019-97";#N/A,#N/A,FALSE,"021-97";#N/A,#N/A,FALSE,"022-97";#N/A,#N/A,FALSE,"028-97"}</definedName>
    <definedName name="univ_cdi" localSheetId="3">#REF!</definedName>
    <definedName name="univ_cdi" localSheetId="2">#REF!</definedName>
    <definedName name="univ_cdi">#REF!</definedName>
    <definedName name="univ_hist" localSheetId="3">#REF!</definedName>
    <definedName name="univ_hist" localSheetId="2">#REF!</definedName>
    <definedName name="univ_hist">#REF!</definedName>
    <definedName name="univ_uss" localSheetId="3">#REF!</definedName>
    <definedName name="univ_uss" localSheetId="2">#REF!</definedName>
    <definedName name="univ_uss">#REF!</definedName>
    <definedName name="UPS"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P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 localSheetId="3" hidden="1">{#N/A,#N/A,FALSE,"Plan1";#N/A,#N/A,FALSE,"Plan2"}</definedName>
    <definedName name="uryrtyt" localSheetId="8" hidden="1">{#N/A,#N/A,FALSE,"Plan1";#N/A,#N/A,FALSE,"Plan2"}</definedName>
    <definedName name="uryrtyt" localSheetId="2" hidden="1">{#N/A,#N/A,FALSE,"Plan1";#N/A,#N/A,FALSE,"Plan2"}</definedName>
    <definedName name="uryrtyt" localSheetId="9" hidden="1">{#N/A,#N/A,FALSE,"Plan1";#N/A,#N/A,FALSE,"Plan2"}</definedName>
    <definedName name="uryrtyt" localSheetId="13" hidden="1">{#N/A,#N/A,FALSE,"Plan1";#N/A,#N/A,FALSE,"Plan2"}</definedName>
    <definedName name="uryrtyt" localSheetId="0" hidden="1">{#N/A,#N/A,FALSE,"Plan1";#N/A,#N/A,FALSE,"Plan2"}</definedName>
    <definedName name="uryrtyt" hidden="1">{#N/A,#N/A,FALSE,"Plan1";#N/A,#N/A,FALSE,"Plan2"}</definedName>
    <definedName name="V" localSheetId="3">#REF!</definedName>
    <definedName name="V" localSheetId="2">#REF!</definedName>
    <definedName name="V">#REF!</definedName>
    <definedName name="VALIDADE_EXECUÇÃO" localSheetId="3">#REF!</definedName>
    <definedName name="VALIDADE_EXECUÇÃO" localSheetId="2">#REF!</definedName>
    <definedName name="VALIDADE_EXECUÇÃO">#REF!</definedName>
    <definedName name="Valor_PLS_Controladoria" localSheetId="3">#REF!</definedName>
    <definedName name="Valor_PLS_Controladoria" localSheetId="2">#REF!</definedName>
    <definedName name="Valor_PLS_Controladoria">#REF!</definedName>
    <definedName name="Valor_Previsto_Fin_Medições" localSheetId="2">#REF!</definedName>
    <definedName name="Valor_Previsto_Fin_Medições">#REF!</definedName>
    <definedName name="VALOR_REAIS" localSheetId="2">#REF!</definedName>
    <definedName name="VALOR_REAIS">#REF!</definedName>
    <definedName name="Valor_Recebido_Fin_Medições" localSheetId="2">#REF!</definedName>
    <definedName name="Valor_Recebido_Fin_Medições">#REF!</definedName>
    <definedName name="Valor_Sienge" localSheetId="2">#REF!</definedName>
    <definedName name="Valor_Sienge">#REF!</definedName>
    <definedName name="VALOR_VENDA" localSheetId="2">#REF!</definedName>
    <definedName name="VALOR_VENDA">#REF!</definedName>
    <definedName name="valores_diferidos" localSheetId="2">#REF!</definedName>
    <definedName name="valores_diferidos">#REF!</definedName>
    <definedName name="valv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lv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 localSheetId="3">#REF!</definedName>
    <definedName name="VAOS" localSheetId="2">#REF!</definedName>
    <definedName name="VAOS">#REF!</definedName>
    <definedName name="vdsgfrhgfr" localSheetId="3" hidden="1">{#N/A,#N/A,FALSE,"Plan1";#N/A,#N/A,FALSE,"Plan2"}</definedName>
    <definedName name="vdsgfrhgfr" localSheetId="8" hidden="1">{#N/A,#N/A,FALSE,"Plan1";#N/A,#N/A,FALSE,"Plan2"}</definedName>
    <definedName name="vdsgfrhgfr" localSheetId="2" hidden="1">{#N/A,#N/A,FALSE,"Plan1";#N/A,#N/A,FALSE,"Plan2"}</definedName>
    <definedName name="vdsgfrhgfr" localSheetId="9" hidden="1">{#N/A,#N/A,FALSE,"Plan1";#N/A,#N/A,FALSE,"Plan2"}</definedName>
    <definedName name="vdsgfrhgfr" localSheetId="13" hidden="1">{#N/A,#N/A,FALSE,"Plan1";#N/A,#N/A,FALSE,"Plan2"}</definedName>
    <definedName name="vdsgfrhgfr" localSheetId="0" hidden="1">{#N/A,#N/A,FALSE,"Plan1";#N/A,#N/A,FALSE,"Plan2"}</definedName>
    <definedName name="vdsgfrhgfr" hidden="1">{#N/A,#N/A,FALSE,"Plan1";#N/A,#N/A,FALSE,"Plan2"}</definedName>
    <definedName name="Veiculos" localSheetId="3">#REF!</definedName>
    <definedName name="Veiculos" localSheetId="2">#REF!</definedName>
    <definedName name="Veiculos">#REF!</definedName>
    <definedName name="VENDA_ADOTADA" localSheetId="3">#REF!</definedName>
    <definedName name="VENDA_ADOTADA" localSheetId="2">#REF!</definedName>
    <definedName name="VENDA_ADOTADA">#REF!</definedName>
    <definedName name="VENDAFINAL_R" localSheetId="3">#REF!</definedName>
    <definedName name="VENDAFINAL_R" localSheetId="2">#REF!</definedName>
    <definedName name="VENDAFINAL_R">#REF!</definedName>
    <definedName name="VENDAFINAL_U" localSheetId="2">#REF!</definedName>
    <definedName name="VENDAFINAL_U">#REF!</definedName>
    <definedName name="Vendas" localSheetId="2">#REF!</definedName>
    <definedName name="Vendas">#REF!</definedName>
    <definedName name="vendas_" localSheetId="2">#REF!</definedName>
    <definedName name="vendas_">#REF!</definedName>
    <definedName name="VERIFICAR" localSheetId="3" hidden="1">{#N/A,#N/A,TRUE,"Quinzena 01 à 15-04-98 "}</definedName>
    <definedName name="VERIFICAR" localSheetId="8" hidden="1">{#N/A,#N/A,TRUE,"Quinzena 01 à 15-04-98 "}</definedName>
    <definedName name="VERIFICAR" localSheetId="2" hidden="1">{#N/A,#N/A,TRUE,"Quinzena 01 à 15-04-98 "}</definedName>
    <definedName name="VERIFICAR" localSheetId="9" hidden="1">{#N/A,#N/A,TRUE,"Quinzena 01 à 15-04-98 "}</definedName>
    <definedName name="VERIFICAR" localSheetId="13" hidden="1">{#N/A,#N/A,TRUE,"Quinzena 01 à 15-04-98 "}</definedName>
    <definedName name="VERIFICAR" localSheetId="0" hidden="1">{#N/A,#N/A,TRUE,"Quinzena 01 à 15-04-98 "}</definedName>
    <definedName name="VERIFICAR" hidden="1">{#N/A,#N/A,TRUE,"Quinzena 01 à 15-04-98 "}</definedName>
    <definedName name="versao_estudo" localSheetId="3">#REF!</definedName>
    <definedName name="versao_estudo" localSheetId="2">#REF!</definedName>
    <definedName name="versao_estudo">#REF!</definedName>
    <definedName name="vfbg" localSheetId="3">#REF!</definedName>
    <definedName name="vfbg" localSheetId="2">#REF!</definedName>
    <definedName name="vfbg">#REF!</definedName>
    <definedName name="vfnijfd"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vfnijfd" hidden="1">{TRUE,TRUE,-1.25,-15.5,604.5,366.75,FALSE,FALSE,TRUE,TRUE,0,1,#N/A,1,#N/A,9.0125,24.4117647058824,1,FALSE,FALSE,3,TRUE,1,FALSE,100,"Swvu.PLANILHA2.","ACwvu.PLANILHA2.",#N/A,FALSE,FALSE,0.787401575,0.34,0.46,0.5,1,"","",FALSE,FALSE,FALSE,FALSE,1,#N/A,1,1,FALSE,FALSE,#N/A,#N/A,FALSE,FALSE,FALSE,9,65532,65532,FALSE,FALSE,TRUE,TRUE,TRUE}</definedName>
    <definedName name="VFV" localSheetId="3" hidden="1">{#N/A,#N/A,FALSE,"Plan1";#N/A,#N/A,FALSE,"Plan2"}</definedName>
    <definedName name="VFV" localSheetId="8" hidden="1">{#N/A,#N/A,FALSE,"Plan1";#N/A,#N/A,FALSE,"Plan2"}</definedName>
    <definedName name="VFV" localSheetId="2" hidden="1">{#N/A,#N/A,FALSE,"Plan1";#N/A,#N/A,FALSE,"Plan2"}</definedName>
    <definedName name="VFV" localSheetId="9" hidden="1">{#N/A,#N/A,FALSE,"Plan1";#N/A,#N/A,FALSE,"Plan2"}</definedName>
    <definedName name="VFV" localSheetId="13" hidden="1">{#N/A,#N/A,FALSE,"Plan1";#N/A,#N/A,FALSE,"Plan2"}</definedName>
    <definedName name="VFV" localSheetId="0" hidden="1">{#N/A,#N/A,FALSE,"Plan1";#N/A,#N/A,FALSE,"Plan2"}</definedName>
    <definedName name="VFV" hidden="1">{#N/A,#N/A,FALSE,"Plan1";#N/A,#N/A,FALSE,"Plan2"}</definedName>
    <definedName name="VI" localSheetId="3">#REF!</definedName>
    <definedName name="VI" localSheetId="2">#REF!</definedName>
    <definedName name="VI">#REF!</definedName>
    <definedName name="VINTE" localSheetId="3">#REF!</definedName>
    <definedName name="VINTE" localSheetId="2">#REF!</definedName>
    <definedName name="VINTE">#REF!</definedName>
    <definedName name="visao_cashflow" localSheetId="3">#REF!</definedName>
    <definedName name="visao_cashflow" localSheetId="2">#REF!</definedName>
    <definedName name="visao_cashflow">#REF!</definedName>
    <definedName name="visao_VL" localSheetId="2">#REF!</definedName>
    <definedName name="visao_VL">#REF!</definedName>
    <definedName name="vl_cd" localSheetId="2">#REF!</definedName>
    <definedName name="vl_cd">#REF!</definedName>
    <definedName name="vl_k1" localSheetId="2">#REF!</definedName>
    <definedName name="vl_k1">#REF!</definedName>
    <definedName name="vl_k2" localSheetId="2">#REF!</definedName>
    <definedName name="vl_k2">#REF!</definedName>
    <definedName name="vl_k3" localSheetId="2">#REF!</definedName>
    <definedName name="vl_k3">#REF!</definedName>
    <definedName name="vld_classificacao" localSheetId="3" hidden="1">IF(#REF!="Ativa",OFFSET(INDEX(rng_list_classificacao,MATCH(#REF!,rng_list_classificacao,0)),1,0,COUNTA(rng_list_classificacao)-1),#REF!)</definedName>
    <definedName name="vld_classificacao" localSheetId="8" hidden="1">IF(#REF!="Ativa",OFFSET(INDEX(rng_list_classificacao,MATCH(#REF!,rng_list_classificacao,0)),1,0,COUNTA(rng_list_classificacao)-1),#REF!)</definedName>
    <definedName name="vld_classificacao" localSheetId="2" hidden="1">IF(#REF!="Ativa",OFFSET(INDEX(rng_list_classificacao,MATCH(#REF!,rng_list_classificacao,0)),1,0,COUNTA(rng_list_classificacao)-1),#REF!)</definedName>
    <definedName name="vld_classificacao" localSheetId="9" hidden="1">IF(#REF!="Ativa",OFFSET(INDEX(rng_list_classificacao,MATCH(#REF!,rng_list_classificacao,0)),1,0,COUNTA(rng_list_classificacao)-1),#REF!)</definedName>
    <definedName name="vld_classificacao" localSheetId="13" hidden="1">IF(#REF!="Ativa",OFFSET(INDEX(rng_list_classificacao,MATCH(#REF!,rng_list_classificacao,0)),1,0,COUNTA(rng_list_classificacao)-1),#REF!)</definedName>
    <definedName name="vld_classificacao" localSheetId="0" hidden="1">IF(#REF!="Ativa",OFFSET(INDEX(rng_list_classificacao,MATCH(#REF!,rng_list_classificacao,0)),1,0,COUNTA(rng_list_classificacao)-1),#REF!)</definedName>
    <definedName name="vld_classificacao" hidden="1">IF(#REF!="Ativa",OFFSET(INDEX(rng_list_classificacao,MATCH(#REF!,rng_list_classificacao,0)),1,0,COUNTA(rng_list_classificacao)-1),#REF!)</definedName>
    <definedName name="vld_regional" localSheetId="3" hidden="1">OFFSET(INDEX(rng_list_regional,MATCH(#REF!,rng_list_regional,0)),1,0,COUNTA(rng_list_regional)-1)</definedName>
    <definedName name="vld_regional" localSheetId="8" hidden="1">OFFSET(INDEX(rng_list_regional,MATCH(#REF!,rng_list_regional,0)),1,0,COUNTA(rng_list_regional)-1)</definedName>
    <definedName name="vld_regional" localSheetId="2" hidden="1">OFFSET(INDEX(rng_list_regional,MATCH(#REF!,rng_list_regional,0)),1,0,COUNTA(rng_list_regional)-1)</definedName>
    <definedName name="vld_regional" localSheetId="9" hidden="1">OFFSET(INDEX(rng_list_regional,MATCH(#REF!,rng_list_regional,0)),1,0,COUNTA(rng_list_regional)-1)</definedName>
    <definedName name="vld_regional" localSheetId="13" hidden="1">OFFSET(INDEX(rng_list_regional,MATCH(#REF!,rng_list_regional,0)),1,0,COUNTA(rng_list_regional)-1)</definedName>
    <definedName name="vld_regional" localSheetId="0" hidden="1">OFFSET(INDEX(rng_list_regional,MATCH(#REF!,rng_list_regional,0)),1,0,COUNTA(rng_list_regional)-1)</definedName>
    <definedName name="vld_regional" hidden="1">OFFSET(INDEX(rng_list_regional,MATCH(#REF!,rng_list_regional,0)),1,0,COUNTA(rng_list_regional)-1)</definedName>
    <definedName name="vld_segmento" localSheetId="3" hidden="1">IF(#REF!="Ativa",OFFSET(INDEX(rng_list_segmento,MATCH(#REF!,rng_list_segmento,0)),1,0,COUNTA(rng_list_segmento)-1),#REF!)</definedName>
    <definedName name="vld_segmento" localSheetId="8" hidden="1">IF(#REF!="Ativa",OFFSET(INDEX(rng_list_segmento,MATCH(#REF!,rng_list_segmento,0)),1,0,COUNTA(rng_list_segmento)-1),#REF!)</definedName>
    <definedName name="vld_segmento" localSheetId="2" hidden="1">IF(#REF!="Ativa",OFFSET(INDEX(rng_list_segmento,MATCH(#REF!,rng_list_segmento,0)),1,0,COUNTA(rng_list_segmento)-1),#REF!)</definedName>
    <definedName name="vld_segmento" localSheetId="9" hidden="1">IF(#REF!="Ativa",OFFSET(INDEX(rng_list_segmento,MATCH(#REF!,rng_list_segmento,0)),1,0,COUNTA(rng_list_segmento)-1),#REF!)</definedName>
    <definedName name="vld_segmento" localSheetId="13" hidden="1">IF(#REF!="Ativa",OFFSET(INDEX(rng_list_segmento,MATCH(#REF!,rng_list_segmento,0)),1,0,COUNTA(rng_list_segmento)-1),#REF!)</definedName>
    <definedName name="vld_segmento" localSheetId="0" hidden="1">IF(#REF!="Ativa",OFFSET(INDEX(rng_list_segmento,MATCH(#REF!,rng_list_segmento,0)),1,0,COUNTA(rng_list_segmento)-1),#REF!)</definedName>
    <definedName name="vld_segmento" hidden="1">IF(#REF!="Ativa",OFFSET(INDEX(rng_list_segmento,MATCH(#REF!,rng_list_segmento,0)),1,0,COUNTA(rng_list_segmento)-1),#REF!)</definedName>
    <definedName name="vld_sociedade" localSheetId="3" hidden="1">OFFSET(INDEX(rng_list_sociedade,MATCH(#REF!,rng_list_sociedade,0)),1,0,COUNTA(rng_list_sociedade)-1)</definedName>
    <definedName name="vld_sociedade" localSheetId="8" hidden="1">OFFSET(INDEX(rng_list_sociedade,MATCH(#REF!,rng_list_sociedade,0)),1,0,COUNTA(rng_list_sociedade)-1)</definedName>
    <definedName name="vld_sociedade" localSheetId="2" hidden="1">OFFSET(INDEX(rng_list_sociedade,MATCH(#REF!,rng_list_sociedade,0)),1,0,COUNTA(rng_list_sociedade)-1)</definedName>
    <definedName name="vld_sociedade" localSheetId="9" hidden="1">OFFSET(INDEX(rng_list_sociedade,MATCH(#REF!,rng_list_sociedade,0)),1,0,COUNTA(rng_list_sociedade)-1)</definedName>
    <definedName name="vld_sociedade" localSheetId="13" hidden="1">OFFSET(INDEX(rng_list_sociedade,MATCH(#REF!,rng_list_sociedade,0)),1,0,COUNTA(rng_list_sociedade)-1)</definedName>
    <definedName name="vld_sociedade" localSheetId="0" hidden="1">OFFSET(INDEX(rng_list_sociedade,MATCH(#REF!,rng_list_sociedade,0)),1,0,COUNTA(rng_list_sociedade)-1)</definedName>
    <definedName name="vld_sociedade" hidden="1">OFFSET(INDEX(rng_list_sociedade,MATCH(#REF!,rng_list_sociedade,0)),1,0,COUNTA(rng_list_sociedade)-1)</definedName>
    <definedName name="vld_status_empresa" localSheetId="3" hidden="1">OFFSET(INDEX(rng_list_status_empresa,MATCH(#REF!,rng_list_status_empresa,0)),1,0,COUNTA(rng_list_status_empresa)-1)</definedName>
    <definedName name="vld_status_empresa" localSheetId="8" hidden="1">OFFSET(INDEX(rng_list_status_empresa,MATCH(#REF!,rng_list_status_empresa,0)),1,0,COUNTA(rng_list_status_empresa)-1)</definedName>
    <definedName name="vld_status_empresa" localSheetId="2" hidden="1">OFFSET(INDEX(rng_list_status_empresa,MATCH(#REF!,rng_list_status_empresa,0)),1,0,COUNTA(rng_list_status_empresa)-1)</definedName>
    <definedName name="vld_status_empresa" localSheetId="9" hidden="1">OFFSET(INDEX(rng_list_status_empresa,MATCH(#REF!,rng_list_status_empresa,0)),1,0,COUNTA(rng_list_status_empresa)-1)</definedName>
    <definedName name="vld_status_empresa" localSheetId="13" hidden="1">OFFSET(INDEX(rng_list_status_empresa,MATCH(#REF!,rng_list_status_empresa,0)),1,0,COUNTA(rng_list_status_empresa)-1)</definedName>
    <definedName name="vld_status_empresa" localSheetId="0" hidden="1">OFFSET(INDEX(rng_list_status_empresa,MATCH(#REF!,rng_list_status_empresa,0)),1,0,COUNTA(rng_list_status_empresa)-1)</definedName>
    <definedName name="vld_status_empresa" hidden="1">OFFSET(INDEX(rng_list_status_empresa,MATCH(#REF!,rng_list_status_empresa,0)),1,0,COUNTA(rng_list_status_empresa)-1)</definedName>
    <definedName name="vld_status_lancamento" localSheetId="3" hidden="1">IF(#REF!="Ativa",OFFSET(INDEX(rng_list_status_lancamento,MATCH(#REF!,rng_list_status_lancamento,0)),1,0,COUNTA(rng_list_status_lancamento)-1),#REF!)</definedName>
    <definedName name="vld_status_lancamento" localSheetId="8" hidden="1">IF(#REF!="Ativa",OFFSET(INDEX(rng_list_status_lancamento,MATCH(#REF!,rng_list_status_lancamento,0)),1,0,COUNTA(rng_list_status_lancamento)-1),#REF!)</definedName>
    <definedName name="vld_status_lancamento" localSheetId="2" hidden="1">IF(#REF!="Ativa",OFFSET(INDEX(rng_list_status_lancamento,MATCH(#REF!,rng_list_status_lancamento,0)),1,0,COUNTA(rng_list_status_lancamento)-1),#REF!)</definedName>
    <definedName name="vld_status_lancamento" localSheetId="9" hidden="1">IF(#REF!="Ativa",OFFSET(INDEX(rng_list_status_lancamento,MATCH(#REF!,rng_list_status_lancamento,0)),1,0,COUNTA(rng_list_status_lancamento)-1),#REF!)</definedName>
    <definedName name="vld_status_lancamento" localSheetId="13" hidden="1">IF(#REF!="Ativa",OFFSET(INDEX(rng_list_status_lancamento,MATCH(#REF!,rng_list_status_lancamento,0)),1,0,COUNTA(rng_list_status_lancamento)-1),#REF!)</definedName>
    <definedName name="vld_status_lancamento" localSheetId="0" hidden="1">IF(#REF!="Ativa",OFFSET(INDEX(rng_list_status_lancamento,MATCH(#REF!,rng_list_status_lancamento,0)),1,0,COUNTA(rng_list_status_lancamento)-1),#REF!)</definedName>
    <definedName name="vld_status_lancamento" hidden="1">IF(#REF!="Ativa",OFFSET(INDEX(rng_list_status_lancamento,MATCH(#REF!,rng_list_status_lancamento,0)),1,0,COUNTA(rng_list_status_lancamento)-1),#REF!)</definedName>
    <definedName name="vld_status_projeto" localSheetId="3" hidden="1">IF(#REF!="Ativa",OFFSET(INDEX(rng_list_status_projeto,MATCH(#REF!,rng_list_status_projeto,0)),1,0,COUNTA(rng_list_status_projeto)-1),#REF!)</definedName>
    <definedName name="vld_status_projeto" localSheetId="8" hidden="1">IF(#REF!="Ativa",OFFSET(INDEX(rng_list_status_projeto,MATCH(#REF!,rng_list_status_projeto,0)),1,0,COUNTA(rng_list_status_projeto)-1),#REF!)</definedName>
    <definedName name="vld_status_projeto" localSheetId="2" hidden="1">IF(#REF!="Ativa",OFFSET(INDEX(rng_list_status_projeto,MATCH(#REF!,rng_list_status_projeto,0)),1,0,COUNTA(rng_list_status_projeto)-1),#REF!)</definedName>
    <definedName name="vld_status_projeto" localSheetId="9" hidden="1">IF(#REF!="Ativa",OFFSET(INDEX(rng_list_status_projeto,MATCH(#REF!,rng_list_status_projeto,0)),1,0,COUNTA(rng_list_status_projeto)-1),#REF!)</definedName>
    <definedName name="vld_status_projeto" localSheetId="13" hidden="1">IF(#REF!="Ativa",OFFSET(INDEX(rng_list_status_projeto,MATCH(#REF!,rng_list_status_projeto,0)),1,0,COUNTA(rng_list_status_projeto)-1),#REF!)</definedName>
    <definedName name="vld_status_projeto" localSheetId="0" hidden="1">IF(#REF!="Ativa",OFFSET(INDEX(rng_list_status_projeto,MATCH(#REF!,rng_list_status_projeto,0)),1,0,COUNTA(rng_list_status_projeto)-1),#REF!)</definedName>
    <definedName name="vld_status_projeto" hidden="1">IF(#REF!="Ativa",OFFSET(INDEX(rng_list_status_projeto,MATCH(#REF!,rng_list_status_projeto,0)),1,0,COUNTA(rng_list_status_projeto)-1),#REF!)</definedName>
    <definedName name="vld_status_viabilidade" localSheetId="3" hidden="1">OFFSET(INDEX(rng_list_status_viabilidade,MATCH(#REF!,rng_list_status_viabilidade,0)),1,0,COUNTA(rng_list_status_viabilidade)-1)</definedName>
    <definedName name="vld_status_viabilidade" localSheetId="8" hidden="1">OFFSET(INDEX(rng_list_status_viabilidade,MATCH(#REF!,rng_list_status_viabilidade,0)),1,0,COUNTA(rng_list_status_viabilidade)-1)</definedName>
    <definedName name="vld_status_viabilidade" localSheetId="2" hidden="1">OFFSET(INDEX(rng_list_status_viabilidade,MATCH(#REF!,rng_list_status_viabilidade,0)),1,0,COUNTA(rng_list_status_viabilidade)-1)</definedName>
    <definedName name="vld_status_viabilidade" localSheetId="9" hidden="1">OFFSET(INDEX(rng_list_status_viabilidade,MATCH(#REF!,rng_list_status_viabilidade,0)),1,0,COUNTA(rng_list_status_viabilidade)-1)</definedName>
    <definedName name="vld_status_viabilidade" localSheetId="13" hidden="1">OFFSET(INDEX(rng_list_status_viabilidade,MATCH(#REF!,rng_list_status_viabilidade,0)),1,0,COUNTA(rng_list_status_viabilidade)-1)</definedName>
    <definedName name="vld_status_viabilidade" localSheetId="0" hidden="1">OFFSET(INDEX(rng_list_status_viabilidade,MATCH(#REF!,rng_list_status_viabilidade,0)),1,0,COUNTA(rng_list_status_viabilidade)-1)</definedName>
    <definedName name="vld_status_viabilidade" hidden="1">OFFSET(INDEX(rng_list_status_viabilidade,MATCH(#REF!,rng_list_status_viabilidade,0)),1,0,COUNTA(rng_list_status_viabilidade)-1)</definedName>
    <definedName name="VOLUME1" localSheetId="3">#REF!</definedName>
    <definedName name="VOLUME1" localSheetId="8">#REF!</definedName>
    <definedName name="VOLUME1" localSheetId="2">#REF!</definedName>
    <definedName name="VOLUME1" localSheetId="9">#REF!</definedName>
    <definedName name="VOLUME1" localSheetId="13">#REF!</definedName>
    <definedName name="VOLUME1">#REF!</definedName>
    <definedName name="VOLUME2" localSheetId="3">#REF!</definedName>
    <definedName name="VOLUME2" localSheetId="2">#REF!</definedName>
    <definedName name="VOLUME2">#REF!</definedName>
    <definedName name="VOLUME3" localSheetId="3">#REF!</definedName>
    <definedName name="VOLUME3" localSheetId="2">#REF!</definedName>
    <definedName name="VOLUME3">#REF!</definedName>
    <definedName name="VSDHFGDFGR" localSheetId="3" hidden="1">{#N/A,#N/A,FALSE,"Plan1";#N/A,#N/A,FALSE,"Plan2"}</definedName>
    <definedName name="VSDHFGDFGR" localSheetId="8" hidden="1">{#N/A,#N/A,FALSE,"Plan1";#N/A,#N/A,FALSE,"Plan2"}</definedName>
    <definedName name="VSDHFGDFGR" localSheetId="2" hidden="1">{#N/A,#N/A,FALSE,"Plan1";#N/A,#N/A,FALSE,"Plan2"}</definedName>
    <definedName name="VSDHFGDFGR" localSheetId="9" hidden="1">{#N/A,#N/A,FALSE,"Plan1";#N/A,#N/A,FALSE,"Plan2"}</definedName>
    <definedName name="VSDHFGDFGR" localSheetId="13" hidden="1">{#N/A,#N/A,FALSE,"Plan1";#N/A,#N/A,FALSE,"Plan2"}</definedName>
    <definedName name="VSDHFGDFGR" localSheetId="0" hidden="1">{#N/A,#N/A,FALSE,"Plan1";#N/A,#N/A,FALSE,"Plan2"}</definedName>
    <definedName name="VSDHFGDFGR" hidden="1">{#N/A,#N/A,FALSE,"Plan1";#N/A,#N/A,FALSE,"Plan2"}</definedName>
    <definedName name="vvbb" localSheetId="3" hidden="1">{"tabela",#N/A,FALSE,"Tabela";"decoração",#N/A,FALSE,"Decor.";"Informações",#N/A,FALSE,"Inform."}</definedName>
    <definedName name="vvbb" localSheetId="8" hidden="1">{"tabela",#N/A,FALSE,"Tabela";"decoração",#N/A,FALSE,"Decor.";"Informações",#N/A,FALSE,"Inform."}</definedName>
    <definedName name="vvbb" localSheetId="2" hidden="1">{"tabela",#N/A,FALSE,"Tabela";"decoração",#N/A,FALSE,"Decor.";"Informações",#N/A,FALSE,"Inform."}</definedName>
    <definedName name="vvbb" localSheetId="9" hidden="1">{"tabela",#N/A,FALSE,"Tabela";"decoração",#N/A,FALSE,"Decor.";"Informações",#N/A,FALSE,"Inform."}</definedName>
    <definedName name="vvbb" localSheetId="13" hidden="1">{"tabela",#N/A,FALSE,"Tabela";"decoração",#N/A,FALSE,"Decor.";"Informações",#N/A,FALSE,"Inform."}</definedName>
    <definedName name="vvbb" localSheetId="0" hidden="1">{"tabela",#N/A,FALSE,"Tabela";"decoração",#N/A,FALSE,"Decor.";"Informações",#N/A,FALSE,"Inform."}</definedName>
    <definedName name="vvbb" hidden="1">{"tabela",#N/A,FALSE,"Tabela";"decoração",#N/A,FALSE,"Decor.";"Informações",#N/A,FALSE,"Inform."}</definedName>
    <definedName name="vvcbnb" localSheetId="3" hidden="1">{#N/A,#N/A,FALSE,"Plan1";#N/A,#N/A,FALSE,"Plan2"}</definedName>
    <definedName name="vvcbnb" localSheetId="8" hidden="1">{#N/A,#N/A,FALSE,"Plan1";#N/A,#N/A,FALSE,"Plan2"}</definedName>
    <definedName name="vvcbnb" localSheetId="2" hidden="1">{#N/A,#N/A,FALSE,"Plan1";#N/A,#N/A,FALSE,"Plan2"}</definedName>
    <definedName name="vvcbnb" localSheetId="9" hidden="1">{#N/A,#N/A,FALSE,"Plan1";#N/A,#N/A,FALSE,"Plan2"}</definedName>
    <definedName name="vvcbnb" localSheetId="13" hidden="1">{#N/A,#N/A,FALSE,"Plan1";#N/A,#N/A,FALSE,"Plan2"}</definedName>
    <definedName name="vvcbnb" localSheetId="0" hidden="1">{#N/A,#N/A,FALSE,"Plan1";#N/A,#N/A,FALSE,"Plan2"}</definedName>
    <definedName name="vvcbnb" hidden="1">{#N/A,#N/A,FALSE,"Plan1";#N/A,#N/A,FALSE,"Plan2"}</definedName>
    <definedName name="vvvvv" localSheetId="3" hidden="1">{"Econ Consolidado",#N/A,FALSE,"Econ Consol";"Fluxo de Caixa",#N/A,FALSE,"Fluxo Caixa";"Investimentos",#N/A,FALSE,"Investimentos"}</definedName>
    <definedName name="vvvvv" localSheetId="8" hidden="1">{"Econ Consolidado",#N/A,FALSE,"Econ Consol";"Fluxo de Caixa",#N/A,FALSE,"Fluxo Caixa";"Investimentos",#N/A,FALSE,"Investimentos"}</definedName>
    <definedName name="vvvvv" localSheetId="2" hidden="1">{"Econ Consolidado",#N/A,FALSE,"Econ Consol";"Fluxo de Caixa",#N/A,FALSE,"Fluxo Caixa";"Investimentos",#N/A,FALSE,"Investimentos"}</definedName>
    <definedName name="vvvvv" localSheetId="9" hidden="1">{"Econ Consolidado",#N/A,FALSE,"Econ Consol";"Fluxo de Caixa",#N/A,FALSE,"Fluxo Caixa";"Investimentos",#N/A,FALSE,"Investimentos"}</definedName>
    <definedName name="vvvvv" localSheetId="13" hidden="1">{"Econ Consolidado",#N/A,FALSE,"Econ Consol";"Fluxo de Caixa",#N/A,FALSE,"Fluxo Caixa";"Investimentos",#N/A,FALSE,"Investimentos"}</definedName>
    <definedName name="vvvvv" localSheetId="0" hidden="1">{"Econ Consolidado",#N/A,FALSE,"Econ Consol";"Fluxo de Caixa",#N/A,FALSE,"Fluxo Caixa";"Investimentos",#N/A,FALSE,"Investimentos"}</definedName>
    <definedName name="vvvvv" hidden="1">{"Econ Consolidado",#N/A,FALSE,"Econ Consol";"Fluxo de Caixa",#N/A,FALSE,"Fluxo Caixa";"Investimentos",#N/A,FALSE,"Investimentos"}</definedName>
    <definedName name="vvvvvv" localSheetId="3" hidden="1">{#N/A,#N/A,FALSE,"Plan1";#N/A,#N/A,FALSE,"Plan2"}</definedName>
    <definedName name="vvvvvv" localSheetId="8" hidden="1">{#N/A,#N/A,FALSE,"Plan1";#N/A,#N/A,FALSE,"Plan2"}</definedName>
    <definedName name="vvvvvv" localSheetId="2" hidden="1">{#N/A,#N/A,FALSE,"Plan1";#N/A,#N/A,FALSE,"Plan2"}</definedName>
    <definedName name="vvvvvv" localSheetId="9" hidden="1">{#N/A,#N/A,FALSE,"Plan1";#N/A,#N/A,FALSE,"Plan2"}</definedName>
    <definedName name="vvvvvv" localSheetId="13" hidden="1">{#N/A,#N/A,FALSE,"Plan1";#N/A,#N/A,FALSE,"Plan2"}</definedName>
    <definedName name="vvvvvv" localSheetId="0" hidden="1">{#N/A,#N/A,FALSE,"Plan1";#N/A,#N/A,FALSE,"Plan2"}</definedName>
    <definedName name="vvvvvv" hidden="1">{#N/A,#N/A,FALSE,"Plan1";#N/A,#N/A,FALSE,"Plan2"}</definedName>
    <definedName name="vvvvvvvvvvvvvvvvv" localSheetId="3" hidden="1">{"HW",#N/A,FALSE,"1998"}</definedName>
    <definedName name="vvvvvvvvvvvvvvvvv" localSheetId="8" hidden="1">{"HW",#N/A,FALSE,"1998"}</definedName>
    <definedName name="vvvvvvvvvvvvvvvvv" localSheetId="2" hidden="1">{"HW",#N/A,FALSE,"1998"}</definedName>
    <definedName name="vvvvvvvvvvvvvvvvv" localSheetId="9" hidden="1">{"HW",#N/A,FALSE,"1998"}</definedName>
    <definedName name="vvvvvvvvvvvvvvvvv" localSheetId="13" hidden="1">{"HW",#N/A,FALSE,"1998"}</definedName>
    <definedName name="vvvvvvvvvvvvvvvvv" localSheetId="0" hidden="1">{"HW",#N/A,FALSE,"1998"}</definedName>
    <definedName name="vvvvvvvvvvvvvvvvv" hidden="1">{"HW",#N/A,FALSE,"1998"}</definedName>
    <definedName name="VX" localSheetId="3" hidden="1">#REF!</definedName>
    <definedName name="VX" localSheetId="8" hidden="1">#REF!</definedName>
    <definedName name="VX" localSheetId="2" hidden="1">#REF!</definedName>
    <definedName name="VX" localSheetId="9" hidden="1">#REF!</definedName>
    <definedName name="VX" localSheetId="13" hidden="1">#REF!</definedName>
    <definedName name="VX" localSheetId="0" hidden="1">#REF!</definedName>
    <definedName name="VX" hidden="1">#REF!</definedName>
    <definedName name="w"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2">#REF!</definedName>
    <definedName name="w"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cc" localSheetId="3">#REF!</definedName>
    <definedName name="wacc" localSheetId="2">#REF!</definedName>
    <definedName name="wacc">#REF!</definedName>
    <definedName name="wadalrdjlaev"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adalrdjlaev" hidden="1">{TRUE,TRUE,-1.25,-15.5,604.5,366.75,FALSE,FALSE,TRUE,TRUE,0,1,#N/A,1,#N/A,9.0125,24.4117647058824,1,FALSE,FALSE,3,TRUE,1,FALSE,100,"Swvu.PLANILHA2.","ACwvu.PLANILHA2.",#N/A,FALSE,FALSE,0.787401575,0.34,0.46,0.5,1,"","",FALSE,FALSE,FALSE,FALSE,1,#N/A,1,1,FALSE,FALSE,#N/A,#N/A,FALSE,FALSE,FALSE,9,65532,65532,FALSE,FALSE,TRUE,TRUE,TRUE}</definedName>
    <definedName name="water"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 localSheetId="3" hidden="1">#REF!</definedName>
    <definedName name="wdewr" localSheetId="8" hidden="1">#REF!</definedName>
    <definedName name="wdewr" localSheetId="2" hidden="1">#REF!</definedName>
    <definedName name="wdewr" localSheetId="9" hidden="1">#REF!</definedName>
    <definedName name="wdewr" localSheetId="13" hidden="1">#REF!</definedName>
    <definedName name="wdewr" localSheetId="0" hidden="1">#REF!</definedName>
    <definedName name="wdewr" hidden="1">#REF!</definedName>
    <definedName name="WE" localSheetId="0" hidden="1">#REF!</definedName>
    <definedName name="WE" hidden="1">#REF!</definedName>
    <definedName name="weki_9701.xls" hidden="1">#REF!</definedName>
    <definedName name="wekir9701.xls" hidden="1">#REF!</definedName>
    <definedName name="werw4tr" localSheetId="3" hidden="1">{#N/A,#N/A,FALSE,"Plan1";#N/A,#N/A,FALSE,"Plan2"}</definedName>
    <definedName name="werw4tr" localSheetId="8" hidden="1">{#N/A,#N/A,FALSE,"Plan1";#N/A,#N/A,FALSE,"Plan2"}</definedName>
    <definedName name="werw4tr" localSheetId="2" hidden="1">{#N/A,#N/A,FALSE,"Plan1";#N/A,#N/A,FALSE,"Plan2"}</definedName>
    <definedName name="werw4tr" localSheetId="9" hidden="1">{#N/A,#N/A,FALSE,"Plan1";#N/A,#N/A,FALSE,"Plan2"}</definedName>
    <definedName name="werw4tr" localSheetId="13" hidden="1">{#N/A,#N/A,FALSE,"Plan1";#N/A,#N/A,FALSE,"Plan2"}</definedName>
    <definedName name="werw4tr" localSheetId="0" hidden="1">{#N/A,#N/A,FALSE,"Plan1";#N/A,#N/A,FALSE,"Plan2"}</definedName>
    <definedName name="werw4tr" hidden="1">{#N/A,#N/A,FALSE,"Plan1";#N/A,#N/A,FALSE,"Plan2"}</definedName>
    <definedName name="wetoedjtkdr" localSheetId="3" hidden="1">{#N/A,#N/A,FALSE,"Plan1";#N/A,#N/A,FALSE,"Plan2"}</definedName>
    <definedName name="wetoedjtkdr" localSheetId="8" hidden="1">{#N/A,#N/A,FALSE,"Plan1";#N/A,#N/A,FALSE,"Plan2"}</definedName>
    <definedName name="wetoedjtkdr" localSheetId="2" hidden="1">{#N/A,#N/A,FALSE,"Plan1";#N/A,#N/A,FALSE,"Plan2"}</definedName>
    <definedName name="wetoedjtkdr" localSheetId="9" hidden="1">{#N/A,#N/A,FALSE,"Plan1";#N/A,#N/A,FALSE,"Plan2"}</definedName>
    <definedName name="wetoedjtkdr" localSheetId="13" hidden="1">{#N/A,#N/A,FALSE,"Plan1";#N/A,#N/A,FALSE,"Plan2"}</definedName>
    <definedName name="wetoedjtkdr" localSheetId="0" hidden="1">{#N/A,#N/A,FALSE,"Plan1";#N/A,#N/A,FALSE,"Plan2"}</definedName>
    <definedName name="wetoedjtkdr" hidden="1">{#N/A,#N/A,FALSE,"Plan1";#N/A,#N/A,FALSE,"Plan2"}</definedName>
    <definedName name="WHATS" localSheetId="3" hidden="1">{"'Edit'!$A$1:$V$2277"}</definedName>
    <definedName name="WHATS" localSheetId="8" hidden="1">{"'Edit'!$A$1:$V$2277"}</definedName>
    <definedName name="WHATS" localSheetId="2" hidden="1">{"'Edit'!$A$1:$V$2277"}</definedName>
    <definedName name="WHATS" localSheetId="9" hidden="1">{"'Edit'!$A$1:$V$2277"}</definedName>
    <definedName name="WHATS" localSheetId="13" hidden="1">{"'Edit'!$A$1:$V$2277"}</definedName>
    <definedName name="WHATS" localSheetId="0" hidden="1">{"'Edit'!$A$1:$V$2277"}</definedName>
    <definedName name="WHATS" hidden="1">{"'Edit'!$A$1:$V$2277"}</definedName>
    <definedName name="win.VESSE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 localSheetId="3">#REF!</definedName>
    <definedName name="WITENS" localSheetId="2">#REF!</definedName>
    <definedName name="WITENS">#REF!</definedName>
    <definedName name="WKJHIR" localSheetId="3" hidden="1">{#N/A,#N/A,FALSE,"Plan1";#N/A,#N/A,FALSE,"Plan2"}</definedName>
    <definedName name="WKJHIR" localSheetId="8" hidden="1">{#N/A,#N/A,FALSE,"Plan1";#N/A,#N/A,FALSE,"Plan2"}</definedName>
    <definedName name="WKJHIR" localSheetId="2" hidden="1">{#N/A,#N/A,FALSE,"Plan1";#N/A,#N/A,FALSE,"Plan2"}</definedName>
    <definedName name="WKJHIR" localSheetId="9" hidden="1">{#N/A,#N/A,FALSE,"Plan1";#N/A,#N/A,FALSE,"Plan2"}</definedName>
    <definedName name="WKJHIR" localSheetId="13" hidden="1">{#N/A,#N/A,FALSE,"Plan1";#N/A,#N/A,FALSE,"Plan2"}</definedName>
    <definedName name="WKJHIR" localSheetId="0" hidden="1">{#N/A,#N/A,FALSE,"Plan1";#N/A,#N/A,FALSE,"Plan2"}</definedName>
    <definedName name="WKJHIR" hidden="1">{#N/A,#N/A,FALSE,"Plan1";#N/A,#N/A,FALSE,"Plan2"}</definedName>
    <definedName name="WLQ" localSheetId="3" hidden="1">{#N/A,#N/A,FALSE,"명세표"}</definedName>
    <definedName name="WLQ" localSheetId="8" hidden="1">{#N/A,#N/A,FALSE,"명세표"}</definedName>
    <definedName name="WLQ" localSheetId="2" hidden="1">{#N/A,#N/A,FALSE,"명세표"}</definedName>
    <definedName name="WLQ" localSheetId="9" hidden="1">{#N/A,#N/A,FALSE,"명세표"}</definedName>
    <definedName name="WLQ" localSheetId="13" hidden="1">{#N/A,#N/A,FALSE,"명세표"}</definedName>
    <definedName name="WLQ" localSheetId="0" hidden="1">{#N/A,#N/A,FALSE,"명세표"}</definedName>
    <definedName name="WLQ" hidden="1">{#N/A,#N/A,FALSE,"명세표"}</definedName>
    <definedName name="WNMLOCAL" localSheetId="3">#REF!</definedName>
    <definedName name="WNMLOCAL" localSheetId="2">#REF!</definedName>
    <definedName name="WNMLOCAL">#REF!</definedName>
    <definedName name="WNMMUN" localSheetId="3">#REF!</definedName>
    <definedName name="WNMMUN" localSheetId="2">#REF!</definedName>
    <definedName name="WNMMUN">#REF!</definedName>
    <definedName name="WNMSERV" localSheetId="3">#REF!</definedName>
    <definedName name="WNMSERV" localSheetId="2">#REF!</definedName>
    <definedName name="WNMSERV">#REF!</definedName>
    <definedName name="worl_cdi" localSheetId="2">#REF!</definedName>
    <definedName name="worl_cdi">#REF!</definedName>
    <definedName name="worl_hist" localSheetId="2">#REF!</definedName>
    <definedName name="worl_hist">#REF!</definedName>
    <definedName name="worl_uss" localSheetId="2">#REF!</definedName>
    <definedName name="worl_uss">#REF!</definedName>
    <definedName name="WRITE" localSheetId="3" hidden="1">{#N/A,#N/A,FALSE,"CCTV"}</definedName>
    <definedName name="WRITE" localSheetId="8" hidden="1">{#N/A,#N/A,FALSE,"CCTV"}</definedName>
    <definedName name="WRITE" localSheetId="2" hidden="1">{#N/A,#N/A,FALSE,"CCTV"}</definedName>
    <definedName name="WRITE" localSheetId="9" hidden="1">{#N/A,#N/A,FALSE,"CCTV"}</definedName>
    <definedName name="WRITE" localSheetId="13" hidden="1">{#N/A,#N/A,FALSE,"CCTV"}</definedName>
    <definedName name="WRITE" localSheetId="0" hidden="1">{#N/A,#N/A,FALSE,"CCTV"}</definedName>
    <definedName name="WRITE" hidden="1">{#N/A,#N/A,FALSE,"CCTV"}</definedName>
    <definedName name="wrn.BM." localSheetId="3" hidden="1">{#N/A,#N/A,FALSE,"CCTV"}</definedName>
    <definedName name="wrn.BM." localSheetId="8" hidden="1">{#N/A,#N/A,FALSE,"CCTV"}</definedName>
    <definedName name="wrn.BM." localSheetId="2" hidden="1">{#N/A,#N/A,FALSE,"CCTV"}</definedName>
    <definedName name="wrn.BM." localSheetId="9" hidden="1">{#N/A,#N/A,FALSE,"CCTV"}</definedName>
    <definedName name="wrn.BM." localSheetId="13" hidden="1">{#N/A,#N/A,FALSE,"CCTV"}</definedName>
    <definedName name="wrn.BM." localSheetId="0" hidden="1">{#N/A,#N/A,FALSE,"CCTV"}</definedName>
    <definedName name="wrn.BM." hidden="1">{#N/A,#N/A,FALSE,"CCTV"}</definedName>
    <definedName name="wrn.Brita98.xls." localSheetId="3" hidden="1">{#N/A,#N/A,TRUE,"Quinzena 01 à 15-04-98 "}</definedName>
    <definedName name="wrn.Brita98.xls." localSheetId="8" hidden="1">{#N/A,#N/A,TRUE,"Quinzena 01 à 15-04-98 "}</definedName>
    <definedName name="wrn.Brita98.xls." localSheetId="2" hidden="1">{#N/A,#N/A,TRUE,"Quinzena 01 à 15-04-98 "}</definedName>
    <definedName name="wrn.Brita98.xls." localSheetId="9" hidden="1">{#N/A,#N/A,TRUE,"Quinzena 01 à 15-04-98 "}</definedName>
    <definedName name="wrn.Brita98.xls." localSheetId="13" hidden="1">{#N/A,#N/A,TRUE,"Quinzena 01 à 15-04-98 "}</definedName>
    <definedName name="wrn.Brita98.xls." localSheetId="0" hidden="1">{#N/A,#N/A,TRUE,"Quinzena 01 à 15-04-98 "}</definedName>
    <definedName name="wrn.Brita98.xls." hidden="1">{#N/A,#N/A,TRUE,"Quinzena 01 à 15-04-98 "}</definedName>
    <definedName name="wrn.Completo." localSheetId="3"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8"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2"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9"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13"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localSheetId="0"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s." localSheetId="3" hidden="1">{"EconCons",#N/A,TRUE,"Econômico - Consolidado";"CaixaCons",#N/A,TRUE,"Caixa - Consolidado";"InvestCons",#N/A,TRUE,"Invest Consolidado"}</definedName>
    <definedName name="wrn.Cons." localSheetId="8" hidden="1">{"EconCons",#N/A,TRUE,"Econômico - Consolidado";"CaixaCons",#N/A,TRUE,"Caixa - Consolidado";"InvestCons",#N/A,TRUE,"Invest Consolidado"}</definedName>
    <definedName name="wrn.Cons." localSheetId="2" hidden="1">{"EconCons",#N/A,TRUE,"Econômico - Consolidado";"CaixaCons",#N/A,TRUE,"Caixa - Consolidado";"InvestCons",#N/A,TRUE,"Invest Consolidado"}</definedName>
    <definedName name="wrn.Cons." localSheetId="9" hidden="1">{"EconCons",#N/A,TRUE,"Econômico - Consolidado";"CaixaCons",#N/A,TRUE,"Caixa - Consolidado";"InvestCons",#N/A,TRUE,"Invest Consolidado"}</definedName>
    <definedName name="wrn.Cons." localSheetId="13" hidden="1">{"EconCons",#N/A,TRUE,"Econômico - Consolidado";"CaixaCons",#N/A,TRUE,"Caixa - Consolidado";"InvestCons",#N/A,TRUE,"Invest Consolidado"}</definedName>
    <definedName name="wrn.Cons." localSheetId="0" hidden="1">{"EconCons",#N/A,TRUE,"Econômico - Consolidado";"CaixaCons",#N/A,TRUE,"Caixa - Consolidado";"InvestCons",#N/A,TRUE,"Invest Consolidado"}</definedName>
    <definedName name="wrn.Cons." hidden="1">{"EconCons",#N/A,TRUE,"Econômico - Consolidado";"CaixaCons",#N/A,TRUE,"Caixa - Consolidado";"InvestCons",#N/A,TRUE,"Invest Consolidado"}</definedName>
    <definedName name="wrn.Consolidado." localSheetId="3" hidden="1">{"Econ Consolidado",#N/A,FALSE,"Econ Consol";"Fluxo de Caixa",#N/A,FALSE,"Fluxo Caixa";"Investimentos",#N/A,FALSE,"Investimentos"}</definedName>
    <definedName name="wrn.Consolidado." localSheetId="8" hidden="1">{"Econ Consolidado",#N/A,FALSE,"Econ Consol";"Fluxo de Caixa",#N/A,FALSE,"Fluxo Caixa";"Investimentos",#N/A,FALSE,"Investimentos"}</definedName>
    <definedName name="wrn.Consolidado." localSheetId="2" hidden="1">{"Econ Consolidado",#N/A,FALSE,"Econ Consol";"Fluxo de Caixa",#N/A,FALSE,"Fluxo Caixa";"Investimentos",#N/A,FALSE,"Investimentos"}</definedName>
    <definedName name="wrn.Consolidado." localSheetId="9" hidden="1">{"Econ Consolidado",#N/A,FALSE,"Econ Consol";"Fluxo de Caixa",#N/A,FALSE,"Fluxo Caixa";"Investimentos",#N/A,FALSE,"Investimentos"}</definedName>
    <definedName name="wrn.Consolidado." localSheetId="13" hidden="1">{"Econ Consolidado",#N/A,FALSE,"Econ Consol";"Fluxo de Caixa",#N/A,FALSE,"Fluxo Caixa";"Investimentos",#N/A,FALSE,"Investimentos"}</definedName>
    <definedName name="wrn.Consolidado." localSheetId="0" hidden="1">{"Econ Consolidado",#N/A,FALSE,"Econ Consol";"Fluxo de Caixa",#N/A,FALSE,"Fluxo Caixa";"Investimentos",#N/A,FALSE,"Investimentos"}</definedName>
    <definedName name="wrn.Consolidado." hidden="1">{"Econ Consolidado",#N/A,FALSE,"Econ Consol";"Fluxo de Caixa",#N/A,FALSE,"Fluxo Caixa";"Investimentos",#N/A,FALSE,"Investimentos"}</definedName>
    <definedName name="wrn.GERAL." localSheetId="5">{#N/A,#N/A,FALSE,"ET-CAPA";#N/A,#N/A,FALSE,"ET-PAG1";#N/A,#N/A,FALSE,"ET-PAG2";#N/A,#N/A,FALSE,"ET-PAG3";#N/A,#N/A,FALSE,"ET-PAG4";#N/A,#N/A,FALSE,"ET-PAG5"}</definedName>
    <definedName name="wrn.GERAL." localSheetId="3" hidden="1">{#N/A,#N/A,FALSE,"ET-CAPA";#N/A,#N/A,FALSE,"ET-PAG1";#N/A,#N/A,FALSE,"ET-PAG2";#N/A,#N/A,FALSE,"ET-PAG3";#N/A,#N/A,FALSE,"ET-PAG4";#N/A,#N/A,FALSE,"ET-PAG5"}</definedName>
    <definedName name="wrn.GERAL." localSheetId="4">{#N/A,#N/A,FALSE,"ET-CAPA";#N/A,#N/A,FALSE,"ET-PAG1";#N/A,#N/A,FALSE,"ET-PAG2";#N/A,#N/A,FALSE,"ET-PAG3";#N/A,#N/A,FALSE,"ET-PAG4";#N/A,#N/A,FALSE,"ET-PAG5"}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2"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0" hidden="1">{#N/A,#N/A,FALSE,"ET-CAPA";#N/A,#N/A,FALSE,"ET-PAG1";#N/A,#N/A,FALSE,"ET-PAG2";#N/A,#N/A,FALSE,"ET-PAG3";#N/A,#N/A,FALSE,"ET-PAG4";#N/A,#N/A,FALSE,"ET-PAG5"}</definedName>
    <definedName name="wrn.GERAL.">{#N/A,#N/A,FALSE,"ET-CAPA";#N/A,#N/A,FALSE,"ET-PAG1";#N/A,#N/A,FALSE,"ET-PAG2";#N/A,#N/A,FALSE,"ET-PAG3";#N/A,#N/A,FALSE,"ET-PAG4";#N/A,#N/A,FALSE,"ET-PAG5"}</definedName>
    <definedName name="wrn.HAGE." localSheetId="3" hidden="1">{#N/A,#N/A,FALSE,"cdi";#N/A,#N/A,FALSE,"debent";#N/A,#N/A,FALSE,"fdos";#N/A,#N/A,FALSE,"resumo"}</definedName>
    <definedName name="wrn.HAGE." localSheetId="8" hidden="1">{#N/A,#N/A,FALSE,"cdi";#N/A,#N/A,FALSE,"debent";#N/A,#N/A,FALSE,"fdos";#N/A,#N/A,FALSE,"resumo"}</definedName>
    <definedName name="wrn.HAGE." localSheetId="2" hidden="1">{#N/A,#N/A,FALSE,"cdi";#N/A,#N/A,FALSE,"debent";#N/A,#N/A,FALSE,"fdos";#N/A,#N/A,FALSE,"resumo"}</definedName>
    <definedName name="wrn.HAGE." localSheetId="9" hidden="1">{#N/A,#N/A,FALSE,"cdi";#N/A,#N/A,FALSE,"debent";#N/A,#N/A,FALSE,"fdos";#N/A,#N/A,FALSE,"resumo"}</definedName>
    <definedName name="wrn.HAGE." localSheetId="13" hidden="1">{#N/A,#N/A,FALSE,"cdi";#N/A,#N/A,FALSE,"debent";#N/A,#N/A,FALSE,"fdos";#N/A,#N/A,FALSE,"resumo"}</definedName>
    <definedName name="wrn.HAGE." localSheetId="0" hidden="1">{#N/A,#N/A,FALSE,"cdi";#N/A,#N/A,FALSE,"debent";#N/A,#N/A,FALSE,"fdos";#N/A,#N/A,FALSE,"resumo"}</definedName>
    <definedName name="wrn.HAGE." hidden="1">{#N/A,#N/A,FALSE,"cdi";#N/A,#N/A,FALSE,"debent";#N/A,#N/A,FALSE,"fdos";#N/A,#N/A,FALSE,"resumo"}</definedName>
    <definedName name="wrn.HAGE01" localSheetId="3" hidden="1">{#N/A,#N/A,FALSE,"cdi";#N/A,#N/A,FALSE,"debent";#N/A,#N/A,FALSE,"fdos";#N/A,#N/A,FALSE,"resumo"}</definedName>
    <definedName name="wrn.HAGE01" localSheetId="8" hidden="1">{#N/A,#N/A,FALSE,"cdi";#N/A,#N/A,FALSE,"debent";#N/A,#N/A,FALSE,"fdos";#N/A,#N/A,FALSE,"resumo"}</definedName>
    <definedName name="wrn.HAGE01" localSheetId="2" hidden="1">{#N/A,#N/A,FALSE,"cdi";#N/A,#N/A,FALSE,"debent";#N/A,#N/A,FALSE,"fdos";#N/A,#N/A,FALSE,"resumo"}</definedName>
    <definedName name="wrn.HAGE01" localSheetId="9" hidden="1">{#N/A,#N/A,FALSE,"cdi";#N/A,#N/A,FALSE,"debent";#N/A,#N/A,FALSE,"fdos";#N/A,#N/A,FALSE,"resumo"}</definedName>
    <definedName name="wrn.HAGE01" localSheetId="13" hidden="1">{#N/A,#N/A,FALSE,"cdi";#N/A,#N/A,FALSE,"debent";#N/A,#N/A,FALSE,"fdos";#N/A,#N/A,FALSE,"resumo"}</definedName>
    <definedName name="wrn.HAGE01" localSheetId="0" hidden="1">{#N/A,#N/A,FALSE,"cdi";#N/A,#N/A,FALSE,"debent";#N/A,#N/A,FALSE,"fdos";#N/A,#N/A,FALSE,"resumo"}</definedName>
    <definedName name="wrn.HAGE01" hidden="1">{#N/A,#N/A,FALSE,"cdi";#N/A,#N/A,FALSE,"debent";#N/A,#N/A,FALSE,"fdos";#N/A,#N/A,FALSE,"resumo"}</definedName>
    <definedName name="wrn.HW." localSheetId="3" hidden="1">{"HW",#N/A,FALSE,"1998"}</definedName>
    <definedName name="wrn.HW." localSheetId="8" hidden="1">{"HW",#N/A,FALSE,"1998"}</definedName>
    <definedName name="wrn.HW." localSheetId="2" hidden="1">{"HW",#N/A,FALSE,"1998"}</definedName>
    <definedName name="wrn.HW." localSheetId="9" hidden="1">{"HW",#N/A,FALSE,"1998"}</definedName>
    <definedName name="wrn.HW." localSheetId="13" hidden="1">{"HW",#N/A,FALSE,"1998"}</definedName>
    <definedName name="wrn.HW." localSheetId="0" hidden="1">{"HW",#N/A,FALSE,"1998"}</definedName>
    <definedName name="wrn.HW." hidden="1">{"HW",#N/A,FALSE,"1998"}</definedName>
    <definedName name="wrn.imp_flx." localSheetId="3" hidden="1">{#N/A,#N/A,FALSE,"CONSOLID";#N/A,#N/A,FALSE,"CIMENTO";#N/A,#N/A,FALSE,"METALURGIA";#N/A,#N/A,FALSE,"PAPEL";#N/A,#N/A,FALSE,"QUÍMICA";#N/A,#N/A,FALSE,"AGROINDL";#N/A,#N/A,FALSE,"OUTROS";#N/A,#N/A,FALSE,"REAL_ORCADO"}</definedName>
    <definedName name="wrn.imp_flx." localSheetId="8" hidden="1">{#N/A,#N/A,FALSE,"CONSOLID";#N/A,#N/A,FALSE,"CIMENTO";#N/A,#N/A,FALSE,"METALURGIA";#N/A,#N/A,FALSE,"PAPEL";#N/A,#N/A,FALSE,"QUÍMICA";#N/A,#N/A,FALSE,"AGROINDL";#N/A,#N/A,FALSE,"OUTROS";#N/A,#N/A,FALSE,"REAL_ORCADO"}</definedName>
    <definedName name="wrn.imp_flx." localSheetId="2" hidden="1">{#N/A,#N/A,FALSE,"CONSOLID";#N/A,#N/A,FALSE,"CIMENTO";#N/A,#N/A,FALSE,"METALURGIA";#N/A,#N/A,FALSE,"PAPEL";#N/A,#N/A,FALSE,"QUÍMICA";#N/A,#N/A,FALSE,"AGROINDL";#N/A,#N/A,FALSE,"OUTROS";#N/A,#N/A,FALSE,"REAL_ORCADO"}</definedName>
    <definedName name="wrn.imp_flx." localSheetId="9" hidden="1">{#N/A,#N/A,FALSE,"CONSOLID";#N/A,#N/A,FALSE,"CIMENTO";#N/A,#N/A,FALSE,"METALURGIA";#N/A,#N/A,FALSE,"PAPEL";#N/A,#N/A,FALSE,"QUÍMICA";#N/A,#N/A,FALSE,"AGROINDL";#N/A,#N/A,FALSE,"OUTROS";#N/A,#N/A,FALSE,"REAL_ORCADO"}</definedName>
    <definedName name="wrn.imp_flx." localSheetId="13" hidden="1">{#N/A,#N/A,FALSE,"CONSOLID";#N/A,#N/A,FALSE,"CIMENTO";#N/A,#N/A,FALSE,"METALURGIA";#N/A,#N/A,FALSE,"PAPEL";#N/A,#N/A,FALSE,"QUÍMICA";#N/A,#N/A,FALSE,"AGROINDL";#N/A,#N/A,FALSE,"OUTROS";#N/A,#N/A,FALSE,"REAL_ORCADO"}</definedName>
    <definedName name="wrn.imp_flx." localSheetId="0" hidden="1">{#N/A,#N/A,FALSE,"CONSOLID";#N/A,#N/A,FALSE,"CIMENTO";#N/A,#N/A,FALSE,"METALURGIA";#N/A,#N/A,FALSE,"PAPEL";#N/A,#N/A,FALSE,"QUÍMICA";#N/A,#N/A,FALSE,"AGROINDL";#N/A,#N/A,FALSE,"OUTROS";#N/A,#N/A,FALSE,"REAL_ORCADO"}</definedName>
    <definedName name="wrn.imp_flx." hidden="1">{#N/A,#N/A,FALSE,"CONSOLID";#N/A,#N/A,FALSE,"CIMENTO";#N/A,#N/A,FALSE,"METALURGIA";#N/A,#N/A,FALSE,"PAPEL";#N/A,#N/A,FALSE,"QUÍMICA";#N/A,#N/A,FALSE,"AGROINDL";#N/A,#N/A,FALSE,"OUTROS";#N/A,#N/A,FALSE,"REAL_ORCADO"}</definedName>
    <definedName name="wrn.IMPRESSO." localSheetId="3" hidden="1">{#N/A,#N/A,FALSE,"Plan1";#N/A,#N/A,FALSE,"Plan2"}</definedName>
    <definedName name="wrn.IMPRESSO." localSheetId="8" hidden="1">{#N/A,#N/A,FALSE,"Plan1";#N/A,#N/A,FALSE,"Plan2"}</definedName>
    <definedName name="wrn.IMPRESSO." localSheetId="2" hidden="1">{#N/A,#N/A,FALSE,"Plan1";#N/A,#N/A,FALSE,"Plan2"}</definedName>
    <definedName name="wrn.IMPRESSO." localSheetId="9" hidden="1">{#N/A,#N/A,FALSE,"Plan1";#N/A,#N/A,FALSE,"Plan2"}</definedName>
    <definedName name="wrn.IMPRESSO." localSheetId="13" hidden="1">{#N/A,#N/A,FALSE,"Plan1";#N/A,#N/A,FALSE,"Plan2"}</definedName>
    <definedName name="wrn.IMPRESSO." localSheetId="0" hidden="1">{#N/A,#N/A,FALSE,"Plan1";#N/A,#N/A,FALSE,"Plan2"}</definedName>
    <definedName name="wrn.IMPRESSO." hidden="1">{#N/A,#N/A,FALSE,"Plan1";#N/A,#N/A,FALSE,"Plan2"}</definedName>
    <definedName name="wrn.Imprimir." localSheetId="3" hidden="1">{"tabela",#N/A,FALSE,"Tabela";"decoração",#N/A,FALSE,"Decor.";"Informações",#N/A,FALSE,"Inform."}</definedName>
    <definedName name="wrn.Imprimir." localSheetId="8" hidden="1">{"tabela",#N/A,FALSE,"Tabela";"decoração",#N/A,FALSE,"Decor.";"Informações",#N/A,FALSE,"Inform."}</definedName>
    <definedName name="wrn.Imprimir." localSheetId="2" hidden="1">{"tabela",#N/A,FALSE,"Tabela";"decoração",#N/A,FALSE,"Decor.";"Informações",#N/A,FALSE,"Inform."}</definedName>
    <definedName name="wrn.Imprimir." localSheetId="9" hidden="1">{"tabela",#N/A,FALSE,"Tabela";"decoração",#N/A,FALSE,"Decor.";"Informações",#N/A,FALSE,"Inform."}</definedName>
    <definedName name="wrn.Imprimir." localSheetId="13" hidden="1">{"tabela",#N/A,FALSE,"Tabela";"decoração",#N/A,FALSE,"Decor.";"Informações",#N/A,FALSE,"Inform."}</definedName>
    <definedName name="wrn.Imprimir." localSheetId="0" hidden="1">{"tabela",#N/A,FALSE,"Tabela";"decoração",#N/A,FALSE,"Decor.";"Informações",#N/A,FALSE,"Inform."}</definedName>
    <definedName name="wrn.Imprimir." hidden="1">{"tabela",#N/A,FALSE,"Tabela";"decoração",#N/A,FALSE,"Decor.";"Informações",#N/A,FALSE,"Inform."}</definedName>
    <definedName name="wrn.LPU._.MG." localSheetId="3"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2"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0"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GM機器リスト." localSheetId="3" hidden="1">{#N/A,#N/A,TRUE,"表紙";#N/A,#N/A,TRUE,"DMC合成";#N/A,#N/A,TRUE,"DMC回収･精製";#N/A,#N/A,TRUE,"MPC工程";#N/A,#N/A,TRUE,"DPC工程";#N/A,#N/A,TRUE,"ANI工程";#N/A,#N/A,TRUE,"PHOｰ触媒工程";#N/A,#N/A,TRUE,"用役"}</definedName>
    <definedName name="wrn.MGM機器リスト." localSheetId="8" hidden="1">{#N/A,#N/A,TRUE,"表紙";#N/A,#N/A,TRUE,"DMC合成";#N/A,#N/A,TRUE,"DMC回収･精製";#N/A,#N/A,TRUE,"MPC工程";#N/A,#N/A,TRUE,"DPC工程";#N/A,#N/A,TRUE,"ANI工程";#N/A,#N/A,TRUE,"PHOｰ触媒工程";#N/A,#N/A,TRUE,"用役"}</definedName>
    <definedName name="wrn.MGM機器リスト." localSheetId="2" hidden="1">{#N/A,#N/A,TRUE,"表紙";#N/A,#N/A,TRUE,"DMC合成";#N/A,#N/A,TRUE,"DMC回収･精製";#N/A,#N/A,TRUE,"MPC工程";#N/A,#N/A,TRUE,"DPC工程";#N/A,#N/A,TRUE,"ANI工程";#N/A,#N/A,TRUE,"PHOｰ触媒工程";#N/A,#N/A,TRUE,"用役"}</definedName>
    <definedName name="wrn.MGM機器リスト." localSheetId="9" hidden="1">{#N/A,#N/A,TRUE,"表紙";#N/A,#N/A,TRUE,"DMC合成";#N/A,#N/A,TRUE,"DMC回収･精製";#N/A,#N/A,TRUE,"MPC工程";#N/A,#N/A,TRUE,"DPC工程";#N/A,#N/A,TRUE,"ANI工程";#N/A,#N/A,TRUE,"PHOｰ触媒工程";#N/A,#N/A,TRUE,"用役"}</definedName>
    <definedName name="wrn.MGM機器リスト." localSheetId="13" hidden="1">{#N/A,#N/A,TRUE,"表紙";#N/A,#N/A,TRUE,"DMC合成";#N/A,#N/A,TRUE,"DMC回収･精製";#N/A,#N/A,TRUE,"MPC工程";#N/A,#N/A,TRUE,"DPC工程";#N/A,#N/A,TRUE,"ANI工程";#N/A,#N/A,TRUE,"PHOｰ触媒工程";#N/A,#N/A,TRUE,"用役"}</definedName>
    <definedName name="wrn.MGM機器リスト." localSheetId="0" hidden="1">{#N/A,#N/A,TRUE,"表紙";#N/A,#N/A,TRUE,"DMC合成";#N/A,#N/A,TRUE,"DMC回収･精製";#N/A,#N/A,TRUE,"MPC工程";#N/A,#N/A,TRUE,"DPC工程";#N/A,#N/A,TRUE,"ANI工程";#N/A,#N/A,TRUE,"PHOｰ触媒工程";#N/A,#N/A,TRUE,"用役"}</definedName>
    <definedName name="wrn.MGM機器リスト." hidden="1">{#N/A,#N/A,TRUE,"表紙";#N/A,#N/A,TRUE,"DMC合成";#N/A,#N/A,TRUE,"DMC回収･精製";#N/A,#N/A,TRUE,"MPC工程";#N/A,#N/A,TRUE,"DPC工程";#N/A,#N/A,TRUE,"ANI工程";#N/A,#N/A,TRUE,"PHOｰ触媒工程";#N/A,#N/A,TRUE,"用役"}</definedName>
    <definedName name="wrn.Month._.Report._.Package." localSheetId="3" hidden="1">{#N/A,#N/A,FALSE,"Global Wls Trend";#N/A,#N/A,FALSE,"Region Trend";#N/A,#N/A,FALSE,"PBU Trend"}</definedName>
    <definedName name="wrn.Month._.Report._.Package." localSheetId="8" hidden="1">{#N/A,#N/A,FALSE,"Global Wls Trend";#N/A,#N/A,FALSE,"Region Trend";#N/A,#N/A,FALSE,"PBU Trend"}</definedName>
    <definedName name="wrn.Month._.Report._.Package." localSheetId="2" hidden="1">{#N/A,#N/A,FALSE,"Global Wls Trend";#N/A,#N/A,FALSE,"Region Trend";#N/A,#N/A,FALSE,"PBU Trend"}</definedName>
    <definedName name="wrn.Month._.Report._.Package." localSheetId="9" hidden="1">{#N/A,#N/A,FALSE,"Global Wls Trend";#N/A,#N/A,FALSE,"Region Trend";#N/A,#N/A,FALSE,"PBU Trend"}</definedName>
    <definedName name="wrn.Month._.Report._.Package." localSheetId="13" hidden="1">{#N/A,#N/A,FALSE,"Global Wls Trend";#N/A,#N/A,FALSE,"Region Trend";#N/A,#N/A,FALSE,"PBU Trend"}</definedName>
    <definedName name="wrn.Month._.Report._.Package." localSheetId="0" hidden="1">{#N/A,#N/A,FALSE,"Global Wls Trend";#N/A,#N/A,FALSE,"Region Trend";#N/A,#N/A,FALSE,"PBU Trend"}</definedName>
    <definedName name="wrn.Month._.Report._.Package." hidden="1">{#N/A,#N/A,FALSE,"Global Wls Trend";#N/A,#N/A,FALSE,"Region Trend";#N/A,#N/A,FALSE,"PBU Trend"}</definedName>
    <definedName name="wrn.Monthly._.Report._.Package." localSheetId="3"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2"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0"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PENDENCIAS." localSheetId="3"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2"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laniha._.de._.Medição._.F._.01." localSheetId="3" hidden="1">{#N/A,#N/A,FALSE,"F-01"}</definedName>
    <definedName name="wrn.Planiha._.de._.Medição._.F._.01." localSheetId="8" hidden="1">{#N/A,#N/A,FALSE,"F-01"}</definedName>
    <definedName name="wrn.Planiha._.de._.Medição._.F._.01." localSheetId="2" hidden="1">{#N/A,#N/A,FALSE,"F-01"}</definedName>
    <definedName name="wrn.Planiha._.de._.Medição._.F._.01." localSheetId="9" hidden="1">{#N/A,#N/A,FALSE,"F-01"}</definedName>
    <definedName name="wrn.Planiha._.de._.Medição._.F._.01." localSheetId="13" hidden="1">{#N/A,#N/A,FALSE,"F-01"}</definedName>
    <definedName name="wrn.Planiha._.de._.Medição._.F._.01." localSheetId="0" hidden="1">{#N/A,#N/A,FALSE,"F-01"}</definedName>
    <definedName name="wrn.Planiha._.de._.Medição._.F._.01." hidden="1">{#N/A,#N/A,FALSE,"F-01"}</definedName>
    <definedName name="wrn.Planiha._.de._.Medição._.F._.01._1" localSheetId="3" hidden="1">{#N/A,#N/A,FALSE,"F-01"}</definedName>
    <definedName name="wrn.Planiha._.de._.Medição._.F._.01._1" localSheetId="8" hidden="1">{#N/A,#N/A,FALSE,"F-01"}</definedName>
    <definedName name="wrn.Planiha._.de._.Medição._.F._.01._1" localSheetId="2" hidden="1">{#N/A,#N/A,FALSE,"F-01"}</definedName>
    <definedName name="wrn.Planiha._.de._.Medição._.F._.01._1" localSheetId="9" hidden="1">{#N/A,#N/A,FALSE,"F-01"}</definedName>
    <definedName name="wrn.Planiha._.de._.Medição._.F._.01._1" localSheetId="13" hidden="1">{#N/A,#N/A,FALSE,"F-01"}</definedName>
    <definedName name="wrn.Planiha._.de._.Medição._.F._.01._1" localSheetId="0" hidden="1">{#N/A,#N/A,FALSE,"F-01"}</definedName>
    <definedName name="wrn.Planiha._.de._.Medição._.F._.01._1" hidden="1">{#N/A,#N/A,FALSE,"F-01"}</definedName>
    <definedName name="wrn.Planilha_de_Medição_F_02" localSheetId="3" hidden="1">{#N/A,#N/A,FALSE,"F-01"}</definedName>
    <definedName name="wrn.Planilha_de_Medição_F_02" localSheetId="8" hidden="1">{#N/A,#N/A,FALSE,"F-01"}</definedName>
    <definedName name="wrn.Planilha_de_Medição_F_02" localSheetId="2" hidden="1">{#N/A,#N/A,FALSE,"F-01"}</definedName>
    <definedName name="wrn.Planilha_de_Medição_F_02" localSheetId="9" hidden="1">{#N/A,#N/A,FALSE,"F-01"}</definedName>
    <definedName name="wrn.Planilha_de_Medição_F_02" localSheetId="13" hidden="1">{#N/A,#N/A,FALSE,"F-01"}</definedName>
    <definedName name="wrn.Planilha_de_Medição_F_02" localSheetId="0" hidden="1">{#N/A,#N/A,FALSE,"F-01"}</definedName>
    <definedName name="wrn.Planilha_de_Medição_F_02" hidden="1">{#N/A,#N/A,FALSE,"F-01"}</definedName>
    <definedName name="wrn.print._.all." localSheetId="3" hidden="1">{#N/A,#N/A,FALSE,"$170M Cash";#N/A,#N/A,FALSE,"$250M Cash";#N/A,#N/A,FALSE,"$325M Cash"}</definedName>
    <definedName name="wrn.print._.all." localSheetId="8" hidden="1">{#N/A,#N/A,FALSE,"$170M Cash";#N/A,#N/A,FALSE,"$250M Cash";#N/A,#N/A,FALSE,"$325M Cash"}</definedName>
    <definedName name="wrn.print._.all." localSheetId="2" hidden="1">{#N/A,#N/A,FALSE,"$170M Cash";#N/A,#N/A,FALSE,"$250M Cash";#N/A,#N/A,FALSE,"$325M Cash"}</definedName>
    <definedName name="wrn.print._.all." localSheetId="9" hidden="1">{#N/A,#N/A,FALSE,"$170M Cash";#N/A,#N/A,FALSE,"$250M Cash";#N/A,#N/A,FALSE,"$325M Cash"}</definedName>
    <definedName name="wrn.print._.all." localSheetId="13" hidden="1">{#N/A,#N/A,FALSE,"$170M Cash";#N/A,#N/A,FALSE,"$250M Cash";#N/A,#N/A,FALSE,"$325M Cash"}</definedName>
    <definedName name="wrn.print._.all." localSheetId="0" hidden="1">{#N/A,#N/A,FALSE,"$170M Cash";#N/A,#N/A,FALSE,"$250M Cash";#N/A,#N/A,FALSE,"$325M Cash"}</definedName>
    <definedName name="wrn.print._.all." hidden="1">{#N/A,#N/A,FALSE,"$170M Cash";#N/A,#N/A,FALSE,"$250M Cash";#N/A,#N/A,FALSE,"$325M Cash"}</definedName>
    <definedName name="wrn.PrintAll." localSheetId="3" hidden="1">{#N/A,#N/A,FALSE,"Sheet1";#N/A,#N/A,FALSE,"Sheet2";#N/A,#N/A,FALSE,"Sheet3";#N/A,#N/A,FALSE,"Sheet4";#N/A,#N/A,FALSE,"Sheet5";#N/A,#N/A,FALSE,"Sheet6";#N/A,#N/A,FALSE,"Sheet7";#N/A,#N/A,FALSE,"Sheet8";#N/A,#N/A,FALSE,"Sheet9"}</definedName>
    <definedName name="wrn.PrintAll." localSheetId="8" hidden="1">{#N/A,#N/A,FALSE,"Sheet1";#N/A,#N/A,FALSE,"Sheet2";#N/A,#N/A,FALSE,"Sheet3";#N/A,#N/A,FALSE,"Sheet4";#N/A,#N/A,FALSE,"Sheet5";#N/A,#N/A,FALSE,"Sheet6";#N/A,#N/A,FALSE,"Sheet7";#N/A,#N/A,FALSE,"Sheet8";#N/A,#N/A,FALSE,"Sheet9"}</definedName>
    <definedName name="wrn.PrintAll." localSheetId="2" hidden="1">{#N/A,#N/A,FALSE,"Sheet1";#N/A,#N/A,FALSE,"Sheet2";#N/A,#N/A,FALSE,"Sheet3";#N/A,#N/A,FALSE,"Sheet4";#N/A,#N/A,FALSE,"Sheet5";#N/A,#N/A,FALSE,"Sheet6";#N/A,#N/A,FALSE,"Sheet7";#N/A,#N/A,FALSE,"Sheet8";#N/A,#N/A,FALSE,"Sheet9"}</definedName>
    <definedName name="wrn.PrintAll." localSheetId="9" hidden="1">{#N/A,#N/A,FALSE,"Sheet1";#N/A,#N/A,FALSE,"Sheet2";#N/A,#N/A,FALSE,"Sheet3";#N/A,#N/A,FALSE,"Sheet4";#N/A,#N/A,FALSE,"Sheet5";#N/A,#N/A,FALSE,"Sheet6";#N/A,#N/A,FALSE,"Sheet7";#N/A,#N/A,FALSE,"Sheet8";#N/A,#N/A,FALSE,"Sheet9"}</definedName>
    <definedName name="wrn.PrintAll." localSheetId="13" hidden="1">{#N/A,#N/A,FALSE,"Sheet1";#N/A,#N/A,FALSE,"Sheet2";#N/A,#N/A,FALSE,"Sheet3";#N/A,#N/A,FALSE,"Sheet4";#N/A,#N/A,FALSE,"Sheet5";#N/A,#N/A,FALSE,"Sheet6";#N/A,#N/A,FALSE,"Sheet7";#N/A,#N/A,FALSE,"Sheet8";#N/A,#N/A,FALSE,"Sheet9"}</definedName>
    <definedName name="wrn.PrintAll." localSheetId="0"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3" hidden="1">{#N/A,#N/A,FALSE,"Sheet1";#N/A,#N/A,FALSE,"Sheet2";#N/A,#N/A,FALSE,"Sheet3"}</definedName>
    <definedName name="wrn.PrintCurr." localSheetId="8" hidden="1">{#N/A,#N/A,FALSE,"Sheet1";#N/A,#N/A,FALSE,"Sheet2";#N/A,#N/A,FALSE,"Sheet3"}</definedName>
    <definedName name="wrn.PrintCurr." localSheetId="2" hidden="1">{#N/A,#N/A,FALSE,"Sheet1";#N/A,#N/A,FALSE,"Sheet2";#N/A,#N/A,FALSE,"Sheet3"}</definedName>
    <definedName name="wrn.PrintCurr." localSheetId="9" hidden="1">{#N/A,#N/A,FALSE,"Sheet1";#N/A,#N/A,FALSE,"Sheet2";#N/A,#N/A,FALSE,"Sheet3"}</definedName>
    <definedName name="wrn.PrintCurr." localSheetId="13" hidden="1">{#N/A,#N/A,FALSE,"Sheet1";#N/A,#N/A,FALSE,"Sheet2";#N/A,#N/A,FALSE,"Sheet3"}</definedName>
    <definedName name="wrn.PrintCurr." localSheetId="0" hidden="1">{#N/A,#N/A,FALSE,"Sheet1";#N/A,#N/A,FALSE,"Sheet2";#N/A,#N/A,FALSE,"Sheet3"}</definedName>
    <definedName name="wrn.PrintCurr." hidden="1">{#N/A,#N/A,FALSE,"Sheet1";#N/A,#N/A,FALSE,"Sheet2";#N/A,#N/A,FALSE,"Sheet3"}</definedName>
    <definedName name="wrn.PrintPrev1." localSheetId="3" hidden="1">{#N/A,#N/A,FALSE,"Sheet4";#N/A,#N/A,FALSE,"Sheet5";#N/A,#N/A,FALSE,"Sheet6"}</definedName>
    <definedName name="wrn.PrintPrev1." localSheetId="8" hidden="1">{#N/A,#N/A,FALSE,"Sheet4";#N/A,#N/A,FALSE,"Sheet5";#N/A,#N/A,FALSE,"Sheet6"}</definedName>
    <definedName name="wrn.PrintPrev1." localSheetId="2" hidden="1">{#N/A,#N/A,FALSE,"Sheet4";#N/A,#N/A,FALSE,"Sheet5";#N/A,#N/A,FALSE,"Sheet6"}</definedName>
    <definedName name="wrn.PrintPrev1." localSheetId="9" hidden="1">{#N/A,#N/A,FALSE,"Sheet4";#N/A,#N/A,FALSE,"Sheet5";#N/A,#N/A,FALSE,"Sheet6"}</definedName>
    <definedName name="wrn.PrintPrev1." localSheetId="13" hidden="1">{#N/A,#N/A,FALSE,"Sheet4";#N/A,#N/A,FALSE,"Sheet5";#N/A,#N/A,FALSE,"Sheet6"}</definedName>
    <definedName name="wrn.PrintPrev1." localSheetId="0" hidden="1">{#N/A,#N/A,FALSE,"Sheet4";#N/A,#N/A,FALSE,"Sheet5";#N/A,#N/A,FALSE,"Sheet6"}</definedName>
    <definedName name="wrn.PrintPrev1." hidden="1">{#N/A,#N/A,FALSE,"Sheet4";#N/A,#N/A,FALSE,"Sheet5";#N/A,#N/A,FALSE,"Sheet6"}</definedName>
    <definedName name="wrn.PrintPrev2." localSheetId="3" hidden="1">{#N/A,#N/A,FALSE,"Sheet7";#N/A,#N/A,FALSE,"Sheet8";#N/A,#N/A,FALSE,"Sheet9"}</definedName>
    <definedName name="wrn.PrintPrev2." localSheetId="8" hidden="1">{#N/A,#N/A,FALSE,"Sheet7";#N/A,#N/A,FALSE,"Sheet8";#N/A,#N/A,FALSE,"Sheet9"}</definedName>
    <definedName name="wrn.PrintPrev2." localSheetId="2" hidden="1">{#N/A,#N/A,FALSE,"Sheet7";#N/A,#N/A,FALSE,"Sheet8";#N/A,#N/A,FALSE,"Sheet9"}</definedName>
    <definedName name="wrn.PrintPrev2." localSheetId="9" hidden="1">{#N/A,#N/A,FALSE,"Sheet7";#N/A,#N/A,FALSE,"Sheet8";#N/A,#N/A,FALSE,"Sheet9"}</definedName>
    <definedName name="wrn.PrintPrev2." localSheetId="13" hidden="1">{#N/A,#N/A,FALSE,"Sheet7";#N/A,#N/A,FALSE,"Sheet8";#N/A,#N/A,FALSE,"Sheet9"}</definedName>
    <definedName name="wrn.PrintPrev2." localSheetId="0" hidden="1">{#N/A,#N/A,FALSE,"Sheet7";#N/A,#N/A,FALSE,"Sheet8";#N/A,#N/A,FALSE,"Sheet9"}</definedName>
    <definedName name="wrn.PrintPrev2." hidden="1">{#N/A,#N/A,FALSE,"Sheet7";#N/A,#N/A,FALSE,"Sheet8";#N/A,#N/A,FALSE,"Sheet9"}</definedName>
    <definedName name="wrn.Quadros._.relatório." localSheetId="3" hidden="1">{#N/A,#N/A,FALSE,"QD_F1 Invest Detalhado";#N/A,#N/A,FALSE,"QD_F3 Invest_Comparado";#N/A,#N/A,FALSE,"QD_B Trafego";#N/A,#N/A,FALSE,"QD_D0 Custos Operacionais";#N/A,#N/A,FALSE,"QD_C Receita";#N/A,#N/A,FALSE,"QD_D Custos";#N/A,#N/A,FALSE,"QD_E Resultado";#N/A,#N/A,FALSE,"QD_G Fluxo Caixa"}</definedName>
    <definedName name="wrn.Quadros._.relatório." localSheetId="8" hidden="1">{#N/A,#N/A,FALSE,"QD_F1 Invest Detalhado";#N/A,#N/A,FALSE,"QD_F3 Invest_Comparado";#N/A,#N/A,FALSE,"QD_B Trafego";#N/A,#N/A,FALSE,"QD_D0 Custos Operacionais";#N/A,#N/A,FALSE,"QD_C Receita";#N/A,#N/A,FALSE,"QD_D Custos";#N/A,#N/A,FALSE,"QD_E Resultado";#N/A,#N/A,FALSE,"QD_G Fluxo Caixa"}</definedName>
    <definedName name="wrn.Quadros._.relatório." localSheetId="2" hidden="1">{#N/A,#N/A,FALSE,"QD_F1 Invest Detalhado";#N/A,#N/A,FALSE,"QD_F3 Invest_Comparado";#N/A,#N/A,FALSE,"QD_B Trafego";#N/A,#N/A,FALSE,"QD_D0 Custos Operacionais";#N/A,#N/A,FALSE,"QD_C Receita";#N/A,#N/A,FALSE,"QD_D Custos";#N/A,#N/A,FALSE,"QD_E Resultado";#N/A,#N/A,FALSE,"QD_G Fluxo Caixa"}</definedName>
    <definedName name="wrn.Quadros._.relatório." localSheetId="9" hidden="1">{#N/A,#N/A,FALSE,"QD_F1 Invest Detalhado";#N/A,#N/A,FALSE,"QD_F3 Invest_Comparado";#N/A,#N/A,FALSE,"QD_B Trafego";#N/A,#N/A,FALSE,"QD_D0 Custos Operacionais";#N/A,#N/A,FALSE,"QD_C Receita";#N/A,#N/A,FALSE,"QD_D Custos";#N/A,#N/A,FALSE,"QD_E Resultado";#N/A,#N/A,FALSE,"QD_G Fluxo Caixa"}</definedName>
    <definedName name="wrn.Quadros._.relatório." localSheetId="13" hidden="1">{#N/A,#N/A,FALSE,"QD_F1 Invest Detalhado";#N/A,#N/A,FALSE,"QD_F3 Invest_Comparado";#N/A,#N/A,FALSE,"QD_B Trafego";#N/A,#N/A,FALSE,"QD_D0 Custos Operacionais";#N/A,#N/A,FALSE,"QD_C Receita";#N/A,#N/A,FALSE,"QD_D Custos";#N/A,#N/A,FALSE,"QD_E Resultado";#N/A,#N/A,FALSE,"QD_G Fluxo Caixa"}</definedName>
    <definedName name="wrn.Quadros._.relatório." localSheetId="0" hidden="1">{#N/A,#N/A,FALSE,"QD_F1 Invest Detalhado";#N/A,#N/A,FALSE,"QD_F3 Invest_Comparado";#N/A,#N/A,FALSE,"QD_B Trafego";#N/A,#N/A,FALSE,"QD_D0 Custos Operacionais";#N/A,#N/A,FALSE,"QD_C Receita";#N/A,#N/A,FALSE,"QD_D Custos";#N/A,#N/A,FALSE,"QD_E Resultado";#N/A,#N/A,FALSE,"QD_G Fluxo Caixa"}</definedName>
    <definedName name="wrn.Quadros._.relatório." hidden="1">{#N/A,#N/A,FALSE,"QD_F1 Invest Detalhado";#N/A,#N/A,FALSE,"QD_F3 Invest_Comparado";#N/A,#N/A,FALSE,"QD_B Trafego";#N/A,#N/A,FALSE,"QD_D0 Custos Operacionais";#N/A,#N/A,FALSE,"QD_C Receita";#N/A,#N/A,FALSE,"QD_D Custos";#N/A,#N/A,FALSE,"QD_E Resultado";#N/A,#N/A,FALSE,"QD_G Fluxo Caixa"}</definedName>
    <definedName name="wrn.REPORT." localSheetId="3" hidden="1">{#N/A,#N/A,FALSE,"표지";#N/A,#N/A,FALSE,"목차";#N/A,#N/A,FALSE,"내용1";#N/A,#N/A,FALSE,"내용2";#N/A,#N/A,FALSE,"결론";#N/A,#N/A,FALSE,"첨부";#N/A,#N/A,FALSE,"진공도달시간";#N/A,#N/A,FALSE,"배가스속도"}</definedName>
    <definedName name="wrn.REPORT." localSheetId="8" hidden="1">{#N/A,#N/A,FALSE,"표지";#N/A,#N/A,FALSE,"목차";#N/A,#N/A,FALSE,"내용1";#N/A,#N/A,FALSE,"내용2";#N/A,#N/A,FALSE,"결론";#N/A,#N/A,FALSE,"첨부";#N/A,#N/A,FALSE,"진공도달시간";#N/A,#N/A,FALSE,"배가스속도"}</definedName>
    <definedName name="wrn.REPORT." localSheetId="2" hidden="1">{#N/A,#N/A,FALSE,"표지";#N/A,#N/A,FALSE,"목차";#N/A,#N/A,FALSE,"내용1";#N/A,#N/A,FALSE,"내용2";#N/A,#N/A,FALSE,"결론";#N/A,#N/A,FALSE,"첨부";#N/A,#N/A,FALSE,"진공도달시간";#N/A,#N/A,FALSE,"배가스속도"}</definedName>
    <definedName name="wrn.REPORT." localSheetId="9" hidden="1">{#N/A,#N/A,FALSE,"표지";#N/A,#N/A,FALSE,"목차";#N/A,#N/A,FALSE,"내용1";#N/A,#N/A,FALSE,"내용2";#N/A,#N/A,FALSE,"결론";#N/A,#N/A,FALSE,"첨부";#N/A,#N/A,FALSE,"진공도달시간";#N/A,#N/A,FALSE,"배가스속도"}</definedName>
    <definedName name="wrn.REPORT." localSheetId="13" hidden="1">{#N/A,#N/A,FALSE,"표지";#N/A,#N/A,FALSE,"목차";#N/A,#N/A,FALSE,"내용1";#N/A,#N/A,FALSE,"내용2";#N/A,#N/A,FALSE,"결론";#N/A,#N/A,FALSE,"첨부";#N/A,#N/A,FALSE,"진공도달시간";#N/A,#N/A,FALSE,"배가스속도"}</definedName>
    <definedName name="wrn.REPORT." localSheetId="0"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STAFFS." localSheetId="3" hidden="1">{#N/A,#N/A,FALSE,"TABLE"}</definedName>
    <definedName name="wrn.STAFFS." localSheetId="8" hidden="1">{#N/A,#N/A,FALSE,"TABLE"}</definedName>
    <definedName name="wrn.STAFFS." localSheetId="2" hidden="1">{#N/A,#N/A,FALSE,"TABLE"}</definedName>
    <definedName name="wrn.STAFFS." localSheetId="9" hidden="1">{#N/A,#N/A,FALSE,"TABLE"}</definedName>
    <definedName name="wrn.STAFFS." localSheetId="13" hidden="1">{#N/A,#N/A,FALSE,"TABLE"}</definedName>
    <definedName name="wrn.STAFFS." localSheetId="0" hidden="1">{#N/A,#N/A,FALSE,"TABLE"}</definedName>
    <definedName name="wrn.STAFFS." hidden="1">{#N/A,#N/A,FALSE,"TABLE"}</definedName>
    <definedName name="wrn.TERCEIRO." localSheetId="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9"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8"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2"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9"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13"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localSheetId="0"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 hidden="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 localSheetId="3" hidden="1">{#N/A,#N/A,FALSE,"명세표"}</definedName>
    <definedName name="wrn.test1." localSheetId="8" hidden="1">{#N/A,#N/A,FALSE,"명세표"}</definedName>
    <definedName name="wrn.test1." localSheetId="2" hidden="1">{#N/A,#N/A,FALSE,"명세표"}</definedName>
    <definedName name="wrn.test1." localSheetId="9" hidden="1">{#N/A,#N/A,FALSE,"명세표"}</definedName>
    <definedName name="wrn.test1." localSheetId="13" hidden="1">{#N/A,#N/A,FALSE,"명세표"}</definedName>
    <definedName name="wrn.test1." localSheetId="0" hidden="1">{#N/A,#N/A,FALSE,"명세표"}</definedName>
    <definedName name="wrn.test1." hidden="1">{#N/A,#N/A,FALSE,"명세표"}</definedName>
    <definedName name="wrn.Unidades." localSheetId="3" hidden="1">{"Rio Branco",#N/A,FALSE,"Rio Branco";"Itajaí",#N/A,FALSE,"Itajaí";"Pinheiro Machado",#N/A,FALSE,"PMachado";"Esteio",#N/A,FALSE,"Esteio"}</definedName>
    <definedName name="wrn.Unidades." localSheetId="8" hidden="1">{"Rio Branco",#N/A,FALSE,"Rio Branco";"Itajaí",#N/A,FALSE,"Itajaí";"Pinheiro Machado",#N/A,FALSE,"PMachado";"Esteio",#N/A,FALSE,"Esteio"}</definedName>
    <definedName name="wrn.Unidades." localSheetId="2" hidden="1">{"Rio Branco",#N/A,FALSE,"Rio Branco";"Itajaí",#N/A,FALSE,"Itajaí";"Pinheiro Machado",#N/A,FALSE,"PMachado";"Esteio",#N/A,FALSE,"Esteio"}</definedName>
    <definedName name="wrn.Unidades." localSheetId="9" hidden="1">{"Rio Branco",#N/A,FALSE,"Rio Branco";"Itajaí",#N/A,FALSE,"Itajaí";"Pinheiro Machado",#N/A,FALSE,"PMachado";"Esteio",#N/A,FALSE,"Esteio"}</definedName>
    <definedName name="wrn.Unidades." localSheetId="13" hidden="1">{"Rio Branco",#N/A,FALSE,"Rio Branco";"Itajaí",#N/A,FALSE,"Itajaí";"Pinheiro Machado",#N/A,FALSE,"PMachado";"Esteio",#N/A,FALSE,"Esteio"}</definedName>
    <definedName name="wrn.Unidades." localSheetId="0" hidden="1">{"Rio Branco",#N/A,FALSE,"Rio Branco";"Itajaí",#N/A,FALSE,"Itajaí";"Pinheiro Machado",#N/A,FALSE,"PMachado";"Esteio",#N/A,FALSE,"Esteio"}</definedName>
    <definedName name="wrn.Unidades." hidden="1">{"Rio Branco",#N/A,FALSE,"Rio Branco";"Itajaí",#N/A,FALSE,"Itajaí";"Pinheiro Machado",#N/A,FALSE,"PMachado";"Esteio",#N/A,FALSE,"Esteio"}</definedName>
    <definedName name="wrn.VESSEL및N2._.구입사양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 localSheetId="3" hidden="1">{#N/A,#N/A,FALSE,"Sheet1";#N/A,#N/A,FALSE,"Sheet2";#N/A,#N/A,FALSE,"TAB96-1"}</definedName>
    <definedName name="wrn.견적." localSheetId="8" hidden="1">{#N/A,#N/A,FALSE,"Sheet1";#N/A,#N/A,FALSE,"Sheet2";#N/A,#N/A,FALSE,"TAB96-1"}</definedName>
    <definedName name="wrn.견적." localSheetId="2" hidden="1">{#N/A,#N/A,FALSE,"Sheet1";#N/A,#N/A,FALSE,"Sheet2";#N/A,#N/A,FALSE,"TAB96-1"}</definedName>
    <definedName name="wrn.견적." localSheetId="9" hidden="1">{#N/A,#N/A,FALSE,"Sheet1";#N/A,#N/A,FALSE,"Sheet2";#N/A,#N/A,FALSE,"TAB96-1"}</definedName>
    <definedName name="wrn.견적." localSheetId="13" hidden="1">{#N/A,#N/A,FALSE,"Sheet1";#N/A,#N/A,FALSE,"Sheet2";#N/A,#N/A,FALSE,"TAB96-1"}</definedName>
    <definedName name="wrn.견적." localSheetId="0" hidden="1">{#N/A,#N/A,FALSE,"Sheet1";#N/A,#N/A,FALSE,"Sheet2";#N/A,#N/A,FALSE,"TAB96-1"}</definedName>
    <definedName name="wrn.견적." hidden="1">{#N/A,#N/A,FALSE,"Sheet1";#N/A,#N/A,FALSE,"Sheet2";#N/A,#N/A,FALSE,"TAB96-1"}</definedName>
    <definedName name="wrn.보호계전기." localSheetId="3" hidden="1">{#N/A,#N/A,FALSE,"ENG'G(보호계전기)"}</definedName>
    <definedName name="wrn.보호계전기." localSheetId="8" hidden="1">{#N/A,#N/A,FALSE,"ENG'G(보호계전기)"}</definedName>
    <definedName name="wrn.보호계전기." localSheetId="2" hidden="1">{#N/A,#N/A,FALSE,"ENG'G(보호계전기)"}</definedName>
    <definedName name="wrn.보호계전기." localSheetId="9" hidden="1">{#N/A,#N/A,FALSE,"ENG'G(보호계전기)"}</definedName>
    <definedName name="wrn.보호계전기." localSheetId="13" hidden="1">{#N/A,#N/A,FALSE,"ENG'G(보호계전기)"}</definedName>
    <definedName name="wrn.보호계전기." localSheetId="0" hidden="1">{#N/A,#N/A,FALSE,"ENG'G(보호계전기)"}</definedName>
    <definedName name="wrn.보호계전기." hidden="1">{#N/A,#N/A,FALSE,"ENG'G(보호계전기)"}</definedName>
    <definedName name="wrn.현장._.NCR._.분석." localSheetId="3" hidden="1">{#N/A,#N/A,FALSE,"현장 NCR 분석";#N/A,#N/A,FALSE,"현장품질감사";#N/A,#N/A,FALSE,"현장품질감사"}</definedName>
    <definedName name="wrn.현장._.NCR._.분석." localSheetId="8"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localSheetId="9"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1.Cons." localSheetId="3" hidden="1">{"EconCons",#N/A,TRUE,"Econômico - Consolidado";"CaixaCons",#N/A,TRUE,"Caixa - Consolidado";"InvestCons",#N/A,TRUE,"Invest Consolidado"}</definedName>
    <definedName name="wrn1.Cons." localSheetId="8" hidden="1">{"EconCons",#N/A,TRUE,"Econômico - Consolidado";"CaixaCons",#N/A,TRUE,"Caixa - Consolidado";"InvestCons",#N/A,TRUE,"Invest Consolidado"}</definedName>
    <definedName name="wrn1.Cons." localSheetId="2" hidden="1">{"EconCons",#N/A,TRUE,"Econômico - Consolidado";"CaixaCons",#N/A,TRUE,"Caixa - Consolidado";"InvestCons",#N/A,TRUE,"Invest Consolidado"}</definedName>
    <definedName name="wrn1.Cons." localSheetId="9" hidden="1">{"EconCons",#N/A,TRUE,"Econômico - Consolidado";"CaixaCons",#N/A,TRUE,"Caixa - Consolidado";"InvestCons",#N/A,TRUE,"Invest Consolidado"}</definedName>
    <definedName name="wrn1.Cons." localSheetId="13" hidden="1">{"EconCons",#N/A,TRUE,"Econômico - Consolidado";"CaixaCons",#N/A,TRUE,"Caixa - Consolidado";"InvestCons",#N/A,TRUE,"Invest Consolidado"}</definedName>
    <definedName name="wrn1.Cons." localSheetId="0" hidden="1">{"EconCons",#N/A,TRUE,"Econômico - Consolidado";"CaixaCons",#N/A,TRUE,"Caixa - Consolidado";"InvestCons",#N/A,TRUE,"Invest Consolidado"}</definedName>
    <definedName name="wrn1.Cons." hidden="1">{"EconCons",#N/A,TRUE,"Econômico - Consolidado";"CaixaCons",#N/A,TRUE,"Caixa - Consolidado";"InvestCons",#N/A,TRUE,"Invest Consolidado"}</definedName>
    <definedName name="wrn1.print._.all." localSheetId="3" hidden="1">{#N/A,#N/A,FALSE,"$170M Cash";#N/A,#N/A,FALSE,"$250M Cash";#N/A,#N/A,FALSE,"$325M Cash"}</definedName>
    <definedName name="wrn1.print._.all." localSheetId="8" hidden="1">{#N/A,#N/A,FALSE,"$170M Cash";#N/A,#N/A,FALSE,"$250M Cash";#N/A,#N/A,FALSE,"$325M Cash"}</definedName>
    <definedName name="wrn1.print._.all." localSheetId="2" hidden="1">{#N/A,#N/A,FALSE,"$170M Cash";#N/A,#N/A,FALSE,"$250M Cash";#N/A,#N/A,FALSE,"$325M Cash"}</definedName>
    <definedName name="wrn1.print._.all." localSheetId="9" hidden="1">{#N/A,#N/A,FALSE,"$170M Cash";#N/A,#N/A,FALSE,"$250M Cash";#N/A,#N/A,FALSE,"$325M Cash"}</definedName>
    <definedName name="wrn1.print._.all." localSheetId="13" hidden="1">{#N/A,#N/A,FALSE,"$170M Cash";#N/A,#N/A,FALSE,"$250M Cash";#N/A,#N/A,FALSE,"$325M Cash"}</definedName>
    <definedName name="wrn1.print._.all." localSheetId="0" hidden="1">{#N/A,#N/A,FALSE,"$170M Cash";#N/A,#N/A,FALSE,"$250M Cash";#N/A,#N/A,FALSE,"$325M Cash"}</definedName>
    <definedName name="wrn1.print._.all." hidden="1">{#N/A,#N/A,FALSE,"$170M Cash";#N/A,#N/A,FALSE,"$250M Cash";#N/A,#N/A,FALSE,"$325M Cash"}</definedName>
    <definedName name="WRS" localSheetId="3" hidden="1">{"'장비'!$A$3:$M$12"}</definedName>
    <definedName name="WRS" localSheetId="8" hidden="1">{"'장비'!$A$3:$M$12"}</definedName>
    <definedName name="WRS" localSheetId="2" hidden="1">{"'장비'!$A$3:$M$12"}</definedName>
    <definedName name="WRS" localSheetId="9" hidden="1">{"'장비'!$A$3:$M$12"}</definedName>
    <definedName name="WRS" localSheetId="13" hidden="1">{"'장비'!$A$3:$M$12"}</definedName>
    <definedName name="WRS" localSheetId="0" hidden="1">{"'장비'!$A$3:$M$12"}</definedName>
    <definedName name="WRS" hidden="1">{"'장비'!$A$3:$M$12"}</definedName>
    <definedName name="wrt" localSheetId="3" hidden="1">{#N/A,#N/A,FALSE,"$170M Cash";#N/A,#N/A,FALSE,"$250M Cash";#N/A,#N/A,FALSE,"$325M Cash"}</definedName>
    <definedName name="wrt" localSheetId="8" hidden="1">{#N/A,#N/A,FALSE,"$170M Cash";#N/A,#N/A,FALSE,"$250M Cash";#N/A,#N/A,FALSE,"$325M Cash"}</definedName>
    <definedName name="wrt" localSheetId="2" hidden="1">{#N/A,#N/A,FALSE,"$170M Cash";#N/A,#N/A,FALSE,"$250M Cash";#N/A,#N/A,FALSE,"$325M Cash"}</definedName>
    <definedName name="wrt" localSheetId="9" hidden="1">{#N/A,#N/A,FALSE,"$170M Cash";#N/A,#N/A,FALSE,"$250M Cash";#N/A,#N/A,FALSE,"$325M Cash"}</definedName>
    <definedName name="wrt" localSheetId="13" hidden="1">{#N/A,#N/A,FALSE,"$170M Cash";#N/A,#N/A,FALSE,"$250M Cash";#N/A,#N/A,FALSE,"$325M Cash"}</definedName>
    <definedName name="wrt" localSheetId="0" hidden="1">{#N/A,#N/A,FALSE,"$170M Cash";#N/A,#N/A,FALSE,"$250M Cash";#N/A,#N/A,FALSE,"$325M Cash"}</definedName>
    <definedName name="wrt" hidden="1">{#N/A,#N/A,FALSE,"$170M Cash";#N/A,#N/A,FALSE,"$250M Cash";#N/A,#N/A,FALSE,"$325M Cash"}</definedName>
    <definedName name="wvu.PLANILHA2."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hidden="1">{TRUE,TRUE,-1.25,-15.5,604.5,366.75,FALSE,FALSE,TRUE,TRUE,0,1,#N/A,1,#N/A,9.0125,24.4117647058824,1,FALSE,FALSE,3,TRUE,1,FALSE,100,"Swvu.PLANILHA2.","ACwvu.PLANILHA2.",#N/A,FALSE,FALSE,0.787401575,0.34,0.46,0.5,1,"","",FALSE,FALSE,FALSE,FALSE,1,#N/A,1,1,FALSE,FALSE,#N/A,#N/A,FALSE,FALSE,FALSE,9,65532,65532,FALSE,FALSE,TRUE,TRUE,TRUE}</definedName>
    <definedName name="ww"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 localSheetId="3"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2"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0"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X" localSheetId="3">#REF!</definedName>
    <definedName name="X" localSheetId="2">#REF!</definedName>
    <definedName name="X">#REF!</definedName>
    <definedName name="XALFA" localSheetId="3">#REF!</definedName>
    <definedName name="XALFA" localSheetId="2">#REF!</definedName>
    <definedName name="XALFA">#REF!</definedName>
    <definedName name="XC" localSheetId="3">#REF!</definedName>
    <definedName name="XC" localSheetId="2">#REF!</definedName>
    <definedName name="XC">#REF!</definedName>
    <definedName name="xcfrt" localSheetId="3" hidden="1">{#N/A,#N/A,FALSE,"Plan1";#N/A,#N/A,FALSE,"Plan2"}</definedName>
    <definedName name="xcfrt" localSheetId="8" hidden="1">{#N/A,#N/A,FALSE,"Plan1";#N/A,#N/A,FALSE,"Plan2"}</definedName>
    <definedName name="xcfrt" localSheetId="2" hidden="1">{#N/A,#N/A,FALSE,"Plan1";#N/A,#N/A,FALSE,"Plan2"}</definedName>
    <definedName name="xcfrt" localSheetId="9" hidden="1">{#N/A,#N/A,FALSE,"Plan1";#N/A,#N/A,FALSE,"Plan2"}</definedName>
    <definedName name="xcfrt" localSheetId="13" hidden="1">{#N/A,#N/A,FALSE,"Plan1";#N/A,#N/A,FALSE,"Plan2"}</definedName>
    <definedName name="xcfrt" localSheetId="0" hidden="1">{#N/A,#N/A,FALSE,"Plan1";#N/A,#N/A,FALSE,"Plan2"}</definedName>
    <definedName name="xcfrt" hidden="1">{#N/A,#N/A,FALSE,"Plan1";#N/A,#N/A,FALSE,"Plan2"}</definedName>
    <definedName name="xcgjkfghf" localSheetId="3" hidden="1">{#N/A,#N/A,FALSE,"Plan1";#N/A,#N/A,FALSE,"Plan2"}</definedName>
    <definedName name="xcgjkfghf" localSheetId="8" hidden="1">{#N/A,#N/A,FALSE,"Plan1";#N/A,#N/A,FALSE,"Plan2"}</definedName>
    <definedName name="xcgjkfghf" localSheetId="2" hidden="1">{#N/A,#N/A,FALSE,"Plan1";#N/A,#N/A,FALSE,"Plan2"}</definedName>
    <definedName name="xcgjkfghf" localSheetId="9" hidden="1">{#N/A,#N/A,FALSE,"Plan1";#N/A,#N/A,FALSE,"Plan2"}</definedName>
    <definedName name="xcgjkfghf" localSheetId="13" hidden="1">{#N/A,#N/A,FALSE,"Plan1";#N/A,#N/A,FALSE,"Plan2"}</definedName>
    <definedName name="xcgjkfghf" localSheetId="0" hidden="1">{#N/A,#N/A,FALSE,"Plan1";#N/A,#N/A,FALSE,"Plan2"}</definedName>
    <definedName name="xcgjkfghf" hidden="1">{#N/A,#N/A,FALSE,"Plan1";#N/A,#N/A,FALSE,"Plan2"}</definedName>
    <definedName name="XCGJKVHFDG" localSheetId="3" hidden="1">{#N/A,#N/A,FALSE,"Plan1";#N/A,#N/A,FALSE,"Plan2"}</definedName>
    <definedName name="XCGJKVHFDG" localSheetId="8" hidden="1">{#N/A,#N/A,FALSE,"Plan1";#N/A,#N/A,FALSE,"Plan2"}</definedName>
    <definedName name="XCGJKVHFDG" localSheetId="2" hidden="1">{#N/A,#N/A,FALSE,"Plan1";#N/A,#N/A,FALSE,"Plan2"}</definedName>
    <definedName name="XCGJKVHFDG" localSheetId="9" hidden="1">{#N/A,#N/A,FALSE,"Plan1";#N/A,#N/A,FALSE,"Plan2"}</definedName>
    <definedName name="XCGJKVHFDG" localSheetId="13" hidden="1">{#N/A,#N/A,FALSE,"Plan1";#N/A,#N/A,FALSE,"Plan2"}</definedName>
    <definedName name="XCGJKVHFDG" localSheetId="0" hidden="1">{#N/A,#N/A,FALSE,"Plan1";#N/A,#N/A,FALSE,"Plan2"}</definedName>
    <definedName name="XCGJKVHFDG" hidden="1">{#N/A,#N/A,FALSE,"Plan1";#N/A,#N/A,FALSE,"Plan2"}</definedName>
    <definedName name="xcgtrty"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trty"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CGVRT" hidden="1">{TRUE,TRUE,-1.25,-15.5,604.5,366.75,FALSE,FALSE,TRUE,TRUE,0,1,#N/A,1,#N/A,9.0125,24.4117647058824,1,FALSE,FALSE,3,TRUE,1,FALSE,100,"Swvu.PLANILHA2.","ACwvu.PLANILHA2.",#N/A,FALSE,FALSE,0.787401575,0.34,0.46,0.5,1,"","",FALSE,FALSE,FALSE,FALSE,1,#N/A,1,1,FALSE,FALSE,#N/A,#N/A,FALSE,FALSE,FALSE,9,65532,65532,FALSE,FALSE,TRUE,TRUE,TRUE}</definedName>
    <definedName name="XCI" localSheetId="3">#REF!</definedName>
    <definedName name="XCI" localSheetId="2">#REF!</definedName>
    <definedName name="XCI">#REF!</definedName>
    <definedName name="XCII" localSheetId="3">#REF!</definedName>
    <definedName name="XCII" localSheetId="2">#REF!</definedName>
    <definedName name="XCII">#REF!</definedName>
    <definedName name="XCIII" localSheetId="3">#REF!</definedName>
    <definedName name="XCIII" localSheetId="2">#REF!</definedName>
    <definedName name="XCIII">#REF!</definedName>
    <definedName name="XCIV" localSheetId="2">#REF!</definedName>
    <definedName name="XCIV">#REF!</definedName>
    <definedName name="XCIX" localSheetId="2">#REF!</definedName>
    <definedName name="XCIX">#REF!</definedName>
    <definedName name="xçl" localSheetId="3" hidden="1">{#N/A,#N/A,FALSE,"Plan1";#N/A,#N/A,FALSE,"Plan2"}</definedName>
    <definedName name="xçl" localSheetId="8" hidden="1">{#N/A,#N/A,FALSE,"Plan1";#N/A,#N/A,FALSE,"Plan2"}</definedName>
    <definedName name="xçl" localSheetId="2" hidden="1">{#N/A,#N/A,FALSE,"Plan1";#N/A,#N/A,FALSE,"Plan2"}</definedName>
    <definedName name="xçl" localSheetId="9" hidden="1">{#N/A,#N/A,FALSE,"Plan1";#N/A,#N/A,FALSE,"Plan2"}</definedName>
    <definedName name="xçl" localSheetId="13" hidden="1">{#N/A,#N/A,FALSE,"Plan1";#N/A,#N/A,FALSE,"Plan2"}</definedName>
    <definedName name="xçl" localSheetId="0" hidden="1">{#N/A,#N/A,FALSE,"Plan1";#N/A,#N/A,FALSE,"Plan2"}</definedName>
    <definedName name="xçl" hidden="1">{#N/A,#N/A,FALSE,"Plan1";#N/A,#N/A,FALSE,"Plan2"}</definedName>
    <definedName name="xcndj" localSheetId="3" hidden="1">{#N/A,#N/A,FALSE,"Plan1";#N/A,#N/A,FALSE,"Plan2"}</definedName>
    <definedName name="xcndj" localSheetId="8" hidden="1">{#N/A,#N/A,FALSE,"Plan1";#N/A,#N/A,FALSE,"Plan2"}</definedName>
    <definedName name="xcndj" localSheetId="2" hidden="1">{#N/A,#N/A,FALSE,"Plan1";#N/A,#N/A,FALSE,"Plan2"}</definedName>
    <definedName name="xcndj" localSheetId="9" hidden="1">{#N/A,#N/A,FALSE,"Plan1";#N/A,#N/A,FALSE,"Plan2"}</definedName>
    <definedName name="xcndj" localSheetId="13" hidden="1">{#N/A,#N/A,FALSE,"Plan1";#N/A,#N/A,FALSE,"Plan2"}</definedName>
    <definedName name="xcndj" localSheetId="0" hidden="1">{#N/A,#N/A,FALSE,"Plan1";#N/A,#N/A,FALSE,"Plan2"}</definedName>
    <definedName name="xcndj" hidden="1">{#N/A,#N/A,FALSE,"Plan1";#N/A,#N/A,FALSE,"Plan2"}</definedName>
    <definedName name="XCV" localSheetId="3">#REF!</definedName>
    <definedName name="XCV" localSheetId="2">#REF!</definedName>
    <definedName name="XCV">#REF!</definedName>
    <definedName name="XCVGGT" localSheetId="3" hidden="1">{#N/A,#N/A,FALSE,"Plan1";#N/A,#N/A,FALSE,"Plan2"}</definedName>
    <definedName name="XCVGGT" localSheetId="8" hidden="1">{#N/A,#N/A,FALSE,"Plan1";#N/A,#N/A,FALSE,"Plan2"}</definedName>
    <definedName name="XCVGGT" localSheetId="2" hidden="1">{#N/A,#N/A,FALSE,"Plan1";#N/A,#N/A,FALSE,"Plan2"}</definedName>
    <definedName name="XCVGGT" localSheetId="9" hidden="1">{#N/A,#N/A,FALSE,"Plan1";#N/A,#N/A,FALSE,"Plan2"}</definedName>
    <definedName name="XCVGGT" localSheetId="13" hidden="1">{#N/A,#N/A,FALSE,"Plan1";#N/A,#N/A,FALSE,"Plan2"}</definedName>
    <definedName name="XCVGGT" localSheetId="0" hidden="1">{#N/A,#N/A,FALSE,"Plan1";#N/A,#N/A,FALSE,"Plan2"}</definedName>
    <definedName name="XCVGGT" hidden="1">{#N/A,#N/A,FALSE,"Plan1";#N/A,#N/A,FALSE,"Plan2"}</definedName>
    <definedName name="XCVI" localSheetId="3">#REF!</definedName>
    <definedName name="XCVI" localSheetId="2">#REF!</definedName>
    <definedName name="XCVI">#REF!</definedName>
    <definedName name="XCVII" localSheetId="3">#REF!</definedName>
    <definedName name="XCVII" localSheetId="2">#REF!</definedName>
    <definedName name="XCVII">#REF!</definedName>
    <definedName name="XCVIII" localSheetId="3">#REF!</definedName>
    <definedName name="XCVIII" localSheetId="2">#REF!</definedName>
    <definedName name="XCVIII">#REF!</definedName>
    <definedName name="xcvrg" localSheetId="3" hidden="1">{#N/A,#N/A,FALSE,"Plan1";#N/A,#N/A,FALSE,"Plan2"}</definedName>
    <definedName name="xcvrg" localSheetId="8" hidden="1">{#N/A,#N/A,FALSE,"Plan1";#N/A,#N/A,FALSE,"Plan2"}</definedName>
    <definedName name="xcvrg" localSheetId="2" hidden="1">{#N/A,#N/A,FALSE,"Plan1";#N/A,#N/A,FALSE,"Plan2"}</definedName>
    <definedName name="xcvrg" localSheetId="9" hidden="1">{#N/A,#N/A,FALSE,"Plan1";#N/A,#N/A,FALSE,"Plan2"}</definedName>
    <definedName name="xcvrg" localSheetId="13" hidden="1">{#N/A,#N/A,FALSE,"Plan1";#N/A,#N/A,FALSE,"Plan2"}</definedName>
    <definedName name="xcvrg" localSheetId="0" hidden="1">{#N/A,#N/A,FALSE,"Plan1";#N/A,#N/A,FALSE,"Plan2"}</definedName>
    <definedName name="xcvrg" hidden="1">{#N/A,#N/A,FALSE,"Plan1";#N/A,#N/A,FALSE,"Plan2"}</definedName>
    <definedName name="XDATA" localSheetId="3">#REF!</definedName>
    <definedName name="XDATA" localSheetId="2">#REF!</definedName>
    <definedName name="XDATA">#REF!</definedName>
    <definedName name="xdfef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dfeft" hidden="1">{TRUE,TRUE,-1.25,-15.5,604.5,366.75,FALSE,FALSE,TRUE,TRUE,0,1,#N/A,1,#N/A,9.0125,24.4117647058824,1,FALSE,FALSE,3,TRUE,1,FALSE,100,"Swvu.PLANILHA2.","ACwvu.PLANILHA2.",#N/A,FALSE,FALSE,0.787401575,0.34,0.46,0.5,1,"","",FALSE,FALSE,FALSE,FALSE,1,#N/A,1,1,FALSE,FALSE,#N/A,#N/A,FALSE,FALSE,FALSE,9,65532,65532,FALSE,FALSE,TRUE,TRUE,TRUE}</definedName>
    <definedName name="xdgtyhyt" localSheetId="3" hidden="1">{#N/A,#N/A,FALSE,"Plan1";#N/A,#N/A,FALSE,"Plan2"}</definedName>
    <definedName name="xdgtyhyt" localSheetId="8" hidden="1">{#N/A,#N/A,FALSE,"Plan1";#N/A,#N/A,FALSE,"Plan2"}</definedName>
    <definedName name="xdgtyhyt" localSheetId="2" hidden="1">{#N/A,#N/A,FALSE,"Plan1";#N/A,#N/A,FALSE,"Plan2"}</definedName>
    <definedName name="xdgtyhyt" localSheetId="9" hidden="1">{#N/A,#N/A,FALSE,"Plan1";#N/A,#N/A,FALSE,"Plan2"}</definedName>
    <definedName name="xdgtyhyt" localSheetId="13" hidden="1">{#N/A,#N/A,FALSE,"Plan1";#N/A,#N/A,FALSE,"Plan2"}</definedName>
    <definedName name="xdgtyhyt" localSheetId="0" hidden="1">{#N/A,#N/A,FALSE,"Plan1";#N/A,#N/A,FALSE,"Plan2"}</definedName>
    <definedName name="xdgtyhyt" hidden="1">{#N/A,#N/A,FALSE,"Plan1";#N/A,#N/A,FALSE,"Plan2"}</definedName>
    <definedName name="xfdlfj" localSheetId="3" hidden="1">{#N/A,#N/A,FALSE,"Plan1";#N/A,#N/A,FALSE,"Plan2"}</definedName>
    <definedName name="xfdlfj" localSheetId="8" hidden="1">{#N/A,#N/A,FALSE,"Plan1";#N/A,#N/A,FALSE,"Plan2"}</definedName>
    <definedName name="xfdlfj" localSheetId="2" hidden="1">{#N/A,#N/A,FALSE,"Plan1";#N/A,#N/A,FALSE,"Plan2"}</definedName>
    <definedName name="xfdlfj" localSheetId="9" hidden="1">{#N/A,#N/A,FALSE,"Plan1";#N/A,#N/A,FALSE,"Plan2"}</definedName>
    <definedName name="xfdlfj" localSheetId="13" hidden="1">{#N/A,#N/A,FALSE,"Plan1";#N/A,#N/A,FALSE,"Plan2"}</definedName>
    <definedName name="xfdlfj" localSheetId="0" hidden="1">{#N/A,#N/A,FALSE,"Plan1";#N/A,#N/A,FALSE,"Plan2"}</definedName>
    <definedName name="xfdlfj" hidden="1">{#N/A,#N/A,FALSE,"Plan1";#N/A,#N/A,FALSE,"Plan2"}</definedName>
    <definedName name="xfdxfdf" localSheetId="3" hidden="1">{#N/A,#N/A,FALSE,"Plan1";#N/A,#N/A,FALSE,"Plan2"}</definedName>
    <definedName name="xfdxfdf" localSheetId="8" hidden="1">{#N/A,#N/A,FALSE,"Plan1";#N/A,#N/A,FALSE,"Plan2"}</definedName>
    <definedName name="xfdxfdf" localSheetId="2" hidden="1">{#N/A,#N/A,FALSE,"Plan1";#N/A,#N/A,FALSE,"Plan2"}</definedName>
    <definedName name="xfdxfdf" localSheetId="9" hidden="1">{#N/A,#N/A,FALSE,"Plan1";#N/A,#N/A,FALSE,"Plan2"}</definedName>
    <definedName name="xfdxfdf" localSheetId="13" hidden="1">{#N/A,#N/A,FALSE,"Plan1";#N/A,#N/A,FALSE,"Plan2"}</definedName>
    <definedName name="xfdxfdf" localSheetId="0" hidden="1">{#N/A,#N/A,FALSE,"Plan1";#N/A,#N/A,FALSE,"Plan2"}</definedName>
    <definedName name="xfdxfdf" hidden="1">{#N/A,#N/A,FALSE,"Plan1";#N/A,#N/A,FALSE,"Plan2"}</definedName>
    <definedName name="XFJKLDJKLGJ"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JKLDJKLGJ" hidden="1">{TRUE,TRUE,-1.25,-15.5,604.5,366.75,FALSE,FALSE,TRUE,TRUE,0,1,#N/A,1,#N/A,9.0125,24.4117647058824,1,FALSE,FALSE,3,TRUE,1,FALSE,100,"Swvu.PLANILHA2.","ACwvu.PLANILHA2.",#N/A,FALSE,FALSE,0.787401575,0.34,0.46,0.5,1,"","",FALSE,FALSE,FALSE,FALSE,1,#N/A,1,1,FALSE,FALSE,#N/A,#N/A,FALSE,FALSE,FALSE,9,65532,65532,FALSE,FALSE,TRUE,TRUE,TRUE}</definedName>
    <definedName name="xfrty" localSheetId="3" hidden="1">{#N/A,#N/A,FALSE,"Plan1";#N/A,#N/A,FALSE,"Plan2"}</definedName>
    <definedName name="xfrty" localSheetId="8" hidden="1">{#N/A,#N/A,FALSE,"Plan1";#N/A,#N/A,FALSE,"Plan2"}</definedName>
    <definedName name="xfrty" localSheetId="2" hidden="1">{#N/A,#N/A,FALSE,"Plan1";#N/A,#N/A,FALSE,"Plan2"}</definedName>
    <definedName name="xfrty" localSheetId="9" hidden="1">{#N/A,#N/A,FALSE,"Plan1";#N/A,#N/A,FALSE,"Plan2"}</definedName>
    <definedName name="xfrty" localSheetId="13" hidden="1">{#N/A,#N/A,FALSE,"Plan1";#N/A,#N/A,FALSE,"Plan2"}</definedName>
    <definedName name="xfrty" localSheetId="0" hidden="1">{#N/A,#N/A,FALSE,"Plan1";#N/A,#N/A,FALSE,"Plan2"}</definedName>
    <definedName name="xfrty" hidden="1">{#N/A,#N/A,FALSE,"Plan1";#N/A,#N/A,FALSE,"Plan2"}</definedName>
    <definedName name="XFT"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XFT"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FT" hidden="1">{TRUE,TRUE,-1.25,-15.5,604.5,366.75,FALSE,FALSE,TRUE,TRUE,0,1,#N/A,1,#N/A,9.0125,24.4117647058824,1,FALSE,FALSE,3,TRUE,1,FALSE,100,"Swvu.PLANILHA2.","ACwvu.PLANILHA2.",#N/A,FALSE,FALSE,0.787401575,0.34,0.46,0.5,1,"","",FALSE,FALSE,FALSE,FALSE,1,#N/A,1,1,FALSE,FALSE,#N/A,#N/A,FALSE,FALSE,FALSE,9,65532,65532,FALSE,FALSE,TRUE,TRUE,TRUE}</definedName>
    <definedName name="xfvchdhhd" localSheetId="3" hidden="1">{"Econ Consolidado",#N/A,FALSE,"Econ Consol";"Fluxo de Caixa",#N/A,FALSE,"Fluxo Caixa";"Investimentos",#N/A,FALSE,"Investimentos"}</definedName>
    <definedName name="xfvchdhhd" localSheetId="8" hidden="1">{"Econ Consolidado",#N/A,FALSE,"Econ Consol";"Fluxo de Caixa",#N/A,FALSE,"Fluxo Caixa";"Investimentos",#N/A,FALSE,"Investimentos"}</definedName>
    <definedName name="xfvchdhhd" localSheetId="2" hidden="1">{"Econ Consolidado",#N/A,FALSE,"Econ Consol";"Fluxo de Caixa",#N/A,FALSE,"Fluxo Caixa";"Investimentos",#N/A,FALSE,"Investimentos"}</definedName>
    <definedName name="xfvchdhhd" localSheetId="9" hidden="1">{"Econ Consolidado",#N/A,FALSE,"Econ Consol";"Fluxo de Caixa",#N/A,FALSE,"Fluxo Caixa";"Investimentos",#N/A,FALSE,"Investimentos"}</definedName>
    <definedName name="xfvchdhhd" localSheetId="13" hidden="1">{"Econ Consolidado",#N/A,FALSE,"Econ Consol";"Fluxo de Caixa",#N/A,FALSE,"Fluxo Caixa";"Investimentos",#N/A,FALSE,"Investimentos"}</definedName>
    <definedName name="xfvchdhhd" localSheetId="0" hidden="1">{"Econ Consolidado",#N/A,FALSE,"Econ Consol";"Fluxo de Caixa",#N/A,FALSE,"Fluxo Caixa";"Investimentos",#N/A,FALSE,"Investimentos"}</definedName>
    <definedName name="xfvchdhhd" hidden="1">{"Econ Consolidado",#N/A,FALSE,"Econ Consol";"Fluxo de Caixa",#N/A,FALSE,"Fluxo Caixa";"Investimentos",#N/A,FALSE,"Investimentos"}</definedName>
    <definedName name="xfvgcfgt" localSheetId="3" hidden="1">{#N/A,#N/A,FALSE,"Plan1";#N/A,#N/A,FALSE,"Plan2"}</definedName>
    <definedName name="xfvgcfgt" localSheetId="8" hidden="1">{#N/A,#N/A,FALSE,"Plan1";#N/A,#N/A,FALSE,"Plan2"}</definedName>
    <definedName name="xfvgcfgt" localSheetId="2" hidden="1">{#N/A,#N/A,FALSE,"Plan1";#N/A,#N/A,FALSE,"Plan2"}</definedName>
    <definedName name="xfvgcfgt" localSheetId="9" hidden="1">{#N/A,#N/A,FALSE,"Plan1";#N/A,#N/A,FALSE,"Plan2"}</definedName>
    <definedName name="xfvgcfgt" localSheetId="13" hidden="1">{#N/A,#N/A,FALSE,"Plan1";#N/A,#N/A,FALSE,"Plan2"}</definedName>
    <definedName name="xfvgcfgt" localSheetId="0" hidden="1">{#N/A,#N/A,FALSE,"Plan1";#N/A,#N/A,FALSE,"Plan2"}</definedName>
    <definedName name="xfvgcfgt" hidden="1">{#N/A,#N/A,FALSE,"Plan1";#N/A,#N/A,FALSE,"Plan2"}</definedName>
    <definedName name="xgrg" localSheetId="3" hidden="1">{#N/A,#N/A,FALSE,"Plan1";#N/A,#N/A,FALSE,"Plan2"}</definedName>
    <definedName name="xgrg" localSheetId="8" hidden="1">{#N/A,#N/A,FALSE,"Plan1";#N/A,#N/A,FALSE,"Plan2"}</definedName>
    <definedName name="xgrg" localSheetId="2" hidden="1">{#N/A,#N/A,FALSE,"Plan1";#N/A,#N/A,FALSE,"Plan2"}</definedName>
    <definedName name="xgrg" localSheetId="9" hidden="1">{#N/A,#N/A,FALSE,"Plan1";#N/A,#N/A,FALSE,"Plan2"}</definedName>
    <definedName name="xgrg" localSheetId="13" hidden="1">{#N/A,#N/A,FALSE,"Plan1";#N/A,#N/A,FALSE,"Plan2"}</definedName>
    <definedName name="xgrg" localSheetId="0" hidden="1">{#N/A,#N/A,FALSE,"Plan1";#N/A,#N/A,FALSE,"Plan2"}</definedName>
    <definedName name="xgrg" hidden="1">{#N/A,#N/A,FALSE,"Plan1";#N/A,#N/A,FALSE,"Plan2"}</definedName>
    <definedName name="XI" localSheetId="3">#REF!</definedName>
    <definedName name="XI" localSheetId="2">#REF!</definedName>
    <definedName name="XI">#REF!</definedName>
    <definedName name="XII" localSheetId="3">#REF!</definedName>
    <definedName name="XII" localSheetId="2">#REF!</definedName>
    <definedName name="XII">#REF!</definedName>
    <definedName name="XIII" localSheetId="3">#REF!</definedName>
    <definedName name="XIII" localSheetId="2">#REF!</definedName>
    <definedName name="XIII">#REF!</definedName>
    <definedName name="XITEM" localSheetId="2">#REF!</definedName>
    <definedName name="XITEM">#REF!</definedName>
    <definedName name="XIV" localSheetId="2">#REF!</definedName>
    <definedName name="XIV">#REF!</definedName>
    <definedName name="XLOC" localSheetId="2">#REF!</definedName>
    <definedName name="XLOC">#REF!</definedName>
    <definedName name="xmght" localSheetId="3" hidden="1">{#N/A,#N/A,FALSE,"Plan1";#N/A,#N/A,FALSE,"Plan2"}</definedName>
    <definedName name="xmght" localSheetId="8" hidden="1">{#N/A,#N/A,FALSE,"Plan1";#N/A,#N/A,FALSE,"Plan2"}</definedName>
    <definedName name="xmght" localSheetId="2" hidden="1">{#N/A,#N/A,FALSE,"Plan1";#N/A,#N/A,FALSE,"Plan2"}</definedName>
    <definedName name="xmght" localSheetId="9" hidden="1">{#N/A,#N/A,FALSE,"Plan1";#N/A,#N/A,FALSE,"Plan2"}</definedName>
    <definedName name="xmght" localSheetId="13" hidden="1">{#N/A,#N/A,FALSE,"Plan1";#N/A,#N/A,FALSE,"Plan2"}</definedName>
    <definedName name="xmght" localSheetId="0" hidden="1">{#N/A,#N/A,FALSE,"Plan1";#N/A,#N/A,FALSE,"Plan2"}</definedName>
    <definedName name="xmght" hidden="1">{#N/A,#N/A,FALSE,"Plan1";#N/A,#N/A,FALSE,"Plan2"}</definedName>
    <definedName name="xnInforme_quantos_bebedouros____bebqt__if_bebqt__0__xlQt.bebedouros_invalida___ENTER_p_reinformar__xresp__branch_rqtderv" localSheetId="3">#REF!</definedName>
    <definedName name="xnInforme_quantos_bebedouros____bebqt__if_bebqt__0__xlQt.bebedouros_invalida___ENTER_p_reinformar__xresp__branch_rqtderv" localSheetId="2">#REF!</definedName>
    <definedName name="xnInforme_quantos_bebedouros____bebqt__if_bebqt__0__xlQt.bebedouros_invalida___ENTER_p_reinformar__xresp__branch_rqtderv">#REF!</definedName>
    <definedName name="XNUCOPIAS" localSheetId="3">#REF!</definedName>
    <definedName name="XNUCOPIAS" localSheetId="2">#REF!</definedName>
    <definedName name="XNUCOPIAS">#REF!</definedName>
    <definedName name="xo" localSheetId="3"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2"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0"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REF_COLUMN_1" localSheetId="3" hidden="1">#REF!</definedName>
    <definedName name="XREF_COLUMN_1" localSheetId="8" hidden="1">#REF!</definedName>
    <definedName name="XREF_COLUMN_1" localSheetId="2" hidden="1">#REF!</definedName>
    <definedName name="XREF_COLUMN_1" localSheetId="9" hidden="1">#REF!</definedName>
    <definedName name="XREF_COLUMN_1" localSheetId="13" hidden="1">#REF!</definedName>
    <definedName name="XREF_COLUMN_1" localSheetId="0" hidden="1">#REF!</definedName>
    <definedName name="XREF_COLUMN_1" hidden="1">#REF!</definedName>
    <definedName name="XREF_COLUMN_2" localSheetId="2" hidden="1">#REF!</definedName>
    <definedName name="XREF_COLUMN_2" localSheetId="0" hidden="1">#REF!</definedName>
    <definedName name="XREF_COLUMN_2" hidden="1">#REF!</definedName>
    <definedName name="XREF_COLUMN_3" hidden="1">#REF!</definedName>
    <definedName name="XREF_COLUMN_4" hidden="1">#REF!</definedName>
    <definedName name="XRefColumnsCount" hidden="1">1</definedName>
    <definedName name="XRefCopy2" hidden="1">#REF!</definedName>
    <definedName name="XRefCopy3Row" localSheetId="2" hidden="1">#REF!</definedName>
    <definedName name="XRefCopy3Row" localSheetId="0" hidden="1">#REF!</definedName>
    <definedName name="XRefCopy3Row" hidden="1">#REF!</definedName>
    <definedName name="XRefCopy4Row" hidden="1">#REF!</definedName>
    <definedName name="XRefCopy6" hidden="1">#REF!</definedName>
    <definedName name="XRefCopyRangeCount" hidden="1">1</definedName>
    <definedName name="XRefPaste2" hidden="1">#REF!</definedName>
    <definedName name="XRefPaste4" localSheetId="8" hidden="1">#REF!</definedName>
    <definedName name="XRefPaste4" localSheetId="2" hidden="1">#REF!</definedName>
    <definedName name="XRefPaste4" localSheetId="9" hidden="1">#REF!</definedName>
    <definedName name="XRefPaste4" localSheetId="13" hidden="1">#REF!</definedName>
    <definedName name="XRefPaste4" hidden="1">#REF!</definedName>
    <definedName name="XRefPaste5" hidden="1">#REF!</definedName>
    <definedName name="XRefPaste6" hidden="1">#REF!</definedName>
    <definedName name="XRefPaste7Row" hidden="1">#REF!</definedName>
    <definedName name="XRefPasteRangeCount" hidden="1">1</definedName>
    <definedName name="XRESP" localSheetId="3">#REF!</definedName>
    <definedName name="XRESP" localSheetId="2">#REF!</definedName>
    <definedName name="XRESP">#REF!</definedName>
    <definedName name="XTITRES" localSheetId="3">#REF!</definedName>
    <definedName name="XTITRES" localSheetId="2">#REF!</definedName>
    <definedName name="XTITRES">#REF!</definedName>
    <definedName name="XV" localSheetId="3">#REF!</definedName>
    <definedName name="XV" localSheetId="2">#REF!</definedName>
    <definedName name="XV">#REF!</definedName>
    <definedName name="XX" localSheetId="2">#REF!</definedName>
    <definedName name="xx" localSheetId="0" hidden="1">#REF!</definedName>
    <definedName name="xx" hidden="1">#REF!</definedName>
    <definedName name="XXI" localSheetId="2">#REF!</definedName>
    <definedName name="XXI">#REF!</definedName>
    <definedName name="XXII" localSheetId="2">#REF!</definedName>
    <definedName name="XXII">#REF!</definedName>
    <definedName name="XXIII" localSheetId="2">#REF!</definedName>
    <definedName name="XXIII">#REF!</definedName>
    <definedName name="XXIV" localSheetId="2">#REF!</definedName>
    <definedName name="XXIV">#REF!</definedName>
    <definedName name="XXV" localSheetId="2">#REF!</definedName>
    <definedName name="XXV">#REF!</definedName>
    <definedName name="xxx" localSheetId="3" hidden="1">{#N/A,#N/A,FALSE,"GERAL";#N/A,#N/A,FALSE,"012-96";#N/A,#N/A,FALSE,"018-96";#N/A,#N/A,FALSE,"027-96";#N/A,#N/A,FALSE,"059-96";#N/A,#N/A,FALSE,"076-96";#N/A,#N/A,FALSE,"019-97";#N/A,#N/A,FALSE,"021-97";#N/A,#N/A,FALSE,"022-97";#N/A,#N/A,FALSE,"028-97"}</definedName>
    <definedName name="xxx" localSheetId="8" hidden="1">{#N/A,#N/A,FALSE,"GERAL";#N/A,#N/A,FALSE,"012-96";#N/A,#N/A,FALSE,"018-96";#N/A,#N/A,FALSE,"027-96";#N/A,#N/A,FALSE,"059-96";#N/A,#N/A,FALSE,"076-96";#N/A,#N/A,FALSE,"019-97";#N/A,#N/A,FALSE,"021-97";#N/A,#N/A,FALSE,"022-97";#N/A,#N/A,FALSE,"028-97"}</definedName>
    <definedName name="XXX" localSheetId="2">#REF!</definedName>
    <definedName name="xxx" localSheetId="9" hidden="1">{#N/A,#N/A,FALSE,"GERAL";#N/A,#N/A,FALSE,"012-96";#N/A,#N/A,FALSE,"018-96";#N/A,#N/A,FALSE,"027-96";#N/A,#N/A,FALSE,"059-96";#N/A,#N/A,FALSE,"076-96";#N/A,#N/A,FALSE,"019-97";#N/A,#N/A,FALSE,"021-97";#N/A,#N/A,FALSE,"022-97";#N/A,#N/A,FALSE,"028-97"}</definedName>
    <definedName name="xxx" localSheetId="13" hidden="1">{#N/A,#N/A,FALSE,"GERAL";#N/A,#N/A,FALSE,"012-96";#N/A,#N/A,FALSE,"018-96";#N/A,#N/A,FALSE,"027-96";#N/A,#N/A,FALSE,"059-96";#N/A,#N/A,FALSE,"076-96";#N/A,#N/A,FALSE,"019-97";#N/A,#N/A,FALSE,"021-97";#N/A,#N/A,FALSE,"022-97";#N/A,#N/A,FALSE,"028-97"}</definedName>
    <definedName name="xxx" localSheetId="0" hidden="1">{#N/A,#N/A,FALSE,"GERAL";#N/A,#N/A,FALSE,"012-96";#N/A,#N/A,FALSE,"018-96";#N/A,#N/A,FALSE,"027-96";#N/A,#N/A,FALSE,"059-96";#N/A,#N/A,FALSE,"076-96";#N/A,#N/A,FALSE,"019-97";#N/A,#N/A,FALSE,"021-97";#N/A,#N/A,FALSE,"022-97";#N/A,#N/A,FALSE,"028-97"}</definedName>
    <definedName name="xxx" hidden="1">{#N/A,#N/A,FALSE,"GERAL";#N/A,#N/A,FALSE,"012-96";#N/A,#N/A,FALSE,"018-96";#N/A,#N/A,FALSE,"027-96";#N/A,#N/A,FALSE,"059-96";#N/A,#N/A,FALSE,"076-96";#N/A,#N/A,FALSE,"019-97";#N/A,#N/A,FALSE,"021-97";#N/A,#N/A,FALSE,"022-97";#N/A,#N/A,FALSE,"028-97"}</definedName>
    <definedName name="XXXI" localSheetId="3">#REF!</definedName>
    <definedName name="XXXI" localSheetId="2">#REF!</definedName>
    <definedName name="XXXI">#REF!</definedName>
    <definedName name="XXXII" localSheetId="3">#REF!</definedName>
    <definedName name="XXXII" localSheetId="2">#REF!</definedName>
    <definedName name="XXXII">#REF!</definedName>
    <definedName name="XXXIII" localSheetId="3">#REF!</definedName>
    <definedName name="XXXIII" localSheetId="2">#REF!</definedName>
    <definedName name="XXXIII">#REF!</definedName>
    <definedName name="XXXIV" localSheetId="2">#REF!</definedName>
    <definedName name="XXXIV">#REF!</definedName>
    <definedName name="XXXIX" localSheetId="2">#REF!</definedName>
    <definedName name="XXXIX">#REF!</definedName>
    <definedName name="XXXV" localSheetId="2">#REF!</definedName>
    <definedName name="XXXV">#REF!</definedName>
    <definedName name="XXXVI" localSheetId="2">#REF!</definedName>
    <definedName name="XXXVI">#REF!</definedName>
    <definedName name="XXXVII" localSheetId="2">#REF!</definedName>
    <definedName name="XXXVII">#REF!</definedName>
    <definedName name="XXXVIII" localSheetId="2">#REF!</definedName>
    <definedName name="XXXVIII">#REF!</definedName>
    <definedName name="xxxx"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4">#REF!</definedName>
    <definedName name="xxxx"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xxxx" localSheetId="13">#REF!</definedName>
    <definedName name="xxxx"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xxxx">#REF!</definedName>
    <definedName name="XXXXX" localSheetId="3" hidden="1">{#N/A,#N/A,FALSE,"GERAL";#N/A,#N/A,FALSE,"012-96";#N/A,#N/A,FALSE,"018-96";#N/A,#N/A,FALSE,"027-96";#N/A,#N/A,FALSE,"059-96";#N/A,#N/A,FALSE,"076-96";#N/A,#N/A,FALSE,"019-97";#N/A,#N/A,FALSE,"021-97";#N/A,#N/A,FALSE,"022-97";#N/A,#N/A,FALSE,"028-97"}</definedName>
    <definedName name="XXXXX" localSheetId="8" hidden="1">{#N/A,#N/A,FALSE,"GERAL";#N/A,#N/A,FALSE,"012-96";#N/A,#N/A,FALSE,"018-96";#N/A,#N/A,FALSE,"027-96";#N/A,#N/A,FALSE,"059-96";#N/A,#N/A,FALSE,"076-96";#N/A,#N/A,FALSE,"019-97";#N/A,#N/A,FALSE,"021-97";#N/A,#N/A,FALSE,"022-97";#N/A,#N/A,FALSE,"028-97"}</definedName>
    <definedName name="XXXXX" localSheetId="2" hidden="1">{#N/A,#N/A,FALSE,"GERAL";#N/A,#N/A,FALSE,"012-96";#N/A,#N/A,FALSE,"018-96";#N/A,#N/A,FALSE,"027-96";#N/A,#N/A,FALSE,"059-96";#N/A,#N/A,FALSE,"076-96";#N/A,#N/A,FALSE,"019-97";#N/A,#N/A,FALSE,"021-97";#N/A,#N/A,FALSE,"022-97";#N/A,#N/A,FALSE,"028-97"}</definedName>
    <definedName name="XXXXX" localSheetId="9" hidden="1">{#N/A,#N/A,FALSE,"GERAL";#N/A,#N/A,FALSE,"012-96";#N/A,#N/A,FALSE,"018-96";#N/A,#N/A,FALSE,"027-96";#N/A,#N/A,FALSE,"059-96";#N/A,#N/A,FALSE,"076-96";#N/A,#N/A,FALSE,"019-97";#N/A,#N/A,FALSE,"021-97";#N/A,#N/A,FALSE,"022-97";#N/A,#N/A,FALSE,"028-97"}</definedName>
    <definedName name="XXXXX" localSheetId="13" hidden="1">{#N/A,#N/A,FALSE,"GERAL";#N/A,#N/A,FALSE,"012-96";#N/A,#N/A,FALSE,"018-96";#N/A,#N/A,FALSE,"027-96";#N/A,#N/A,FALSE,"059-96";#N/A,#N/A,FALSE,"076-96";#N/A,#N/A,FALSE,"019-97";#N/A,#N/A,FALSE,"021-97";#N/A,#N/A,FALSE,"022-97";#N/A,#N/A,FALSE,"028-97"}</definedName>
    <definedName name="XXXXX" localSheetId="0" hidden="1">{#N/A,#N/A,FALSE,"GERAL";#N/A,#N/A,FALSE,"012-96";#N/A,#N/A,FALSE,"018-96";#N/A,#N/A,FALSE,"027-96";#N/A,#N/A,FALSE,"059-96";#N/A,#N/A,FALSE,"076-96";#N/A,#N/A,FALSE,"019-97";#N/A,#N/A,FALSE,"021-97";#N/A,#N/A,FALSE,"022-97";#N/A,#N/A,FALSE,"028-97"}</definedName>
    <definedName name="XXXXX" hidden="1">{#N/A,#N/A,FALSE,"GERAL";#N/A,#N/A,FALSE,"012-96";#N/A,#N/A,FALSE,"018-96";#N/A,#N/A,FALSE,"027-96";#N/A,#N/A,FALSE,"059-96";#N/A,#N/A,FALSE,"076-96";#N/A,#N/A,FALSE,"019-97";#N/A,#N/A,FALSE,"021-97";#N/A,#N/A,FALSE,"022-97";#N/A,#N/A,FALSE,"028-97"}</definedName>
    <definedName name="xxxxxxxxxxxx" localSheetId="3" hidden="1">{"'Edit'!$A$1:$V$2277"}</definedName>
    <definedName name="xxxxxxxxxxxx" localSheetId="8" hidden="1">{"'Edit'!$A$1:$V$2277"}</definedName>
    <definedName name="xxxxxxxxxxxx" localSheetId="2">#REF!</definedName>
    <definedName name="xxxxxxxxxxxx" localSheetId="9" hidden="1">{"'Edit'!$A$1:$V$2277"}</definedName>
    <definedName name="xxxxxxxxxxxx" localSheetId="13" hidden="1">{"'Edit'!$A$1:$V$2277"}</definedName>
    <definedName name="xxxxxxxxxxxx" localSheetId="0" hidden="1">{"'Edit'!$A$1:$V$2277"}</definedName>
    <definedName name="xxxxxxxxxxxx" hidden="1">{"'Edit'!$A$1:$V$2277"}</definedName>
    <definedName name="xxxxxxxxxxxxxx" localSheetId="3" hidden="1">{#N/A,#N/A,FALSE,"Plan1";#N/A,#N/A,FALSE,"Plan2"}</definedName>
    <definedName name="xxxxxxxxxxxxxx" localSheetId="8" hidden="1">{#N/A,#N/A,FALSE,"Plan1";#N/A,#N/A,FALSE,"Plan2"}</definedName>
    <definedName name="xxxxxxxxxxxxxx" localSheetId="2" hidden="1">{#N/A,#N/A,FALSE,"Plan1";#N/A,#N/A,FALSE,"Plan2"}</definedName>
    <definedName name="xxxxxxxxxxxxxx" localSheetId="9" hidden="1">{#N/A,#N/A,FALSE,"Plan1";#N/A,#N/A,FALSE,"Plan2"}</definedName>
    <definedName name="xxxxxxxxxxxxxx" localSheetId="13" hidden="1">{#N/A,#N/A,FALSE,"Plan1";#N/A,#N/A,FALSE,"Plan2"}</definedName>
    <definedName name="xxxxxxxxxxxxxx" localSheetId="0" hidden="1">{#N/A,#N/A,FALSE,"Plan1";#N/A,#N/A,FALSE,"Plan2"}</definedName>
    <definedName name="xxxxxxxxxxxxxx" hidden="1">{#N/A,#N/A,FALSE,"Plan1";#N/A,#N/A,FALSE,"Plan2"}</definedName>
    <definedName name="xzfrt" localSheetId="3" hidden="1">{#N/A,#N/A,FALSE,"Plan1";#N/A,#N/A,FALSE,"Plan2"}</definedName>
    <definedName name="xzfrt" localSheetId="8" hidden="1">{#N/A,#N/A,FALSE,"Plan1";#N/A,#N/A,FALSE,"Plan2"}</definedName>
    <definedName name="xzfrt" localSheetId="2" hidden="1">{#N/A,#N/A,FALSE,"Plan1";#N/A,#N/A,FALSE,"Plan2"}</definedName>
    <definedName name="xzfrt" localSheetId="9" hidden="1">{#N/A,#N/A,FALSE,"Plan1";#N/A,#N/A,FALSE,"Plan2"}</definedName>
    <definedName name="xzfrt" localSheetId="13" hidden="1">{#N/A,#N/A,FALSE,"Plan1";#N/A,#N/A,FALSE,"Plan2"}</definedName>
    <definedName name="xzfrt" localSheetId="0" hidden="1">{#N/A,#N/A,FALSE,"Plan1";#N/A,#N/A,FALSE,"Plan2"}</definedName>
    <definedName name="xzfrt" hidden="1">{#N/A,#N/A,FALSE,"Plan1";#N/A,#N/A,FALSE,"Plan2"}</definedName>
    <definedName name="yeitrtged" localSheetId="3" hidden="1">{#N/A,#N/A,FALSE,"Plan1";#N/A,#N/A,FALSE,"Plan2"}</definedName>
    <definedName name="yeitrtged" localSheetId="8" hidden="1">{#N/A,#N/A,FALSE,"Plan1";#N/A,#N/A,FALSE,"Plan2"}</definedName>
    <definedName name="yeitrtged" localSheetId="2" hidden="1">{#N/A,#N/A,FALSE,"Plan1";#N/A,#N/A,FALSE,"Plan2"}</definedName>
    <definedName name="yeitrtged" localSheetId="9" hidden="1">{#N/A,#N/A,FALSE,"Plan1";#N/A,#N/A,FALSE,"Plan2"}</definedName>
    <definedName name="yeitrtged" localSheetId="13" hidden="1">{#N/A,#N/A,FALSE,"Plan1";#N/A,#N/A,FALSE,"Plan2"}</definedName>
    <definedName name="yeitrtged" localSheetId="0" hidden="1">{#N/A,#N/A,FALSE,"Plan1";#N/A,#N/A,FALSE,"Plan2"}</definedName>
    <definedName name="yeitrtged" hidden="1">{#N/A,#N/A,FALSE,"Plan1";#N/A,#N/A,FALSE,"Plan2"}</definedName>
    <definedName name="yhdfiuygrui" localSheetId="3" hidden="1">{#N/A,#N/A,FALSE,"Plan1";#N/A,#N/A,FALSE,"Plan2"}</definedName>
    <definedName name="yhdfiuygrui" localSheetId="8" hidden="1">{#N/A,#N/A,FALSE,"Plan1";#N/A,#N/A,FALSE,"Plan2"}</definedName>
    <definedName name="yhdfiuygrui" localSheetId="2" hidden="1">{#N/A,#N/A,FALSE,"Plan1";#N/A,#N/A,FALSE,"Plan2"}</definedName>
    <definedName name="yhdfiuygrui" localSheetId="9" hidden="1">{#N/A,#N/A,FALSE,"Plan1";#N/A,#N/A,FALSE,"Plan2"}</definedName>
    <definedName name="yhdfiuygrui" localSheetId="13" hidden="1">{#N/A,#N/A,FALSE,"Plan1";#N/A,#N/A,FALSE,"Plan2"}</definedName>
    <definedName name="yhdfiuygrui" localSheetId="0" hidden="1">{#N/A,#N/A,FALSE,"Plan1";#N/A,#N/A,FALSE,"Plan2"}</definedName>
    <definedName name="yhdfiuygrui" hidden="1">{#N/A,#N/A,FALSE,"Plan1";#N/A,#N/A,FALSE,"Plan2"}</definedName>
    <definedName name="YRGUYDRIY" localSheetId="3" hidden="1">{"Econ Consolidado",#N/A,FALSE,"Econ Consol";"Fluxo de Caixa",#N/A,FALSE,"Fluxo Caixa";"Investimentos",#N/A,FALSE,"Investimentos"}</definedName>
    <definedName name="YRGUYDRIY" localSheetId="8" hidden="1">{"Econ Consolidado",#N/A,FALSE,"Econ Consol";"Fluxo de Caixa",#N/A,FALSE,"Fluxo Caixa";"Investimentos",#N/A,FALSE,"Investimentos"}</definedName>
    <definedName name="YRGUYDRIY" localSheetId="2" hidden="1">{"Econ Consolidado",#N/A,FALSE,"Econ Consol";"Fluxo de Caixa",#N/A,FALSE,"Fluxo Caixa";"Investimentos",#N/A,FALSE,"Investimentos"}</definedName>
    <definedName name="YRGUYDRIY" localSheetId="9" hidden="1">{"Econ Consolidado",#N/A,FALSE,"Econ Consol";"Fluxo de Caixa",#N/A,FALSE,"Fluxo Caixa";"Investimentos",#N/A,FALSE,"Investimentos"}</definedName>
    <definedName name="YRGUYDRIY" localSheetId="13" hidden="1">{"Econ Consolidado",#N/A,FALSE,"Econ Consol";"Fluxo de Caixa",#N/A,FALSE,"Fluxo Caixa";"Investimentos",#N/A,FALSE,"Investimentos"}</definedName>
    <definedName name="YRGUYDRIY" localSheetId="0" hidden="1">{"Econ Consolidado",#N/A,FALSE,"Econ Consol";"Fluxo de Caixa",#N/A,FALSE,"Fluxo Caixa";"Investimentos",#N/A,FALSE,"Investimentos"}</definedName>
    <definedName name="YRGUYDRIY" hidden="1">{"Econ Consolidado",#N/A,FALSE,"Econ Consol";"Fluxo de Caixa",#N/A,FALSE,"Fluxo Caixa";"Investimentos",#N/A,FALSE,"Investimentos"}</definedName>
    <definedName name="ytdju" localSheetId="3">#REF!</definedName>
    <definedName name="ytdju" localSheetId="2">#REF!</definedName>
    <definedName name="ytdju">#REF!</definedName>
    <definedName name="yuegursdmksf" localSheetId="3" hidden="1">{#N/A,#N/A,FALSE,"Plan1";#N/A,#N/A,FALSE,"Plan2"}</definedName>
    <definedName name="yuegursdmksf" localSheetId="8" hidden="1">{#N/A,#N/A,FALSE,"Plan1";#N/A,#N/A,FALSE,"Plan2"}</definedName>
    <definedName name="yuegursdmksf" localSheetId="2" hidden="1">{#N/A,#N/A,FALSE,"Plan1";#N/A,#N/A,FALSE,"Plan2"}</definedName>
    <definedName name="yuegursdmksf" localSheetId="9" hidden="1">{#N/A,#N/A,FALSE,"Plan1";#N/A,#N/A,FALSE,"Plan2"}</definedName>
    <definedName name="yuegursdmksf" localSheetId="13" hidden="1">{#N/A,#N/A,FALSE,"Plan1";#N/A,#N/A,FALSE,"Plan2"}</definedName>
    <definedName name="yuegursdmksf" localSheetId="0" hidden="1">{#N/A,#N/A,FALSE,"Plan1";#N/A,#N/A,FALSE,"Plan2"}</definedName>
    <definedName name="yuegursdmksf" hidden="1">{#N/A,#N/A,FALSE,"Plan1";#N/A,#N/A,FALSE,"Plan2"}</definedName>
    <definedName name="yuekl4fr" localSheetId="3" hidden="1">{#N/A,#N/A,FALSE,"Plan1";#N/A,#N/A,FALSE,"Plan2"}</definedName>
    <definedName name="yuekl4fr" localSheetId="8" hidden="1">{#N/A,#N/A,FALSE,"Plan1";#N/A,#N/A,FALSE,"Plan2"}</definedName>
    <definedName name="yuekl4fr" localSheetId="2" hidden="1">{#N/A,#N/A,FALSE,"Plan1";#N/A,#N/A,FALSE,"Plan2"}</definedName>
    <definedName name="yuekl4fr" localSheetId="9" hidden="1">{#N/A,#N/A,FALSE,"Plan1";#N/A,#N/A,FALSE,"Plan2"}</definedName>
    <definedName name="yuekl4fr" localSheetId="13" hidden="1">{#N/A,#N/A,FALSE,"Plan1";#N/A,#N/A,FALSE,"Plan2"}</definedName>
    <definedName name="yuekl4fr" localSheetId="0" hidden="1">{#N/A,#N/A,FALSE,"Plan1";#N/A,#N/A,FALSE,"Plan2"}</definedName>
    <definedName name="yuekl4fr" hidden="1">{#N/A,#N/A,FALSE,"Plan1";#N/A,#N/A,FALSE,"Plan2"}</definedName>
    <definedName name="yureytuyrea" localSheetId="3" hidden="1">{#N/A,#N/A,FALSE,"Plan1";#N/A,#N/A,FALSE,"Plan2"}</definedName>
    <definedName name="yureytuyrea" localSheetId="8" hidden="1">{#N/A,#N/A,FALSE,"Plan1";#N/A,#N/A,FALSE,"Plan2"}</definedName>
    <definedName name="yureytuyrea" localSheetId="2" hidden="1">{#N/A,#N/A,FALSE,"Plan1";#N/A,#N/A,FALSE,"Plan2"}</definedName>
    <definedName name="yureytuyrea" localSheetId="9" hidden="1">{#N/A,#N/A,FALSE,"Plan1";#N/A,#N/A,FALSE,"Plan2"}</definedName>
    <definedName name="yureytuyrea" localSheetId="13" hidden="1">{#N/A,#N/A,FALSE,"Plan1";#N/A,#N/A,FALSE,"Plan2"}</definedName>
    <definedName name="yureytuyrea" localSheetId="0" hidden="1">{#N/A,#N/A,FALSE,"Plan1";#N/A,#N/A,FALSE,"Plan2"}</definedName>
    <definedName name="yureytuyrea" hidden="1">{#N/A,#N/A,FALSE,"Plan1";#N/A,#N/A,FALSE,"Plan2"}</definedName>
    <definedName name="z" localSheetId="3" hidden="1">{"'Estimativa de Lançamento-JAN'!$A$1:$AI$85"}</definedName>
    <definedName name="z" localSheetId="8" hidden="1">{"'Estimativa de Lançamento-JAN'!$A$1:$AI$85"}</definedName>
    <definedName name="z" localSheetId="2" hidden="1">{"'Estimativa de Lançamento-JAN'!$A$1:$AI$85"}</definedName>
    <definedName name="z" localSheetId="9" hidden="1">{"'Estimativa de Lançamento-JAN'!$A$1:$AI$85"}</definedName>
    <definedName name="z" localSheetId="13" hidden="1">{"'Estimativa de Lançamento-JAN'!$A$1:$AI$85"}</definedName>
    <definedName name="z" localSheetId="0" hidden="1">{"'Estimativa de Lançamento-JAN'!$A$1:$AI$85"}</definedName>
    <definedName name="z" hidden="1">{"'Estimativa de Lançamento-JAN'!$A$1:$AI$85"}</definedName>
    <definedName name="z\djs"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djs"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localSheetId="3" hidden="1">#REF!</definedName>
    <definedName name="Z_022B7420_7F94_427F_B370_84030F9B3342_.wvu.FilterData" localSheetId="8" hidden="1">#REF!</definedName>
    <definedName name="Z_022B7420_7F94_427F_B370_84030F9B3342_.wvu.FilterData" localSheetId="2" hidden="1">#REF!</definedName>
    <definedName name="Z_022B7420_7F94_427F_B370_84030F9B3342_.wvu.FilterData" localSheetId="9" hidden="1">#REF!</definedName>
    <definedName name="Z_022B7420_7F94_427F_B370_84030F9B3342_.wvu.FilterData" localSheetId="13" hidden="1">#REF!</definedName>
    <definedName name="Z_022B7420_7F94_427F_B370_84030F9B3342_.wvu.FilterData" localSheetId="0" hidden="1">#REF!</definedName>
    <definedName name="Z_022B7420_7F94_427F_B370_84030F9B3342_.wvu.FilterData" hidden="1">#REF!</definedName>
    <definedName name="Z_04BC043C_175B_412D_8093_6F29CD74FBAE_.wvu.FilterData" localSheetId="0" hidden="1">#REF!</definedName>
    <definedName name="Z_04BC043C_175B_412D_8093_6F29CD74FBAE_.wvu.FilterData" hidden="1">#REF!</definedName>
    <definedName name="Z_058B9256_CB4D_4C39_834D_D693FEEB491F_.wvu.FilterData" localSheetId="0"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 hidden="1">#REF!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localSheetId="2" hidden="1">#REF!</definedName>
    <definedName name="Z_14D375AC_5615_46DE_8EE3_95915B2A8B54_.wvu.FilterData" localSheetId="0" hidden="1">#REF!</definedName>
    <definedName name="Z_14D375AC_5615_46DE_8EE3_95915B2A8B54_.wvu.FilterData" hidden="1">#REF!</definedName>
    <definedName name="Z_15697660_066E_11D5_AF15_00010242ED40_.wvu.PrintArea" localSheetId="2" hidden="1">#REF!</definedName>
    <definedName name="Z_15697660_066E_11D5_AF15_00010242ED40_.wvu.PrintArea" localSheetId="0" hidden="1">#REF!</definedName>
    <definedName name="Z_15697660_066E_11D5_AF15_00010242ED40_.wvu.PrintArea" hidden="1">#REF!</definedName>
    <definedName name="Z_15697660_066E_11D5_AF15_00010242ED40_.wvu.PrintTitles" hidden="1">#REF!</definedName>
    <definedName name="Z_15697660_066E_11D5_AF15_00010242ED40_.wvu.Rows" hidden="1">#REF!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 hidden="1">#REF!</definedName>
    <definedName name="Z_4CA4BF7C_65C1_4E25_8563_22DF58586D2C_.wvu.PrintTitles" hidden="1">#REF!</definedName>
    <definedName name="Z_4CA4BF7C_65C1_4E25_8563_22DF58586D2C_.wvu.Rows" hidden="1">#REF!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 localSheetId="3" hidden="1">#REF!,#REF!</definedName>
    <definedName name="Z_60DF8B29_1C1F_4B50_BDA8_B8E0C7DD04C3_.wvu.Cols" localSheetId="8" hidden="1">#REF!,#REF!</definedName>
    <definedName name="Z_60DF8B29_1C1F_4B50_BDA8_B8E0C7DD04C3_.wvu.Cols" localSheetId="2" hidden="1">#REF!,#REF!</definedName>
    <definedName name="Z_60DF8B29_1C1F_4B50_BDA8_B8E0C7DD04C3_.wvu.Cols" localSheetId="9" hidden="1">#REF!,#REF!</definedName>
    <definedName name="Z_60DF8B29_1C1F_4B50_BDA8_B8E0C7DD04C3_.wvu.Cols" localSheetId="13" hidden="1">#REF!,#REF!</definedName>
    <definedName name="Z_60DF8B29_1C1F_4B50_BDA8_B8E0C7DD04C3_.wvu.Cols" localSheetId="0" hidden="1">#REF!,#REF!</definedName>
    <definedName name="Z_60DF8B29_1C1F_4B50_BDA8_B8E0C7DD04C3_.wvu.Cols" hidden="1">#REF!,#REF!</definedName>
    <definedName name="Z_60DF8B29_1C1F_4B50_BDA8_B8E0C7DD04C3_.wvu.FilterData" localSheetId="3" hidden="1">#REF!</definedName>
    <definedName name="Z_60DF8B29_1C1F_4B50_BDA8_B8E0C7DD04C3_.wvu.FilterData" localSheetId="8" hidden="1">#REF!</definedName>
    <definedName name="Z_60DF8B29_1C1F_4B50_BDA8_B8E0C7DD04C3_.wvu.FilterData" localSheetId="2" hidden="1">#REF!</definedName>
    <definedName name="Z_60DF8B29_1C1F_4B50_BDA8_B8E0C7DD04C3_.wvu.FilterData" localSheetId="9" hidden="1">#REF!</definedName>
    <definedName name="Z_60DF8B29_1C1F_4B50_BDA8_B8E0C7DD04C3_.wvu.FilterData" localSheetId="13" hidden="1">#REF!</definedName>
    <definedName name="Z_60DF8B29_1C1F_4B50_BDA8_B8E0C7DD04C3_.wvu.FilterData" localSheetId="0" hidden="1">#REF!</definedName>
    <definedName name="Z_60DF8B29_1C1F_4B50_BDA8_B8E0C7DD04C3_.wvu.FilterData" hidden="1">#REF!</definedName>
    <definedName name="Z_615F4A4D_D5AB_4A04_81F5_F436484247A5_.wvu.FilterData" localSheetId="0" hidden="1">#REF!</definedName>
    <definedName name="Z_615F4A4D_D5AB_4A04_81F5_F436484247A5_.wvu.FilterData" hidden="1">#REF!</definedName>
    <definedName name="Z_616443B5_6F0D_4082_9223_F71B54305366_.wvu.FilterData" localSheetId="0"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 hidden="1">#REF!</definedName>
    <definedName name="Z_9066F505_4944_4582_AAF9_B40B49D59413_.wvu.PrintTitles" hidden="1">#REF!</definedName>
    <definedName name="Z_9066F505_4944_4582_AAF9_B40B49D59413_.wvu.Rows" hidden="1">#REF!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 hidden="1">#REF!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 hidden="1">#REF!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 localSheetId="3" hidden="1">#REF!,#REF!</definedName>
    <definedName name="Z_E3FFE9E0_6C4F_4FB4_A56E_FBE96871B5C8_.wvu.Cols" localSheetId="8" hidden="1">#REF!,#REF!</definedName>
    <definedName name="Z_E3FFE9E0_6C4F_4FB4_A56E_FBE96871B5C8_.wvu.Cols" localSheetId="2" hidden="1">#REF!,#REF!</definedName>
    <definedName name="Z_E3FFE9E0_6C4F_4FB4_A56E_FBE96871B5C8_.wvu.Cols" localSheetId="9" hidden="1">#REF!,#REF!</definedName>
    <definedName name="Z_E3FFE9E0_6C4F_4FB4_A56E_FBE96871B5C8_.wvu.Cols" localSheetId="13" hidden="1">#REF!,#REF!</definedName>
    <definedName name="Z_E3FFE9E0_6C4F_4FB4_A56E_FBE96871B5C8_.wvu.Cols" localSheetId="0" hidden="1">#REF!,#REF!</definedName>
    <definedName name="Z_E3FFE9E0_6C4F_4FB4_A56E_FBE96871B5C8_.wvu.Cols" hidden="1">#REF!,#REF!</definedName>
    <definedName name="Z_E3FFE9E0_6C4F_4FB4_A56E_FBE96871B5C8_.wvu.FilterData" localSheetId="3" hidden="1">#REF!</definedName>
    <definedName name="Z_E3FFE9E0_6C4F_4FB4_A56E_FBE96871B5C8_.wvu.FilterData" localSheetId="8" hidden="1">#REF!</definedName>
    <definedName name="Z_E3FFE9E0_6C4F_4FB4_A56E_FBE96871B5C8_.wvu.FilterData" localSheetId="2" hidden="1">#REF!</definedName>
    <definedName name="Z_E3FFE9E0_6C4F_4FB4_A56E_FBE96871B5C8_.wvu.FilterData" localSheetId="9" hidden="1">#REF!</definedName>
    <definedName name="Z_E3FFE9E0_6C4F_4FB4_A56E_FBE96871B5C8_.wvu.FilterData" localSheetId="13" hidden="1">#REF!</definedName>
    <definedName name="Z_E3FFE9E0_6C4F_4FB4_A56E_FBE96871B5C8_.wvu.FilterData" localSheetId="0" hidden="1">#REF!</definedName>
    <definedName name="Z_E3FFE9E0_6C4F_4FB4_A56E_FBE96871B5C8_.wvu.FilterData" hidden="1">#REF!</definedName>
    <definedName name="Z_E42D429F_E4E8_41D2_9176_83C726BAF8E3_.wvu.FilterData" localSheetId="0" hidden="1">#REF!</definedName>
    <definedName name="Z_E42D429F_E4E8_41D2_9176_83C726BAF8E3_.wvu.FilterData" hidden="1">#REF!</definedName>
    <definedName name="Z_E491B72F_902A_11D7_9C1E_0004231B06E7_.wvu.FilterData" localSheetId="0"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 hidden="1">#REF!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localSheetId="2" hidden="1">#REF!</definedName>
    <definedName name="Z_F9CB3A99_6D24_412C_93C4_575819594890_.wvu.FilterData" localSheetId="0"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 localSheetId="3" hidden="1">{#N/A,#N/A,FALSE,"Plan1";#N/A,#N/A,FALSE,"Plan2"}</definedName>
    <definedName name="zcdçskld" localSheetId="8" hidden="1">{#N/A,#N/A,FALSE,"Plan1";#N/A,#N/A,FALSE,"Plan2"}</definedName>
    <definedName name="zcdçskld" localSheetId="2" hidden="1">{#N/A,#N/A,FALSE,"Plan1";#N/A,#N/A,FALSE,"Plan2"}</definedName>
    <definedName name="zcdçskld" localSheetId="9" hidden="1">{#N/A,#N/A,FALSE,"Plan1";#N/A,#N/A,FALSE,"Plan2"}</definedName>
    <definedName name="zcdçskld" localSheetId="13" hidden="1">{#N/A,#N/A,FALSE,"Plan1";#N/A,#N/A,FALSE,"Plan2"}</definedName>
    <definedName name="zcdçskld" localSheetId="0" hidden="1">{#N/A,#N/A,FALSE,"Plan1";#N/A,#N/A,FALSE,"Plan2"}</definedName>
    <definedName name="zcdçskld" hidden="1">{#N/A,#N/A,FALSE,"Plan1";#N/A,#N/A,FALSE,"Plan2"}</definedName>
    <definedName name="zcsdrfrt" localSheetId="3" hidden="1">{#N/A,#N/A,FALSE,"Plan1";#N/A,#N/A,FALSE,"Plan2"}</definedName>
    <definedName name="zcsdrfrt" localSheetId="8" hidden="1">{#N/A,#N/A,FALSE,"Plan1";#N/A,#N/A,FALSE,"Plan2"}</definedName>
    <definedName name="zcsdrfrt" localSheetId="2" hidden="1">{#N/A,#N/A,FALSE,"Plan1";#N/A,#N/A,FALSE,"Plan2"}</definedName>
    <definedName name="zcsdrfrt" localSheetId="9" hidden="1">{#N/A,#N/A,FALSE,"Plan1";#N/A,#N/A,FALSE,"Plan2"}</definedName>
    <definedName name="zcsdrfrt" localSheetId="13" hidden="1">{#N/A,#N/A,FALSE,"Plan1";#N/A,#N/A,FALSE,"Plan2"}</definedName>
    <definedName name="zcsdrfrt" localSheetId="0" hidden="1">{#N/A,#N/A,FALSE,"Plan1";#N/A,#N/A,FALSE,"Plan2"}</definedName>
    <definedName name="zcsdrfrt" hidden="1">{#N/A,#N/A,FALSE,"Plan1";#N/A,#N/A,FALSE,"Plan2"}</definedName>
    <definedName name="ZDRE" localSheetId="3" hidden="1">{#N/A,#N/A,FALSE,"Plan1";#N/A,#N/A,FALSE,"Plan2"}</definedName>
    <definedName name="ZDRE" localSheetId="8" hidden="1">{#N/A,#N/A,FALSE,"Plan1";#N/A,#N/A,FALSE,"Plan2"}</definedName>
    <definedName name="ZDRE" localSheetId="2" hidden="1">{#N/A,#N/A,FALSE,"Plan1";#N/A,#N/A,FALSE,"Plan2"}</definedName>
    <definedName name="ZDRE" localSheetId="9" hidden="1">{#N/A,#N/A,FALSE,"Plan1";#N/A,#N/A,FALSE,"Plan2"}</definedName>
    <definedName name="ZDRE" localSheetId="13" hidden="1">{#N/A,#N/A,FALSE,"Plan1";#N/A,#N/A,FALSE,"Plan2"}</definedName>
    <definedName name="ZDRE" localSheetId="0" hidden="1">{#N/A,#N/A,FALSE,"Plan1";#N/A,#N/A,FALSE,"Plan2"}</definedName>
    <definedName name="ZDRE" hidden="1">{#N/A,#N/A,FALSE,"Plan1";#N/A,#N/A,FALSE,"Plan2"}</definedName>
    <definedName name="ZEZE" localSheetId="3">#REF!</definedName>
    <definedName name="ZEZE" localSheetId="2">#REF!</definedName>
    <definedName name="ZEZE">#REF!</definedName>
    <definedName name="ZIN" localSheetId="3">#REF!</definedName>
    <definedName name="ZIN" localSheetId="2">#REF!</definedName>
    <definedName name="ZIN">#REF!</definedName>
    <definedName name="ZINS" localSheetId="3">#REF!</definedName>
    <definedName name="ZINS" localSheetId="2">#REF!</definedName>
    <definedName name="ZINS">#REF!</definedName>
    <definedName name="ZSADF" localSheetId="3" hidden="1">{#N/A,#N/A,FALSE,"Plan1";#N/A,#N/A,FALSE,"Plan2"}</definedName>
    <definedName name="ZSADF" localSheetId="8" hidden="1">{#N/A,#N/A,FALSE,"Plan1";#N/A,#N/A,FALSE,"Plan2"}</definedName>
    <definedName name="ZSADF" localSheetId="2" hidden="1">{#N/A,#N/A,FALSE,"Plan1";#N/A,#N/A,FALSE,"Plan2"}</definedName>
    <definedName name="ZSADF" localSheetId="9" hidden="1">{#N/A,#N/A,FALSE,"Plan1";#N/A,#N/A,FALSE,"Plan2"}</definedName>
    <definedName name="ZSADF" localSheetId="13" hidden="1">{#N/A,#N/A,FALSE,"Plan1";#N/A,#N/A,FALSE,"Plan2"}</definedName>
    <definedName name="ZSADF" localSheetId="0" hidden="1">{#N/A,#N/A,FALSE,"Plan1";#N/A,#N/A,FALSE,"Plan2"}</definedName>
    <definedName name="ZSADF" hidden="1">{#N/A,#N/A,FALSE,"Plan1";#N/A,#N/A,FALSE,"Plan2"}</definedName>
    <definedName name="zsads" localSheetId="3" hidden="1">{#N/A,#N/A,FALSE,"Plan1";#N/A,#N/A,FALSE,"Plan2"}</definedName>
    <definedName name="zsads" localSheetId="8" hidden="1">{#N/A,#N/A,FALSE,"Plan1";#N/A,#N/A,FALSE,"Plan2"}</definedName>
    <definedName name="zsads" localSheetId="2" hidden="1">{#N/A,#N/A,FALSE,"Plan1";#N/A,#N/A,FALSE,"Plan2"}</definedName>
    <definedName name="zsads" localSheetId="9" hidden="1">{#N/A,#N/A,FALSE,"Plan1";#N/A,#N/A,FALSE,"Plan2"}</definedName>
    <definedName name="zsads" localSheetId="13" hidden="1">{#N/A,#N/A,FALSE,"Plan1";#N/A,#N/A,FALSE,"Plan2"}</definedName>
    <definedName name="zsads" localSheetId="0" hidden="1">{#N/A,#N/A,FALSE,"Plan1";#N/A,#N/A,FALSE,"Plan2"}</definedName>
    <definedName name="zsads" hidden="1">{#N/A,#N/A,FALSE,"Plan1";#N/A,#N/A,FALSE,"Plan2"}</definedName>
    <definedName name="ZSDFSETR" localSheetId="3" hidden="1">#REF!</definedName>
    <definedName name="ZSDFSETR" localSheetId="8" hidden="1">#REF!</definedName>
    <definedName name="ZSDFSETR" localSheetId="2" hidden="1">#REF!</definedName>
    <definedName name="ZSDFSETR" localSheetId="9" hidden="1">#REF!</definedName>
    <definedName name="ZSDFSETR" localSheetId="13" hidden="1">#REF!</definedName>
    <definedName name="ZSDFSETR" localSheetId="0" hidden="1">#REF!</definedName>
    <definedName name="ZSDFSETR" hidden="1">#REF!</definedName>
    <definedName name="zsds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sf"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sdwer" hidden="1">{TRUE,TRUE,-1.25,-15.5,604.5,366.75,FALSE,FALSE,TRUE,TRUE,0,1,#N/A,1,#N/A,9.0125,24.4117647058824,1,FALSE,FALSE,3,TRUE,1,FALSE,100,"Swvu.PLANILHA2.","ACwvu.PLANILHA2.",#N/A,FALSE,FALSE,0.787401575,0.34,0.46,0.5,1,"","",FALSE,FALSE,FALSE,FALSE,1,#N/A,1,1,FALSE,FALSE,#N/A,#N/A,FALSE,FALSE,FALSE,9,65532,65532,FALSE,FALSE,TRUE,TRUE,TRUE}</definedName>
    <definedName name="zxccdf" localSheetId="3" hidden="1">{#N/A,#N/A,FALSE,"Plan1";#N/A,#N/A,FALSE,"Plan2"}</definedName>
    <definedName name="zxccdf" localSheetId="8" hidden="1">{#N/A,#N/A,FALSE,"Plan1";#N/A,#N/A,FALSE,"Plan2"}</definedName>
    <definedName name="zxccdf" localSheetId="2" hidden="1">{#N/A,#N/A,FALSE,"Plan1";#N/A,#N/A,FALSE,"Plan2"}</definedName>
    <definedName name="zxccdf" localSheetId="9" hidden="1">{#N/A,#N/A,FALSE,"Plan1";#N/A,#N/A,FALSE,"Plan2"}</definedName>
    <definedName name="zxccdf" localSheetId="13" hidden="1">{#N/A,#N/A,FALSE,"Plan1";#N/A,#N/A,FALSE,"Plan2"}</definedName>
    <definedName name="zxccdf" localSheetId="0" hidden="1">{#N/A,#N/A,FALSE,"Plan1";#N/A,#N/A,FALSE,"Plan2"}</definedName>
    <definedName name="zxccdf" hidden="1">{#N/A,#N/A,FALSE,"Plan1";#N/A,#N/A,FALSE,"Plan2"}</definedName>
    <definedName name="zxcdsf" localSheetId="3" hidden="1">#REF!</definedName>
    <definedName name="zxcdsf" localSheetId="8" hidden="1">#REF!</definedName>
    <definedName name="zxcdsf" localSheetId="2" hidden="1">#REF!</definedName>
    <definedName name="zxcdsf" localSheetId="9" hidden="1">#REF!</definedName>
    <definedName name="zxcdsf" localSheetId="13" hidden="1">#REF!</definedName>
    <definedName name="zxcdsf" localSheetId="0" hidden="1">#REF!</definedName>
    <definedName name="zxcdsf" hidden="1">#REF!</definedName>
    <definedName name="zxcfdstrrt" localSheetId="3" hidden="1">{#N/A,#N/A,FALSE,"Plan1";#N/A,#N/A,FALSE,"Plan2"}</definedName>
    <definedName name="zxcfdstrrt" localSheetId="8" hidden="1">{#N/A,#N/A,FALSE,"Plan1";#N/A,#N/A,FALSE,"Plan2"}</definedName>
    <definedName name="zxcfdstrrt" localSheetId="2" hidden="1">{#N/A,#N/A,FALSE,"Plan1";#N/A,#N/A,FALSE,"Plan2"}</definedName>
    <definedName name="zxcfdstrrt" localSheetId="9" hidden="1">{#N/A,#N/A,FALSE,"Plan1";#N/A,#N/A,FALSE,"Plan2"}</definedName>
    <definedName name="zxcfdstrrt" localSheetId="13" hidden="1">{#N/A,#N/A,FALSE,"Plan1";#N/A,#N/A,FALSE,"Plan2"}</definedName>
    <definedName name="zxcfdstrrt" localSheetId="0" hidden="1">{#N/A,#N/A,FALSE,"Plan1";#N/A,#N/A,FALSE,"Plan2"}</definedName>
    <definedName name="zxcfdstrrt" hidden="1">{#N/A,#N/A,FALSE,"Plan1";#N/A,#N/A,FALSE,"Plan2"}</definedName>
    <definedName name="zxcx" localSheetId="3" hidden="1">{#N/A,#N/A,FALSE,"Plan1";#N/A,#N/A,FALSE,"Plan2"}</definedName>
    <definedName name="zxcx" localSheetId="8" hidden="1">{#N/A,#N/A,FALSE,"Plan1";#N/A,#N/A,FALSE,"Plan2"}</definedName>
    <definedName name="zxcx" localSheetId="2" hidden="1">{#N/A,#N/A,FALSE,"Plan1";#N/A,#N/A,FALSE,"Plan2"}</definedName>
    <definedName name="zxcx" localSheetId="9" hidden="1">{#N/A,#N/A,FALSE,"Plan1";#N/A,#N/A,FALSE,"Plan2"}</definedName>
    <definedName name="zxcx" localSheetId="13" hidden="1">{#N/A,#N/A,FALSE,"Plan1";#N/A,#N/A,FALSE,"Plan2"}</definedName>
    <definedName name="zxcx" localSheetId="0" hidden="1">{#N/A,#N/A,FALSE,"Plan1";#N/A,#N/A,FALSE,"Plan2"}</definedName>
    <definedName name="zxcx" hidden="1">{#N/A,#N/A,FALSE,"Plan1";#N/A,#N/A,FALSE,"Plan2"}</definedName>
    <definedName name="ZXFCRF" localSheetId="3"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8"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2"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9"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13"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ZXFCRF" hidden="1">{TRUE,TRUE,-1.25,-15.5,604.5,366.75,FALSE,FALSE,TRUE,TRUE,0,1,#N/A,1,#N/A,9.0125,24.4117647058824,1,FALSE,FALSE,3,TRUE,1,FALSE,100,"Swvu.PLANILHA2.","ACwvu.PLANILHA2.",#N/A,FALSE,FALSE,0.787401575,0.34,0.46,0.5,1,"","",FALSE,FALSE,FALSE,FALSE,1,#N/A,1,1,FALSE,FALSE,#N/A,#N/A,FALSE,FALSE,FALSE,9,65532,65532,FALSE,FALSE,TRUE,TRUE,TRUE}</definedName>
    <definedName name="ZXFHDFRHDF" localSheetId="3" hidden="1">{#N/A,#N/A,FALSE,"Plan1";#N/A,#N/A,FALSE,"Plan2"}</definedName>
    <definedName name="ZXFHDFRHDF" localSheetId="8" hidden="1">{#N/A,#N/A,FALSE,"Plan1";#N/A,#N/A,FALSE,"Plan2"}</definedName>
    <definedName name="ZXFHDFRHDF" localSheetId="2" hidden="1">{#N/A,#N/A,FALSE,"Plan1";#N/A,#N/A,FALSE,"Plan2"}</definedName>
    <definedName name="ZXFHDFRHDF" localSheetId="9" hidden="1">{#N/A,#N/A,FALSE,"Plan1";#N/A,#N/A,FALSE,"Plan2"}</definedName>
    <definedName name="ZXFHDFRHDF" localSheetId="13" hidden="1">{#N/A,#N/A,FALSE,"Plan1";#N/A,#N/A,FALSE,"Plan2"}</definedName>
    <definedName name="ZXFHDFRHDF" localSheetId="0" hidden="1">{#N/A,#N/A,FALSE,"Plan1";#N/A,#N/A,FALSE,"Plan2"}</definedName>
    <definedName name="ZXFHDFRHDF" hidden="1">{#N/A,#N/A,FALSE,"Plan1";#N/A,#N/A,FALSE,"Plan2"}</definedName>
    <definedName name="ZZ" localSheetId="3">#REF!</definedName>
    <definedName name="ZZ" localSheetId="2">#REF!</definedName>
    <definedName name="ZZ">#REF!</definedName>
    <definedName name="zzdftr" localSheetId="3" hidden="1">{#N/A,#N/A,FALSE,"Plan1";#N/A,#N/A,FALSE,"Plan2"}</definedName>
    <definedName name="zzdftr" localSheetId="8" hidden="1">{#N/A,#N/A,FALSE,"Plan1";#N/A,#N/A,FALSE,"Plan2"}</definedName>
    <definedName name="zzdftr" localSheetId="2" hidden="1">{#N/A,#N/A,FALSE,"Plan1";#N/A,#N/A,FALSE,"Plan2"}</definedName>
    <definedName name="zzdftr" localSheetId="9" hidden="1">{#N/A,#N/A,FALSE,"Plan1";#N/A,#N/A,FALSE,"Plan2"}</definedName>
    <definedName name="zzdftr" localSheetId="13" hidden="1">{#N/A,#N/A,FALSE,"Plan1";#N/A,#N/A,FALSE,"Plan2"}</definedName>
    <definedName name="zzdftr" localSheetId="0" hidden="1">{#N/A,#N/A,FALSE,"Plan1";#N/A,#N/A,FALSE,"Plan2"}</definedName>
    <definedName name="zzdftr" hidden="1">{#N/A,#N/A,FALSE,"Plan1";#N/A,#N/A,FALSE,"Plan2"}</definedName>
    <definedName name="zzz" localSheetId="3" hidden="1">{#N/A,#N/A,FALSE,"QD_F1 Invest Detalhado";#N/A,#N/A,FALSE,"QD_F3 Invest_Comparado";#N/A,#N/A,FALSE,"QD_B Trafego";#N/A,#N/A,FALSE,"QD_D0 Custos Operacionais";#N/A,#N/A,FALSE,"QD_C Receita";#N/A,#N/A,FALSE,"QD_D Custos";#N/A,#N/A,FALSE,"QD_E Resultado";#N/A,#N/A,FALSE,"QD_G Fluxo Caixa"}</definedName>
    <definedName name="zzz" localSheetId="8" hidden="1">{#N/A,#N/A,FALSE,"QD_F1 Invest Detalhado";#N/A,#N/A,FALSE,"QD_F3 Invest_Comparado";#N/A,#N/A,FALSE,"QD_B Trafego";#N/A,#N/A,FALSE,"QD_D0 Custos Operacionais";#N/A,#N/A,FALSE,"QD_C Receita";#N/A,#N/A,FALSE,"QD_D Custos";#N/A,#N/A,FALSE,"QD_E Resultado";#N/A,#N/A,FALSE,"QD_G Fluxo Caixa"}</definedName>
    <definedName name="zzz" localSheetId="2">#REF!</definedName>
    <definedName name="zzz" localSheetId="9" hidden="1">{#N/A,#N/A,FALSE,"QD_F1 Invest Detalhado";#N/A,#N/A,FALSE,"QD_F3 Invest_Comparado";#N/A,#N/A,FALSE,"QD_B Trafego";#N/A,#N/A,FALSE,"QD_D0 Custos Operacionais";#N/A,#N/A,FALSE,"QD_C Receita";#N/A,#N/A,FALSE,"QD_D Custos";#N/A,#N/A,FALSE,"QD_E Resultado";#N/A,#N/A,FALSE,"QD_G Fluxo Caixa"}</definedName>
    <definedName name="zzz" localSheetId="13" hidden="1">{#N/A,#N/A,FALSE,"QD_F1 Invest Detalhado";#N/A,#N/A,FALSE,"QD_F3 Invest_Comparado";#N/A,#N/A,FALSE,"QD_B Trafego";#N/A,#N/A,FALSE,"QD_D0 Custos Operacionais";#N/A,#N/A,FALSE,"QD_C Receita";#N/A,#N/A,FALSE,"QD_D Custos";#N/A,#N/A,FALSE,"QD_E Resultado";#N/A,#N/A,FALSE,"QD_G Fluxo Caixa"}</definedName>
    <definedName name="zzz" localSheetId="0" hidden="1">{#N/A,#N/A,FALSE,"QD_F1 Invest Detalhado";#N/A,#N/A,FALSE,"QD_F3 Invest_Comparado";#N/A,#N/A,FALSE,"QD_B Trafego";#N/A,#N/A,FALSE,"QD_D0 Custos Operacionais";#N/A,#N/A,FALSE,"QD_C Receita";#N/A,#N/A,FALSE,"QD_D Custos";#N/A,#N/A,FALSE,"QD_E Resultado";#N/A,#N/A,FALSE,"QD_G Fluxo Caixa"}</definedName>
    <definedName name="zzz" hidden="1">{#N/A,#N/A,FALSE,"QD_F1 Invest Detalhado";#N/A,#N/A,FALSE,"QD_F3 Invest_Comparado";#N/A,#N/A,FALSE,"QD_B Trafego";#N/A,#N/A,FALSE,"QD_D0 Custos Operacionais";#N/A,#N/A,FALSE,"QD_C Receita";#N/A,#N/A,FALSE,"QD_D Custos";#N/A,#N/A,FALSE,"QD_E Resultado";#N/A,#N/A,FALSE,"QD_G Fluxo Caixa"}</definedName>
    <definedName name="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 localSheetId="3" hidden="1">{"'장비'!$A$3:$M$12"}</definedName>
    <definedName name="ㄱㄷㄱㄷㄱㄱㅎㄺㄷ" localSheetId="8" hidden="1">{"'장비'!$A$3:$M$12"}</definedName>
    <definedName name="ㄱㄷㄱㄷㄱㄱㅎㄺㄷ" localSheetId="2" hidden="1">{"'장비'!$A$3:$M$12"}</definedName>
    <definedName name="ㄱㄷㄱㄷㄱㄱㅎㄺㄷ" localSheetId="9" hidden="1">{"'장비'!$A$3:$M$12"}</definedName>
    <definedName name="ㄱㄷㄱㄷㄱㄱㅎㄺㄷ" localSheetId="13" hidden="1">{"'장비'!$A$3:$M$12"}</definedName>
    <definedName name="ㄱㄷㄱㄷㄱㄱㅎㄺㄷ" localSheetId="0" hidden="1">{"'장비'!$A$3:$M$12"}</definedName>
    <definedName name="ㄱㄷㄱㄷㄱㄱㅎㄺㄷ" hidden="1">{"'장비'!$A$3:$M$12"}</definedName>
    <definedName name="가나다" hidden="1">#REF!</definedName>
    <definedName name="검증"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검증"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 localSheetId="3" hidden="1">#REF!</definedName>
    <definedName name="견적조건" localSheetId="8" hidden="1">#REF!</definedName>
    <definedName name="견적조건" localSheetId="9" hidden="1">#REF!</definedName>
    <definedName name="견적조건" localSheetId="13" hidden="1">#REF!</definedName>
    <definedName name="견적조건" localSheetId="0" hidden="1">#REF!</definedName>
    <definedName name="견적조건" hidden="1">#REF!</definedName>
    <definedName name="계약고햔황2" localSheetId="2" hidden="1">#REF!</definedName>
    <definedName name="계약고햔황2" localSheetId="0" hidden="1">#REF!</definedName>
    <definedName name="계약고햔황2" hidden="1">#REF!</definedName>
    <definedName name="계약고현황2" localSheetId="0" hidden="1">#REF!</definedName>
    <definedName name="계약고현황2" hidden="1">#REF!</definedName>
    <definedName name="고문" localSheetId="3" hidden="1">{#N/A,#N/A,FALSE,"현장 NCR 분석";#N/A,#N/A,FALSE,"현장품질감사";#N/A,#N/A,FALSE,"현장품질감사"}</definedName>
    <definedName name="고문" localSheetId="8" hidden="1">{#N/A,#N/A,FALSE,"현장 NCR 분석";#N/A,#N/A,FALSE,"현장품질감사";#N/A,#N/A,FALSE,"현장품질감사"}</definedName>
    <definedName name="고문" localSheetId="2" hidden="1">{#N/A,#N/A,FALSE,"현장 NCR 분석";#N/A,#N/A,FALSE,"현장품질감사";#N/A,#N/A,FALSE,"현장품질감사"}</definedName>
    <definedName name="고문" localSheetId="9" hidden="1">{#N/A,#N/A,FALSE,"현장 NCR 분석";#N/A,#N/A,FALSE,"현장품질감사";#N/A,#N/A,FALSE,"현장품질감사"}</definedName>
    <definedName name="고문" localSheetId="13" hidden="1">{#N/A,#N/A,FALSE,"현장 NCR 분석";#N/A,#N/A,FALSE,"현장품질감사";#N/A,#N/A,FALSE,"현장품질감사"}</definedName>
    <definedName name="고문" localSheetId="0" hidden="1">{#N/A,#N/A,FALSE,"현장 NCR 분석";#N/A,#N/A,FALSE,"현장품질감사";#N/A,#N/A,FALSE,"현장품질감사"}</definedName>
    <definedName name="고문" hidden="1">{#N/A,#N/A,FALSE,"현장 NCR 분석";#N/A,#N/A,FALSE,"현장품질감사";#N/A,#N/A,FALSE,"현장품질감사"}</definedName>
    <definedName name="고문2" localSheetId="3" hidden="1">{#N/A,#N/A,FALSE,"현장 NCR 분석";#N/A,#N/A,FALSE,"현장품질감사";#N/A,#N/A,FALSE,"현장품질감사"}</definedName>
    <definedName name="고문2" localSheetId="8" hidden="1">{#N/A,#N/A,FALSE,"현장 NCR 분석";#N/A,#N/A,FALSE,"현장품질감사";#N/A,#N/A,FALSE,"현장품질감사"}</definedName>
    <definedName name="고문2" localSheetId="2" hidden="1">{#N/A,#N/A,FALSE,"현장 NCR 분석";#N/A,#N/A,FALSE,"현장품질감사";#N/A,#N/A,FALSE,"현장품질감사"}</definedName>
    <definedName name="고문2" localSheetId="9" hidden="1">{#N/A,#N/A,FALSE,"현장 NCR 분석";#N/A,#N/A,FALSE,"현장품질감사";#N/A,#N/A,FALSE,"현장품질감사"}</definedName>
    <definedName name="고문2" localSheetId="13" hidden="1">{#N/A,#N/A,FALSE,"현장 NCR 분석";#N/A,#N/A,FALSE,"현장품질감사";#N/A,#N/A,FALSE,"현장품질감사"}</definedName>
    <definedName name="고문2" localSheetId="0" hidden="1">{#N/A,#N/A,FALSE,"현장 NCR 분석";#N/A,#N/A,FALSE,"현장품질감사";#N/A,#N/A,FALSE,"현장품질감사"}</definedName>
    <definedName name="고문2" hidden="1">{#N/A,#N/A,FALSE,"현장 NCR 분석";#N/A,#N/A,FALSE,"현장품질감사";#N/A,#N/A,FALSE,"현장품질감사"}</definedName>
    <definedName name="공공공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 localSheetId="3" hidden="1">{#N/A,#N/A,FALSE,"ENG'G(보호계전기)"}</definedName>
    <definedName name="공급구분표_수정" localSheetId="8" hidden="1">{#N/A,#N/A,FALSE,"ENG'G(보호계전기)"}</definedName>
    <definedName name="공급구분표_수정" localSheetId="2" hidden="1">{#N/A,#N/A,FALSE,"ENG'G(보호계전기)"}</definedName>
    <definedName name="공급구분표_수정" localSheetId="9" hidden="1">{#N/A,#N/A,FALSE,"ENG'G(보호계전기)"}</definedName>
    <definedName name="공급구분표_수정" localSheetId="13" hidden="1">{#N/A,#N/A,FALSE,"ENG'G(보호계전기)"}</definedName>
    <definedName name="공급구분표_수정" localSheetId="0" hidden="1">{#N/A,#N/A,FALSE,"ENG'G(보호계전기)"}</definedName>
    <definedName name="공급구분표_수정" hidden="1">{#N/A,#N/A,FALSE,"ENG'G(보호계전기)"}</definedName>
    <definedName name="공급표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 localSheetId="3" hidden="1">#REF!</definedName>
    <definedName name="ㄴㄴㄴㄴ" localSheetId="8" hidden="1">#REF!</definedName>
    <definedName name="ㄴㄴㄴㄴ" localSheetId="9" hidden="1">#REF!</definedName>
    <definedName name="ㄴㄴㄴㄴ" localSheetId="13" hidden="1">#REF!</definedName>
    <definedName name="ㄴㄴㄴㄴ" localSheetId="0" hidden="1">#REF!</definedName>
    <definedName name="ㄴㄴㄴㄴ" hidden="1">#REF!</definedName>
    <definedName name="내역" localSheetId="3" hidden="1">{#N/A,#N/A,FALSE,"CCTV"}</definedName>
    <definedName name="내역" localSheetId="8" hidden="1">{#N/A,#N/A,FALSE,"CCTV"}</definedName>
    <definedName name="내역" localSheetId="2" hidden="1">{#N/A,#N/A,FALSE,"CCTV"}</definedName>
    <definedName name="내역" localSheetId="9" hidden="1">{#N/A,#N/A,FALSE,"CCTV"}</definedName>
    <definedName name="내역" localSheetId="13" hidden="1">{#N/A,#N/A,FALSE,"CCTV"}</definedName>
    <definedName name="내역" localSheetId="0" hidden="1">{#N/A,#N/A,FALSE,"CCTV"}</definedName>
    <definedName name="내역" hidden="1">{#N/A,#N/A,FALSE,"CCTV"}</definedName>
    <definedName name="ㄷㄳ" localSheetId="3" hidden="1">{"'장비'!$A$3:$M$12"}</definedName>
    <definedName name="ㄷㄳ" localSheetId="8" hidden="1">{"'장비'!$A$3:$M$12"}</definedName>
    <definedName name="ㄷㄳ" localSheetId="2" hidden="1">{"'장비'!$A$3:$M$12"}</definedName>
    <definedName name="ㄷㄳ" localSheetId="9" hidden="1">{"'장비'!$A$3:$M$12"}</definedName>
    <definedName name="ㄷㄳ" localSheetId="13" hidden="1">{"'장비'!$A$3:$M$12"}</definedName>
    <definedName name="ㄷㄳ" localSheetId="0" hidden="1">{"'장비'!$A$3:$M$12"}</definedName>
    <definedName name="ㄷㄳ" hidden="1">{"'장비'!$A$3:$M$12"}</definedName>
    <definedName name="ㄷㄷㄷㄷ" localSheetId="3" hidden="1">{"'장비'!$A$3:$M$12"}</definedName>
    <definedName name="ㄷㄷㄷㄷ" localSheetId="8" hidden="1">{"'장비'!$A$3:$M$12"}</definedName>
    <definedName name="ㄷㄷㄷㄷ" localSheetId="2" hidden="1">{"'장비'!$A$3:$M$12"}</definedName>
    <definedName name="ㄷㄷㄷㄷ" localSheetId="9" hidden="1">{"'장비'!$A$3:$M$12"}</definedName>
    <definedName name="ㄷㄷㄷㄷ" localSheetId="13" hidden="1">{"'장비'!$A$3:$M$12"}</definedName>
    <definedName name="ㄷㄷㄷㄷ" localSheetId="0" hidden="1">{"'장비'!$A$3:$M$12"}</definedName>
    <definedName name="ㄷㄷㄷㄷ" hidden="1">{"'장비'!$A$3:$M$12"}</definedName>
    <definedName name="ㄷㅈㅂㄷ" localSheetId="3" hidden="1">{"'장비'!$A$3:$M$12"}</definedName>
    <definedName name="ㄷㅈㅂㄷ" localSheetId="8" hidden="1">{"'장비'!$A$3:$M$12"}</definedName>
    <definedName name="ㄷㅈㅂㄷ" localSheetId="2" hidden="1">{"'장비'!$A$3:$M$12"}</definedName>
    <definedName name="ㄷㅈㅂㄷ" localSheetId="9" hidden="1">{"'장비'!$A$3:$M$12"}</definedName>
    <definedName name="ㄷㅈㅂㄷ" localSheetId="13" hidden="1">{"'장비'!$A$3:$M$12"}</definedName>
    <definedName name="ㄷㅈㅂㄷ" localSheetId="0" hidden="1">{"'장비'!$A$3:$M$12"}</definedName>
    <definedName name="ㄷㅈㅂㄷ" hidden="1">{"'장비'!$A$3:$M$12"}</definedName>
    <definedName name="당초계획" hidden="1">#REF!</definedName>
    <definedName name="도면외주" hidden="1">#REF!</definedName>
    <definedName name="도면용역비" hidden="1">#REF!</definedName>
    <definedName name="ㄹㄹ" localSheetId="3" hidden="1">{"'장비'!$A$3:$M$12"}</definedName>
    <definedName name="ㄹㄹ" localSheetId="8" hidden="1">{"'장비'!$A$3:$M$12"}</definedName>
    <definedName name="ㄹㄹ" localSheetId="2" hidden="1">{"'장비'!$A$3:$M$12"}</definedName>
    <definedName name="ㄹㄹ" localSheetId="9" hidden="1">{"'장비'!$A$3:$M$12"}</definedName>
    <definedName name="ㄹㄹ" localSheetId="13" hidden="1">{"'장비'!$A$3:$M$12"}</definedName>
    <definedName name="ㄹㄹ" localSheetId="0" hidden="1">{"'장비'!$A$3:$M$12"}</definedName>
    <definedName name="ㄹㄹ" hidden="1">{"'장비'!$A$3:$M$12"}</definedName>
    <definedName name="ㄹㄹㄹ" hidden="1">#REF!</definedName>
    <definedName name="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 localSheetId="3" hidden="1">{#N/A,#N/A,FALSE,"현장 NCR 분석";#N/A,#N/A,FALSE,"현장품질감사";#N/A,#N/A,FALSE,"현장품질감사"}</definedName>
    <definedName name="러러러" localSheetId="8" hidden="1">{#N/A,#N/A,FALSE,"현장 NCR 분석";#N/A,#N/A,FALSE,"현장품질감사";#N/A,#N/A,FALSE,"현장품질감사"}</definedName>
    <definedName name="러러러" localSheetId="2" hidden="1">{#N/A,#N/A,FALSE,"현장 NCR 분석";#N/A,#N/A,FALSE,"현장품질감사";#N/A,#N/A,FALSE,"현장품질감사"}</definedName>
    <definedName name="러러러" localSheetId="9" hidden="1">{#N/A,#N/A,FALSE,"현장 NCR 분석";#N/A,#N/A,FALSE,"현장품질감사";#N/A,#N/A,FALSE,"현장품질감사"}</definedName>
    <definedName name="러러러" localSheetId="13" hidden="1">{#N/A,#N/A,FALSE,"현장 NCR 분석";#N/A,#N/A,FALSE,"현장품질감사";#N/A,#N/A,FALSE,"현장품질감사"}</definedName>
    <definedName name="러러러" localSheetId="0" hidden="1">{#N/A,#N/A,FALSE,"현장 NCR 분석";#N/A,#N/A,FALSE,"현장품질감사";#N/A,#N/A,FALSE,"현장품질감사"}</definedName>
    <definedName name="러러러" hidden="1">{#N/A,#N/A,FALSE,"현장 NCR 분석";#N/A,#N/A,FALSE,"현장품질감사";#N/A,#N/A,FALSE,"현장품질감사"}</definedName>
    <definedName name="ㅁ" localSheetId="3" hidden="1">{#N/A,#N/A,FALSE,"명세표"}</definedName>
    <definedName name="ㅁ" localSheetId="8" hidden="1">{#N/A,#N/A,FALSE,"명세표"}</definedName>
    <definedName name="ㅁ" localSheetId="2" hidden="1">{#N/A,#N/A,FALSE,"명세표"}</definedName>
    <definedName name="ㅁ" localSheetId="9" hidden="1">{#N/A,#N/A,FALSE,"명세표"}</definedName>
    <definedName name="ㅁ" localSheetId="13" hidden="1">{#N/A,#N/A,FALSE,"명세표"}</definedName>
    <definedName name="ㅁ" localSheetId="0" hidden="1">{#N/A,#N/A,FALSE,"명세표"}</definedName>
    <definedName name="ㅁ" hidden="1">{#N/A,#N/A,FALSE,"명세표"}</definedName>
    <definedName name="ㅁㄱ해ㅜ5" localSheetId="3" hidden="1">#REF!</definedName>
    <definedName name="ㅁㄱ해ㅜ5" localSheetId="8" hidden="1">#REF!</definedName>
    <definedName name="ㅁㄱ해ㅜ5" localSheetId="9" hidden="1">#REF!</definedName>
    <definedName name="ㅁㄱ해ㅜ5" localSheetId="13" hidden="1">#REF!</definedName>
    <definedName name="ㅁㄱ해ㅜ5" localSheetId="0" hidden="1">#REF!</definedName>
    <definedName name="ㅁㄱ해ㅜ5" hidden="1">#REF!</definedName>
    <definedName name="ㅁ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 localSheetId="3" hidden="1">{#N/A,#N/A,FALSE,"명세표"}</definedName>
    <definedName name="ㅁㅁ" localSheetId="8" hidden="1">{#N/A,#N/A,FALSE,"명세표"}</definedName>
    <definedName name="ㅁㅁ" localSheetId="2" hidden="1">{#N/A,#N/A,FALSE,"명세표"}</definedName>
    <definedName name="ㅁㅁ" localSheetId="9" hidden="1">{#N/A,#N/A,FALSE,"명세표"}</definedName>
    <definedName name="ㅁㅁ" localSheetId="13" hidden="1">{#N/A,#N/A,FALSE,"명세표"}</definedName>
    <definedName name="ㅁㅁ" localSheetId="0" hidden="1">{#N/A,#N/A,FALSE,"명세표"}</definedName>
    <definedName name="ㅁㅁ" hidden="1">{#N/A,#N/A,FALSE,"명세표"}</definedName>
    <definedName name="ㅁㅁㅁ" localSheetId="3" hidden="1">#REF!</definedName>
    <definedName name="ㅁㅁㅁ" localSheetId="8" hidden="1">#REF!</definedName>
    <definedName name="ㅁㅁㅁ" localSheetId="2" hidden="1">#REF!</definedName>
    <definedName name="ㅁㅁㅁ" localSheetId="9" hidden="1">#REF!</definedName>
    <definedName name="ㅁㅁㅁ" localSheetId="13" hidden="1">#REF!</definedName>
    <definedName name="ㅁㅁㅁ" localSheetId="0" hidden="1">#REF!</definedName>
    <definedName name="ㅁㅁㅁ" hidden="1">#REF!</definedName>
    <definedName name="ㅁㅁㅁㅁㅁㅁㅁㅁㅁㅁㅁㅁ"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 localSheetId="3" hidden="1">{#N/A,#N/A,FALSE,"명세표"}</definedName>
    <definedName name="머" localSheetId="8" hidden="1">{#N/A,#N/A,FALSE,"명세표"}</definedName>
    <definedName name="머" localSheetId="2" hidden="1">{#N/A,#N/A,FALSE,"명세표"}</definedName>
    <definedName name="머" localSheetId="9" hidden="1">{#N/A,#N/A,FALSE,"명세표"}</definedName>
    <definedName name="머" localSheetId="13" hidden="1">{#N/A,#N/A,FALSE,"명세표"}</definedName>
    <definedName name="머" localSheetId="0" hidden="1">{#N/A,#N/A,FALSE,"명세표"}</definedName>
    <definedName name="머" hidden="1">{#N/A,#N/A,FALSE,"명세표"}</definedName>
    <definedName name="ㅂㅂㅂㅂ" localSheetId="3" hidden="1">{#N/A,#N/A,FALSE,"명세표"}</definedName>
    <definedName name="ㅂㅂㅂㅂ" localSheetId="8" hidden="1">{#N/A,#N/A,FALSE,"명세표"}</definedName>
    <definedName name="ㅂㅂㅂㅂ" localSheetId="2" hidden="1">{#N/A,#N/A,FALSE,"명세표"}</definedName>
    <definedName name="ㅂㅂㅂㅂ" localSheetId="9" hidden="1">{#N/A,#N/A,FALSE,"명세표"}</definedName>
    <definedName name="ㅂㅂㅂㅂ" localSheetId="13" hidden="1">{#N/A,#N/A,FALSE,"명세표"}</definedName>
    <definedName name="ㅂㅂㅂㅂ" localSheetId="0" hidden="1">{#N/A,#N/A,FALSE,"명세표"}</definedName>
    <definedName name="ㅂㅂㅂㅂ" hidden="1">{#N/A,#N/A,FALSE,"명세표"}</definedName>
    <definedName name="ㅂㅂㅂㅂㅂㅂㅂ"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ㅂㅂㅂㅂㅂㅂ"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 localSheetId="3" hidden="1">{"'장비'!$A$3:$M$12"}</definedName>
    <definedName name="ㅂㅈㄱㅂㅈㄷㄱ" localSheetId="8" hidden="1">{"'장비'!$A$3:$M$12"}</definedName>
    <definedName name="ㅂㅈㄱㅂㅈㄷㄱ" localSheetId="2" hidden="1">{"'장비'!$A$3:$M$12"}</definedName>
    <definedName name="ㅂㅈㄱㅂㅈㄷㄱ" localSheetId="9" hidden="1">{"'장비'!$A$3:$M$12"}</definedName>
    <definedName name="ㅂㅈㄱㅂㅈㄷㄱ" localSheetId="13" hidden="1">{"'장비'!$A$3:$M$12"}</definedName>
    <definedName name="ㅂㅈㄱㅂㅈㄷㄱ" localSheetId="0" hidden="1">{"'장비'!$A$3:$M$12"}</definedName>
    <definedName name="ㅂㅈㄱㅂㅈㄷㄱ" hidden="1">{"'장비'!$A$3:$M$12"}</definedName>
    <definedName name="ㅂㅈㄷ" localSheetId="3" hidden="1">{"'장비'!$A$3:$M$12"}</definedName>
    <definedName name="ㅂㅈㄷ" localSheetId="8" hidden="1">{"'장비'!$A$3:$M$12"}</definedName>
    <definedName name="ㅂㅈㄷ" localSheetId="2" hidden="1">{"'장비'!$A$3:$M$12"}</definedName>
    <definedName name="ㅂㅈㄷ" localSheetId="9" hidden="1">{"'장비'!$A$3:$M$12"}</definedName>
    <definedName name="ㅂㅈㄷ" localSheetId="13" hidden="1">{"'장비'!$A$3:$M$12"}</definedName>
    <definedName name="ㅂㅈㄷ" localSheetId="0" hidden="1">{"'장비'!$A$3:$M$12"}</definedName>
    <definedName name="ㅂㅈㄷ" hidden="1">{"'장비'!$A$3:$M$12"}</definedName>
    <definedName name="ㅂㅈㄷㄷㅂㅈㅈㅂ" localSheetId="3" hidden="1">{"'장비'!$A$3:$M$12"}</definedName>
    <definedName name="ㅂㅈㄷㄷㅂㅈㅈㅂ" localSheetId="8" hidden="1">{"'장비'!$A$3:$M$12"}</definedName>
    <definedName name="ㅂㅈㄷㄷㅂㅈㅈㅂ" localSheetId="2" hidden="1">{"'장비'!$A$3:$M$12"}</definedName>
    <definedName name="ㅂㅈㄷㄷㅂㅈㅈㅂ" localSheetId="9" hidden="1">{"'장비'!$A$3:$M$12"}</definedName>
    <definedName name="ㅂㅈㄷㄷㅂㅈㅈㅂ" localSheetId="13" hidden="1">{"'장비'!$A$3:$M$12"}</definedName>
    <definedName name="ㅂㅈㄷㄷㅂㅈㅈㅂ" localSheetId="0" hidden="1">{"'장비'!$A$3:$M$12"}</definedName>
    <definedName name="ㅂㅈㄷㄷㅂㅈㅈㅂ" hidden="1">{"'장비'!$A$3:$M$12"}</definedName>
    <definedName name="ㅂㅈㄷㅂㅈ" localSheetId="3" hidden="1">{"'장비'!$A$3:$M$12"}</definedName>
    <definedName name="ㅂㅈㄷㅂㅈ" localSheetId="8" hidden="1">{"'장비'!$A$3:$M$12"}</definedName>
    <definedName name="ㅂㅈㄷㅂㅈ" localSheetId="2" hidden="1">{"'장비'!$A$3:$M$12"}</definedName>
    <definedName name="ㅂㅈㄷㅂㅈ" localSheetId="9" hidden="1">{"'장비'!$A$3:$M$12"}</definedName>
    <definedName name="ㅂㅈㄷㅂㅈ" localSheetId="13" hidden="1">{"'장비'!$A$3:$M$12"}</definedName>
    <definedName name="ㅂㅈㄷㅂㅈ" localSheetId="0" hidden="1">{"'장비'!$A$3:$M$12"}</definedName>
    <definedName name="ㅂㅈㄷㅂㅈ" hidden="1">{"'장비'!$A$3:$M$12"}</definedName>
    <definedName name="ㅂㅈㄷㅂㅈㅈㅂㄷ" localSheetId="3" hidden="1">{"'장비'!$A$3:$M$12"}</definedName>
    <definedName name="ㅂㅈㄷㅂㅈㅈㅂㄷ" localSheetId="8" hidden="1">{"'장비'!$A$3:$M$12"}</definedName>
    <definedName name="ㅂㅈㄷㅂㅈㅈㅂㄷ" localSheetId="2" hidden="1">{"'장비'!$A$3:$M$12"}</definedName>
    <definedName name="ㅂㅈㄷㅂㅈㅈㅂㄷ" localSheetId="9" hidden="1">{"'장비'!$A$3:$M$12"}</definedName>
    <definedName name="ㅂㅈㄷㅂㅈㅈㅂㄷ" localSheetId="13" hidden="1">{"'장비'!$A$3:$M$12"}</definedName>
    <definedName name="ㅂㅈㄷㅂㅈㅈㅂㄷ" localSheetId="0" hidden="1">{"'장비'!$A$3:$M$12"}</definedName>
    <definedName name="ㅂㅈㄷㅂㅈㅈㅂㄷ" hidden="1">{"'장비'!$A$3:$M$12"}</definedName>
    <definedName name="ㅂㅈㄷㅈㅂㄷ" localSheetId="3" hidden="1">{"'장비'!$A$3:$M$12"}</definedName>
    <definedName name="ㅂㅈㄷㅈㅂㄷ" localSheetId="8" hidden="1">{"'장비'!$A$3:$M$12"}</definedName>
    <definedName name="ㅂㅈㄷㅈㅂㄷ" localSheetId="2" hidden="1">{"'장비'!$A$3:$M$12"}</definedName>
    <definedName name="ㅂㅈㄷㅈㅂㄷ" localSheetId="9" hidden="1">{"'장비'!$A$3:$M$12"}</definedName>
    <definedName name="ㅂㅈㄷㅈㅂㄷ" localSheetId="13" hidden="1">{"'장비'!$A$3:$M$12"}</definedName>
    <definedName name="ㅂㅈㄷㅈㅂㄷ" localSheetId="0" hidden="1">{"'장비'!$A$3:$M$12"}</definedName>
    <definedName name="ㅂㅈㄷㅈㅂㄷ" hidden="1">{"'장비'!$A$3:$M$12"}</definedName>
    <definedName name="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 localSheetId="3" hidden="1">#REF!</definedName>
    <definedName name="보충" localSheetId="8" hidden="1">#REF!</definedName>
    <definedName name="보충" localSheetId="2" hidden="1">#REF!</definedName>
    <definedName name="보충" localSheetId="9" hidden="1">#REF!</definedName>
    <definedName name="보충" localSheetId="13" hidden="1">#REF!</definedName>
    <definedName name="보충" localSheetId="0" hidden="1">#REF!</definedName>
    <definedName name="보충" hidden="1">#REF!</definedName>
    <definedName name="보호" localSheetId="3" hidden="1">{#N/A,#N/A,FALSE,"ENG'G(보호계전기)"}</definedName>
    <definedName name="보호" localSheetId="8" hidden="1">{#N/A,#N/A,FALSE,"ENG'G(보호계전기)"}</definedName>
    <definedName name="보호" localSheetId="2" hidden="1">{#N/A,#N/A,FALSE,"ENG'G(보호계전기)"}</definedName>
    <definedName name="보호" localSheetId="9" hidden="1">{#N/A,#N/A,FALSE,"ENG'G(보호계전기)"}</definedName>
    <definedName name="보호" localSheetId="13" hidden="1">{#N/A,#N/A,FALSE,"ENG'G(보호계전기)"}</definedName>
    <definedName name="보호" localSheetId="0" hidden="1">{#N/A,#N/A,FALSE,"ENG'G(보호계전기)"}</definedName>
    <definedName name="보호" hidden="1">{#N/A,#N/A,FALSE,"ENG'G(보호계전기)"}</definedName>
    <definedName name="본공사공정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 localSheetId="3" hidden="1">#REF!</definedName>
    <definedName name="부대공사" localSheetId="8" hidden="1">#REF!</definedName>
    <definedName name="부대공사" localSheetId="2" hidden="1">#REF!</definedName>
    <definedName name="부대공사" localSheetId="9" hidden="1">#REF!</definedName>
    <definedName name="부대공사" localSheetId="13" hidden="1">#REF!</definedName>
    <definedName name="부대공사" localSheetId="0" hidden="1">#REF!</definedName>
    <definedName name="부대공사" hidden="1">#REF!</definedName>
    <definedName name="부손익" localSheetId="3" hidden="1">{#N/A,#N/A,FALSE,"현장 NCR 분석";#N/A,#N/A,FALSE,"현장품질감사";#N/A,#N/A,FALSE,"현장품질감사"}</definedName>
    <definedName name="부손익" localSheetId="8" hidden="1">{#N/A,#N/A,FALSE,"현장 NCR 분석";#N/A,#N/A,FALSE,"현장품질감사";#N/A,#N/A,FALSE,"현장품질감사"}</definedName>
    <definedName name="부손익" localSheetId="2" hidden="1">{#N/A,#N/A,FALSE,"현장 NCR 분석";#N/A,#N/A,FALSE,"현장품질감사";#N/A,#N/A,FALSE,"현장품질감사"}</definedName>
    <definedName name="부손익" localSheetId="9" hidden="1">{#N/A,#N/A,FALSE,"현장 NCR 분석";#N/A,#N/A,FALSE,"현장품질감사";#N/A,#N/A,FALSE,"현장품질감사"}</definedName>
    <definedName name="부손익" localSheetId="13"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분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 localSheetId="3" hidden="1">{"'장비'!$A$3:$M$12"}</definedName>
    <definedName name="ㅅㄱㄱㄷ" localSheetId="8" hidden="1">{"'장비'!$A$3:$M$12"}</definedName>
    <definedName name="ㅅㄱㄱㄷ" localSheetId="2" hidden="1">{"'장비'!$A$3:$M$12"}</definedName>
    <definedName name="ㅅㄱㄱㄷ" localSheetId="9" hidden="1">{"'장비'!$A$3:$M$12"}</definedName>
    <definedName name="ㅅㄱㄱㄷ" localSheetId="13" hidden="1">{"'장비'!$A$3:$M$12"}</definedName>
    <definedName name="ㅅㄱㄱㄷ" localSheetId="0" hidden="1">{"'장비'!$A$3:$M$12"}</definedName>
    <definedName name="ㅅㄱㄱㄷ" hidden="1">{"'장비'!$A$3:$M$12"}</definedName>
    <definedName name="ㅅㅅㅅㅅㅅ" localSheetId="3" hidden="1">{"'장비'!$A$3:$M$12"}</definedName>
    <definedName name="ㅅㅅㅅㅅㅅ" localSheetId="8" hidden="1">{"'장비'!$A$3:$M$12"}</definedName>
    <definedName name="ㅅㅅㅅㅅㅅ" localSheetId="2" hidden="1">{"'장비'!$A$3:$M$12"}</definedName>
    <definedName name="ㅅㅅㅅㅅㅅ" localSheetId="9" hidden="1">{"'장비'!$A$3:$M$12"}</definedName>
    <definedName name="ㅅㅅㅅㅅㅅ" localSheetId="13" hidden="1">{"'장비'!$A$3:$M$12"}</definedName>
    <definedName name="ㅅㅅㅅㅅㅅ" localSheetId="0" hidden="1">{"'장비'!$A$3:$M$12"}</definedName>
    <definedName name="ㅅㅅㅅㅅㅅ" hidden="1">{"'장비'!$A$3:$M$12"}</definedName>
    <definedName name="사업"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localSheetId="3" hidden="1">#REF!</definedName>
    <definedName name="사업계획수정" localSheetId="8" hidden="1">#REF!</definedName>
    <definedName name="사업계획수정" localSheetId="2" hidden="1">#REF!</definedName>
    <definedName name="사업계획수정" localSheetId="9" hidden="1">#REF!</definedName>
    <definedName name="사업계획수정" localSheetId="13" hidden="1">#REF!</definedName>
    <definedName name="사업계획수정" localSheetId="0" hidden="1">#REF!</definedName>
    <definedName name="사업계획수정" hidden="1">#REF!</definedName>
    <definedName name="사업관리"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localSheetId="3" hidden="1">#REF!</definedName>
    <definedName name="사업부양식2" localSheetId="8" hidden="1">#REF!</definedName>
    <definedName name="사업부양식2" localSheetId="2" hidden="1">#REF!</definedName>
    <definedName name="사업부양식2" localSheetId="9" hidden="1">#REF!</definedName>
    <definedName name="사업부양식2" localSheetId="13" hidden="1">#REF!</definedName>
    <definedName name="사업부양식2" localSheetId="0" hidden="1">#REF!</definedName>
    <definedName name="사업부양식2" hidden="1">#REF!</definedName>
    <definedName name="산출" localSheetId="0" hidden="1">#REF!</definedName>
    <definedName name="산출" hidden="1">#REF!</definedName>
    <definedName name="새안" localSheetId="3" hidden="1">{#N/A,#N/A,FALSE,"TABLE"}</definedName>
    <definedName name="새안" localSheetId="8" hidden="1">{#N/A,#N/A,FALSE,"TABLE"}</definedName>
    <definedName name="새안" localSheetId="2" hidden="1">{#N/A,#N/A,FALSE,"TABLE"}</definedName>
    <definedName name="새안" localSheetId="9" hidden="1">{#N/A,#N/A,FALSE,"TABLE"}</definedName>
    <definedName name="새안" localSheetId="13" hidden="1">{#N/A,#N/A,FALSE,"TABLE"}</definedName>
    <definedName name="새안" localSheetId="0" hidden="1">{#N/A,#N/A,FALSE,"TABLE"}</definedName>
    <definedName name="새안" hidden="1">{#N/A,#N/A,FALSE,"TABLE"}</definedName>
    <definedName name="석항" localSheetId="3" hidden="1">{#N/A,#N/A,FALSE,"명세표"}</definedName>
    <definedName name="석항" localSheetId="8" hidden="1">{#N/A,#N/A,FALSE,"명세표"}</definedName>
    <definedName name="석항" localSheetId="2" hidden="1">{#N/A,#N/A,FALSE,"명세표"}</definedName>
    <definedName name="석항" localSheetId="9" hidden="1">{#N/A,#N/A,FALSE,"명세표"}</definedName>
    <definedName name="석항" localSheetId="13" hidden="1">{#N/A,#N/A,FALSE,"명세표"}</definedName>
    <definedName name="석항" localSheetId="0" hidden="1">{#N/A,#N/A,FALSE,"명세표"}</definedName>
    <definedName name="석항" hidden="1">{#N/A,#N/A,FALSE,"명세표"}</definedName>
    <definedName name="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 localSheetId="3" hidden="1">#REF!</definedName>
    <definedName name="손익계산서" localSheetId="8" hidden="1">#REF!</definedName>
    <definedName name="손익계산서" localSheetId="2" hidden="1">#REF!</definedName>
    <definedName name="손익계산서" localSheetId="9" hidden="1">#REF!</definedName>
    <definedName name="손익계산서" localSheetId="13" hidden="1">#REF!</definedName>
    <definedName name="손익계산서" localSheetId="0" hidden="1">#REF!</definedName>
    <definedName name="손익계산서" hidden="1">#REF!</definedName>
    <definedName name="쇼ㅗㅎ로" localSheetId="3" hidden="1">{"'장비'!$A$3:$M$12"}</definedName>
    <definedName name="쇼ㅗㅎ로" localSheetId="8" hidden="1">{"'장비'!$A$3:$M$12"}</definedName>
    <definedName name="쇼ㅗㅎ로" localSheetId="2" hidden="1">{"'장비'!$A$3:$M$12"}</definedName>
    <definedName name="쇼ㅗㅎ로" localSheetId="9" hidden="1">{"'장비'!$A$3:$M$12"}</definedName>
    <definedName name="쇼ㅗㅎ로" localSheetId="13" hidden="1">{"'장비'!$A$3:$M$12"}</definedName>
    <definedName name="쇼ㅗㅎ로" localSheetId="0" hidden="1">{"'장비'!$A$3:$M$12"}</definedName>
    <definedName name="쇼ㅗㅎ로" hidden="1">{"'장비'!$A$3:$M$12"}</definedName>
    <definedName name="수" hidden="1">#REF!</definedName>
    <definedName name="수당" hidden="1">#N/A</definedName>
    <definedName name="신설" localSheetId="3" hidden="1">{#N/A,#N/A,FALSE,"명세표"}</definedName>
    <definedName name="신설" localSheetId="8" hidden="1">{#N/A,#N/A,FALSE,"명세표"}</definedName>
    <definedName name="신설" localSheetId="2" hidden="1">{#N/A,#N/A,FALSE,"명세표"}</definedName>
    <definedName name="신설" localSheetId="9" hidden="1">{#N/A,#N/A,FALSE,"명세표"}</definedName>
    <definedName name="신설" localSheetId="13" hidden="1">{#N/A,#N/A,FALSE,"명세표"}</definedName>
    <definedName name="신설" localSheetId="0" hidden="1">{#N/A,#N/A,FALSE,"명세표"}</definedName>
    <definedName name="신설" hidden="1">{#N/A,#N/A,FALSE,"명세표"}</definedName>
    <definedName name="실적총괄1" localSheetId="3" hidden="1">#REF!</definedName>
    <definedName name="실적총괄1" localSheetId="8" hidden="1">#REF!</definedName>
    <definedName name="실적총괄1" localSheetId="2" hidden="1">#REF!</definedName>
    <definedName name="실적총괄1" localSheetId="9" hidden="1">#REF!</definedName>
    <definedName name="실적총괄1" localSheetId="13" hidden="1">#REF!</definedName>
    <definedName name="실적총괄1" localSheetId="0" hidden="1">#REF!</definedName>
    <definedName name="실적총괄1" hidden="1">#REF!</definedName>
    <definedName name="실총" localSheetId="0" hidden="1">#REF!</definedName>
    <definedName name="실총" hidden="1">#REF!</definedName>
    <definedName name="ㅇㄹㄹ" localSheetId="0" hidden="1">#REF!</definedName>
    <definedName name="ㅇㄹㄹ" hidden="1">#REF!</definedName>
    <definedName name="ㅇ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 localSheetId="3" hidden="1">#REF!</definedName>
    <definedName name="ㅇㅇㅇㅇ" localSheetId="8" hidden="1">#REF!</definedName>
    <definedName name="ㅇㅇㅇㅇ" localSheetId="9" hidden="1">#REF!</definedName>
    <definedName name="ㅇㅇㅇㅇ" localSheetId="13" hidden="1">#REF!</definedName>
    <definedName name="ㅇㅇㅇㅇ" localSheetId="0" hidden="1">#REF!</definedName>
    <definedName name="ㅇㅇㅇㅇ" hidden="1">#REF!</definedName>
    <definedName name="양식변경12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변경12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 localSheetId="3" hidden="1">#REF!</definedName>
    <definedName name="이월" localSheetId="8" hidden="1">#REF!</definedName>
    <definedName name="이월" localSheetId="2" hidden="1">#REF!</definedName>
    <definedName name="이월" localSheetId="9" hidden="1">#REF!</definedName>
    <definedName name="이월" localSheetId="13" hidden="1">#REF!</definedName>
    <definedName name="이월" localSheetId="0" hidden="1">#REF!</definedName>
    <definedName name="이월" hidden="1">#REF!</definedName>
    <definedName name="이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 localSheetId="3" hidden="1">{#N/A,#N/A,FALSE,"명세표"}</definedName>
    <definedName name="ㅈ" localSheetId="8" hidden="1">{#N/A,#N/A,FALSE,"명세표"}</definedName>
    <definedName name="ㅈ" localSheetId="2" hidden="1">{#N/A,#N/A,FALSE,"명세표"}</definedName>
    <definedName name="ㅈ" localSheetId="9" hidden="1">{#N/A,#N/A,FALSE,"명세표"}</definedName>
    <definedName name="ㅈ" localSheetId="13" hidden="1">{#N/A,#N/A,FALSE,"명세표"}</definedName>
    <definedName name="ㅈ" localSheetId="0" hidden="1">{#N/A,#N/A,FALSE,"명세표"}</definedName>
    <definedName name="ㅈ" hidden="1">{#N/A,#N/A,FALSE,"명세표"}</definedName>
    <definedName name="ㅈㅈㅈㅈ" localSheetId="3" hidden="1">{#N/A,#N/A,FALSE,"명세표"}</definedName>
    <definedName name="ㅈㅈㅈㅈ" localSheetId="8" hidden="1">{#N/A,#N/A,FALSE,"명세표"}</definedName>
    <definedName name="ㅈㅈㅈㅈ" localSheetId="2" hidden="1">{#N/A,#N/A,FALSE,"명세표"}</definedName>
    <definedName name="ㅈㅈㅈㅈ" localSheetId="9" hidden="1">{#N/A,#N/A,FALSE,"명세표"}</definedName>
    <definedName name="ㅈㅈㅈㅈ" localSheetId="13" hidden="1">{#N/A,#N/A,FALSE,"명세표"}</definedName>
    <definedName name="ㅈㅈㅈㅈ" localSheetId="0" hidden="1">{#N/A,#N/A,FALSE,"명세표"}</definedName>
    <definedName name="ㅈㅈㅈㅈ" hidden="1">{#N/A,#N/A,FALSE,"명세표"}</definedName>
    <definedName name="자미" localSheetId="3" hidden="1">{#N/A,#N/A,FALSE,"명세표"}</definedName>
    <definedName name="자미" localSheetId="8" hidden="1">{#N/A,#N/A,FALSE,"명세표"}</definedName>
    <definedName name="자미" localSheetId="2" hidden="1">{#N/A,#N/A,FALSE,"명세표"}</definedName>
    <definedName name="자미" localSheetId="9" hidden="1">{#N/A,#N/A,FALSE,"명세표"}</definedName>
    <definedName name="자미" localSheetId="13" hidden="1">{#N/A,#N/A,FALSE,"명세표"}</definedName>
    <definedName name="자미" localSheetId="0" hidden="1">{#N/A,#N/A,FALSE,"명세표"}</definedName>
    <definedName name="자미" hidden="1">{#N/A,#N/A,FALSE,"명세표"}</definedName>
    <definedName name="자운" localSheetId="3" hidden="1">#REF!</definedName>
    <definedName name="자운" localSheetId="8" hidden="1">#REF!</definedName>
    <definedName name="자운" localSheetId="2" hidden="1">#REF!</definedName>
    <definedName name="자운" localSheetId="9" hidden="1">#REF!</definedName>
    <definedName name="자운" localSheetId="13" hidden="1">#REF!</definedName>
    <definedName name="자운" localSheetId="0" hidden="1">#REF!</definedName>
    <definedName name="자운" hidden="1">#REF!</definedName>
    <definedName name="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 localSheetId="3" hidden="1">#REF!</definedName>
    <definedName name="전계장금액" localSheetId="8" hidden="1">#REF!</definedName>
    <definedName name="전계장금액" localSheetId="2" hidden="1">#REF!</definedName>
    <definedName name="전계장금액" localSheetId="9" hidden="1">#REF!</definedName>
    <definedName name="전계장금액" localSheetId="13" hidden="1">#REF!</definedName>
    <definedName name="전계장금액" localSheetId="0" hidden="1">#REF!</definedName>
    <definedName name="전계장금액" hidden="1">#REF!</definedName>
    <definedName name="전기사양_SAMPL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 localSheetId="3" hidden="1">#REF!</definedName>
    <definedName name="전선조장" localSheetId="8" hidden="1">#REF!</definedName>
    <definedName name="전선조장" localSheetId="2" hidden="1">#REF!</definedName>
    <definedName name="전선조장" localSheetId="9" hidden="1">#REF!</definedName>
    <definedName name="전선조장" localSheetId="13" hidden="1">#REF!</definedName>
    <definedName name="전선조장" localSheetId="0" hidden="1">#REF!</definedName>
    <definedName name="전선조장" hidden="1">#REF!</definedName>
    <definedName name="조직표현장" localSheetId="2" hidden="1">#REF!</definedName>
    <definedName name="조직표현장" localSheetId="0" hidden="1">#REF!</definedName>
    <definedName name="조직표현장" hidden="1">#REF!</definedName>
    <definedName name="종합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 localSheetId="3" hidden="1">{#N/A,#N/A,FALSE,"ENG'G(보호계전기)"}</definedName>
    <definedName name="중량비교검토" localSheetId="8" hidden="1">{#N/A,#N/A,FALSE,"ENG'G(보호계전기)"}</definedName>
    <definedName name="중량비교검토" localSheetId="2" hidden="1">{#N/A,#N/A,FALSE,"ENG'G(보호계전기)"}</definedName>
    <definedName name="중량비교검토" localSheetId="9" hidden="1">{#N/A,#N/A,FALSE,"ENG'G(보호계전기)"}</definedName>
    <definedName name="중량비교검토" localSheetId="13" hidden="1">{#N/A,#N/A,FALSE,"ENG'G(보호계전기)"}</definedName>
    <definedName name="중량비교검토" localSheetId="0" hidden="1">{#N/A,#N/A,FALSE,"ENG'G(보호계전기)"}</definedName>
    <definedName name="중량비교검토" hidden="1">{#N/A,#N/A,FALSE,"ENG'G(보호계전기)"}</definedName>
    <definedName name="집계" localSheetId="3" hidden="1">{#N/A,#N/A,FALSE,"명세표"}</definedName>
    <definedName name="집계" localSheetId="8" hidden="1">{#N/A,#N/A,FALSE,"명세표"}</definedName>
    <definedName name="집계" localSheetId="2" hidden="1">{#N/A,#N/A,FALSE,"명세표"}</definedName>
    <definedName name="집계" localSheetId="9" hidden="1">{#N/A,#N/A,FALSE,"명세표"}</definedName>
    <definedName name="집계" localSheetId="13" hidden="1">{#N/A,#N/A,FALSE,"명세표"}</definedName>
    <definedName name="집계" localSheetId="0" hidden="1">{#N/A,#N/A,FALSE,"명세표"}</definedName>
    <definedName name="집계" hidden="1">{#N/A,#N/A,FALSE,"명세표"}</definedName>
    <definedName name="철골공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 localSheetId="3" hidden="1">{#N/A,#N/A,FALSE,"명세표"}</definedName>
    <definedName name="ㅋㅁ" localSheetId="8" hidden="1">{#N/A,#N/A,FALSE,"명세표"}</definedName>
    <definedName name="ㅋㅁ" localSheetId="2" hidden="1">{#N/A,#N/A,FALSE,"명세표"}</definedName>
    <definedName name="ㅋㅁ" localSheetId="9" hidden="1">{#N/A,#N/A,FALSE,"명세표"}</definedName>
    <definedName name="ㅋㅁ" localSheetId="13" hidden="1">{#N/A,#N/A,FALSE,"명세표"}</definedName>
    <definedName name="ㅋㅁ" localSheetId="0" hidden="1">{#N/A,#N/A,FALSE,"명세표"}</definedName>
    <definedName name="ㅋㅁ" hidden="1">{#N/A,#N/A,FALSE,"명세표"}</definedName>
    <definedName name="ㅋㅋㅋ" localSheetId="3" hidden="1">{#N/A,#N/A,FALSE,"명세표"}</definedName>
    <definedName name="ㅋㅋㅋ" localSheetId="8" hidden="1">{#N/A,#N/A,FALSE,"명세표"}</definedName>
    <definedName name="ㅋㅋㅋ" localSheetId="2" hidden="1">{#N/A,#N/A,FALSE,"명세표"}</definedName>
    <definedName name="ㅋㅋㅋ" localSheetId="9" hidden="1">{#N/A,#N/A,FALSE,"명세표"}</definedName>
    <definedName name="ㅋㅋㅋ" localSheetId="13" hidden="1">{#N/A,#N/A,FALSE,"명세표"}</definedName>
    <definedName name="ㅋㅋㅋ" localSheetId="0" hidden="1">{#N/A,#N/A,FALSE,"명세표"}</definedName>
    <definedName name="ㅋㅋㅋ" hidden="1">{#N/A,#N/A,FALSE,"명세표"}</definedName>
    <definedName name="ㅌㅌ" localSheetId="3" hidden="1">{#N/A,#N/A,FALSE,"명세표"}</definedName>
    <definedName name="ㅌㅌ" localSheetId="8" hidden="1">{#N/A,#N/A,FALSE,"명세표"}</definedName>
    <definedName name="ㅌㅌ" localSheetId="2" hidden="1">{#N/A,#N/A,FALSE,"명세표"}</definedName>
    <definedName name="ㅌㅌ" localSheetId="9" hidden="1">{#N/A,#N/A,FALSE,"명세표"}</definedName>
    <definedName name="ㅌㅌ" localSheetId="13" hidden="1">{#N/A,#N/A,FALSE,"명세표"}</definedName>
    <definedName name="ㅌㅌ" localSheetId="0" hidden="1">{#N/A,#N/A,FALSE,"명세표"}</definedName>
    <definedName name="ㅌㅌ" hidden="1">{#N/A,#N/A,FALSE,"명세표"}</definedName>
    <definedName name="토"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 localSheetId="3" hidden="1">{"'장비'!$A$3:$M$12"}</definedName>
    <definedName name="ㅎㅎㅎㅎ" localSheetId="8" hidden="1">{"'장비'!$A$3:$M$12"}</definedName>
    <definedName name="ㅎㅎㅎㅎ" localSheetId="2" hidden="1">{"'장비'!$A$3:$M$12"}</definedName>
    <definedName name="ㅎㅎㅎㅎ" localSheetId="9" hidden="1">{"'장비'!$A$3:$M$12"}</definedName>
    <definedName name="ㅎㅎㅎㅎ" localSheetId="13" hidden="1">{"'장비'!$A$3:$M$12"}</definedName>
    <definedName name="ㅎㅎㅎㅎ" localSheetId="0" hidden="1">{"'장비'!$A$3:$M$12"}</definedName>
    <definedName name="ㅎㅎㅎㅎ" hidden="1">{"'장비'!$A$3:$M$12"}</definedName>
    <definedName name="하하하" localSheetId="3" hidden="1">{#N/A,#N/A,FALSE,"명세표"}</definedName>
    <definedName name="하하하" localSheetId="8" hidden="1">{#N/A,#N/A,FALSE,"명세표"}</definedName>
    <definedName name="하하하" localSheetId="2" hidden="1">{#N/A,#N/A,FALSE,"명세표"}</definedName>
    <definedName name="하하하" localSheetId="9" hidden="1">{#N/A,#N/A,FALSE,"명세표"}</definedName>
    <definedName name="하하하" localSheetId="13" hidden="1">{#N/A,#N/A,FALSE,"명세표"}</definedName>
    <definedName name="하하하" localSheetId="0" hidden="1">{#N/A,#N/A,FALSE,"명세표"}</definedName>
    <definedName name="하하하" hidden="1">{#N/A,#N/A,FALSE,"명세표"}</definedName>
    <definedName name="한국"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한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 localSheetId="3" hidden="1">{#N/A,#N/A,FALSE,"명세표"}</definedName>
    <definedName name="호호호" localSheetId="8" hidden="1">{#N/A,#N/A,FALSE,"명세표"}</definedName>
    <definedName name="호호호" localSheetId="2" hidden="1">{#N/A,#N/A,FALSE,"명세표"}</definedName>
    <definedName name="호호호" localSheetId="9" hidden="1">{#N/A,#N/A,FALSE,"명세표"}</definedName>
    <definedName name="호호호" localSheetId="13" hidden="1">{#N/A,#N/A,FALSE,"명세표"}</definedName>
    <definedName name="호호호" localSheetId="0" hidden="1">{#N/A,#N/A,FALSE,"명세표"}</definedName>
    <definedName name="호호호" hidden="1">{#N/A,#N/A,FALSE,"명세표"}</definedName>
    <definedName name="ㅏㅏㅏ" localSheetId="3" hidden="1">{#N/A,#N/A,FALSE,"명세표"}</definedName>
    <definedName name="ㅏㅏㅏ" localSheetId="8" hidden="1">{#N/A,#N/A,FALSE,"명세표"}</definedName>
    <definedName name="ㅏㅏㅏ" localSheetId="2" hidden="1">{#N/A,#N/A,FALSE,"명세표"}</definedName>
    <definedName name="ㅏㅏㅏ" localSheetId="9" hidden="1">{#N/A,#N/A,FALSE,"명세표"}</definedName>
    <definedName name="ㅏㅏㅏ" localSheetId="13" hidden="1">{#N/A,#N/A,FALSE,"명세표"}</definedName>
    <definedName name="ㅏㅏㅏ" localSheetId="0" hidden="1">{#N/A,#N/A,FALSE,"명세표"}</definedName>
    <definedName name="ㅏㅏㅏ" hidden="1">{#N/A,#N/A,FALSE,"명세표"}</definedName>
    <definedName name="ㅔㅔ" localSheetId="3" hidden="1">{#N/A,#N/A,FALSE,"명세표"}</definedName>
    <definedName name="ㅔㅔ" localSheetId="8" hidden="1">{#N/A,#N/A,FALSE,"명세표"}</definedName>
    <definedName name="ㅔㅔ" localSheetId="2" hidden="1">{#N/A,#N/A,FALSE,"명세표"}</definedName>
    <definedName name="ㅔㅔ" localSheetId="9" hidden="1">{#N/A,#N/A,FALSE,"명세표"}</definedName>
    <definedName name="ㅔㅔ" localSheetId="13" hidden="1">{#N/A,#N/A,FALSE,"명세표"}</definedName>
    <definedName name="ㅔㅔ" localSheetId="0" hidden="1">{#N/A,#N/A,FALSE,"명세표"}</definedName>
    <definedName name="ㅔㅔ" hidden="1">{#N/A,#N/A,FALSE,"명세표"}</definedName>
    <definedName name="ㅔㅔㅔㅔㅔ"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 localSheetId="3" hidden="1">{"'장비'!$A$3:$M$12"}</definedName>
    <definedName name="ㅗ홓ㅎ로" localSheetId="8" hidden="1">{"'장비'!$A$3:$M$12"}</definedName>
    <definedName name="ㅗ홓ㅎ로" localSheetId="2" hidden="1">{"'장비'!$A$3:$M$12"}</definedName>
    <definedName name="ㅗ홓ㅎ로" localSheetId="9" hidden="1">{"'장비'!$A$3:$M$12"}</definedName>
    <definedName name="ㅗ홓ㅎ로" localSheetId="13" hidden="1">{"'장비'!$A$3:$M$12"}</definedName>
    <definedName name="ㅗ홓ㅎ로" localSheetId="0" hidden="1">{"'장비'!$A$3:$M$12"}</definedName>
    <definedName name="ㅗ홓ㅎ로" hidden="1">{"'장비'!$A$3:$M$12"}</definedName>
    <definedName name="ㅗㅗ" localSheetId="3" hidden="1">{#N/A,#N/A,FALSE,"명세표"}</definedName>
    <definedName name="ㅗㅗ" localSheetId="8" hidden="1">{#N/A,#N/A,FALSE,"명세표"}</definedName>
    <definedName name="ㅗㅗ" localSheetId="2" hidden="1">{#N/A,#N/A,FALSE,"명세표"}</definedName>
    <definedName name="ㅗㅗ" localSheetId="9" hidden="1">{#N/A,#N/A,FALSE,"명세표"}</definedName>
    <definedName name="ㅗㅗ" localSheetId="13" hidden="1">{#N/A,#N/A,FALSE,"명세표"}</definedName>
    <definedName name="ㅗㅗ" localSheetId="0" hidden="1">{#N/A,#N/A,FALSE,"명세표"}</definedName>
    <definedName name="ㅗㅗ" hidden="1">{#N/A,#N/A,FALSE,"명세표"}</definedName>
    <definedName name="ㅗㅗㅗㅗㅗ" localSheetId="3" hidden="1">{"'장비'!$A$3:$M$12"}</definedName>
    <definedName name="ㅗㅗㅗㅗㅗ" localSheetId="8" hidden="1">{"'장비'!$A$3:$M$12"}</definedName>
    <definedName name="ㅗㅗㅗㅗㅗ" localSheetId="2" hidden="1">{"'장비'!$A$3:$M$12"}</definedName>
    <definedName name="ㅗㅗㅗㅗㅗ" localSheetId="9" hidden="1">{"'장비'!$A$3:$M$12"}</definedName>
    <definedName name="ㅗㅗㅗㅗㅗ" localSheetId="13" hidden="1">{"'장비'!$A$3:$M$12"}</definedName>
    <definedName name="ㅗㅗㅗㅗㅗ" localSheetId="0" hidden="1">{"'장비'!$A$3:$M$12"}</definedName>
    <definedName name="ㅗㅗㅗㅗㅗ" hidden="1">{"'장비'!$A$3:$M$12"}</definedName>
    <definedName name="ㅛ" localSheetId="3" hidden="1">{"'장비'!$A$3:$M$12"}</definedName>
    <definedName name="ㅛ" localSheetId="8" hidden="1">{"'장비'!$A$3:$M$12"}</definedName>
    <definedName name="ㅛ" localSheetId="2" hidden="1">{"'장비'!$A$3:$M$12"}</definedName>
    <definedName name="ㅛ" localSheetId="9" hidden="1">{"'장비'!$A$3:$M$12"}</definedName>
    <definedName name="ㅛ" localSheetId="13" hidden="1">{"'장비'!$A$3:$M$12"}</definedName>
    <definedName name="ㅛ" localSheetId="0" hidden="1">{"'장비'!$A$3:$M$12"}</definedName>
    <definedName name="ㅛ" hidden="1">{"'장비'!$A$3:$M$12"}</definedName>
    <definedName name="ㅛㅕㅛㅕㅛ"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ㅕㅛㅕㅛ"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 localSheetId="3" hidden="1">{"'장비'!$A$3:$M$12"}</definedName>
    <definedName name="ㅛㅛㅛ" localSheetId="8" hidden="1">{"'장비'!$A$3:$M$12"}</definedName>
    <definedName name="ㅛㅛㅛ" localSheetId="2" hidden="1">{"'장비'!$A$3:$M$12"}</definedName>
    <definedName name="ㅛㅛㅛ" localSheetId="9" hidden="1">{"'장비'!$A$3:$M$12"}</definedName>
    <definedName name="ㅛㅛㅛ" localSheetId="13" hidden="1">{"'장비'!$A$3:$M$12"}</definedName>
    <definedName name="ㅛㅛㅛ" localSheetId="0" hidden="1">{"'장비'!$A$3:$M$12"}</definedName>
    <definedName name="ㅛㅛㅛ" hidden="1">{"'장비'!$A$3:$M$12"}</definedName>
    <definedName name="ㅜ" localSheetId="3" hidden="1">{#N/A,#N/A,FALSE,"명세표"}</definedName>
    <definedName name="ㅜ" localSheetId="8" hidden="1">{#N/A,#N/A,FALSE,"명세표"}</definedName>
    <definedName name="ㅜ" localSheetId="2" hidden="1">{#N/A,#N/A,FALSE,"명세표"}</definedName>
    <definedName name="ㅜ" localSheetId="9" hidden="1">{#N/A,#N/A,FALSE,"명세표"}</definedName>
    <definedName name="ㅜ" localSheetId="13" hidden="1">{#N/A,#N/A,FALSE,"명세표"}</definedName>
    <definedName name="ㅜ" localSheetId="0" hidden="1">{#N/A,#N/A,FALSE,"명세표"}</definedName>
    <definedName name="ㅜ" hidden="1">{#N/A,#N/A,FALSE,"명세표"}</definedName>
    <definedName name="ㅠㅠ"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ㅠ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 localSheetId="3" hidden="1">{#N/A,#N/A,FALSE,"명세표"}</definedName>
    <definedName name="ㅡㅡ" localSheetId="8" hidden="1">{#N/A,#N/A,FALSE,"명세표"}</definedName>
    <definedName name="ㅡㅡ" localSheetId="2" hidden="1">{#N/A,#N/A,FALSE,"명세표"}</definedName>
    <definedName name="ㅡㅡ" localSheetId="9" hidden="1">{#N/A,#N/A,FALSE,"명세표"}</definedName>
    <definedName name="ㅡㅡ" localSheetId="13" hidden="1">{#N/A,#N/A,FALSE,"명세표"}</definedName>
    <definedName name="ㅡㅡ" localSheetId="0" hidden="1">{#N/A,#N/A,FALSE,"명세표"}</definedName>
    <definedName name="ㅡㅡ" hidden="1">{#N/A,#N/A,FALSE,"명세표"}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1" roundtripDataChecksum="wOGlddagzeJmMyz/ZP1L6C2W/Qm0mXSgKejek6JgjyQ="/>
    </ext>
  </extLst>
</workbook>
</file>

<file path=xl/calcChain.xml><?xml version="1.0" encoding="utf-8"?>
<calcChain xmlns="http://schemas.openxmlformats.org/spreadsheetml/2006/main">
  <c r="O353" i="36" l="1"/>
  <c r="O280" i="36"/>
  <c r="O337" i="36"/>
  <c r="O169" i="36"/>
  <c r="D9" i="5"/>
  <c r="D10" i="5" s="1"/>
  <c r="D11" i="5" s="1"/>
  <c r="D12" i="5" s="1"/>
  <c r="D13" i="5" s="1"/>
  <c r="D14" i="5" s="1"/>
  <c r="D15" i="5" s="1"/>
  <c r="D16" i="5" s="1"/>
  <c r="D17" i="5" s="1"/>
  <c r="D18" i="5" s="1"/>
  <c r="D19" i="5" s="1"/>
  <c r="D20" i="5" s="1"/>
  <c r="D21" i="5" s="1"/>
  <c r="D22" i="5" s="1"/>
  <c r="D23" i="5" s="1"/>
  <c r="D24" i="5" s="1"/>
  <c r="D25" i="5" s="1"/>
  <c r="D26" i="5" s="1"/>
  <c r="D27" i="5" s="1"/>
  <c r="D28" i="5" s="1"/>
  <c r="D29" i="5" s="1"/>
  <c r="D30" i="5" s="1"/>
  <c r="D31" i="5" s="1"/>
  <c r="E10" i="5"/>
  <c r="E11" i="5" s="1"/>
  <c r="E12" i="5" s="1"/>
  <c r="E13" i="5" s="1"/>
  <c r="E14" i="5" s="1"/>
  <c r="E15" i="5" s="1"/>
  <c r="E16" i="5"/>
  <c r="E17" i="5" s="1"/>
  <c r="E18" i="5" s="1"/>
  <c r="E19" i="5" s="1"/>
  <c r="E20" i="5" s="1"/>
  <c r="E21" i="5" s="1"/>
  <c r="E22" i="5" s="1"/>
  <c r="E23" i="5" s="1"/>
  <c r="E24" i="5" s="1"/>
  <c r="E25" i="5" s="1"/>
  <c r="E26" i="5" s="1"/>
  <c r="E27" i="5"/>
  <c r="E28" i="5" s="1"/>
  <c r="E29" i="5" s="1"/>
  <c r="E30" i="5"/>
  <c r="E31" i="5" s="1"/>
  <c r="E32" i="5" s="1"/>
  <c r="D32" i="5"/>
  <c r="D33" i="5" s="1"/>
  <c r="D34" i="5" s="1"/>
  <c r="D35" i="5" s="1"/>
  <c r="D36" i="5" s="1"/>
  <c r="D37" i="5" s="1"/>
  <c r="D38" i="5" s="1"/>
  <c r="D39" i="5" s="1"/>
  <c r="D40" i="5" s="1"/>
  <c r="D41" i="5" s="1"/>
  <c r="D42" i="5" s="1"/>
  <c r="D43" i="5" s="1"/>
  <c r="D44" i="5" s="1"/>
  <c r="D45" i="5" s="1"/>
  <c r="D46" i="5" s="1"/>
  <c r="D47" i="5" s="1"/>
  <c r="D48" i="5" s="1"/>
  <c r="E33" i="5"/>
  <c r="E34" i="5" s="1"/>
  <c r="E35" i="5"/>
  <c r="E36" i="5" s="1"/>
  <c r="E37" i="5" s="1"/>
  <c r="E38" i="5" s="1"/>
  <c r="E39" i="5" s="1"/>
  <c r="E40" i="5" s="1"/>
  <c r="E41" i="5" s="1"/>
  <c r="E42" i="5" s="1"/>
  <c r="E43" i="5" s="1"/>
  <c r="E44" i="5" s="1"/>
  <c r="E45" i="5"/>
  <c r="E46" i="5" s="1"/>
  <c r="E47" i="5" s="1"/>
  <c r="E48" i="5" s="1"/>
  <c r="E49" i="5" s="1"/>
  <c r="C48" i="5"/>
  <c r="C49" i="5" s="1"/>
  <c r="C50" i="5" s="1"/>
  <c r="C51" i="5" s="1"/>
  <c r="C52" i="5" s="1"/>
  <c r="C53" i="5" s="1"/>
  <c r="C54" i="5" s="1"/>
  <c r="C55" i="5" s="1"/>
  <c r="C56" i="5" s="1"/>
  <c r="C57" i="5" s="1"/>
  <c r="C58" i="5" s="1"/>
  <c r="C59" i="5" s="1"/>
  <c r="C60" i="5" s="1"/>
  <c r="C61" i="5" s="1"/>
  <c r="C62" i="5" s="1"/>
  <c r="C63" i="5" s="1"/>
  <c r="C64" i="5" s="1"/>
  <c r="C65" i="5" s="1"/>
  <c r="C66" i="5" s="1"/>
  <c r="C67" i="5" s="1"/>
  <c r="C68" i="5" s="1"/>
  <c r="C69" i="5" s="1"/>
  <c r="C70" i="5" s="1"/>
  <c r="C71" i="5" s="1"/>
  <c r="C72" i="5" s="1"/>
  <c r="C73" i="5" s="1"/>
  <c r="C74" i="5" s="1"/>
  <c r="C75" i="5" s="1"/>
  <c r="C76" i="5" s="1"/>
  <c r="C77" i="5" s="1"/>
  <c r="C78" i="5" s="1"/>
  <c r="C79" i="5" s="1"/>
  <c r="C80" i="5" s="1"/>
  <c r="C81" i="5" s="1"/>
  <c r="C82" i="5" s="1"/>
  <c r="C83" i="5" s="1"/>
  <c r="C84" i="5" s="1"/>
  <c r="C85" i="5" s="1"/>
  <c r="C86" i="5" s="1"/>
  <c r="C87" i="5" s="1"/>
  <c r="C88" i="5" s="1"/>
  <c r="C89" i="5" s="1"/>
  <c r="C90" i="5" s="1"/>
  <c r="C91" i="5" s="1"/>
  <c r="C92" i="5" s="1"/>
  <c r="C93" i="5" s="1"/>
  <c r="C94" i="5" s="1"/>
  <c r="C95" i="5" s="1"/>
  <c r="C96" i="5" s="1"/>
  <c r="C97" i="5" s="1"/>
  <c r="C98" i="5" s="1"/>
  <c r="C99" i="5" s="1"/>
  <c r="C100" i="5" s="1"/>
  <c r="D49" i="5"/>
  <c r="D50" i="5" s="1"/>
  <c r="D51" i="5" s="1"/>
  <c r="D52" i="5" s="1"/>
  <c r="D53" i="5" s="1"/>
  <c r="D54" i="5" s="1"/>
  <c r="D55" i="5" s="1"/>
  <c r="D56" i="5" s="1"/>
  <c r="D57" i="5" s="1"/>
  <c r="D58" i="5" s="1"/>
  <c r="D59" i="5" s="1"/>
  <c r="D60" i="5" s="1"/>
  <c r="D61" i="5" s="1"/>
  <c r="D62" i="5" s="1"/>
  <c r="D63" i="5" s="1"/>
  <c r="D64" i="5" s="1"/>
  <c r="D65" i="5" s="1"/>
  <c r="D66" i="5" s="1"/>
  <c r="D67" i="5" s="1"/>
  <c r="E50" i="5"/>
  <c r="E51" i="5" s="1"/>
  <c r="E52" i="5" s="1"/>
  <c r="E53" i="5" s="1"/>
  <c r="E54" i="5"/>
  <c r="E55" i="5" s="1"/>
  <c r="E56" i="5" s="1"/>
  <c r="E57" i="5" s="1"/>
  <c r="E58" i="5" s="1"/>
  <c r="E59" i="5" s="1"/>
  <c r="E60" i="5" s="1"/>
  <c r="E61" i="5" s="1"/>
  <c r="E62" i="5"/>
  <c r="E63" i="5" s="1"/>
  <c r="E64" i="5" s="1"/>
  <c r="E65" i="5"/>
  <c r="E66" i="5" s="1"/>
  <c r="E67" i="5" s="1"/>
  <c r="E68" i="5" s="1"/>
  <c r="D68" i="5"/>
  <c r="D69" i="5" s="1"/>
  <c r="D70" i="5" s="1"/>
  <c r="D71" i="5" s="1"/>
  <c r="D72" i="5" s="1"/>
  <c r="D73" i="5" s="1"/>
  <c r="D74" i="5" s="1"/>
  <c r="D75" i="5" s="1"/>
  <c r="D76" i="5" s="1"/>
  <c r="D77" i="5" s="1"/>
  <c r="D78" i="5" s="1"/>
  <c r="D79" i="5" s="1"/>
  <c r="D80" i="5" s="1"/>
  <c r="D81" i="5" s="1"/>
  <c r="D82" i="5" s="1"/>
  <c r="D83" i="5" s="1"/>
  <c r="D84" i="5" s="1"/>
  <c r="D85" i="5" s="1"/>
  <c r="D86" i="5" s="1"/>
  <c r="D87" i="5" s="1"/>
  <c r="D88" i="5" s="1"/>
  <c r="D89" i="5" s="1"/>
  <c r="D90" i="5" s="1"/>
  <c r="D91" i="5" s="1"/>
  <c r="D92" i="5" s="1"/>
  <c r="D93" i="5" s="1"/>
  <c r="D94" i="5" s="1"/>
  <c r="D95" i="5" s="1"/>
  <c r="D96" i="5" s="1"/>
  <c r="D97" i="5" s="1"/>
  <c r="D98" i="5" s="1"/>
  <c r="D99" i="5" s="1"/>
  <c r="D100" i="5" s="1"/>
  <c r="D101" i="5" s="1"/>
  <c r="E69" i="5"/>
  <c r="E70" i="5" s="1"/>
  <c r="E71" i="5" s="1"/>
  <c r="E72" i="5" s="1"/>
  <c r="E73" i="5"/>
  <c r="E74" i="5" s="1"/>
  <c r="E75" i="5" s="1"/>
  <c r="E76" i="5" s="1"/>
  <c r="E77" i="5"/>
  <c r="E78" i="5" s="1"/>
  <c r="E79" i="5" s="1"/>
  <c r="E80" i="5" s="1"/>
  <c r="E81" i="5" s="1"/>
  <c r="E82" i="5" s="1"/>
  <c r="E83" i="5" s="1"/>
  <c r="E84" i="5" s="1"/>
  <c r="E85" i="5" s="1"/>
  <c r="E86" i="5" s="1"/>
  <c r="E87" i="5" s="1"/>
  <c r="E88" i="5" s="1"/>
  <c r="E89" i="5" s="1"/>
  <c r="E90" i="5"/>
  <c r="E91" i="5" s="1"/>
  <c r="E92" i="5" s="1"/>
  <c r="E93" i="5" s="1"/>
  <c r="E94" i="5" s="1"/>
  <c r="E95" i="5" s="1"/>
  <c r="E96" i="5"/>
  <c r="E97" i="5" s="1"/>
  <c r="E98" i="5" s="1"/>
  <c r="E99" i="5"/>
  <c r="E100" i="5" s="1"/>
  <c r="E101" i="5" s="1"/>
  <c r="E102" i="5" s="1"/>
  <c r="C101" i="5"/>
  <c r="C102" i="5" s="1"/>
  <c r="C103" i="5" s="1"/>
  <c r="C104" i="5" s="1"/>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1" i="5" s="1"/>
  <c r="C132" i="5" s="1"/>
  <c r="C133" i="5" s="1"/>
  <c r="C134" i="5" s="1"/>
  <c r="C135" i="5" s="1"/>
  <c r="C136" i="5" s="1"/>
  <c r="C137" i="5" s="1"/>
  <c r="C138" i="5" s="1"/>
  <c r="C139" i="5" s="1"/>
  <c r="C140" i="5" s="1"/>
  <c r="C141" i="5" s="1"/>
  <c r="C142" i="5" s="1"/>
  <c r="C143" i="5" s="1"/>
  <c r="C144" i="5" s="1"/>
  <c r="C145" i="5" s="1"/>
  <c r="C146" i="5" s="1"/>
  <c r="C147" i="5" s="1"/>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169" i="5" s="1"/>
  <c r="C170" i="5" s="1"/>
  <c r="C171" i="5" s="1"/>
  <c r="C172" i="5" s="1"/>
  <c r="C173" i="5" s="1"/>
  <c r="C174" i="5" s="1"/>
  <c r="C175" i="5" s="1"/>
  <c r="C176" i="5" s="1"/>
  <c r="C177" i="5" s="1"/>
  <c r="C178" i="5" s="1"/>
  <c r="C179" i="5" s="1"/>
  <c r="C180" i="5" s="1"/>
  <c r="C181" i="5" s="1"/>
  <c r="C182" i="5" s="1"/>
  <c r="C183" i="5" s="1"/>
  <c r="C184" i="5" s="1"/>
  <c r="C185" i="5" s="1"/>
  <c r="C186" i="5" s="1"/>
  <c r="C187" i="5" s="1"/>
  <c r="C188" i="5" s="1"/>
  <c r="C189" i="5" s="1"/>
  <c r="C190" i="5" s="1"/>
  <c r="C191" i="5" s="1"/>
  <c r="C192" i="5" s="1"/>
  <c r="C193" i="5" s="1"/>
  <c r="C194" i="5" s="1"/>
  <c r="C195" i="5" s="1"/>
  <c r="C196" i="5" s="1"/>
  <c r="C197" i="5" s="1"/>
  <c r="C198" i="5" s="1"/>
  <c r="C199" i="5" s="1"/>
  <c r="C200" i="5" s="1"/>
  <c r="C201" i="5" s="1"/>
  <c r="C202" i="5" s="1"/>
  <c r="C203" i="5" s="1"/>
  <c r="C204" i="5" s="1"/>
  <c r="C205" i="5" s="1"/>
  <c r="C206" i="5" s="1"/>
  <c r="C207" i="5" s="1"/>
  <c r="C208" i="5" s="1"/>
  <c r="C209" i="5" s="1"/>
  <c r="C210" i="5" s="1"/>
  <c r="C211" i="5" s="1"/>
  <c r="C212" i="5" s="1"/>
  <c r="C213" i="5" s="1"/>
  <c r="C214" i="5" s="1"/>
  <c r="C215" i="5" s="1"/>
  <c r="C216" i="5" s="1"/>
  <c r="C217" i="5" s="1"/>
  <c r="C218" i="5" s="1"/>
  <c r="C219" i="5" s="1"/>
  <c r="C220" i="5" s="1"/>
  <c r="C221" i="5" s="1"/>
  <c r="C222" i="5" s="1"/>
  <c r="C223" i="5" s="1"/>
  <c r="C224" i="5" s="1"/>
  <c r="C225" i="5" s="1"/>
  <c r="C226" i="5" s="1"/>
  <c r="C227" i="5" s="1"/>
  <c r="C228" i="5" s="1"/>
  <c r="C229" i="5" s="1"/>
  <c r="C230" i="5" s="1"/>
  <c r="C231" i="5" s="1"/>
  <c r="C232" i="5" s="1"/>
  <c r="C233" i="5" s="1"/>
  <c r="C234" i="5" s="1"/>
  <c r="C235" i="5" s="1"/>
  <c r="C236" i="5" s="1"/>
  <c r="C237" i="5" s="1"/>
  <c r="C238" i="5" s="1"/>
  <c r="C239" i="5" s="1"/>
  <c r="C240" i="5" s="1"/>
  <c r="C241" i="5" s="1"/>
  <c r="C242" i="5" s="1"/>
  <c r="C243" i="5" s="1"/>
  <c r="C244" i="5" s="1"/>
  <c r="C245" i="5" s="1"/>
  <c r="C246" i="5" s="1"/>
  <c r="C247" i="5" s="1"/>
  <c r="C248" i="5" s="1"/>
  <c r="C249" i="5" s="1"/>
  <c r="C250" i="5" s="1"/>
  <c r="C251" i="5" s="1"/>
  <c r="C252" i="5" s="1"/>
  <c r="C253" i="5" s="1"/>
  <c r="C254" i="5" s="1"/>
  <c r="C255" i="5" s="1"/>
  <c r="C256" i="5" s="1"/>
  <c r="C257" i="5" s="1"/>
  <c r="C258" i="5" s="1"/>
  <c r="C259" i="5" s="1"/>
  <c r="C260" i="5" s="1"/>
  <c r="C261" i="5" s="1"/>
  <c r="C262" i="5" s="1"/>
  <c r="C263" i="5" s="1"/>
  <c r="C264" i="5" s="1"/>
  <c r="C265" i="5" s="1"/>
  <c r="C266" i="5" s="1"/>
  <c r="C267" i="5" s="1"/>
  <c r="C268" i="5" s="1"/>
  <c r="C269" i="5" s="1"/>
  <c r="C270" i="5" s="1"/>
  <c r="C271" i="5" s="1"/>
  <c r="C272" i="5" s="1"/>
  <c r="C273" i="5" s="1"/>
  <c r="C274" i="5" s="1"/>
  <c r="C275" i="5" s="1"/>
  <c r="C276" i="5" s="1"/>
  <c r="C277" i="5" s="1"/>
  <c r="C278" i="5" s="1"/>
  <c r="C279" i="5" s="1"/>
  <c r="C280" i="5" s="1"/>
  <c r="C281" i="5" s="1"/>
  <c r="C282" i="5" s="1"/>
  <c r="C283" i="5" s="1"/>
  <c r="C284" i="5" s="1"/>
  <c r="C285" i="5" s="1"/>
  <c r="C286" i="5" s="1"/>
  <c r="C287" i="5" s="1"/>
  <c r="C288" i="5" s="1"/>
  <c r="C289" i="5" s="1"/>
  <c r="C290" i="5" s="1"/>
  <c r="C291" i="5" s="1"/>
  <c r="C292" i="5" s="1"/>
  <c r="C293" i="5" s="1"/>
  <c r="C294" i="5" s="1"/>
  <c r="C295" i="5" s="1"/>
  <c r="C296" i="5" s="1"/>
  <c r="C297" i="5" s="1"/>
  <c r="C298" i="5" s="1"/>
  <c r="C299" i="5" s="1"/>
  <c r="C300" i="5" s="1"/>
  <c r="C301" i="5" s="1"/>
  <c r="C302" i="5" s="1"/>
  <c r="C303" i="5" s="1"/>
  <c r="C304" i="5" s="1"/>
  <c r="C305" i="5" s="1"/>
  <c r="C306" i="5" s="1"/>
  <c r="C307" i="5" s="1"/>
  <c r="C308" i="5" s="1"/>
  <c r="C309" i="5" s="1"/>
  <c r="C310" i="5" s="1"/>
  <c r="C311" i="5" s="1"/>
  <c r="C312" i="5" s="1"/>
  <c r="C313" i="5" s="1"/>
  <c r="C314" i="5" s="1"/>
  <c r="C315" i="5" s="1"/>
  <c r="C316" i="5" s="1"/>
  <c r="C317" i="5" s="1"/>
  <c r="C318" i="5" s="1"/>
  <c r="C319" i="5" s="1"/>
  <c r="C320" i="5" s="1"/>
  <c r="C321" i="5" s="1"/>
  <c r="C322" i="5" s="1"/>
  <c r="C323" i="5" s="1"/>
  <c r="C324" i="5" s="1"/>
  <c r="C325" i="5" s="1"/>
  <c r="C326" i="5" s="1"/>
  <c r="C327" i="5" s="1"/>
  <c r="C328" i="5" s="1"/>
  <c r="C329" i="5" s="1"/>
  <c r="C330" i="5" s="1"/>
  <c r="C331" i="5" s="1"/>
  <c r="C332" i="5" s="1"/>
  <c r="C333" i="5" s="1"/>
  <c r="C334" i="5" s="1"/>
  <c r="C335" i="5" s="1"/>
  <c r="C336" i="5" s="1"/>
  <c r="C337" i="5" s="1"/>
  <c r="C338" i="5" s="1"/>
  <c r="C339" i="5" s="1"/>
  <c r="C340" i="5" s="1"/>
  <c r="C341" i="5" s="1"/>
  <c r="C342" i="5" s="1"/>
  <c r="C343" i="5" s="1"/>
  <c r="C344" i="5" s="1"/>
  <c r="C345" i="5" s="1"/>
  <c r="C346" i="5" s="1"/>
  <c r="C347" i="5" s="1"/>
  <c r="C348" i="5" s="1"/>
  <c r="C349" i="5" s="1"/>
  <c r="C350" i="5" s="1"/>
  <c r="C351" i="5" s="1"/>
  <c r="C352" i="5" s="1"/>
  <c r="C353" i="5" s="1"/>
  <c r="C354" i="5" s="1"/>
  <c r="C355" i="5" s="1"/>
  <c r="C356" i="5" s="1"/>
  <c r="C357" i="5" s="1"/>
  <c r="C358" i="5" s="1"/>
  <c r="C359" i="5" s="1"/>
  <c r="C360" i="5" s="1"/>
  <c r="C361" i="5" s="1"/>
  <c r="C362" i="5" s="1"/>
  <c r="C363" i="5" s="1"/>
  <c r="C364" i="5" s="1"/>
  <c r="C365" i="5" s="1"/>
  <c r="C366" i="5" s="1"/>
  <c r="C367" i="5" s="1"/>
  <c r="C368" i="5" s="1"/>
  <c r="C369" i="5" s="1"/>
  <c r="C370" i="5" s="1"/>
  <c r="C371" i="5" s="1"/>
  <c r="C372" i="5" s="1"/>
  <c r="C373" i="5" s="1"/>
  <c r="C374" i="5" s="1"/>
  <c r="C375" i="5" s="1"/>
  <c r="C376" i="5" s="1"/>
  <c r="C377" i="5" s="1"/>
  <c r="C378" i="5" s="1"/>
  <c r="C379" i="5" s="1"/>
  <c r="C380" i="5" s="1"/>
  <c r="C381" i="5" s="1"/>
  <c r="C382" i="5" s="1"/>
  <c r="C383" i="5" s="1"/>
  <c r="C384" i="5" s="1"/>
  <c r="C385" i="5" s="1"/>
  <c r="C386" i="5" s="1"/>
  <c r="C387" i="5" s="1"/>
  <c r="C388" i="5" s="1"/>
  <c r="C389" i="5" s="1"/>
  <c r="C390" i="5" s="1"/>
  <c r="C391" i="5" s="1"/>
  <c r="C392" i="5" s="1"/>
  <c r="C393" i="5" s="1"/>
  <c r="C394" i="5" s="1"/>
  <c r="C395" i="5" s="1"/>
  <c r="C396" i="5" s="1"/>
  <c r="C397" i="5" s="1"/>
  <c r="C398" i="5" s="1"/>
  <c r="C399" i="5" s="1"/>
  <c r="C400" i="5" s="1"/>
  <c r="C401" i="5" s="1"/>
  <c r="C402" i="5" s="1"/>
  <c r="C403" i="5" s="1"/>
  <c r="C404" i="5" s="1"/>
  <c r="C405" i="5" s="1"/>
  <c r="C406" i="5" s="1"/>
  <c r="C407" i="5" s="1"/>
  <c r="C408" i="5" s="1"/>
  <c r="C409" i="5" s="1"/>
  <c r="C410" i="5" s="1"/>
  <c r="C411" i="5" s="1"/>
  <c r="C412" i="5" s="1"/>
  <c r="C413" i="5" s="1"/>
  <c r="C414" i="5" s="1"/>
  <c r="C415" i="5" s="1"/>
  <c r="C416" i="5" s="1"/>
  <c r="C417" i="5" s="1"/>
  <c r="C418" i="5" s="1"/>
  <c r="C419" i="5" s="1"/>
  <c r="C420" i="5" s="1"/>
  <c r="C421" i="5" s="1"/>
  <c r="C422" i="5" s="1"/>
  <c r="C423" i="5" s="1"/>
  <c r="C424" i="5" s="1"/>
  <c r="C425" i="5" s="1"/>
  <c r="C426" i="5" s="1"/>
  <c r="C427" i="5" s="1"/>
  <c r="C428" i="5" s="1"/>
  <c r="C429" i="5" s="1"/>
  <c r="C430" i="5" s="1"/>
  <c r="C431" i="5" s="1"/>
  <c r="C432" i="5" s="1"/>
  <c r="C433" i="5" s="1"/>
  <c r="C434" i="5" s="1"/>
  <c r="C435" i="5" s="1"/>
  <c r="C436" i="5" s="1"/>
  <c r="C437" i="5" s="1"/>
  <c r="C438" i="5" s="1"/>
  <c r="C439" i="5" s="1"/>
  <c r="C440" i="5" s="1"/>
  <c r="C441" i="5" s="1"/>
  <c r="C442" i="5" s="1"/>
  <c r="C443" i="5" s="1"/>
  <c r="C444" i="5" s="1"/>
  <c r="C445" i="5" s="1"/>
  <c r="C446" i="5" s="1"/>
  <c r="C447" i="5" s="1"/>
  <c r="C448" i="5" s="1"/>
  <c r="C449" i="5" s="1"/>
  <c r="C450" i="5" s="1"/>
  <c r="C451" i="5" s="1"/>
  <c r="C452" i="5" s="1"/>
  <c r="C453" i="5" s="1"/>
  <c r="C454" i="5" s="1"/>
  <c r="C455" i="5" s="1"/>
  <c r="C456" i="5" s="1"/>
  <c r="C457" i="5" s="1"/>
  <c r="C458" i="5" s="1"/>
  <c r="C459" i="5" s="1"/>
  <c r="C460" i="5" s="1"/>
  <c r="C461" i="5" s="1"/>
  <c r="C462" i="5" s="1"/>
  <c r="C463" i="5" s="1"/>
  <c r="C464" i="5" s="1"/>
  <c r="C465" i="5" s="1"/>
  <c r="C466" i="5" s="1"/>
  <c r="C467" i="5" s="1"/>
  <c r="C468" i="5" s="1"/>
  <c r="C469" i="5" s="1"/>
  <c r="C470" i="5" s="1"/>
  <c r="C471" i="5" s="1"/>
  <c r="C472" i="5" s="1"/>
  <c r="C473" i="5" s="1"/>
  <c r="C474" i="5" s="1"/>
  <c r="C475" i="5" s="1"/>
  <c r="C476" i="5" s="1"/>
  <c r="C477" i="5" s="1"/>
  <c r="C478" i="5" s="1"/>
  <c r="C479" i="5" s="1"/>
  <c r="C480" i="5" s="1"/>
  <c r="C481" i="5" s="1"/>
  <c r="C482" i="5" s="1"/>
  <c r="C483" i="5" s="1"/>
  <c r="C484" i="5" s="1"/>
  <c r="C485" i="5" s="1"/>
  <c r="C486" i="5" s="1"/>
  <c r="C487" i="5" s="1"/>
  <c r="C488" i="5" s="1"/>
  <c r="C489" i="5" s="1"/>
  <c r="C490" i="5" s="1"/>
  <c r="C491" i="5" s="1"/>
  <c r="C492" i="5" s="1"/>
  <c r="C493" i="5" s="1"/>
  <c r="C494" i="5" s="1"/>
  <c r="C495" i="5" s="1"/>
  <c r="C496" i="5" s="1"/>
  <c r="C497" i="5" s="1"/>
  <c r="C498" i="5" s="1"/>
  <c r="C499" i="5" s="1"/>
  <c r="C500" i="5" s="1"/>
  <c r="C501" i="5" s="1"/>
  <c r="C502" i="5" s="1"/>
  <c r="C503" i="5" s="1"/>
  <c r="C504" i="5" s="1"/>
  <c r="C505" i="5" s="1"/>
  <c r="C506" i="5" s="1"/>
  <c r="C507" i="5" s="1"/>
  <c r="C508" i="5" s="1"/>
  <c r="C509" i="5" s="1"/>
  <c r="C510" i="5" s="1"/>
  <c r="C511" i="5" s="1"/>
  <c r="C512" i="5" s="1"/>
  <c r="C513" i="5" s="1"/>
  <c r="C514" i="5" s="1"/>
  <c r="C515" i="5" s="1"/>
  <c r="C516" i="5" s="1"/>
  <c r="C517" i="5" s="1"/>
  <c r="C518" i="5" s="1"/>
  <c r="C519" i="5" s="1"/>
  <c r="C520" i="5" s="1"/>
  <c r="C521" i="5" s="1"/>
  <c r="C522" i="5" s="1"/>
  <c r="C523" i="5" s="1"/>
  <c r="C524" i="5" s="1"/>
  <c r="C525" i="5" s="1"/>
  <c r="C526" i="5" s="1"/>
  <c r="C527" i="5" s="1"/>
  <c r="C528" i="5" s="1"/>
  <c r="C529" i="5" s="1"/>
  <c r="C530" i="5" s="1"/>
  <c r="C531" i="5" s="1"/>
  <c r="C532" i="5" s="1"/>
  <c r="C533" i="5" s="1"/>
  <c r="C534" i="5" s="1"/>
  <c r="C535" i="5" s="1"/>
  <c r="C536" i="5" s="1"/>
  <c r="C537" i="5" s="1"/>
  <c r="C538" i="5" s="1"/>
  <c r="C539" i="5" s="1"/>
  <c r="C540" i="5" s="1"/>
  <c r="C541" i="5" s="1"/>
  <c r="C542" i="5" s="1"/>
  <c r="C543" i="5" s="1"/>
  <c r="C544" i="5" s="1"/>
  <c r="C545" i="5" s="1"/>
  <c r="C546" i="5" s="1"/>
  <c r="C547" i="5" s="1"/>
  <c r="C548" i="5" s="1"/>
  <c r="C549" i="5" s="1"/>
  <c r="C550" i="5" s="1"/>
  <c r="C551" i="5" s="1"/>
  <c r="C552" i="5" s="1"/>
  <c r="C553" i="5" s="1"/>
  <c r="C554" i="5" s="1"/>
  <c r="C555" i="5" s="1"/>
  <c r="C556" i="5" s="1"/>
  <c r="C557" i="5" s="1"/>
  <c r="C558" i="5" s="1"/>
  <c r="C559" i="5" s="1"/>
  <c r="C560" i="5" s="1"/>
  <c r="C561" i="5" s="1"/>
  <c r="C562" i="5" s="1"/>
  <c r="C563" i="5" s="1"/>
  <c r="C564" i="5" s="1"/>
  <c r="C565" i="5" s="1"/>
  <c r="C566" i="5" s="1"/>
  <c r="C567" i="5" s="1"/>
  <c r="C568" i="5" s="1"/>
  <c r="C569" i="5" s="1"/>
  <c r="C570" i="5" s="1"/>
  <c r="C571" i="5" s="1"/>
  <c r="C572" i="5" s="1"/>
  <c r="C573" i="5" s="1"/>
  <c r="C574" i="5" s="1"/>
  <c r="C575" i="5" s="1"/>
  <c r="C576" i="5" s="1"/>
  <c r="C577" i="5" s="1"/>
  <c r="C578" i="5" s="1"/>
  <c r="C579" i="5" s="1"/>
  <c r="C580" i="5" s="1"/>
  <c r="C581" i="5" s="1"/>
  <c r="C582" i="5" s="1"/>
  <c r="C583" i="5" s="1"/>
  <c r="C584" i="5" s="1"/>
  <c r="C585" i="5" s="1"/>
  <c r="C586" i="5" s="1"/>
  <c r="C587" i="5" s="1"/>
  <c r="C588" i="5" s="1"/>
  <c r="C589" i="5" s="1"/>
  <c r="C590" i="5" s="1"/>
  <c r="C591" i="5" s="1"/>
  <c r="C592" i="5" s="1"/>
  <c r="C593" i="5" s="1"/>
  <c r="C594" i="5" s="1"/>
  <c r="C595" i="5" s="1"/>
  <c r="C596" i="5" s="1"/>
  <c r="C597" i="5" s="1"/>
  <c r="C598" i="5" s="1"/>
  <c r="C599" i="5" s="1"/>
  <c r="C600" i="5" s="1"/>
  <c r="C601" i="5" s="1"/>
  <c r="C602" i="5" s="1"/>
  <c r="C603" i="5" s="1"/>
  <c r="C604" i="5" s="1"/>
  <c r="C605" i="5" s="1"/>
  <c r="C606" i="5" s="1"/>
  <c r="C607" i="5" s="1"/>
  <c r="C608" i="5" s="1"/>
  <c r="C609" i="5" s="1"/>
  <c r="C610" i="5" s="1"/>
  <c r="C611" i="5" s="1"/>
  <c r="C612" i="5" s="1"/>
  <c r="C613" i="5" s="1"/>
  <c r="C614" i="5" s="1"/>
  <c r="C615" i="5" s="1"/>
  <c r="C616" i="5" s="1"/>
  <c r="C617" i="5" s="1"/>
  <c r="C618" i="5" s="1"/>
  <c r="C619" i="5" s="1"/>
  <c r="C620" i="5" s="1"/>
  <c r="C621" i="5" s="1"/>
  <c r="C622" i="5" s="1"/>
  <c r="C623" i="5" s="1"/>
  <c r="C624" i="5" s="1"/>
  <c r="C625" i="5" s="1"/>
  <c r="C626" i="5" s="1"/>
  <c r="C627" i="5" s="1"/>
  <c r="C628" i="5" s="1"/>
  <c r="C629" i="5" s="1"/>
  <c r="C630" i="5" s="1"/>
  <c r="C631" i="5" s="1"/>
  <c r="C632" i="5" s="1"/>
  <c r="C633" i="5" s="1"/>
  <c r="C634" i="5" s="1"/>
  <c r="C635" i="5" s="1"/>
  <c r="C636" i="5" s="1"/>
  <c r="C637" i="5" s="1"/>
  <c r="C638" i="5" s="1"/>
  <c r="C639" i="5" s="1"/>
  <c r="C640" i="5" s="1"/>
  <c r="C641" i="5" s="1"/>
  <c r="C642" i="5" s="1"/>
  <c r="C643" i="5" s="1"/>
  <c r="C644" i="5" s="1"/>
  <c r="C645" i="5" s="1"/>
  <c r="C646" i="5" s="1"/>
  <c r="C647" i="5" s="1"/>
  <c r="C648" i="5" s="1"/>
  <c r="C649" i="5" s="1"/>
  <c r="C650" i="5" s="1"/>
  <c r="C651" i="5" s="1"/>
  <c r="C652" i="5" s="1"/>
  <c r="C653" i="5" s="1"/>
  <c r="C654" i="5" s="1"/>
  <c r="C655" i="5" s="1"/>
  <c r="C656" i="5" s="1"/>
  <c r="C657" i="5" s="1"/>
  <c r="C658" i="5" s="1"/>
  <c r="C659" i="5" s="1"/>
  <c r="C660" i="5" s="1"/>
  <c r="C661" i="5" s="1"/>
  <c r="C662" i="5" s="1"/>
  <c r="C663" i="5" s="1"/>
  <c r="C664" i="5" s="1"/>
  <c r="C665" i="5" s="1"/>
  <c r="C666" i="5" s="1"/>
  <c r="C667" i="5" s="1"/>
  <c r="C668" i="5" s="1"/>
  <c r="C669" i="5" s="1"/>
  <c r="C670" i="5" s="1"/>
  <c r="C671" i="5" s="1"/>
  <c r="C672" i="5" s="1"/>
  <c r="C673" i="5" s="1"/>
  <c r="C674" i="5" s="1"/>
  <c r="C675" i="5" s="1"/>
  <c r="C676" i="5" s="1"/>
  <c r="C677" i="5" s="1"/>
  <c r="C678" i="5" s="1"/>
  <c r="C679" i="5" s="1"/>
  <c r="C680" i="5" s="1"/>
  <c r="C681" i="5" s="1"/>
  <c r="C682" i="5" s="1"/>
  <c r="C683" i="5" s="1"/>
  <c r="C684" i="5" s="1"/>
  <c r="C685" i="5" s="1"/>
  <c r="C686" i="5" s="1"/>
  <c r="C687" i="5" s="1"/>
  <c r="C688" i="5" s="1"/>
  <c r="C689" i="5" s="1"/>
  <c r="C690" i="5" s="1"/>
  <c r="C691" i="5" s="1"/>
  <c r="C692" i="5" s="1"/>
  <c r="C693" i="5" s="1"/>
  <c r="C694" i="5" s="1"/>
  <c r="C695" i="5" s="1"/>
  <c r="C696" i="5" s="1"/>
  <c r="C697" i="5" s="1"/>
  <c r="C698" i="5" s="1"/>
  <c r="C699" i="5" s="1"/>
  <c r="C700" i="5" s="1"/>
  <c r="C701" i="5" s="1"/>
  <c r="C702" i="5" s="1"/>
  <c r="C703" i="5" s="1"/>
  <c r="C704" i="5" s="1"/>
  <c r="C705" i="5" s="1"/>
  <c r="C706" i="5" s="1"/>
  <c r="C707" i="5" s="1"/>
  <c r="C708" i="5" s="1"/>
  <c r="C709" i="5" s="1"/>
  <c r="C710" i="5" s="1"/>
  <c r="C711" i="5" s="1"/>
  <c r="C712" i="5" s="1"/>
  <c r="C713" i="5" s="1"/>
  <c r="C714" i="5" s="1"/>
  <c r="C715" i="5" s="1"/>
  <c r="C716" i="5" s="1"/>
  <c r="C717" i="5" s="1"/>
  <c r="C718" i="5" s="1"/>
  <c r="C719" i="5" s="1"/>
  <c r="C720" i="5" s="1"/>
  <c r="C721" i="5" s="1"/>
  <c r="C722" i="5" s="1"/>
  <c r="C723" i="5" s="1"/>
  <c r="C724" i="5" s="1"/>
  <c r="C725" i="5" s="1"/>
  <c r="C726" i="5" s="1"/>
  <c r="C727" i="5" s="1"/>
  <c r="C728" i="5" s="1"/>
  <c r="C729" i="5" s="1"/>
  <c r="C730" i="5" s="1"/>
  <c r="C731" i="5" s="1"/>
  <c r="C732" i="5" s="1"/>
  <c r="C733" i="5" s="1"/>
  <c r="C734" i="5" s="1"/>
  <c r="C735" i="5" s="1"/>
  <c r="C736" i="5" s="1"/>
  <c r="C737" i="5" s="1"/>
  <c r="C738" i="5" s="1"/>
  <c r="C739" i="5" s="1"/>
  <c r="C740" i="5" s="1"/>
  <c r="C741" i="5" s="1"/>
  <c r="C742" i="5" s="1"/>
  <c r="C743" i="5" s="1"/>
  <c r="C744" i="5" s="1"/>
  <c r="C745" i="5" s="1"/>
  <c r="C746" i="5" s="1"/>
  <c r="C747" i="5" s="1"/>
  <c r="C748" i="5" s="1"/>
  <c r="C749" i="5" s="1"/>
  <c r="C750" i="5" s="1"/>
  <c r="C751" i="5" s="1"/>
  <c r="C752" i="5" s="1"/>
  <c r="C753" i="5" s="1"/>
  <c r="C754" i="5" s="1"/>
  <c r="D102" i="5"/>
  <c r="D103" i="5" s="1"/>
  <c r="D104" i="5" s="1"/>
  <c r="D105" i="5" s="1"/>
  <c r="D106" i="5" s="1"/>
  <c r="D107" i="5" s="1"/>
  <c r="D108" i="5" s="1"/>
  <c r="D109" i="5" s="1"/>
  <c r="D110" i="5" s="1"/>
  <c r="D111" i="5" s="1"/>
  <c r="D112" i="5" s="1"/>
  <c r="D113" i="5" s="1"/>
  <c r="D114" i="5" s="1"/>
  <c r="D115" i="5" s="1"/>
  <c r="D116" i="5" s="1"/>
  <c r="D117" i="5" s="1"/>
  <c r="D118" i="5" s="1"/>
  <c r="D119" i="5" s="1"/>
  <c r="D120" i="5" s="1"/>
  <c r="D121" i="5" s="1"/>
  <c r="D122" i="5" s="1"/>
  <c r="D123" i="5" s="1"/>
  <c r="D124" i="5" s="1"/>
  <c r="D125" i="5" s="1"/>
  <c r="D126" i="5" s="1"/>
  <c r="D127" i="5" s="1"/>
  <c r="D128" i="5" s="1"/>
  <c r="D129" i="5" s="1"/>
  <c r="D130" i="5" s="1"/>
  <c r="D131" i="5" s="1"/>
  <c r="D132" i="5" s="1"/>
  <c r="D133" i="5" s="1"/>
  <c r="D134" i="5" s="1"/>
  <c r="D135" i="5" s="1"/>
  <c r="D136" i="5" s="1"/>
  <c r="D137" i="5" s="1"/>
  <c r="D138" i="5" s="1"/>
  <c r="D139" i="5" s="1"/>
  <c r="D140" i="5" s="1"/>
  <c r="D141" i="5" s="1"/>
  <c r="D142" i="5" s="1"/>
  <c r="D143" i="5" s="1"/>
  <c r="D144" i="5" s="1"/>
  <c r="D145" i="5" s="1"/>
  <c r="D146" i="5" s="1"/>
  <c r="D147" i="5" s="1"/>
  <c r="D148" i="5" s="1"/>
  <c r="D149" i="5" s="1"/>
  <c r="D150" i="5" s="1"/>
  <c r="D151" i="5" s="1"/>
  <c r="D152" i="5" s="1"/>
  <c r="D153" i="5" s="1"/>
  <c r="D154" i="5" s="1"/>
  <c r="D155" i="5" s="1"/>
  <c r="D156" i="5" s="1"/>
  <c r="D157" i="5" s="1"/>
  <c r="D158" i="5" s="1"/>
  <c r="D159" i="5" s="1"/>
  <c r="D160" i="5" s="1"/>
  <c r="D161" i="5" s="1"/>
  <c r="D162" i="5" s="1"/>
  <c r="D163" i="5" s="1"/>
  <c r="D164" i="5" s="1"/>
  <c r="D165" i="5" s="1"/>
  <c r="D166" i="5" s="1"/>
  <c r="D167" i="5" s="1"/>
  <c r="D168" i="5" s="1"/>
  <c r="D169" i="5" s="1"/>
  <c r="D170" i="5" s="1"/>
  <c r="D171" i="5" s="1"/>
  <c r="D172" i="5" s="1"/>
  <c r="D173" i="5" s="1"/>
  <c r="D174" i="5" s="1"/>
  <c r="D175" i="5" s="1"/>
  <c r="D176" i="5" s="1"/>
  <c r="D177" i="5" s="1"/>
  <c r="D178" i="5" s="1"/>
  <c r="D179" i="5" s="1"/>
  <c r="D180" i="5" s="1"/>
  <c r="D181" i="5" s="1"/>
  <c r="D182" i="5" s="1"/>
  <c r="D183" i="5" s="1"/>
  <c r="D184" i="5" s="1"/>
  <c r="D185" i="5" s="1"/>
  <c r="D186" i="5" s="1"/>
  <c r="D187" i="5" s="1"/>
  <c r="D188" i="5" s="1"/>
  <c r="D189" i="5" s="1"/>
  <c r="D190" i="5" s="1"/>
  <c r="D191" i="5" s="1"/>
  <c r="D192" i="5" s="1"/>
  <c r="D193" i="5" s="1"/>
  <c r="D194" i="5" s="1"/>
  <c r="D195" i="5" s="1"/>
  <c r="D196" i="5" s="1"/>
  <c r="D197" i="5" s="1"/>
  <c r="D198" i="5" s="1"/>
  <c r="D199" i="5" s="1"/>
  <c r="D200" i="5" s="1"/>
  <c r="D201" i="5" s="1"/>
  <c r="D202" i="5" s="1"/>
  <c r="D203" i="5" s="1"/>
  <c r="D204" i="5" s="1"/>
  <c r="D205" i="5" s="1"/>
  <c r="D206" i="5" s="1"/>
  <c r="D207" i="5" s="1"/>
  <c r="D208" i="5" s="1"/>
  <c r="D209" i="5" s="1"/>
  <c r="D210" i="5" s="1"/>
  <c r="D211" i="5" s="1"/>
  <c r="D212" i="5" s="1"/>
  <c r="D213" i="5" s="1"/>
  <c r="D214" i="5" s="1"/>
  <c r="D215" i="5" s="1"/>
  <c r="D216" i="5" s="1"/>
  <c r="D217" i="5" s="1"/>
  <c r="D218" i="5" s="1"/>
  <c r="D219" i="5" s="1"/>
  <c r="D220" i="5" s="1"/>
  <c r="D221" i="5" s="1"/>
  <c r="D222" i="5" s="1"/>
  <c r="D223" i="5" s="1"/>
  <c r="D224" i="5" s="1"/>
  <c r="D225" i="5" s="1"/>
  <c r="D226" i="5" s="1"/>
  <c r="D227" i="5" s="1"/>
  <c r="D228" i="5" s="1"/>
  <c r="D229" i="5" s="1"/>
  <c r="D230" i="5" s="1"/>
  <c r="D231" i="5" s="1"/>
  <c r="D232" i="5" s="1"/>
  <c r="D233" i="5" s="1"/>
  <c r="D234" i="5" s="1"/>
  <c r="D235" i="5" s="1"/>
  <c r="D236" i="5" s="1"/>
  <c r="D237" i="5" s="1"/>
  <c r="D238" i="5" s="1"/>
  <c r="D239" i="5" s="1"/>
  <c r="D240" i="5" s="1"/>
  <c r="D241" i="5" s="1"/>
  <c r="D242" i="5" s="1"/>
  <c r="D243" i="5" s="1"/>
  <c r="D244" i="5" s="1"/>
  <c r="D245" i="5" s="1"/>
  <c r="D246" i="5" s="1"/>
  <c r="D247" i="5" s="1"/>
  <c r="D248" i="5" s="1"/>
  <c r="D249" i="5" s="1"/>
  <c r="D250" i="5" s="1"/>
  <c r="D251" i="5" s="1"/>
  <c r="D252" i="5" s="1"/>
  <c r="D253" i="5" s="1"/>
  <c r="D254" i="5" s="1"/>
  <c r="D255" i="5" s="1"/>
  <c r="D256" i="5" s="1"/>
  <c r="D257" i="5" s="1"/>
  <c r="D258" i="5" s="1"/>
  <c r="D259" i="5" s="1"/>
  <c r="D260" i="5" s="1"/>
  <c r="D261" i="5" s="1"/>
  <c r="D262" i="5" s="1"/>
  <c r="D263" i="5" s="1"/>
  <c r="D264" i="5" s="1"/>
  <c r="D265" i="5" s="1"/>
  <c r="D266" i="5" s="1"/>
  <c r="D267" i="5" s="1"/>
  <c r="D268" i="5" s="1"/>
  <c r="D269" i="5" s="1"/>
  <c r="D270" i="5" s="1"/>
  <c r="D271" i="5" s="1"/>
  <c r="D272" i="5" s="1"/>
  <c r="D273" i="5" s="1"/>
  <c r="D274" i="5" s="1"/>
  <c r="D275" i="5" s="1"/>
  <c r="D276" i="5" s="1"/>
  <c r="D277" i="5" s="1"/>
  <c r="D278" i="5" s="1"/>
  <c r="D279" i="5" s="1"/>
  <c r="D280" i="5" s="1"/>
  <c r="D281" i="5" s="1"/>
  <c r="D282" i="5" s="1"/>
  <c r="D283" i="5" s="1"/>
  <c r="D284" i="5" s="1"/>
  <c r="D285" i="5" s="1"/>
  <c r="D286" i="5" s="1"/>
  <c r="D287" i="5" s="1"/>
  <c r="D288" i="5" s="1"/>
  <c r="D289" i="5" s="1"/>
  <c r="D290" i="5" s="1"/>
  <c r="D291" i="5" s="1"/>
  <c r="D292" i="5" s="1"/>
  <c r="D293" i="5" s="1"/>
  <c r="D294" i="5" s="1"/>
  <c r="D295" i="5" s="1"/>
  <c r="D296" i="5" s="1"/>
  <c r="D297" i="5" s="1"/>
  <c r="D298" i="5" s="1"/>
  <c r="D299" i="5" s="1"/>
  <c r="D300" i="5" s="1"/>
  <c r="D301" i="5" s="1"/>
  <c r="D302" i="5" s="1"/>
  <c r="D303" i="5" s="1"/>
  <c r="D304" i="5" s="1"/>
  <c r="D305" i="5" s="1"/>
  <c r="D306" i="5" s="1"/>
  <c r="D307" i="5" s="1"/>
  <c r="D308" i="5" s="1"/>
  <c r="D309" i="5" s="1"/>
  <c r="D310" i="5" s="1"/>
  <c r="D311" i="5" s="1"/>
  <c r="D312" i="5" s="1"/>
  <c r="D313" i="5" s="1"/>
  <c r="D314" i="5" s="1"/>
  <c r="D315" i="5" s="1"/>
  <c r="D316" i="5" s="1"/>
  <c r="D317" i="5" s="1"/>
  <c r="D318" i="5" s="1"/>
  <c r="D319" i="5" s="1"/>
  <c r="D320" i="5" s="1"/>
  <c r="D321" i="5" s="1"/>
  <c r="D322" i="5" s="1"/>
  <c r="D323" i="5" s="1"/>
  <c r="D324" i="5" s="1"/>
  <c r="D325" i="5" s="1"/>
  <c r="D326" i="5" s="1"/>
  <c r="D327" i="5" s="1"/>
  <c r="D328" i="5" s="1"/>
  <c r="D329" i="5" s="1"/>
  <c r="D330" i="5" s="1"/>
  <c r="D331" i="5" s="1"/>
  <c r="D332" i="5" s="1"/>
  <c r="D333" i="5" s="1"/>
  <c r="D334" i="5" s="1"/>
  <c r="D335" i="5" s="1"/>
  <c r="D336" i="5" s="1"/>
  <c r="D337" i="5" s="1"/>
  <c r="D338" i="5" s="1"/>
  <c r="D339" i="5" s="1"/>
  <c r="D340" i="5" s="1"/>
  <c r="D341" i="5" s="1"/>
  <c r="D342" i="5" s="1"/>
  <c r="D343" i="5" s="1"/>
  <c r="D344" i="5" s="1"/>
  <c r="D345" i="5" s="1"/>
  <c r="D346" i="5" s="1"/>
  <c r="D347" i="5" s="1"/>
  <c r="D348" i="5" s="1"/>
  <c r="D349" i="5" s="1"/>
  <c r="D350" i="5" s="1"/>
  <c r="D351" i="5" s="1"/>
  <c r="D352" i="5" s="1"/>
  <c r="D353" i="5" s="1"/>
  <c r="D354" i="5" s="1"/>
  <c r="D355" i="5" s="1"/>
  <c r="D356" i="5" s="1"/>
  <c r="D357" i="5" s="1"/>
  <c r="D358" i="5" s="1"/>
  <c r="D359" i="5" s="1"/>
  <c r="D360" i="5" s="1"/>
  <c r="D361" i="5" s="1"/>
  <c r="D362" i="5" s="1"/>
  <c r="D363" i="5" s="1"/>
  <c r="D364" i="5" s="1"/>
  <c r="D365" i="5" s="1"/>
  <c r="D366" i="5" s="1"/>
  <c r="D367" i="5" s="1"/>
  <c r="D368" i="5" s="1"/>
  <c r="D369" i="5" s="1"/>
  <c r="D370" i="5" s="1"/>
  <c r="D371" i="5" s="1"/>
  <c r="D372" i="5" s="1"/>
  <c r="D373" i="5" s="1"/>
  <c r="D374" i="5" s="1"/>
  <c r="D375" i="5" s="1"/>
  <c r="D376" i="5" s="1"/>
  <c r="D377" i="5" s="1"/>
  <c r="D378" i="5" s="1"/>
  <c r="D379" i="5" s="1"/>
  <c r="D380" i="5" s="1"/>
  <c r="D381" i="5" s="1"/>
  <c r="D382" i="5" s="1"/>
  <c r="D383" i="5" s="1"/>
  <c r="D384" i="5" s="1"/>
  <c r="D385" i="5" s="1"/>
  <c r="D386" i="5" s="1"/>
  <c r="D387" i="5" s="1"/>
  <c r="D388" i="5" s="1"/>
  <c r="D389" i="5" s="1"/>
  <c r="D390" i="5" s="1"/>
  <c r="D391" i="5" s="1"/>
  <c r="D392" i="5" s="1"/>
  <c r="D393" i="5" s="1"/>
  <c r="D394" i="5" s="1"/>
  <c r="D395" i="5" s="1"/>
  <c r="D396" i="5" s="1"/>
  <c r="D397" i="5" s="1"/>
  <c r="D398" i="5" s="1"/>
  <c r="D399" i="5" s="1"/>
  <c r="D400" i="5" s="1"/>
  <c r="D401" i="5" s="1"/>
  <c r="D402" i="5" s="1"/>
  <c r="D403" i="5" s="1"/>
  <c r="D404" i="5" s="1"/>
  <c r="D405" i="5" s="1"/>
  <c r="D406" i="5" s="1"/>
  <c r="D407" i="5" s="1"/>
  <c r="D408" i="5" s="1"/>
  <c r="D409" i="5" s="1"/>
  <c r="D410" i="5" s="1"/>
  <c r="D411" i="5" s="1"/>
  <c r="D412" i="5" s="1"/>
  <c r="D413" i="5" s="1"/>
  <c r="D414" i="5" s="1"/>
  <c r="D415" i="5" s="1"/>
  <c r="D416" i="5" s="1"/>
  <c r="D417" i="5" s="1"/>
  <c r="D418" i="5" s="1"/>
  <c r="D419" i="5" s="1"/>
  <c r="D420" i="5" s="1"/>
  <c r="D421" i="5" s="1"/>
  <c r="D422" i="5" s="1"/>
  <c r="D423" i="5" s="1"/>
  <c r="D424" i="5" s="1"/>
  <c r="D425" i="5" s="1"/>
  <c r="D426" i="5" s="1"/>
  <c r="D427" i="5" s="1"/>
  <c r="D428" i="5" s="1"/>
  <c r="D429" i="5" s="1"/>
  <c r="D430" i="5" s="1"/>
  <c r="D431" i="5" s="1"/>
  <c r="D432" i="5" s="1"/>
  <c r="D433" i="5" s="1"/>
  <c r="D434" i="5" s="1"/>
  <c r="D435" i="5" s="1"/>
  <c r="D436" i="5" s="1"/>
  <c r="D437" i="5" s="1"/>
  <c r="D438" i="5" s="1"/>
  <c r="D439" i="5" s="1"/>
  <c r="D440" i="5" s="1"/>
  <c r="D441" i="5" s="1"/>
  <c r="D442" i="5" s="1"/>
  <c r="D443" i="5" s="1"/>
  <c r="D444" i="5" s="1"/>
  <c r="D445" i="5" s="1"/>
  <c r="D446" i="5" s="1"/>
  <c r="D447" i="5" s="1"/>
  <c r="D448" i="5" s="1"/>
  <c r="D449" i="5" s="1"/>
  <c r="D450" i="5" s="1"/>
  <c r="D451" i="5" s="1"/>
  <c r="D452" i="5" s="1"/>
  <c r="D453" i="5" s="1"/>
  <c r="D454" i="5" s="1"/>
  <c r="D455" i="5" s="1"/>
  <c r="D456" i="5" s="1"/>
  <c r="D457" i="5" s="1"/>
  <c r="D458" i="5" s="1"/>
  <c r="D459" i="5" s="1"/>
  <c r="D460" i="5" s="1"/>
  <c r="D461" i="5" s="1"/>
  <c r="D462" i="5" s="1"/>
  <c r="D463" i="5" s="1"/>
  <c r="D464" i="5" s="1"/>
  <c r="D465" i="5" s="1"/>
  <c r="D466" i="5" s="1"/>
  <c r="D467" i="5" s="1"/>
  <c r="D468" i="5" s="1"/>
  <c r="D469" i="5" s="1"/>
  <c r="D470" i="5" s="1"/>
  <c r="D471" i="5" s="1"/>
  <c r="D472" i="5" s="1"/>
  <c r="D473" i="5" s="1"/>
  <c r="D474" i="5" s="1"/>
  <c r="D475" i="5" s="1"/>
  <c r="D476" i="5" s="1"/>
  <c r="D477" i="5" s="1"/>
  <c r="D478" i="5" s="1"/>
  <c r="D479" i="5" s="1"/>
  <c r="D480" i="5" s="1"/>
  <c r="D481" i="5" s="1"/>
  <c r="D482" i="5" s="1"/>
  <c r="D483" i="5" s="1"/>
  <c r="D484" i="5" s="1"/>
  <c r="D485" i="5" s="1"/>
  <c r="D486" i="5" s="1"/>
  <c r="D487" i="5" s="1"/>
  <c r="D488" i="5" s="1"/>
  <c r="D489" i="5" s="1"/>
  <c r="D490" i="5" s="1"/>
  <c r="D491" i="5" s="1"/>
  <c r="D492" i="5" s="1"/>
  <c r="D493" i="5" s="1"/>
  <c r="D494" i="5" s="1"/>
  <c r="D495" i="5" s="1"/>
  <c r="D496" i="5" s="1"/>
  <c r="D497" i="5" s="1"/>
  <c r="D498" i="5" s="1"/>
  <c r="D499" i="5" s="1"/>
  <c r="D500" i="5" s="1"/>
  <c r="D501" i="5" s="1"/>
  <c r="D502" i="5" s="1"/>
  <c r="D503" i="5" s="1"/>
  <c r="D504" i="5" s="1"/>
  <c r="D505" i="5" s="1"/>
  <c r="D506" i="5" s="1"/>
  <c r="D507" i="5" s="1"/>
  <c r="D508" i="5" s="1"/>
  <c r="D509" i="5" s="1"/>
  <c r="D510" i="5" s="1"/>
  <c r="D511" i="5" s="1"/>
  <c r="D512" i="5" s="1"/>
  <c r="D513" i="5" s="1"/>
  <c r="D514" i="5" s="1"/>
  <c r="D515" i="5" s="1"/>
  <c r="D516" i="5" s="1"/>
  <c r="D517" i="5" s="1"/>
  <c r="D518" i="5" s="1"/>
  <c r="D519" i="5" s="1"/>
  <c r="D520" i="5" s="1"/>
  <c r="D521" i="5" s="1"/>
  <c r="D522" i="5" s="1"/>
  <c r="D523" i="5" s="1"/>
  <c r="D524" i="5" s="1"/>
  <c r="D525" i="5" s="1"/>
  <c r="D526" i="5" s="1"/>
  <c r="D527" i="5" s="1"/>
  <c r="D528" i="5" s="1"/>
  <c r="D529" i="5" s="1"/>
  <c r="D530" i="5" s="1"/>
  <c r="D531" i="5" s="1"/>
  <c r="D532" i="5" s="1"/>
  <c r="D533" i="5" s="1"/>
  <c r="D534" i="5" s="1"/>
  <c r="D535" i="5" s="1"/>
  <c r="D536" i="5" s="1"/>
  <c r="D537" i="5" s="1"/>
  <c r="D538" i="5" s="1"/>
  <c r="D539" i="5" s="1"/>
  <c r="D540" i="5" s="1"/>
  <c r="D541" i="5" s="1"/>
  <c r="D542" i="5" s="1"/>
  <c r="D543" i="5" s="1"/>
  <c r="D544" i="5" s="1"/>
  <c r="D545" i="5" s="1"/>
  <c r="D546" i="5" s="1"/>
  <c r="D547" i="5" s="1"/>
  <c r="D548" i="5" s="1"/>
  <c r="D549" i="5" s="1"/>
  <c r="D550" i="5" s="1"/>
  <c r="D551" i="5" s="1"/>
  <c r="D552" i="5" s="1"/>
  <c r="D553" i="5" s="1"/>
  <c r="D554" i="5" s="1"/>
  <c r="D555" i="5" s="1"/>
  <c r="D556" i="5" s="1"/>
  <c r="D557" i="5" s="1"/>
  <c r="D558" i="5" s="1"/>
  <c r="D559" i="5" s="1"/>
  <c r="D560" i="5" s="1"/>
  <c r="D561" i="5" s="1"/>
  <c r="D562" i="5" s="1"/>
  <c r="D563" i="5" s="1"/>
  <c r="D564" i="5" s="1"/>
  <c r="D565" i="5" s="1"/>
  <c r="D566" i="5" s="1"/>
  <c r="D567" i="5" s="1"/>
  <c r="D568" i="5" s="1"/>
  <c r="D569" i="5" s="1"/>
  <c r="D570" i="5" s="1"/>
  <c r="D571" i="5" s="1"/>
  <c r="D572" i="5" s="1"/>
  <c r="D573" i="5" s="1"/>
  <c r="D574" i="5" s="1"/>
  <c r="D575" i="5" s="1"/>
  <c r="D576" i="5" s="1"/>
  <c r="D577" i="5" s="1"/>
  <c r="D578" i="5" s="1"/>
  <c r="D579" i="5" s="1"/>
  <c r="D580" i="5" s="1"/>
  <c r="D581" i="5" s="1"/>
  <c r="D582" i="5" s="1"/>
  <c r="D583" i="5" s="1"/>
  <c r="D584" i="5" s="1"/>
  <c r="D585" i="5" s="1"/>
  <c r="D586" i="5" s="1"/>
  <c r="D587" i="5" s="1"/>
  <c r="D588" i="5" s="1"/>
  <c r="D589" i="5" s="1"/>
  <c r="D590" i="5" s="1"/>
  <c r="D591" i="5" s="1"/>
  <c r="D592" i="5" s="1"/>
  <c r="D593" i="5" s="1"/>
  <c r="D594" i="5" s="1"/>
  <c r="D595" i="5" s="1"/>
  <c r="D596" i="5" s="1"/>
  <c r="D597" i="5" s="1"/>
  <c r="D598" i="5" s="1"/>
  <c r="D599" i="5" s="1"/>
  <c r="D600" i="5" s="1"/>
  <c r="D601" i="5" s="1"/>
  <c r="D602" i="5" s="1"/>
  <c r="D603" i="5" s="1"/>
  <c r="D604" i="5" s="1"/>
  <c r="D605" i="5" s="1"/>
  <c r="D606" i="5" s="1"/>
  <c r="D607" i="5" s="1"/>
  <c r="D608" i="5" s="1"/>
  <c r="D609" i="5" s="1"/>
  <c r="D610" i="5" s="1"/>
  <c r="D611" i="5" s="1"/>
  <c r="D612" i="5" s="1"/>
  <c r="D613" i="5" s="1"/>
  <c r="D614" i="5" s="1"/>
  <c r="D615" i="5" s="1"/>
  <c r="D616" i="5" s="1"/>
  <c r="D617" i="5" s="1"/>
  <c r="D618" i="5" s="1"/>
  <c r="D619" i="5" s="1"/>
  <c r="D620" i="5" s="1"/>
  <c r="D621" i="5" s="1"/>
  <c r="D622" i="5" s="1"/>
  <c r="D623" i="5" s="1"/>
  <c r="D624" i="5" s="1"/>
  <c r="D625" i="5" s="1"/>
  <c r="D626" i="5" s="1"/>
  <c r="D627" i="5" s="1"/>
  <c r="D628" i="5" s="1"/>
  <c r="D629" i="5" s="1"/>
  <c r="D630" i="5" s="1"/>
  <c r="D631" i="5" s="1"/>
  <c r="D632" i="5" s="1"/>
  <c r="D633" i="5" s="1"/>
  <c r="D634" i="5" s="1"/>
  <c r="D635" i="5" s="1"/>
  <c r="D636" i="5" s="1"/>
  <c r="D637" i="5" s="1"/>
  <c r="D638" i="5" s="1"/>
  <c r="D639" i="5" s="1"/>
  <c r="D640" i="5" s="1"/>
  <c r="D641" i="5" s="1"/>
  <c r="D642" i="5" s="1"/>
  <c r="D643" i="5" s="1"/>
  <c r="D644" i="5" s="1"/>
  <c r="D645" i="5" s="1"/>
  <c r="D646" i="5" s="1"/>
  <c r="D647" i="5" s="1"/>
  <c r="D648" i="5" s="1"/>
  <c r="D649" i="5" s="1"/>
  <c r="D650" i="5" s="1"/>
  <c r="D651" i="5" s="1"/>
  <c r="D652" i="5" s="1"/>
  <c r="D653" i="5" s="1"/>
  <c r="D654" i="5" s="1"/>
  <c r="D655" i="5" s="1"/>
  <c r="D656" i="5" s="1"/>
  <c r="D657" i="5" s="1"/>
  <c r="D658" i="5" s="1"/>
  <c r="D659" i="5" s="1"/>
  <c r="D660" i="5" s="1"/>
  <c r="D661" i="5" s="1"/>
  <c r="D662" i="5" s="1"/>
  <c r="D663" i="5" s="1"/>
  <c r="D664" i="5" s="1"/>
  <c r="D665" i="5" s="1"/>
  <c r="D666" i="5" s="1"/>
  <c r="D667" i="5" s="1"/>
  <c r="D668" i="5" s="1"/>
  <c r="D669" i="5" s="1"/>
  <c r="D670" i="5" s="1"/>
  <c r="D671" i="5" s="1"/>
  <c r="D672" i="5" s="1"/>
  <c r="D673" i="5" s="1"/>
  <c r="D674" i="5" s="1"/>
  <c r="D675" i="5" s="1"/>
  <c r="D676" i="5" s="1"/>
  <c r="D677" i="5" s="1"/>
  <c r="D678" i="5" s="1"/>
  <c r="D679" i="5" s="1"/>
  <c r="D680" i="5" s="1"/>
  <c r="D681" i="5" s="1"/>
  <c r="D682" i="5" s="1"/>
  <c r="D683" i="5" s="1"/>
  <c r="D684" i="5" s="1"/>
  <c r="D685" i="5" s="1"/>
  <c r="D686" i="5" s="1"/>
  <c r="D687" i="5" s="1"/>
  <c r="D688" i="5" s="1"/>
  <c r="D689" i="5" s="1"/>
  <c r="D690" i="5" s="1"/>
  <c r="D691" i="5" s="1"/>
  <c r="D692" i="5" s="1"/>
  <c r="D693" i="5" s="1"/>
  <c r="D694" i="5" s="1"/>
  <c r="D695" i="5" s="1"/>
  <c r="D696" i="5" s="1"/>
  <c r="D697" i="5" s="1"/>
  <c r="D698" i="5" s="1"/>
  <c r="D699" i="5" s="1"/>
  <c r="D700" i="5" s="1"/>
  <c r="D701" i="5" s="1"/>
  <c r="D702" i="5" s="1"/>
  <c r="D703" i="5" s="1"/>
  <c r="D704" i="5" s="1"/>
  <c r="D705" i="5" s="1"/>
  <c r="D706" i="5" s="1"/>
  <c r="D707" i="5" s="1"/>
  <c r="D708" i="5" s="1"/>
  <c r="D709" i="5" s="1"/>
  <c r="D710" i="5" s="1"/>
  <c r="D711" i="5" s="1"/>
  <c r="D712" i="5" s="1"/>
  <c r="D713" i="5" s="1"/>
  <c r="D714" i="5" s="1"/>
  <c r="D715" i="5" s="1"/>
  <c r="D716" i="5" s="1"/>
  <c r="D717" i="5" s="1"/>
  <c r="D718" i="5" s="1"/>
  <c r="D719" i="5" s="1"/>
  <c r="D720" i="5" s="1"/>
  <c r="D721" i="5" s="1"/>
  <c r="D722" i="5" s="1"/>
  <c r="D723" i="5" s="1"/>
  <c r="D724" i="5" s="1"/>
  <c r="D725" i="5" s="1"/>
  <c r="D726" i="5" s="1"/>
  <c r="D727" i="5" s="1"/>
  <c r="D728" i="5" s="1"/>
  <c r="D729" i="5" s="1"/>
  <c r="D730" i="5" s="1"/>
  <c r="D731" i="5" s="1"/>
  <c r="D732" i="5" s="1"/>
  <c r="D733" i="5" s="1"/>
  <c r="D734" i="5" s="1"/>
  <c r="D735" i="5" s="1"/>
  <c r="D736" i="5" s="1"/>
  <c r="D737" i="5" s="1"/>
  <c r="D738" i="5" s="1"/>
  <c r="D739" i="5" s="1"/>
  <c r="D740" i="5" s="1"/>
  <c r="D741" i="5" s="1"/>
  <c r="D742" i="5" s="1"/>
  <c r="D743" i="5" s="1"/>
  <c r="D744" i="5" s="1"/>
  <c r="D745" i="5" s="1"/>
  <c r="D746" i="5" s="1"/>
  <c r="D747" i="5" s="1"/>
  <c r="D748" i="5" s="1"/>
  <c r="D749" i="5" s="1"/>
  <c r="D750" i="5" s="1"/>
  <c r="D751" i="5" s="1"/>
  <c r="D752" i="5" s="1"/>
  <c r="D753" i="5" s="1"/>
  <c r="D754" i="5" s="1"/>
  <c r="E103" i="5"/>
  <c r="E104" i="5" s="1"/>
  <c r="E105" i="5"/>
  <c r="E106" i="5" s="1"/>
  <c r="E107" i="5" s="1"/>
  <c r="E108" i="5" s="1"/>
  <c r="E109" i="5" s="1"/>
  <c r="E110" i="5" s="1"/>
  <c r="E111" i="5" s="1"/>
  <c r="E112" i="5" s="1"/>
  <c r="E113" i="5" s="1"/>
  <c r="E114" i="5" s="1"/>
  <c r="E115" i="5" s="1"/>
  <c r="E116" i="5" s="1"/>
  <c r="E117" i="5" s="1"/>
  <c r="E118" i="5" s="1"/>
  <c r="E119" i="5" s="1"/>
  <c r="E120" i="5" s="1"/>
  <c r="E121" i="5" s="1"/>
  <c r="E122" i="5" s="1"/>
  <c r="E123" i="5" s="1"/>
  <c r="E124" i="5" s="1"/>
  <c r="E125" i="5" s="1"/>
  <c r="E126" i="5" s="1"/>
  <c r="E127" i="5" s="1"/>
  <c r="E128" i="5" s="1"/>
  <c r="E129" i="5" s="1"/>
  <c r="E130" i="5" s="1"/>
  <c r="E131" i="5" s="1"/>
  <c r="E132" i="5" s="1"/>
  <c r="E133" i="5" s="1"/>
  <c r="E134" i="5" s="1"/>
  <c r="E135" i="5" s="1"/>
  <c r="E136" i="5" s="1"/>
  <c r="E137" i="5" s="1"/>
  <c r="E138" i="5" s="1"/>
  <c r="E139" i="5" s="1"/>
  <c r="E140" i="5" s="1"/>
  <c r="E141" i="5" s="1"/>
  <c r="E142" i="5" s="1"/>
  <c r="E143" i="5" s="1"/>
  <c r="E144" i="5" s="1"/>
  <c r="E145" i="5" s="1"/>
  <c r="E146" i="5" s="1"/>
  <c r="E147" i="5" s="1"/>
  <c r="E148" i="5" s="1"/>
  <c r="E149" i="5" s="1"/>
  <c r="E150" i="5" s="1"/>
  <c r="E151" i="5" s="1"/>
  <c r="E152" i="5" s="1"/>
  <c r="E153" i="5" s="1"/>
  <c r="E154" i="5" s="1"/>
  <c r="E155" i="5" s="1"/>
  <c r="E156" i="5" s="1"/>
  <c r="E157" i="5" s="1"/>
  <c r="E158" i="5" s="1"/>
  <c r="E159" i="5" s="1"/>
  <c r="E160" i="5" s="1"/>
  <c r="E161" i="5" s="1"/>
  <c r="E162" i="5" s="1"/>
  <c r="E163" i="5" s="1"/>
  <c r="E164" i="5" s="1"/>
  <c r="E165" i="5" s="1"/>
  <c r="E166" i="5" s="1"/>
  <c r="E167" i="5" s="1"/>
  <c r="E168" i="5" s="1"/>
  <c r="E169" i="5" s="1"/>
  <c r="E170" i="5" s="1"/>
  <c r="E171" i="5" s="1"/>
  <c r="E172" i="5" s="1"/>
  <c r="E173" i="5" s="1"/>
  <c r="E174" i="5" s="1"/>
  <c r="E175" i="5" s="1"/>
  <c r="E176" i="5" s="1"/>
  <c r="E177" i="5" s="1"/>
  <c r="E178" i="5" s="1"/>
  <c r="E179" i="5" s="1"/>
  <c r="E180" i="5" s="1"/>
  <c r="E181" i="5" s="1"/>
  <c r="E182" i="5" s="1"/>
  <c r="E183" i="5" s="1"/>
  <c r="E184" i="5" s="1"/>
  <c r="E185" i="5" s="1"/>
  <c r="E186" i="5" s="1"/>
  <c r="E187" i="5" s="1"/>
  <c r="E188" i="5" s="1"/>
  <c r="E189" i="5" s="1"/>
  <c r="E190" i="5" s="1"/>
  <c r="E191" i="5" s="1"/>
  <c r="E192" i="5" s="1"/>
  <c r="E193" i="5" s="1"/>
  <c r="E194" i="5" s="1"/>
  <c r="E195" i="5" s="1"/>
  <c r="E196" i="5" s="1"/>
  <c r="E197" i="5" s="1"/>
  <c r="E198" i="5" s="1"/>
  <c r="E199" i="5" s="1"/>
  <c r="E200" i="5" s="1"/>
  <c r="E201" i="5" s="1"/>
  <c r="E202" i="5" s="1"/>
  <c r="E203" i="5" s="1"/>
  <c r="E204" i="5" s="1"/>
  <c r="E205" i="5" s="1"/>
  <c r="E206" i="5" s="1"/>
  <c r="E207" i="5" s="1"/>
  <c r="E208" i="5" s="1"/>
  <c r="E209" i="5" s="1"/>
  <c r="E210" i="5" s="1"/>
  <c r="E211" i="5" s="1"/>
  <c r="E212" i="5" s="1"/>
  <c r="E213" i="5" s="1"/>
  <c r="E214" i="5" s="1"/>
  <c r="E215" i="5" s="1"/>
  <c r="E216" i="5" s="1"/>
  <c r="E217" i="5" s="1"/>
  <c r="E218" i="5" s="1"/>
  <c r="E219" i="5" s="1"/>
  <c r="E220" i="5" s="1"/>
  <c r="E221" i="5" s="1"/>
  <c r="E222" i="5" s="1"/>
  <c r="E223" i="5" s="1"/>
  <c r="E224" i="5" s="1"/>
  <c r="E225" i="5" s="1"/>
  <c r="E226" i="5" s="1"/>
  <c r="E227" i="5" s="1"/>
  <c r="E228" i="5" s="1"/>
  <c r="E229" i="5" s="1"/>
  <c r="E230" i="5" s="1"/>
  <c r="E231" i="5" s="1"/>
  <c r="E232" i="5" s="1"/>
  <c r="E233" i="5" s="1"/>
  <c r="E234" i="5" s="1"/>
  <c r="E235" i="5" s="1"/>
  <c r="E236" i="5" s="1"/>
  <c r="E237" i="5" s="1"/>
  <c r="E238" i="5" s="1"/>
  <c r="E239" i="5" s="1"/>
  <c r="E240" i="5" s="1"/>
  <c r="E241" i="5" s="1"/>
  <c r="E242" i="5" s="1"/>
  <c r="E243" i="5" s="1"/>
  <c r="E244" i="5" s="1"/>
  <c r="E245" i="5" s="1"/>
  <c r="E246" i="5" s="1"/>
  <c r="E247" i="5" s="1"/>
  <c r="E248" i="5" s="1"/>
  <c r="E249" i="5" s="1"/>
  <c r="E250" i="5" s="1"/>
  <c r="E251" i="5" s="1"/>
  <c r="E252" i="5" s="1"/>
  <c r="E253" i="5" s="1"/>
  <c r="E254" i="5" s="1"/>
  <c r="E255" i="5" s="1"/>
  <c r="E256" i="5" s="1"/>
  <c r="E257" i="5" s="1"/>
  <c r="E258" i="5" s="1"/>
  <c r="E259" i="5" s="1"/>
  <c r="E260" i="5" s="1"/>
  <c r="E261" i="5" s="1"/>
  <c r="E262" i="5" s="1"/>
  <c r="E263" i="5" s="1"/>
  <c r="E264" i="5" s="1"/>
  <c r="E265" i="5" s="1"/>
  <c r="E266" i="5" s="1"/>
  <c r="E267" i="5" s="1"/>
  <c r="E268" i="5" s="1"/>
  <c r="E269" i="5" s="1"/>
  <c r="E270" i="5" s="1"/>
  <c r="E271" i="5" s="1"/>
  <c r="E272" i="5" s="1"/>
  <c r="E273" i="5" s="1"/>
  <c r="E274" i="5" s="1"/>
  <c r="E275" i="5" s="1"/>
  <c r="E276" i="5" s="1"/>
  <c r="E277" i="5" s="1"/>
  <c r="E278" i="5" s="1"/>
  <c r="E279" i="5" s="1"/>
  <c r="E280" i="5" s="1"/>
  <c r="E281" i="5" s="1"/>
  <c r="E282" i="5" s="1"/>
  <c r="E283" i="5" s="1"/>
  <c r="E284" i="5" s="1"/>
  <c r="E285" i="5" s="1"/>
  <c r="E286" i="5" s="1"/>
  <c r="E287" i="5" s="1"/>
  <c r="E288" i="5" s="1"/>
  <c r="E289" i="5" s="1"/>
  <c r="E290" i="5" s="1"/>
  <c r="E291" i="5" s="1"/>
  <c r="E292" i="5" s="1"/>
  <c r="E293" i="5" s="1"/>
  <c r="E294" i="5" s="1"/>
  <c r="E295" i="5" s="1"/>
  <c r="E296" i="5" s="1"/>
  <c r="E297" i="5" s="1"/>
  <c r="E298" i="5" s="1"/>
  <c r="E299" i="5" s="1"/>
  <c r="E300" i="5" s="1"/>
  <c r="E301" i="5" s="1"/>
  <c r="E302" i="5" s="1"/>
  <c r="E303" i="5" s="1"/>
  <c r="E304" i="5" s="1"/>
  <c r="E305" i="5" s="1"/>
  <c r="E306" i="5" s="1"/>
  <c r="E307" i="5" s="1"/>
  <c r="E308" i="5" s="1"/>
  <c r="E309" i="5" s="1"/>
  <c r="E310" i="5" s="1"/>
  <c r="E311" i="5" s="1"/>
  <c r="E312" i="5" s="1"/>
  <c r="E313" i="5" s="1"/>
  <c r="E314" i="5" s="1"/>
  <c r="E315" i="5" s="1"/>
  <c r="E316" i="5" s="1"/>
  <c r="E317" i="5" s="1"/>
  <c r="E318" i="5" s="1"/>
  <c r="E319" i="5" s="1"/>
  <c r="E320" i="5" s="1"/>
  <c r="E321" i="5" s="1"/>
  <c r="E322" i="5" s="1"/>
  <c r="E323" i="5" s="1"/>
  <c r="E324" i="5" s="1"/>
  <c r="E325" i="5" s="1"/>
  <c r="E326" i="5" s="1"/>
  <c r="E327" i="5" s="1"/>
  <c r="E328" i="5" s="1"/>
  <c r="E329" i="5" s="1"/>
  <c r="E330" i="5" s="1"/>
  <c r="E331" i="5" s="1"/>
  <c r="E332" i="5" s="1"/>
  <c r="E333" i="5" s="1"/>
  <c r="E334" i="5" s="1"/>
  <c r="E335" i="5" s="1"/>
  <c r="E336" i="5" s="1"/>
  <c r="E337" i="5" s="1"/>
  <c r="E338" i="5" s="1"/>
  <c r="E339" i="5" s="1"/>
  <c r="E340" i="5" s="1"/>
  <c r="E341" i="5" s="1"/>
  <c r="E342" i="5" s="1"/>
  <c r="E343" i="5" s="1"/>
  <c r="E344" i="5" s="1"/>
  <c r="E345" i="5" s="1"/>
  <c r="E346" i="5" s="1"/>
  <c r="E347" i="5" s="1"/>
  <c r="E348" i="5" s="1"/>
  <c r="E349" i="5" s="1"/>
  <c r="E350" i="5" s="1"/>
  <c r="E351" i="5" s="1"/>
  <c r="E352" i="5" s="1"/>
  <c r="E353" i="5" s="1"/>
  <c r="E354" i="5" s="1"/>
  <c r="E355" i="5" s="1"/>
  <c r="E356" i="5" s="1"/>
  <c r="E357" i="5" s="1"/>
  <c r="E358" i="5" s="1"/>
  <c r="E359" i="5" s="1"/>
  <c r="E360" i="5" s="1"/>
  <c r="E361" i="5" s="1"/>
  <c r="E362" i="5" s="1"/>
  <c r="E363" i="5" s="1"/>
  <c r="E364" i="5" s="1"/>
  <c r="E365" i="5" s="1"/>
  <c r="E366" i="5" s="1"/>
  <c r="E367" i="5" s="1"/>
  <c r="E368" i="5" s="1"/>
  <c r="E369" i="5" s="1"/>
  <c r="E370" i="5" s="1"/>
  <c r="E371" i="5" s="1"/>
  <c r="E372" i="5" s="1"/>
  <c r="E373" i="5" s="1"/>
  <c r="E374" i="5" s="1"/>
  <c r="E375" i="5" s="1"/>
  <c r="E376" i="5" s="1"/>
  <c r="E377" i="5" s="1"/>
  <c r="E378" i="5" s="1"/>
  <c r="E379" i="5" s="1"/>
  <c r="E380" i="5" s="1"/>
  <c r="E381" i="5" s="1"/>
  <c r="E382" i="5" s="1"/>
  <c r="E383" i="5" s="1"/>
  <c r="E384" i="5" s="1"/>
  <c r="E385" i="5" s="1"/>
  <c r="E386" i="5" s="1"/>
  <c r="E387" i="5" s="1"/>
  <c r="E388" i="5" s="1"/>
  <c r="E389" i="5" s="1"/>
  <c r="E390" i="5" s="1"/>
  <c r="E391" i="5" s="1"/>
  <c r="E392" i="5" s="1"/>
  <c r="E393" i="5" s="1"/>
  <c r="E394" i="5" s="1"/>
  <c r="E395" i="5" s="1"/>
  <c r="E396" i="5" s="1"/>
  <c r="E397" i="5" s="1"/>
  <c r="E398" i="5" s="1"/>
  <c r="E399" i="5" s="1"/>
  <c r="E400" i="5" s="1"/>
  <c r="E401" i="5" s="1"/>
  <c r="E402" i="5" s="1"/>
  <c r="E403" i="5" s="1"/>
  <c r="E404" i="5" s="1"/>
  <c r="E405" i="5" s="1"/>
  <c r="E406" i="5" s="1"/>
  <c r="E407" i="5" s="1"/>
  <c r="E408" i="5" s="1"/>
  <c r="E409" i="5" s="1"/>
  <c r="E410" i="5" s="1"/>
  <c r="E411" i="5" s="1"/>
  <c r="E412" i="5" s="1"/>
  <c r="E413" i="5" s="1"/>
  <c r="E414" i="5" s="1"/>
  <c r="E415" i="5" s="1"/>
  <c r="E416" i="5" s="1"/>
  <c r="E417" i="5" s="1"/>
  <c r="E418" i="5" s="1"/>
  <c r="E419" i="5" s="1"/>
  <c r="E420" i="5" s="1"/>
  <c r="E421" i="5" s="1"/>
  <c r="E422" i="5" s="1"/>
  <c r="E423" i="5" s="1"/>
  <c r="E424" i="5" s="1"/>
  <c r="E425" i="5" s="1"/>
  <c r="E426" i="5" s="1"/>
  <c r="E427" i="5" s="1"/>
  <c r="E428" i="5" s="1"/>
  <c r="E429" i="5" s="1"/>
  <c r="E430" i="5" s="1"/>
  <c r="E431" i="5" s="1"/>
  <c r="E432" i="5" s="1"/>
  <c r="E433" i="5" s="1"/>
  <c r="E434" i="5" s="1"/>
  <c r="E435" i="5" s="1"/>
  <c r="E436" i="5" s="1"/>
  <c r="E437" i="5" s="1"/>
  <c r="E438" i="5" s="1"/>
  <c r="E439" i="5" s="1"/>
  <c r="E440" i="5" s="1"/>
  <c r="E441" i="5" s="1"/>
  <c r="E442" i="5" s="1"/>
  <c r="E443" i="5" s="1"/>
  <c r="E444" i="5" s="1"/>
  <c r="E445" i="5" s="1"/>
  <c r="E446" i="5" s="1"/>
  <c r="E447" i="5" s="1"/>
  <c r="E448" i="5" s="1"/>
  <c r="E449" i="5" s="1"/>
  <c r="E450" i="5" s="1"/>
  <c r="E451" i="5" s="1"/>
  <c r="E452" i="5" s="1"/>
  <c r="E453" i="5" s="1"/>
  <c r="E454" i="5" s="1"/>
  <c r="E455" i="5" s="1"/>
  <c r="E456" i="5" s="1"/>
  <c r="E457" i="5" s="1"/>
  <c r="E458" i="5" s="1"/>
  <c r="E459" i="5" s="1"/>
  <c r="E460" i="5" s="1"/>
  <c r="E461" i="5" s="1"/>
  <c r="E462" i="5" s="1"/>
  <c r="E463" i="5" s="1"/>
  <c r="E464" i="5" s="1"/>
  <c r="E465" i="5" s="1"/>
  <c r="E466" i="5" s="1"/>
  <c r="E467" i="5" s="1"/>
  <c r="E468" i="5" s="1"/>
  <c r="E469" i="5" s="1"/>
  <c r="E470" i="5" s="1"/>
  <c r="E471" i="5" s="1"/>
  <c r="E472" i="5" s="1"/>
  <c r="E473" i="5" s="1"/>
  <c r="E474" i="5" s="1"/>
  <c r="E475" i="5" s="1"/>
  <c r="E476" i="5" s="1"/>
  <c r="E477" i="5" s="1"/>
  <c r="E478" i="5" s="1"/>
  <c r="E479" i="5" s="1"/>
  <c r="E480" i="5" s="1"/>
  <c r="E481" i="5" s="1"/>
  <c r="E482" i="5" s="1"/>
  <c r="E483" i="5" s="1"/>
  <c r="E484" i="5" s="1"/>
  <c r="E485" i="5" s="1"/>
  <c r="E486" i="5" s="1"/>
  <c r="E487" i="5" s="1"/>
  <c r="E488" i="5" s="1"/>
  <c r="E489" i="5" s="1"/>
  <c r="E490" i="5" s="1"/>
  <c r="E491" i="5" s="1"/>
  <c r="E492" i="5" s="1"/>
  <c r="E493" i="5" s="1"/>
  <c r="E494" i="5" s="1"/>
  <c r="E495" i="5" s="1"/>
  <c r="E496" i="5" s="1"/>
  <c r="E497" i="5" s="1"/>
  <c r="E498" i="5" s="1"/>
  <c r="E499" i="5" s="1"/>
  <c r="E500" i="5" s="1"/>
  <c r="E501" i="5" s="1"/>
  <c r="E502" i="5" s="1"/>
  <c r="E503" i="5" s="1"/>
  <c r="E504" i="5" s="1"/>
  <c r="E505" i="5" s="1"/>
  <c r="E506" i="5" s="1"/>
  <c r="E507" i="5" s="1"/>
  <c r="E508" i="5" s="1"/>
  <c r="E509" i="5" s="1"/>
  <c r="E510" i="5" s="1"/>
  <c r="E511" i="5" s="1"/>
  <c r="E512" i="5" s="1"/>
  <c r="E513" i="5" s="1"/>
  <c r="E514" i="5" s="1"/>
  <c r="E515" i="5" s="1"/>
  <c r="E516" i="5" s="1"/>
  <c r="E517" i="5" s="1"/>
  <c r="E518" i="5" s="1"/>
  <c r="E519" i="5" s="1"/>
  <c r="E520" i="5" s="1"/>
  <c r="E521" i="5" s="1"/>
  <c r="E522" i="5" s="1"/>
  <c r="E523" i="5" s="1"/>
  <c r="E524" i="5" s="1"/>
  <c r="E525" i="5" s="1"/>
  <c r="E526" i="5" s="1"/>
  <c r="E527" i="5" s="1"/>
  <c r="E528" i="5" s="1"/>
  <c r="E529" i="5" s="1"/>
  <c r="E530" i="5" s="1"/>
  <c r="E531" i="5" s="1"/>
  <c r="E532" i="5" s="1"/>
  <c r="E533" i="5" s="1"/>
  <c r="E534" i="5" s="1"/>
  <c r="E535" i="5" s="1"/>
  <c r="E536" i="5" s="1"/>
  <c r="E537" i="5" s="1"/>
  <c r="E538" i="5" s="1"/>
  <c r="E539" i="5" s="1"/>
  <c r="E540" i="5" s="1"/>
  <c r="E541" i="5" s="1"/>
  <c r="E542" i="5" s="1"/>
  <c r="E543" i="5" s="1"/>
  <c r="E544" i="5" s="1"/>
  <c r="E545" i="5" s="1"/>
  <c r="E546" i="5" s="1"/>
  <c r="E547" i="5" s="1"/>
  <c r="E548" i="5" s="1"/>
  <c r="E549" i="5" s="1"/>
  <c r="E550" i="5" s="1"/>
  <c r="E551" i="5" s="1"/>
  <c r="E552" i="5" s="1"/>
  <c r="E553" i="5" s="1"/>
  <c r="E554" i="5" s="1"/>
  <c r="E555" i="5" s="1"/>
  <c r="E556" i="5" s="1"/>
  <c r="E557" i="5" s="1"/>
  <c r="E558" i="5" s="1"/>
  <c r="E559" i="5" s="1"/>
  <c r="E560" i="5" s="1"/>
  <c r="E561" i="5" s="1"/>
  <c r="E562" i="5" s="1"/>
  <c r="E563" i="5" s="1"/>
  <c r="E564" i="5" s="1"/>
  <c r="E565" i="5" s="1"/>
  <c r="E566" i="5" s="1"/>
  <c r="E567" i="5" s="1"/>
  <c r="E568" i="5" s="1"/>
  <c r="E569" i="5" s="1"/>
  <c r="E570" i="5" s="1"/>
  <c r="E571" i="5" s="1"/>
  <c r="E572" i="5" s="1"/>
  <c r="E573" i="5" s="1"/>
  <c r="E574" i="5" s="1"/>
  <c r="E575" i="5" s="1"/>
  <c r="E576" i="5" s="1"/>
  <c r="E577" i="5" s="1"/>
  <c r="E578" i="5" s="1"/>
  <c r="E579" i="5" s="1"/>
  <c r="E580" i="5" s="1"/>
  <c r="E581" i="5" s="1"/>
  <c r="E582" i="5" s="1"/>
  <c r="E583" i="5" s="1"/>
  <c r="E584" i="5" s="1"/>
  <c r="E585" i="5" s="1"/>
  <c r="E586" i="5" s="1"/>
  <c r="E587" i="5" s="1"/>
  <c r="E588" i="5" s="1"/>
  <c r="E589" i="5" s="1"/>
  <c r="E590" i="5" s="1"/>
  <c r="E591" i="5" s="1"/>
  <c r="E592" i="5" s="1"/>
  <c r="E593" i="5" s="1"/>
  <c r="E594" i="5" s="1"/>
  <c r="E595" i="5" s="1"/>
  <c r="E596" i="5" s="1"/>
  <c r="E597" i="5" s="1"/>
  <c r="E598" i="5" s="1"/>
  <c r="E599" i="5" s="1"/>
  <c r="E600" i="5" s="1"/>
  <c r="E601" i="5" s="1"/>
  <c r="E602" i="5" s="1"/>
  <c r="E603" i="5" s="1"/>
  <c r="E604" i="5" s="1"/>
  <c r="E605" i="5" s="1"/>
  <c r="E606" i="5" s="1"/>
  <c r="E607" i="5" s="1"/>
  <c r="E608" i="5" s="1"/>
  <c r="E609" i="5" s="1"/>
  <c r="E610" i="5" s="1"/>
  <c r="E611" i="5" s="1"/>
  <c r="E612" i="5" s="1"/>
  <c r="E613" i="5" s="1"/>
  <c r="E614" i="5" s="1"/>
  <c r="E615" i="5" s="1"/>
  <c r="E616" i="5" s="1"/>
  <c r="E617" i="5" s="1"/>
  <c r="E618" i="5" s="1"/>
  <c r="E619" i="5" s="1"/>
  <c r="E620" i="5" s="1"/>
  <c r="E621" i="5" s="1"/>
  <c r="E622" i="5" s="1"/>
  <c r="E623" i="5" s="1"/>
  <c r="E624" i="5" s="1"/>
  <c r="E625" i="5" s="1"/>
  <c r="E626" i="5" s="1"/>
  <c r="E627" i="5" s="1"/>
  <c r="E628" i="5" s="1"/>
  <c r="E629" i="5" s="1"/>
  <c r="E630" i="5" s="1"/>
  <c r="E631" i="5" s="1"/>
  <c r="E632" i="5" s="1"/>
  <c r="E633" i="5" s="1"/>
  <c r="E634" i="5" s="1"/>
  <c r="E635" i="5" s="1"/>
  <c r="E636" i="5" s="1"/>
  <c r="E637" i="5" s="1"/>
  <c r="E638" i="5" s="1"/>
  <c r="E639" i="5" s="1"/>
  <c r="E640" i="5" s="1"/>
  <c r="E641" i="5" s="1"/>
  <c r="E642" i="5" s="1"/>
  <c r="E643" i="5" s="1"/>
  <c r="E644" i="5" s="1"/>
  <c r="E645" i="5" s="1"/>
  <c r="E646" i="5" s="1"/>
  <c r="E647" i="5" s="1"/>
  <c r="E648" i="5" s="1"/>
  <c r="E649" i="5" s="1"/>
  <c r="E650" i="5" s="1"/>
  <c r="E651" i="5" s="1"/>
  <c r="E652" i="5" s="1"/>
  <c r="E653" i="5" s="1"/>
  <c r="E654" i="5" s="1"/>
  <c r="E655" i="5" s="1"/>
  <c r="E656" i="5" s="1"/>
  <c r="E657" i="5" s="1"/>
  <c r="E658" i="5" s="1"/>
  <c r="E659" i="5" s="1"/>
  <c r="E660" i="5" s="1"/>
  <c r="E661" i="5" s="1"/>
  <c r="E662" i="5" s="1"/>
  <c r="E663" i="5" s="1"/>
  <c r="E664" i="5" s="1"/>
  <c r="E665" i="5" s="1"/>
  <c r="E666" i="5" s="1"/>
  <c r="E667" i="5" s="1"/>
  <c r="E668" i="5" s="1"/>
  <c r="E669" i="5" s="1"/>
  <c r="E670" i="5" s="1"/>
  <c r="E671" i="5" s="1"/>
  <c r="E672" i="5" s="1"/>
  <c r="E673" i="5" s="1"/>
  <c r="E674" i="5" s="1"/>
  <c r="E675" i="5" s="1"/>
  <c r="E676" i="5" s="1"/>
  <c r="E677" i="5" s="1"/>
  <c r="E678" i="5" s="1"/>
  <c r="E679" i="5" s="1"/>
  <c r="E680" i="5" s="1"/>
  <c r="E681" i="5" s="1"/>
  <c r="E682" i="5" s="1"/>
  <c r="E683" i="5" s="1"/>
  <c r="E684" i="5" s="1"/>
  <c r="E685" i="5" s="1"/>
  <c r="E686" i="5" s="1"/>
  <c r="E687" i="5" s="1"/>
  <c r="E688" i="5" s="1"/>
  <c r="E689" i="5" s="1"/>
  <c r="E690" i="5" s="1"/>
  <c r="E691" i="5" s="1"/>
  <c r="E692" i="5" s="1"/>
  <c r="E693" i="5" s="1"/>
  <c r="E694" i="5" s="1"/>
  <c r="E695" i="5" s="1"/>
  <c r="E696" i="5" s="1"/>
  <c r="E697" i="5" s="1"/>
  <c r="E698" i="5" s="1"/>
  <c r="E699" i="5" s="1"/>
  <c r="E700" i="5" s="1"/>
  <c r="E701" i="5" s="1"/>
  <c r="E702" i="5" s="1"/>
  <c r="E703" i="5" s="1"/>
  <c r="E704" i="5" s="1"/>
  <c r="E705" i="5" s="1"/>
  <c r="E706" i="5" s="1"/>
  <c r="E707" i="5" s="1"/>
  <c r="E708" i="5" s="1"/>
  <c r="E709" i="5" s="1"/>
  <c r="E710" i="5" s="1"/>
  <c r="E711" i="5" s="1"/>
  <c r="E712" i="5" s="1"/>
  <c r="E713" i="5" s="1"/>
  <c r="E714" i="5" s="1"/>
  <c r="E715" i="5" s="1"/>
  <c r="E716" i="5" s="1"/>
  <c r="E717" i="5" s="1"/>
  <c r="E718" i="5" s="1"/>
  <c r="E719" i="5" s="1"/>
  <c r="E720" i="5" s="1"/>
  <c r="E721" i="5" s="1"/>
  <c r="E722" i="5" s="1"/>
  <c r="E723" i="5" s="1"/>
  <c r="E724" i="5" s="1"/>
  <c r="E725" i="5" s="1"/>
  <c r="E726" i="5" s="1"/>
  <c r="E727" i="5" s="1"/>
  <c r="E728" i="5" s="1"/>
  <c r="E729" i="5" s="1"/>
  <c r="E730" i="5" s="1"/>
  <c r="E731" i="5" s="1"/>
  <c r="E732" i="5" s="1"/>
  <c r="E733" i="5" s="1"/>
  <c r="E734" i="5" s="1"/>
  <c r="E735" i="5" s="1"/>
  <c r="E736" i="5" s="1"/>
  <c r="E737" i="5" s="1"/>
  <c r="E738" i="5" s="1"/>
  <c r="E739" i="5" s="1"/>
  <c r="E740" i="5" s="1"/>
  <c r="E741" i="5" s="1"/>
  <c r="E742" i="5" s="1"/>
  <c r="E743" i="5" s="1"/>
  <c r="E744" i="5" s="1"/>
  <c r="E745" i="5" s="1"/>
  <c r="E746" i="5" s="1"/>
  <c r="E747" i="5" s="1"/>
  <c r="E748" i="5" s="1"/>
  <c r="E749" i="5" s="1"/>
  <c r="E750" i="5" s="1"/>
  <c r="E751" i="5" s="1"/>
  <c r="E752" i="5" s="1"/>
  <c r="E753" i="5" s="1"/>
  <c r="E754" i="5" s="1"/>
  <c r="D9" i="36"/>
  <c r="D10" i="36" s="1"/>
  <c r="D11" i="36" s="1"/>
  <c r="D12" i="36" s="1"/>
  <c r="E10" i="36"/>
  <c r="E11" i="36" s="1"/>
  <c r="E12" i="36" s="1"/>
  <c r="E13" i="36" s="1"/>
  <c r="C12" i="36"/>
  <c r="C13" i="36" s="1"/>
  <c r="C14" i="36" s="1"/>
  <c r="C15" i="36" s="1"/>
  <c r="C16" i="36" s="1"/>
  <c r="C17" i="36" s="1"/>
  <c r="C18" i="36" s="1"/>
  <c r="C19" i="36" s="1"/>
  <c r="D13" i="36"/>
  <c r="D14" i="36" s="1"/>
  <c r="D15" i="36" s="1"/>
  <c r="D16" i="36" s="1"/>
  <c r="D17" i="36" s="1"/>
  <c r="D18" i="36" s="1"/>
  <c r="D19" i="36" s="1"/>
  <c r="D20" i="36" s="1"/>
  <c r="E14" i="36"/>
  <c r="E15" i="36" s="1"/>
  <c r="E16" i="36" s="1"/>
  <c r="E17" i="36" s="1"/>
  <c r="E18" i="36"/>
  <c r="E19" i="36" s="1"/>
  <c r="E20" i="36" s="1"/>
  <c r="E21" i="36" s="1"/>
  <c r="C20" i="36"/>
  <c r="C21" i="36" s="1"/>
  <c r="C22" i="36" s="1"/>
  <c r="C23" i="36" s="1"/>
  <c r="C24" i="36" s="1"/>
  <c r="C25" i="36" s="1"/>
  <c r="C26" i="36" s="1"/>
  <c r="C27" i="36" s="1"/>
  <c r="C28" i="36" s="1"/>
  <c r="C29" i="36" s="1"/>
  <c r="C30" i="36" s="1"/>
  <c r="C31" i="36" s="1"/>
  <c r="C32" i="36" s="1"/>
  <c r="C33" i="36" s="1"/>
  <c r="C34" i="36" s="1"/>
  <c r="C35" i="36" s="1"/>
  <c r="C36" i="36" s="1"/>
  <c r="C37" i="36" s="1"/>
  <c r="C38" i="36" s="1"/>
  <c r="C39" i="36" s="1"/>
  <c r="C40" i="36" s="1"/>
  <c r="C41" i="36" s="1"/>
  <c r="C42" i="36" s="1"/>
  <c r="C43" i="36" s="1"/>
  <c r="C44" i="36" s="1"/>
  <c r="C45" i="36" s="1"/>
  <c r="C46" i="36" s="1"/>
  <c r="C47" i="36" s="1"/>
  <c r="C48" i="36" s="1"/>
  <c r="D21" i="36"/>
  <c r="D22" i="36" s="1"/>
  <c r="D23" i="36" s="1"/>
  <c r="D24" i="36" s="1"/>
  <c r="D25" i="36" s="1"/>
  <c r="D26" i="36" s="1"/>
  <c r="D27" i="36" s="1"/>
  <c r="D28" i="36" s="1"/>
  <c r="D29" i="36" s="1"/>
  <c r="D30" i="36" s="1"/>
  <c r="D31" i="36" s="1"/>
  <c r="D32" i="36" s="1"/>
  <c r="D33" i="36" s="1"/>
  <c r="D34" i="36" s="1"/>
  <c r="D35" i="36" s="1"/>
  <c r="D36" i="36" s="1"/>
  <c r="D37" i="36" s="1"/>
  <c r="D38" i="36" s="1"/>
  <c r="D39" i="36" s="1"/>
  <c r="D40" i="36" s="1"/>
  <c r="D41" i="36" s="1"/>
  <c r="D42" i="36" s="1"/>
  <c r="D43" i="36" s="1"/>
  <c r="D44" i="36" s="1"/>
  <c r="D45" i="36" s="1"/>
  <c r="D46" i="36" s="1"/>
  <c r="D47" i="36" s="1"/>
  <c r="D48" i="36" s="1"/>
  <c r="D49" i="36" s="1"/>
  <c r="E22" i="36"/>
  <c r="E23" i="36" s="1"/>
  <c r="E24" i="36" s="1"/>
  <c r="E25" i="36" s="1"/>
  <c r="E26" i="36" s="1"/>
  <c r="E27" i="36" s="1"/>
  <c r="E28" i="36" s="1"/>
  <c r="E29" i="36" s="1"/>
  <c r="E30" i="36"/>
  <c r="E31" i="36" s="1"/>
  <c r="E32" i="36" s="1"/>
  <c r="E33" i="36" s="1"/>
  <c r="E34" i="36" s="1"/>
  <c r="E35" i="36" s="1"/>
  <c r="E36" i="36" s="1"/>
  <c r="E37" i="36" s="1"/>
  <c r="E38" i="36" s="1"/>
  <c r="E39" i="36"/>
  <c r="E40" i="36" s="1"/>
  <c r="E41" i="36" s="1"/>
  <c r="E42" i="36" s="1"/>
  <c r="E43" i="36"/>
  <c r="E44" i="36" s="1"/>
  <c r="E45" i="36" s="1"/>
  <c r="E46" i="36"/>
  <c r="E47" i="36" s="1"/>
  <c r="E48" i="36" s="1"/>
  <c r="E49" i="36" s="1"/>
  <c r="E50" i="36" s="1"/>
  <c r="C49" i="36"/>
  <c r="C50" i="36" s="1"/>
  <c r="C51" i="36" s="1"/>
  <c r="C52" i="36" s="1"/>
  <c r="C53" i="36" s="1"/>
  <c r="C54" i="36" s="1"/>
  <c r="C55" i="36" s="1"/>
  <c r="C56" i="36" s="1"/>
  <c r="C57" i="36" s="1"/>
  <c r="C58" i="36" s="1"/>
  <c r="C59" i="36" s="1"/>
  <c r="C60" i="36" s="1"/>
  <c r="C61" i="36" s="1"/>
  <c r="C62" i="36" s="1"/>
  <c r="C63" i="36" s="1"/>
  <c r="C64" i="36" s="1"/>
  <c r="C65" i="36" s="1"/>
  <c r="D50" i="36"/>
  <c r="D51" i="36" s="1"/>
  <c r="D52" i="36" s="1"/>
  <c r="D53" i="36" s="1"/>
  <c r="D54" i="36" s="1"/>
  <c r="D55" i="36" s="1"/>
  <c r="D56" i="36" s="1"/>
  <c r="D57" i="36" s="1"/>
  <c r="D58" i="36" s="1"/>
  <c r="D59" i="36" s="1"/>
  <c r="D60" i="36" s="1"/>
  <c r="D61" i="36" s="1"/>
  <c r="D62" i="36" s="1"/>
  <c r="D63" i="36" s="1"/>
  <c r="D64" i="36" s="1"/>
  <c r="D65" i="36" s="1"/>
  <c r="D66" i="36" s="1"/>
  <c r="E51" i="36"/>
  <c r="E52" i="36" s="1"/>
  <c r="E53" i="36" s="1"/>
  <c r="E54" i="36" s="1"/>
  <c r="E55" i="36"/>
  <c r="E56" i="36" s="1"/>
  <c r="E57" i="36" s="1"/>
  <c r="E58" i="36"/>
  <c r="E59" i="36" s="1"/>
  <c r="E60" i="36" s="1"/>
  <c r="E61" i="36" s="1"/>
  <c r="E62" i="36"/>
  <c r="E63" i="36" s="1"/>
  <c r="E64" i="36" s="1"/>
  <c r="E65" i="36" s="1"/>
  <c r="E66" i="36" s="1"/>
  <c r="E67" i="36" s="1"/>
  <c r="C66" i="36"/>
  <c r="C67" i="36" s="1"/>
  <c r="C68" i="36" s="1"/>
  <c r="C69" i="36" s="1"/>
  <c r="C70" i="36" s="1"/>
  <c r="C71" i="36" s="1"/>
  <c r="C72" i="36" s="1"/>
  <c r="C73" i="36" s="1"/>
  <c r="C74" i="36" s="1"/>
  <c r="C75" i="36" s="1"/>
  <c r="C76" i="36" s="1"/>
  <c r="C77" i="36" s="1"/>
  <c r="C78" i="36" s="1"/>
  <c r="C79" i="36" s="1"/>
  <c r="C80" i="36" s="1"/>
  <c r="C81" i="36" s="1"/>
  <c r="C82" i="36" s="1"/>
  <c r="C83" i="36" s="1"/>
  <c r="C84" i="36" s="1"/>
  <c r="C85" i="36" s="1"/>
  <c r="C86" i="36" s="1"/>
  <c r="C87" i="36" s="1"/>
  <c r="C88" i="36" s="1"/>
  <c r="C89" i="36" s="1"/>
  <c r="C90" i="36" s="1"/>
  <c r="C91" i="36" s="1"/>
  <c r="C92" i="36" s="1"/>
  <c r="C93" i="36" s="1"/>
  <c r="C94" i="36" s="1"/>
  <c r="C95" i="36" s="1"/>
  <c r="C96" i="36" s="1"/>
  <c r="D67" i="36"/>
  <c r="D68" i="36" s="1"/>
  <c r="D69" i="36" s="1"/>
  <c r="D70" i="36" s="1"/>
  <c r="D71" i="36" s="1"/>
  <c r="D72" i="36" s="1"/>
  <c r="D73" i="36" s="1"/>
  <c r="D74" i="36" s="1"/>
  <c r="D75" i="36" s="1"/>
  <c r="D76" i="36" s="1"/>
  <c r="D77" i="36" s="1"/>
  <c r="D78" i="36" s="1"/>
  <c r="D79" i="36" s="1"/>
  <c r="D80" i="36" s="1"/>
  <c r="D81" i="36" s="1"/>
  <c r="D82" i="36" s="1"/>
  <c r="D83" i="36" s="1"/>
  <c r="D84" i="36" s="1"/>
  <c r="D85" i="36" s="1"/>
  <c r="D86" i="36" s="1"/>
  <c r="D87" i="36" s="1"/>
  <c r="D88" i="36" s="1"/>
  <c r="D89" i="36" s="1"/>
  <c r="D90" i="36" s="1"/>
  <c r="D91" i="36" s="1"/>
  <c r="D92" i="36" s="1"/>
  <c r="D93" i="36" s="1"/>
  <c r="D94" i="36" s="1"/>
  <c r="D95" i="36" s="1"/>
  <c r="D96" i="36" s="1"/>
  <c r="D97" i="36" s="1"/>
  <c r="E68" i="36"/>
  <c r="E69" i="36" s="1"/>
  <c r="E70" i="36" s="1"/>
  <c r="E71" i="36"/>
  <c r="E72" i="36" s="1"/>
  <c r="E73" i="36"/>
  <c r="E74" i="36" s="1"/>
  <c r="E75" i="36"/>
  <c r="E76" i="36" s="1"/>
  <c r="E77" i="36"/>
  <c r="E78" i="36" s="1"/>
  <c r="E79" i="36"/>
  <c r="E80" i="36" s="1"/>
  <c r="E81" i="36"/>
  <c r="E82" i="36" s="1"/>
  <c r="E83" i="36"/>
  <c r="E84" i="36" s="1"/>
  <c r="E85" i="36"/>
  <c r="E86" i="36" s="1"/>
  <c r="E87" i="36"/>
  <c r="E88" i="36" s="1"/>
  <c r="E89" i="36"/>
  <c r="E90" i="36" s="1"/>
  <c r="E91" i="36" s="1"/>
  <c r="E92" i="36" s="1"/>
  <c r="E93" i="36" s="1"/>
  <c r="E94" i="36" s="1"/>
  <c r="E95" i="36" s="1"/>
  <c r="E96" i="36" s="1"/>
  <c r="E97" i="36" s="1"/>
  <c r="E98" i="36" s="1"/>
  <c r="C97" i="36"/>
  <c r="C98" i="36" s="1"/>
  <c r="C99" i="36" s="1"/>
  <c r="C100" i="36" s="1"/>
  <c r="C101" i="36" s="1"/>
  <c r="C102" i="36" s="1"/>
  <c r="C103" i="36" s="1"/>
  <c r="C104" i="36" s="1"/>
  <c r="C105" i="36" s="1"/>
  <c r="C106" i="36" s="1"/>
  <c r="C107" i="36" s="1"/>
  <c r="C108" i="36" s="1"/>
  <c r="C109" i="36" s="1"/>
  <c r="C110" i="36" s="1"/>
  <c r="C111" i="36" s="1"/>
  <c r="C112" i="36" s="1"/>
  <c r="D98" i="36"/>
  <c r="D99" i="36" s="1"/>
  <c r="D100" i="36" s="1"/>
  <c r="D101" i="36" s="1"/>
  <c r="D102" i="36" s="1"/>
  <c r="D103" i="36" s="1"/>
  <c r="D104" i="36" s="1"/>
  <c r="D105" i="36" s="1"/>
  <c r="D106" i="36" s="1"/>
  <c r="D107" i="36" s="1"/>
  <c r="D108" i="36" s="1"/>
  <c r="D109" i="36" s="1"/>
  <c r="D110" i="36" s="1"/>
  <c r="D111" i="36" s="1"/>
  <c r="D112" i="36" s="1"/>
  <c r="D113" i="36" s="1"/>
  <c r="E99" i="36"/>
  <c r="E100" i="36" s="1"/>
  <c r="E101" i="36" s="1"/>
  <c r="E102" i="36"/>
  <c r="E103" i="36" s="1"/>
  <c r="E104" i="36" s="1"/>
  <c r="E105" i="36"/>
  <c r="E106" i="36" s="1"/>
  <c r="E107" i="36" s="1"/>
  <c r="E108" i="36" s="1"/>
  <c r="E109" i="36"/>
  <c r="E110" i="36" s="1"/>
  <c r="E111" i="36"/>
  <c r="E112" i="36" s="1"/>
  <c r="E113" i="36" s="1"/>
  <c r="E114" i="36" s="1"/>
  <c r="C113" i="36"/>
  <c r="C114" i="36" s="1"/>
  <c r="C115" i="36" s="1"/>
  <c r="C116" i="36" s="1"/>
  <c r="C117" i="36" s="1"/>
  <c r="C118" i="36" s="1"/>
  <c r="C119" i="36" s="1"/>
  <c r="C120" i="36" s="1"/>
  <c r="C121" i="36" s="1"/>
  <c r="C122" i="36" s="1"/>
  <c r="C123" i="36" s="1"/>
  <c r="C124" i="36" s="1"/>
  <c r="C125" i="36" s="1"/>
  <c r="C126" i="36" s="1"/>
  <c r="C127" i="36" s="1"/>
  <c r="C128" i="36" s="1"/>
  <c r="D114" i="36"/>
  <c r="D115" i="36" s="1"/>
  <c r="D116" i="36" s="1"/>
  <c r="D117" i="36" s="1"/>
  <c r="D118" i="36" s="1"/>
  <c r="D119" i="36" s="1"/>
  <c r="D120" i="36" s="1"/>
  <c r="D121" i="36" s="1"/>
  <c r="D122" i="36" s="1"/>
  <c r="D123" i="36" s="1"/>
  <c r="D124" i="36" s="1"/>
  <c r="D125" i="36" s="1"/>
  <c r="D126" i="36" s="1"/>
  <c r="D127" i="36" s="1"/>
  <c r="D128" i="36" s="1"/>
  <c r="D129" i="36" s="1"/>
  <c r="E115" i="36"/>
  <c r="E116" i="36" s="1"/>
  <c r="E117" i="36"/>
  <c r="E118" i="36" s="1"/>
  <c r="E119" i="36"/>
  <c r="E120" i="36" s="1"/>
  <c r="E121" i="36"/>
  <c r="E122" i="36" s="1"/>
  <c r="E123" i="36"/>
  <c r="E124" i="36" s="1"/>
  <c r="E125" i="36"/>
  <c r="E126" i="36" s="1"/>
  <c r="E127" i="36"/>
  <c r="E128" i="36" s="1"/>
  <c r="E129" i="36" s="1"/>
  <c r="E130" i="36" s="1"/>
  <c r="C129" i="36"/>
  <c r="C130" i="36" s="1"/>
  <c r="C131" i="36" s="1"/>
  <c r="C132" i="36" s="1"/>
  <c r="C133" i="36" s="1"/>
  <c r="C134" i="36" s="1"/>
  <c r="C135" i="36" s="1"/>
  <c r="C136" i="36" s="1"/>
  <c r="C137" i="36" s="1"/>
  <c r="C138" i="36" s="1"/>
  <c r="C139" i="36" s="1"/>
  <c r="C140" i="36" s="1"/>
  <c r="C141" i="36" s="1"/>
  <c r="C142" i="36" s="1"/>
  <c r="D130" i="36"/>
  <c r="D131" i="36" s="1"/>
  <c r="D132" i="36" s="1"/>
  <c r="D133" i="36" s="1"/>
  <c r="D134" i="36" s="1"/>
  <c r="D135" i="36" s="1"/>
  <c r="D136" i="36" s="1"/>
  <c r="D137" i="36" s="1"/>
  <c r="D138" i="36" s="1"/>
  <c r="D139" i="36" s="1"/>
  <c r="D140" i="36" s="1"/>
  <c r="D141" i="36" s="1"/>
  <c r="D142" i="36" s="1"/>
  <c r="D143" i="36" s="1"/>
  <c r="E131" i="36"/>
  <c r="E132" i="36" s="1"/>
  <c r="E133" i="36" s="1"/>
  <c r="E134" i="36" s="1"/>
  <c r="E135" i="36" s="1"/>
  <c r="E136" i="36" s="1"/>
  <c r="E137" i="36" s="1"/>
  <c r="E138" i="36"/>
  <c r="E139" i="36" s="1"/>
  <c r="E140" i="36" s="1"/>
  <c r="E141" i="36" s="1"/>
  <c r="E142" i="36" s="1"/>
  <c r="E143" i="36" s="1"/>
  <c r="E144" i="36" s="1"/>
  <c r="C143" i="36"/>
  <c r="C144" i="36" s="1"/>
  <c r="C145" i="36" s="1"/>
  <c r="C146" i="36" s="1"/>
  <c r="C147" i="36" s="1"/>
  <c r="C148" i="36" s="1"/>
  <c r="C149" i="36" s="1"/>
  <c r="C150" i="36" s="1"/>
  <c r="C151" i="36" s="1"/>
  <c r="D144" i="36"/>
  <c r="D145" i="36" s="1"/>
  <c r="D146" i="36" s="1"/>
  <c r="D147" i="36" s="1"/>
  <c r="D148" i="36" s="1"/>
  <c r="D149" i="36" s="1"/>
  <c r="D150" i="36" s="1"/>
  <c r="D151" i="36" s="1"/>
  <c r="D152" i="36" s="1"/>
  <c r="E145" i="36"/>
  <c r="E146" i="36" s="1"/>
  <c r="E147" i="36" s="1"/>
  <c r="E148" i="36" s="1"/>
  <c r="E149" i="36" s="1"/>
  <c r="E150" i="36"/>
  <c r="E151" i="36" s="1"/>
  <c r="E152" i="36" s="1"/>
  <c r="E153" i="36" s="1"/>
  <c r="C152" i="36"/>
  <c r="C153" i="36" s="1"/>
  <c r="C154" i="36" s="1"/>
  <c r="C155" i="36" s="1"/>
  <c r="C156" i="36" s="1"/>
  <c r="C157" i="36" s="1"/>
  <c r="C158" i="36" s="1"/>
  <c r="C159" i="36" s="1"/>
  <c r="D153" i="36"/>
  <c r="D154" i="36" s="1"/>
  <c r="D155" i="36" s="1"/>
  <c r="D156" i="36" s="1"/>
  <c r="D157" i="36" s="1"/>
  <c r="D158" i="36" s="1"/>
  <c r="D159" i="36" s="1"/>
  <c r="D160" i="36" s="1"/>
  <c r="E154" i="36"/>
  <c r="E155" i="36" s="1"/>
  <c r="E156" i="36" s="1"/>
  <c r="E157" i="36" s="1"/>
  <c r="E158" i="36"/>
  <c r="E159" i="36" s="1"/>
  <c r="E160" i="36" s="1"/>
  <c r="E161" i="36" s="1"/>
  <c r="C160" i="36"/>
  <c r="C161" i="36" s="1"/>
  <c r="C162" i="36" s="1"/>
  <c r="C163" i="36" s="1"/>
  <c r="C164" i="36" s="1"/>
  <c r="C165" i="36" s="1"/>
  <c r="C166" i="36" s="1"/>
  <c r="C167" i="36" s="1"/>
  <c r="C168" i="36" s="1"/>
  <c r="C169" i="36" s="1"/>
  <c r="C170" i="36" s="1"/>
  <c r="D161" i="36"/>
  <c r="D162" i="36" s="1"/>
  <c r="D163" i="36" s="1"/>
  <c r="D164" i="36" s="1"/>
  <c r="D165" i="36" s="1"/>
  <c r="D166" i="36" s="1"/>
  <c r="D167" i="36" s="1"/>
  <c r="D168" i="36" s="1"/>
  <c r="D169" i="36" s="1"/>
  <c r="D170" i="36" s="1"/>
  <c r="D171" i="36" s="1"/>
  <c r="E162" i="36"/>
  <c r="E163" i="36" s="1"/>
  <c r="E164" i="36" s="1"/>
  <c r="E165" i="36" s="1"/>
  <c r="E166" i="36" s="1"/>
  <c r="E167" i="36" s="1"/>
  <c r="E168" i="36" s="1"/>
  <c r="E169" i="36"/>
  <c r="E170" i="36" s="1"/>
  <c r="E171" i="36" s="1"/>
  <c r="E172" i="36" s="1"/>
  <c r="C171" i="36"/>
  <c r="C172" i="36" s="1"/>
  <c r="C173" i="36" s="1"/>
  <c r="C174" i="36" s="1"/>
  <c r="C175" i="36" s="1"/>
  <c r="C176" i="36" s="1"/>
  <c r="C177" i="36" s="1"/>
  <c r="C178" i="36" s="1"/>
  <c r="C179" i="36" s="1"/>
  <c r="D172" i="36"/>
  <c r="D173" i="36" s="1"/>
  <c r="D174" i="36" s="1"/>
  <c r="D175" i="36" s="1"/>
  <c r="D176" i="36" s="1"/>
  <c r="D177" i="36" s="1"/>
  <c r="D178" i="36" s="1"/>
  <c r="D179" i="36" s="1"/>
  <c r="D180" i="36" s="1"/>
  <c r="E173" i="36"/>
  <c r="E174" i="36" s="1"/>
  <c r="E175" i="36" s="1"/>
  <c r="E176" i="36"/>
  <c r="E177" i="36" s="1"/>
  <c r="E178" i="36"/>
  <c r="E179" i="36" s="1"/>
  <c r="E180" i="36" s="1"/>
  <c r="E181" i="36" s="1"/>
  <c r="C180" i="36"/>
  <c r="C181" i="36" s="1"/>
  <c r="C182" i="36" s="1"/>
  <c r="C183" i="36" s="1"/>
  <c r="C184" i="36" s="1"/>
  <c r="C185" i="36" s="1"/>
  <c r="C186" i="36" s="1"/>
  <c r="C187" i="36" s="1"/>
  <c r="C188" i="36" s="1"/>
  <c r="C189" i="36" s="1"/>
  <c r="C190" i="36" s="1"/>
  <c r="C191" i="36" s="1"/>
  <c r="C192" i="36" s="1"/>
  <c r="C193" i="36" s="1"/>
  <c r="C194" i="36" s="1"/>
  <c r="C195" i="36" s="1"/>
  <c r="C196" i="36" s="1"/>
  <c r="C197" i="36" s="1"/>
  <c r="C198" i="36" s="1"/>
  <c r="C199" i="36" s="1"/>
  <c r="C200" i="36" s="1"/>
  <c r="C201" i="36" s="1"/>
  <c r="C202" i="36" s="1"/>
  <c r="D181" i="36"/>
  <c r="D182" i="36" s="1"/>
  <c r="D183" i="36" s="1"/>
  <c r="D184" i="36" s="1"/>
  <c r="D185" i="36" s="1"/>
  <c r="D186" i="36" s="1"/>
  <c r="D187" i="36" s="1"/>
  <c r="D188" i="36" s="1"/>
  <c r="D189" i="36" s="1"/>
  <c r="D190" i="36" s="1"/>
  <c r="D191" i="36" s="1"/>
  <c r="D192" i="36" s="1"/>
  <c r="D193" i="36" s="1"/>
  <c r="D194" i="36" s="1"/>
  <c r="D195" i="36" s="1"/>
  <c r="D196" i="36" s="1"/>
  <c r="D197" i="36" s="1"/>
  <c r="D198" i="36" s="1"/>
  <c r="D199" i="36" s="1"/>
  <c r="D200" i="36" s="1"/>
  <c r="D201" i="36" s="1"/>
  <c r="D202" i="36" s="1"/>
  <c r="D203" i="36" s="1"/>
  <c r="E182" i="36"/>
  <c r="E183" i="36" s="1"/>
  <c r="E184" i="36" s="1"/>
  <c r="E185" i="36"/>
  <c r="E186" i="36" s="1"/>
  <c r="E187" i="36" s="1"/>
  <c r="E188" i="36"/>
  <c r="E189" i="36" s="1"/>
  <c r="E190" i="36"/>
  <c r="E191" i="36" s="1"/>
  <c r="E192" i="36" s="1"/>
  <c r="E193" i="36" s="1"/>
  <c r="E194" i="36"/>
  <c r="E195" i="36" s="1"/>
  <c r="E196" i="36"/>
  <c r="E197" i="36" s="1"/>
  <c r="E198" i="36" s="1"/>
  <c r="E199" i="36" s="1"/>
  <c r="E200" i="36" s="1"/>
  <c r="E201" i="36" s="1"/>
  <c r="E202" i="36" s="1"/>
  <c r="E203" i="36" s="1"/>
  <c r="E204" i="36" s="1"/>
  <c r="C203" i="36"/>
  <c r="C204" i="36" s="1"/>
  <c r="C205" i="36" s="1"/>
  <c r="C206" i="36" s="1"/>
  <c r="C207" i="36" s="1"/>
  <c r="C208" i="36" s="1"/>
  <c r="C209" i="36" s="1"/>
  <c r="C210" i="36" s="1"/>
  <c r="C211" i="36" s="1"/>
  <c r="C212" i="36" s="1"/>
  <c r="D204" i="36"/>
  <c r="D205" i="36" s="1"/>
  <c r="D206" i="36" s="1"/>
  <c r="D207" i="36" s="1"/>
  <c r="D208" i="36" s="1"/>
  <c r="D209" i="36" s="1"/>
  <c r="D210" i="36" s="1"/>
  <c r="D211" i="36" s="1"/>
  <c r="D212" i="36" s="1"/>
  <c r="D213" i="36" s="1"/>
  <c r="E205" i="36"/>
  <c r="E206" i="36" s="1"/>
  <c r="E207" i="36"/>
  <c r="E208" i="36" s="1"/>
  <c r="E209" i="36"/>
  <c r="E210" i="36" s="1"/>
  <c r="E211" i="36"/>
  <c r="E212" i="36" s="1"/>
  <c r="E213" i="36" s="1"/>
  <c r="E214" i="36" s="1"/>
  <c r="C213" i="36"/>
  <c r="C214" i="36" s="1"/>
  <c r="C215" i="36" s="1"/>
  <c r="C216" i="36" s="1"/>
  <c r="C217" i="36" s="1"/>
  <c r="C218" i="36" s="1"/>
  <c r="C219" i="36" s="1"/>
  <c r="C220" i="36" s="1"/>
  <c r="C221" i="36" s="1"/>
  <c r="C222" i="36" s="1"/>
  <c r="C223" i="36" s="1"/>
  <c r="C224" i="36" s="1"/>
  <c r="C225" i="36" s="1"/>
  <c r="C226" i="36" s="1"/>
  <c r="C227" i="36" s="1"/>
  <c r="C228" i="36" s="1"/>
  <c r="C229" i="36" s="1"/>
  <c r="C230" i="36" s="1"/>
  <c r="C231" i="36" s="1"/>
  <c r="C232" i="36" s="1"/>
  <c r="C233" i="36" s="1"/>
  <c r="C234" i="36" s="1"/>
  <c r="C235" i="36" s="1"/>
  <c r="C236" i="36" s="1"/>
  <c r="C237" i="36" s="1"/>
  <c r="C238" i="36" s="1"/>
  <c r="C239" i="36" s="1"/>
  <c r="C240" i="36" s="1"/>
  <c r="C241" i="36" s="1"/>
  <c r="C242" i="36" s="1"/>
  <c r="C243" i="36" s="1"/>
  <c r="C244" i="36" s="1"/>
  <c r="C245" i="36" s="1"/>
  <c r="C246" i="36" s="1"/>
  <c r="C247" i="36" s="1"/>
  <c r="C248" i="36" s="1"/>
  <c r="C249" i="36" s="1"/>
  <c r="C250" i="36" s="1"/>
  <c r="C251" i="36" s="1"/>
  <c r="C252" i="36" s="1"/>
  <c r="C253" i="36" s="1"/>
  <c r="C254" i="36" s="1"/>
  <c r="C255" i="36" s="1"/>
  <c r="D214" i="36"/>
  <c r="D215" i="36" s="1"/>
  <c r="D216" i="36" s="1"/>
  <c r="D217" i="36" s="1"/>
  <c r="D218" i="36" s="1"/>
  <c r="D219" i="36" s="1"/>
  <c r="D220" i="36" s="1"/>
  <c r="D221" i="36" s="1"/>
  <c r="D222" i="36" s="1"/>
  <c r="D223" i="36" s="1"/>
  <c r="D224" i="36" s="1"/>
  <c r="D225" i="36" s="1"/>
  <c r="D226" i="36" s="1"/>
  <c r="D227" i="36" s="1"/>
  <c r="D228" i="36" s="1"/>
  <c r="D229" i="36" s="1"/>
  <c r="D230" i="36" s="1"/>
  <c r="D231" i="36" s="1"/>
  <c r="D232" i="36" s="1"/>
  <c r="D233" i="36" s="1"/>
  <c r="D234" i="36" s="1"/>
  <c r="D235" i="36" s="1"/>
  <c r="D236" i="36" s="1"/>
  <c r="D237" i="36" s="1"/>
  <c r="D238" i="36" s="1"/>
  <c r="D239" i="36" s="1"/>
  <c r="D240" i="36" s="1"/>
  <c r="D241" i="36" s="1"/>
  <c r="D242" i="36" s="1"/>
  <c r="D243" i="36" s="1"/>
  <c r="D244" i="36" s="1"/>
  <c r="D245" i="36" s="1"/>
  <c r="D246" i="36" s="1"/>
  <c r="D247" i="36" s="1"/>
  <c r="D248" i="36" s="1"/>
  <c r="D249" i="36" s="1"/>
  <c r="D250" i="36" s="1"/>
  <c r="D251" i="36" s="1"/>
  <c r="D252" i="36" s="1"/>
  <c r="D253" i="36" s="1"/>
  <c r="D254" i="36" s="1"/>
  <c r="D255" i="36" s="1"/>
  <c r="D256" i="36" s="1"/>
  <c r="E215" i="36"/>
  <c r="E216" i="36" s="1"/>
  <c r="E217" i="36" s="1"/>
  <c r="E218" i="36" s="1"/>
  <c r="E219" i="36" s="1"/>
  <c r="E220" i="36" s="1"/>
  <c r="E221" i="36" s="1"/>
  <c r="E222" i="36"/>
  <c r="E223" i="36" s="1"/>
  <c r="E224" i="36" s="1"/>
  <c r="E225" i="36"/>
  <c r="E226" i="36" s="1"/>
  <c r="E227" i="36" s="1"/>
  <c r="E228" i="36" s="1"/>
  <c r="E229" i="36" s="1"/>
  <c r="E230" i="36" s="1"/>
  <c r="E231" i="36" s="1"/>
  <c r="E232" i="36"/>
  <c r="E233" i="36" s="1"/>
  <c r="E234" i="36"/>
  <c r="E235" i="36" s="1"/>
  <c r="E236" i="36" s="1"/>
  <c r="E237" i="36" s="1"/>
  <c r="E238" i="36" s="1"/>
  <c r="E239" i="36" s="1"/>
  <c r="E240" i="36" s="1"/>
  <c r="E241" i="36"/>
  <c r="E242" i="36" s="1"/>
  <c r="E243" i="36"/>
  <c r="E244" i="36" s="1"/>
  <c r="E245" i="36" s="1"/>
  <c r="E246" i="36" s="1"/>
  <c r="E247" i="36" s="1"/>
  <c r="E248" i="36" s="1"/>
  <c r="E249" i="36" s="1"/>
  <c r="E250" i="36" s="1"/>
  <c r="E251" i="36" s="1"/>
  <c r="E252" i="36" s="1"/>
  <c r="E253" i="36" s="1"/>
  <c r="E254" i="36" s="1"/>
  <c r="E255" i="36" s="1"/>
  <c r="E256" i="36" s="1"/>
  <c r="E257" i="36" s="1"/>
  <c r="C256" i="36"/>
  <c r="C257" i="36" s="1"/>
  <c r="C258" i="36" s="1"/>
  <c r="C259" i="36" s="1"/>
  <c r="C260" i="36" s="1"/>
  <c r="C261" i="36" s="1"/>
  <c r="C262" i="36" s="1"/>
  <c r="C263" i="36" s="1"/>
  <c r="C264" i="36" s="1"/>
  <c r="C265" i="36" s="1"/>
  <c r="C266" i="36" s="1"/>
  <c r="C267" i="36" s="1"/>
  <c r="C268" i="36" s="1"/>
  <c r="C269" i="36" s="1"/>
  <c r="C270" i="36" s="1"/>
  <c r="C271" i="36" s="1"/>
  <c r="C272" i="36" s="1"/>
  <c r="C273" i="36" s="1"/>
  <c r="C274" i="36" s="1"/>
  <c r="C275" i="36" s="1"/>
  <c r="D257" i="36"/>
  <c r="D258" i="36" s="1"/>
  <c r="D259" i="36" s="1"/>
  <c r="D260" i="36" s="1"/>
  <c r="D261" i="36" s="1"/>
  <c r="D262" i="36" s="1"/>
  <c r="D263" i="36" s="1"/>
  <c r="D264" i="36" s="1"/>
  <c r="D265" i="36" s="1"/>
  <c r="D266" i="36" s="1"/>
  <c r="D267" i="36" s="1"/>
  <c r="D268" i="36" s="1"/>
  <c r="D269" i="36" s="1"/>
  <c r="D270" i="36" s="1"/>
  <c r="D271" i="36" s="1"/>
  <c r="D272" i="36" s="1"/>
  <c r="D273" i="36" s="1"/>
  <c r="D274" i="36" s="1"/>
  <c r="D275" i="36" s="1"/>
  <c r="D276" i="36" s="1"/>
  <c r="E258" i="36"/>
  <c r="E259" i="36" s="1"/>
  <c r="E260" i="36" s="1"/>
  <c r="E261" i="36" s="1"/>
  <c r="E262" i="36"/>
  <c r="E263" i="36" s="1"/>
  <c r="E264" i="36" s="1"/>
  <c r="E265" i="36"/>
  <c r="E266" i="36" s="1"/>
  <c r="E267" i="36" s="1"/>
  <c r="E268" i="36"/>
  <c r="E269" i="36" s="1"/>
  <c r="E270" i="36" s="1"/>
  <c r="E271" i="36" s="1"/>
  <c r="E272" i="36" s="1"/>
  <c r="E273" i="36" s="1"/>
  <c r="E274" i="36" s="1"/>
  <c r="E275" i="36" s="1"/>
  <c r="E276" i="36" s="1"/>
  <c r="E277" i="36" s="1"/>
  <c r="C276" i="36"/>
  <c r="C277" i="36" s="1"/>
  <c r="C278" i="36" s="1"/>
  <c r="C279" i="36" s="1"/>
  <c r="C280" i="36" s="1"/>
  <c r="C281" i="36" s="1"/>
  <c r="C282" i="36" s="1"/>
  <c r="C283" i="36" s="1"/>
  <c r="C284" i="36" s="1"/>
  <c r="C285" i="36" s="1"/>
  <c r="C286" i="36" s="1"/>
  <c r="C287" i="36" s="1"/>
  <c r="C288" i="36" s="1"/>
  <c r="C289" i="36" s="1"/>
  <c r="C290" i="36" s="1"/>
  <c r="C291" i="36" s="1"/>
  <c r="C292" i="36" s="1"/>
  <c r="C293" i="36" s="1"/>
  <c r="C294" i="36" s="1"/>
  <c r="C295" i="36" s="1"/>
  <c r="C296" i="36" s="1"/>
  <c r="C297" i="36" s="1"/>
  <c r="C298" i="36" s="1"/>
  <c r="C299" i="36" s="1"/>
  <c r="C300" i="36" s="1"/>
  <c r="C301" i="36" s="1"/>
  <c r="C302" i="36" s="1"/>
  <c r="C303" i="36" s="1"/>
  <c r="C304" i="36" s="1"/>
  <c r="C305" i="36" s="1"/>
  <c r="C306" i="36" s="1"/>
  <c r="C307" i="36" s="1"/>
  <c r="C308" i="36" s="1"/>
  <c r="C309" i="36" s="1"/>
  <c r="C310" i="36" s="1"/>
  <c r="C311" i="36" s="1"/>
  <c r="C312" i="36" s="1"/>
  <c r="C313" i="36" s="1"/>
  <c r="C314" i="36" s="1"/>
  <c r="C315" i="36" s="1"/>
  <c r="D277" i="36"/>
  <c r="D278" i="36" s="1"/>
  <c r="D279" i="36" s="1"/>
  <c r="D280" i="36" s="1"/>
  <c r="D281" i="36" s="1"/>
  <c r="D282" i="36" s="1"/>
  <c r="D283" i="36" s="1"/>
  <c r="D284" i="36" s="1"/>
  <c r="D285" i="36" s="1"/>
  <c r="D286" i="36" s="1"/>
  <c r="D287" i="36" s="1"/>
  <c r="D288" i="36" s="1"/>
  <c r="D289" i="36" s="1"/>
  <c r="D290" i="36" s="1"/>
  <c r="E278" i="36"/>
  <c r="E279" i="36" s="1"/>
  <c r="E280" i="36"/>
  <c r="E281" i="36" s="1"/>
  <c r="E282" i="36"/>
  <c r="E283" i="36" s="1"/>
  <c r="E284" i="36"/>
  <c r="E285" i="36" s="1"/>
  <c r="E286" i="36"/>
  <c r="E287" i="36" s="1"/>
  <c r="E288" i="36" s="1"/>
  <c r="E289" i="36" s="1"/>
  <c r="E290" i="36" s="1"/>
  <c r="E291" i="36" s="1"/>
  <c r="D291" i="36"/>
  <c r="D292" i="36" s="1"/>
  <c r="D293" i="36" s="1"/>
  <c r="D294" i="36" s="1"/>
  <c r="D295" i="36" s="1"/>
  <c r="D296" i="36" s="1"/>
  <c r="D297" i="36" s="1"/>
  <c r="D298" i="36" s="1"/>
  <c r="D299" i="36" s="1"/>
  <c r="D300" i="36" s="1"/>
  <c r="D301" i="36" s="1"/>
  <c r="D302" i="36" s="1"/>
  <c r="D303" i="36" s="1"/>
  <c r="D304" i="36" s="1"/>
  <c r="E292" i="36"/>
  <c r="E293" i="36" s="1"/>
  <c r="E294" i="36" s="1"/>
  <c r="E295" i="36" s="1"/>
  <c r="E296" i="36" s="1"/>
  <c r="E297" i="36"/>
  <c r="E298" i="36" s="1"/>
  <c r="E299" i="36"/>
  <c r="E300" i="36" s="1"/>
  <c r="E301" i="36"/>
  <c r="E302" i="36" s="1"/>
  <c r="E303" i="36"/>
  <c r="E304" i="36" s="1"/>
  <c r="E305" i="36" s="1"/>
  <c r="D305" i="36"/>
  <c r="D306" i="36" s="1"/>
  <c r="D307" i="36" s="1"/>
  <c r="D308" i="36" s="1"/>
  <c r="D309" i="36" s="1"/>
  <c r="D310" i="36" s="1"/>
  <c r="D311" i="36" s="1"/>
  <c r="D312" i="36" s="1"/>
  <c r="D313" i="36" s="1"/>
  <c r="D314" i="36" s="1"/>
  <c r="D315" i="36" s="1"/>
  <c r="D316" i="36" s="1"/>
  <c r="E306" i="36"/>
  <c r="E307" i="36" s="1"/>
  <c r="E308" i="36"/>
  <c r="E309" i="36" s="1"/>
  <c r="E310" i="36" s="1"/>
  <c r="E311" i="36" s="1"/>
  <c r="E312" i="36"/>
  <c r="E313" i="36" s="1"/>
  <c r="E314" i="36"/>
  <c r="E315" i="36" s="1"/>
  <c r="E316" i="36" s="1"/>
  <c r="E317" i="36" s="1"/>
  <c r="C316" i="36"/>
  <c r="C317" i="36" s="1"/>
  <c r="C318" i="36" s="1"/>
  <c r="C319" i="36" s="1"/>
  <c r="C320" i="36" s="1"/>
  <c r="C321" i="36" s="1"/>
  <c r="C322" i="36" s="1"/>
  <c r="C323" i="36" s="1"/>
  <c r="D317" i="36"/>
  <c r="D318" i="36" s="1"/>
  <c r="D319" i="36" s="1"/>
  <c r="D320" i="36" s="1"/>
  <c r="D321" i="36" s="1"/>
  <c r="D322" i="36" s="1"/>
  <c r="D323" i="36" s="1"/>
  <c r="D324" i="36" s="1"/>
  <c r="E318" i="36"/>
  <c r="E319" i="36" s="1"/>
  <c r="E320" i="36"/>
  <c r="E321" i="36" s="1"/>
  <c r="E322" i="36"/>
  <c r="E323" i="36" s="1"/>
  <c r="E324" i="36" s="1"/>
  <c r="E325" i="36" s="1"/>
  <c r="C324" i="36"/>
  <c r="C325" i="36" s="1"/>
  <c r="C326" i="36" s="1"/>
  <c r="C327" i="36" s="1"/>
  <c r="C328" i="36" s="1"/>
  <c r="C329" i="36" s="1"/>
  <c r="C330" i="36" s="1"/>
  <c r="C331" i="36" s="1"/>
  <c r="C332" i="36" s="1"/>
  <c r="C333" i="36" s="1"/>
  <c r="C334" i="36" s="1"/>
  <c r="C335" i="36" s="1"/>
  <c r="C336" i="36" s="1"/>
  <c r="D325" i="36"/>
  <c r="D326" i="36" s="1"/>
  <c r="D327" i="36" s="1"/>
  <c r="D328" i="36" s="1"/>
  <c r="D329" i="36" s="1"/>
  <c r="D330" i="36" s="1"/>
  <c r="D331" i="36" s="1"/>
  <c r="D332" i="36" s="1"/>
  <c r="D333" i="36" s="1"/>
  <c r="D334" i="36" s="1"/>
  <c r="D335" i="36" s="1"/>
  <c r="D336" i="36" s="1"/>
  <c r="D337" i="36" s="1"/>
  <c r="E326" i="36"/>
  <c r="E327" i="36" s="1"/>
  <c r="E328" i="36"/>
  <c r="E329" i="36" s="1"/>
  <c r="E330" i="36"/>
  <c r="E331" i="36" s="1"/>
  <c r="E332" i="36" s="1"/>
  <c r="E333" i="36"/>
  <c r="E334" i="36" s="1"/>
  <c r="E335" i="36"/>
  <c r="E336" i="36" s="1"/>
  <c r="E337" i="36" s="1"/>
  <c r="E338" i="36" s="1"/>
  <c r="C337" i="36"/>
  <c r="C338" i="36" s="1"/>
  <c r="C339" i="36" s="1"/>
  <c r="C340" i="36" s="1"/>
  <c r="C341" i="36" s="1"/>
  <c r="C342" i="36" s="1"/>
  <c r="C343" i="36" s="1"/>
  <c r="C344" i="36" s="1"/>
  <c r="C345" i="36" s="1"/>
  <c r="C346" i="36" s="1"/>
  <c r="C347" i="36" s="1"/>
  <c r="C348" i="36" s="1"/>
  <c r="C349" i="36" s="1"/>
  <c r="C350" i="36" s="1"/>
  <c r="C351" i="36" s="1"/>
  <c r="C352" i="36" s="1"/>
  <c r="C353" i="36" s="1"/>
  <c r="C354" i="36" s="1"/>
  <c r="C355" i="36" s="1"/>
  <c r="C356" i="36" s="1"/>
  <c r="C357" i="36" s="1"/>
  <c r="C358" i="36" s="1"/>
  <c r="C359" i="36" s="1"/>
  <c r="C360" i="36" s="1"/>
  <c r="C361" i="36" s="1"/>
  <c r="C362" i="36" s="1"/>
  <c r="C363" i="36" s="1"/>
  <c r="C364" i="36" s="1"/>
  <c r="D338" i="36"/>
  <c r="D339" i="36" s="1"/>
  <c r="D340" i="36" s="1"/>
  <c r="D341" i="36" s="1"/>
  <c r="D342" i="36" s="1"/>
  <c r="D343" i="36" s="1"/>
  <c r="D344" i="36" s="1"/>
  <c r="D345" i="36" s="1"/>
  <c r="D346" i="36" s="1"/>
  <c r="D347" i="36" s="1"/>
  <c r="D348" i="36" s="1"/>
  <c r="D349" i="36" s="1"/>
  <c r="D350" i="36" s="1"/>
  <c r="D351" i="36" s="1"/>
  <c r="D352" i="36" s="1"/>
  <c r="D353" i="36" s="1"/>
  <c r="D354" i="36" s="1"/>
  <c r="D355" i="36" s="1"/>
  <c r="D356" i="36" s="1"/>
  <c r="D357" i="36" s="1"/>
  <c r="D358" i="36" s="1"/>
  <c r="D359" i="36" s="1"/>
  <c r="D360" i="36" s="1"/>
  <c r="D361" i="36" s="1"/>
  <c r="D362" i="36" s="1"/>
  <c r="D363" i="36" s="1"/>
  <c r="D364" i="36" s="1"/>
  <c r="D365" i="36" s="1"/>
  <c r="E339" i="36"/>
  <c r="E340" i="36" s="1"/>
  <c r="E341" i="36" s="1"/>
  <c r="E342" i="36" s="1"/>
  <c r="E343" i="36"/>
  <c r="E344" i="36" s="1"/>
  <c r="E345" i="36" s="1"/>
  <c r="E346" i="36" s="1"/>
  <c r="E347" i="36" s="1"/>
  <c r="E348" i="36" s="1"/>
  <c r="E349" i="36"/>
  <c r="E350" i="36" s="1"/>
  <c r="E351" i="36" s="1"/>
  <c r="E352" i="36" s="1"/>
  <c r="E353" i="36"/>
  <c r="E354" i="36" s="1"/>
  <c r="E355" i="36" s="1"/>
  <c r="E356" i="36" s="1"/>
  <c r="E357" i="36" s="1"/>
  <c r="E358" i="36"/>
  <c r="E359" i="36" s="1"/>
  <c r="E360" i="36" s="1"/>
  <c r="E361" i="36" s="1"/>
  <c r="E362" i="36" s="1"/>
  <c r="E363" i="36" s="1"/>
  <c r="E364" i="36" s="1"/>
  <c r="E365" i="36" s="1"/>
  <c r="E366" i="36" s="1"/>
  <c r="C365" i="36"/>
  <c r="C366" i="36" s="1"/>
  <c r="C367" i="36" s="1"/>
  <c r="C368" i="36" s="1"/>
  <c r="C369" i="36" s="1"/>
  <c r="C370" i="36" s="1"/>
  <c r="C371" i="36" s="1"/>
  <c r="C372" i="36" s="1"/>
  <c r="C373" i="36" s="1"/>
  <c r="C374" i="36" s="1"/>
  <c r="C375" i="36" s="1"/>
  <c r="C376" i="36" s="1"/>
  <c r="C377" i="36" s="1"/>
  <c r="C378" i="36" s="1"/>
  <c r="C379" i="36" s="1"/>
  <c r="C380" i="36" s="1"/>
  <c r="C381" i="36" s="1"/>
  <c r="C382" i="36" s="1"/>
  <c r="C383" i="36" s="1"/>
  <c r="C384" i="36" s="1"/>
  <c r="C385" i="36" s="1"/>
  <c r="C386" i="36" s="1"/>
  <c r="C387" i="36" s="1"/>
  <c r="C388" i="36" s="1"/>
  <c r="C389" i="36" s="1"/>
  <c r="C390" i="36" s="1"/>
  <c r="C391" i="36" s="1"/>
  <c r="D366" i="36"/>
  <c r="D367" i="36" s="1"/>
  <c r="D368" i="36" s="1"/>
  <c r="D369" i="36" s="1"/>
  <c r="D370" i="36" s="1"/>
  <c r="D371" i="36" s="1"/>
  <c r="D372" i="36" s="1"/>
  <c r="E367" i="36"/>
  <c r="E368" i="36" s="1"/>
  <c r="E369" i="36" s="1"/>
  <c r="E370" i="36" s="1"/>
  <c r="E371" i="36" s="1"/>
  <c r="E372" i="36" s="1"/>
  <c r="E373" i="36" s="1"/>
  <c r="D373" i="36"/>
  <c r="D374" i="36" s="1"/>
  <c r="D375" i="36" s="1"/>
  <c r="D376" i="36" s="1"/>
  <c r="D377" i="36" s="1"/>
  <c r="D378" i="36" s="1"/>
  <c r="D379" i="36" s="1"/>
  <c r="D380" i="36" s="1"/>
  <c r="D381" i="36" s="1"/>
  <c r="D382" i="36" s="1"/>
  <c r="D383" i="36" s="1"/>
  <c r="D384" i="36" s="1"/>
  <c r="D385" i="36" s="1"/>
  <c r="D386" i="36" s="1"/>
  <c r="D387" i="36" s="1"/>
  <c r="D388" i="36" s="1"/>
  <c r="D389" i="36" s="1"/>
  <c r="D390" i="36" s="1"/>
  <c r="D391" i="36" s="1"/>
  <c r="D392" i="36" s="1"/>
  <c r="E374" i="36"/>
  <c r="E375" i="36" s="1"/>
  <c r="E376" i="36"/>
  <c r="E377" i="36" s="1"/>
  <c r="E378" i="36" s="1"/>
  <c r="E379" i="36" s="1"/>
  <c r="E380" i="36" s="1"/>
  <c r="E381" i="36" s="1"/>
  <c r="E382" i="36" s="1"/>
  <c r="E383" i="36" s="1"/>
  <c r="E384" i="36"/>
  <c r="E385" i="36" s="1"/>
  <c r="E386" i="36"/>
  <c r="E387" i="36" s="1"/>
  <c r="E388" i="36" s="1"/>
  <c r="E389" i="36" s="1"/>
  <c r="E390" i="36"/>
  <c r="E391" i="36" s="1"/>
  <c r="E392" i="36" s="1"/>
  <c r="E393" i="36" s="1"/>
  <c r="C392" i="36"/>
  <c r="C393" i="36" s="1"/>
  <c r="C394" i="36" s="1"/>
  <c r="C395" i="36" s="1"/>
  <c r="C396" i="36" s="1"/>
  <c r="C397" i="36" s="1"/>
  <c r="C398" i="36" s="1"/>
  <c r="C399" i="36" s="1"/>
  <c r="C400" i="36" s="1"/>
  <c r="C401" i="36" s="1"/>
  <c r="D393" i="36"/>
  <c r="D394" i="36" s="1"/>
  <c r="D395" i="36" s="1"/>
  <c r="D396" i="36" s="1"/>
  <c r="D397" i="36" s="1"/>
  <c r="D398" i="36" s="1"/>
  <c r="D399" i="36" s="1"/>
  <c r="D400" i="36" s="1"/>
  <c r="D401" i="36" s="1"/>
  <c r="E394" i="36"/>
  <c r="E395" i="36" s="1"/>
  <c r="E396" i="36" s="1"/>
  <c r="E397" i="36" s="1"/>
  <c r="E398" i="36" s="1"/>
  <c r="E399" i="36" s="1"/>
  <c r="E400" i="36" s="1"/>
  <c r="E401" i="36" s="1"/>
  <c r="B58" i="44"/>
  <c r="L346" i="36" l="1"/>
  <c r="N346" i="36" s="1"/>
  <c r="L347" i="36"/>
  <c r="N347" i="36" s="1"/>
  <c r="L348" i="36"/>
  <c r="D144" i="44"/>
  <c r="D10" i="4"/>
  <c r="D12" i="4"/>
  <c r="D11" i="4"/>
  <c r="G144" i="44" l="1"/>
  <c r="C4" i="44" l="1"/>
  <c r="D4" i="44" s="1"/>
  <c r="M100" i="5" s="1"/>
  <c r="N100" i="5" s="1"/>
  <c r="D5" i="44"/>
  <c r="D7" i="44"/>
  <c r="D6" i="44"/>
  <c r="D9" i="44"/>
  <c r="G89" i="44"/>
  <c r="G92" i="44"/>
  <c r="B129" i="44" s="1"/>
  <c r="B118" i="44"/>
  <c r="B85" i="44"/>
  <c r="G140" i="44"/>
  <c r="G139" i="44"/>
  <c r="G138" i="44"/>
  <c r="B107" i="44"/>
  <c r="D3" i="44"/>
  <c r="D21" i="44"/>
  <c r="D32" i="44"/>
  <c r="D80" i="44"/>
  <c r="D82" i="44"/>
  <c r="D84" i="44"/>
  <c r="D140" i="44"/>
  <c r="D145" i="44"/>
  <c r="I4" i="44" l="1"/>
  <c r="J4" i="44" s="1"/>
  <c r="B96" i="44"/>
  <c r="C33" i="44" l="1"/>
  <c r="D33" i="44" s="1"/>
  <c r="G33" i="44" s="1"/>
  <c r="C34" i="44"/>
  <c r="X2" i="48" l="1"/>
  <c r="X10" i="48"/>
  <c r="L227" i="36" l="1"/>
  <c r="M90" i="36"/>
  <c r="A32" i="44"/>
  <c r="M369" i="36" l="1"/>
  <c r="M311" i="36"/>
  <c r="M310" i="36"/>
  <c r="M309" i="36"/>
  <c r="M296" i="36"/>
  <c r="M295" i="36"/>
  <c r="M294" i="36"/>
  <c r="M293" i="36"/>
  <c r="M210" i="36"/>
  <c r="M170" i="36"/>
  <c r="M44" i="36"/>
  <c r="L216" i="36" l="1"/>
  <c r="L221" i="36"/>
  <c r="L218" i="36"/>
  <c r="L195" i="36"/>
  <c r="L80" i="36"/>
  <c r="L78" i="36"/>
  <c r="L76" i="36"/>
  <c r="L84" i="36"/>
  <c r="L86" i="36"/>
  <c r="L95" i="36" s="1"/>
  <c r="N95" i="36" s="1"/>
  <c r="L264" i="36"/>
  <c r="Z11" i="48"/>
  <c r="Z2" i="48"/>
  <c r="C14" i="35" l="1"/>
  <c r="C26" i="35"/>
  <c r="C27" i="35" s="1"/>
  <c r="C41" i="35"/>
  <c r="C47" i="35"/>
  <c r="C51" i="35"/>
  <c r="C55" i="35"/>
  <c r="C142" i="35"/>
  <c r="C124" i="35"/>
  <c r="C112" i="35"/>
  <c r="C105" i="35"/>
  <c r="C96" i="35"/>
  <c r="C79" i="35"/>
  <c r="C80" i="35" s="1"/>
  <c r="C81" i="35" s="1"/>
  <c r="C67" i="35"/>
  <c r="D115" i="37" l="1"/>
  <c r="D91" i="37"/>
  <c r="A8" i="36" l="1"/>
  <c r="L352" i="36"/>
  <c r="A9" i="36" l="1"/>
  <c r="A10" i="36" s="1"/>
  <c r="N391" i="36"/>
  <c r="N387" i="36"/>
  <c r="N385" i="36"/>
  <c r="N383" i="36"/>
  <c r="N382" i="36"/>
  <c r="N381" i="36"/>
  <c r="N377" i="36"/>
  <c r="N369" i="36"/>
  <c r="N313" i="36"/>
  <c r="N179" i="36"/>
  <c r="N175" i="36"/>
  <c r="N170" i="36"/>
  <c r="N168" i="36"/>
  <c r="N167" i="36"/>
  <c r="N166" i="36"/>
  <c r="N165" i="36"/>
  <c r="N164" i="36"/>
  <c r="N163" i="36"/>
  <c r="N159" i="36"/>
  <c r="N157" i="36"/>
  <c r="N156" i="36"/>
  <c r="N155" i="36"/>
  <c r="N151" i="36"/>
  <c r="N149" i="36"/>
  <c r="N148" i="36"/>
  <c r="N147" i="36"/>
  <c r="N146" i="36"/>
  <c r="N142" i="36"/>
  <c r="N141" i="36"/>
  <c r="N140" i="36"/>
  <c r="N139" i="36"/>
  <c r="N137" i="36"/>
  <c r="N136" i="36"/>
  <c r="N135" i="36"/>
  <c r="O135" i="36" s="1"/>
  <c r="N134" i="36"/>
  <c r="N133" i="36"/>
  <c r="N132" i="36"/>
  <c r="N126" i="36"/>
  <c r="N110" i="36"/>
  <c r="N11" i="36"/>
  <c r="L208" i="36"/>
  <c r="N208" i="36" s="1"/>
  <c r="L206" i="36"/>
  <c r="L344" i="36"/>
  <c r="L345" i="36"/>
  <c r="A11" i="36" l="1"/>
  <c r="A12" i="36" s="1"/>
  <c r="N345" i="36"/>
  <c r="N344" i="36"/>
  <c r="N206" i="36"/>
  <c r="L212" i="36"/>
  <c r="A13" i="36" l="1"/>
  <c r="A14" i="36" s="1"/>
  <c r="N31" i="5"/>
  <c r="L267" i="36"/>
  <c r="L266" i="36"/>
  <c r="N44" i="36"/>
  <c r="A15" i="36" l="1"/>
  <c r="A16" i="36" s="1"/>
  <c r="A17" i="36" s="1"/>
  <c r="A18" i="36" s="1"/>
  <c r="L307" i="36"/>
  <c r="N307" i="36" s="1"/>
  <c r="A19" i="36" l="1"/>
  <c r="A20" i="36" s="1"/>
  <c r="A21" i="36" s="1"/>
  <c r="L82" i="36"/>
  <c r="G2" i="51"/>
  <c r="G3" i="51"/>
  <c r="G4" i="51"/>
  <c r="I2" i="51" s="1"/>
  <c r="M106" i="36" s="1"/>
  <c r="G5" i="51"/>
  <c r="G6" i="51"/>
  <c r="G7" i="51"/>
  <c r="G8" i="51"/>
  <c r="G9" i="51"/>
  <c r="G10" i="51"/>
  <c r="I3" i="51" s="1"/>
  <c r="G11" i="51"/>
  <c r="G12" i="51"/>
  <c r="I4" i="51" s="1"/>
  <c r="M107" i="36" s="1"/>
  <c r="M108" i="36" s="1"/>
  <c r="G13" i="51"/>
  <c r="G14" i="51"/>
  <c r="G15" i="51"/>
  <c r="G16" i="51"/>
  <c r="G17" i="51"/>
  <c r="G18" i="51"/>
  <c r="G19" i="51"/>
  <c r="G20" i="51"/>
  <c r="G21" i="51"/>
  <c r="G22" i="51"/>
  <c r="G23" i="51"/>
  <c r="G24" i="51"/>
  <c r="G25" i="51"/>
  <c r="G26" i="51"/>
  <c r="G27" i="51"/>
  <c r="G28" i="51"/>
  <c r="G29" i="51"/>
  <c r="G30" i="51"/>
  <c r="G31" i="51"/>
  <c r="G32" i="51"/>
  <c r="G33" i="51"/>
  <c r="G34" i="51"/>
  <c r="G35" i="51"/>
  <c r="G36" i="51"/>
  <c r="G37" i="51"/>
  <c r="G38" i="51"/>
  <c r="G39" i="51"/>
  <c r="G40" i="51"/>
  <c r="G41" i="51"/>
  <c r="G42" i="51"/>
  <c r="G43" i="51"/>
  <c r="G44" i="51"/>
  <c r="G45" i="51"/>
  <c r="G46" i="51"/>
  <c r="G47" i="51"/>
  <c r="G48" i="51"/>
  <c r="G49" i="51"/>
  <c r="G50" i="51"/>
  <c r="G51" i="51"/>
  <c r="G52" i="51"/>
  <c r="G53" i="51"/>
  <c r="G54" i="51"/>
  <c r="G55" i="51"/>
  <c r="G56" i="51"/>
  <c r="G57" i="51"/>
  <c r="G58" i="51"/>
  <c r="G59" i="51"/>
  <c r="G60" i="51"/>
  <c r="G61" i="51"/>
  <c r="G62" i="51"/>
  <c r="G63" i="51"/>
  <c r="G64" i="51"/>
  <c r="G65" i="51"/>
  <c r="G66" i="51"/>
  <c r="G68" i="51"/>
  <c r="G69" i="51"/>
  <c r="G70" i="51"/>
  <c r="G71" i="51"/>
  <c r="G72" i="51"/>
  <c r="G73" i="51"/>
  <c r="G74" i="51"/>
  <c r="G75" i="51"/>
  <c r="G76" i="51"/>
  <c r="G77" i="51"/>
  <c r="G78" i="51"/>
  <c r="G79" i="51"/>
  <c r="G80" i="51"/>
  <c r="G81" i="51"/>
  <c r="G82" i="51"/>
  <c r="G83" i="51"/>
  <c r="G84" i="51"/>
  <c r="G85" i="51"/>
  <c r="G86" i="51"/>
  <c r="G87" i="51"/>
  <c r="G88" i="51"/>
  <c r="G89" i="51"/>
  <c r="G90" i="51"/>
  <c r="G91" i="51"/>
  <c r="G92" i="51"/>
  <c r="G93" i="51"/>
  <c r="G94" i="51"/>
  <c r="G95" i="51"/>
  <c r="G96" i="51"/>
  <c r="G97" i="51"/>
  <c r="G98" i="51"/>
  <c r="G99" i="51"/>
  <c r="G100" i="51"/>
  <c r="G101" i="51"/>
  <c r="G102" i="51"/>
  <c r="G103" i="51"/>
  <c r="G104" i="51"/>
  <c r="G105" i="51"/>
  <c r="G106" i="51"/>
  <c r="G107" i="51"/>
  <c r="G108" i="51"/>
  <c r="G109" i="51"/>
  <c r="G110" i="51"/>
  <c r="G111" i="51"/>
  <c r="G112" i="51"/>
  <c r="G113" i="51"/>
  <c r="G114" i="51"/>
  <c r="G115" i="51"/>
  <c r="G116" i="51"/>
  <c r="G117" i="51"/>
  <c r="G118" i="51"/>
  <c r="G119" i="51"/>
  <c r="G120" i="51"/>
  <c r="G121" i="51"/>
  <c r="G122" i="51"/>
  <c r="G123" i="51"/>
  <c r="G124" i="51"/>
  <c r="G125" i="51"/>
  <c r="G126" i="51"/>
  <c r="G127" i="51"/>
  <c r="G128" i="51"/>
  <c r="G129" i="51"/>
  <c r="G130" i="51"/>
  <c r="G131" i="51"/>
  <c r="G132" i="51"/>
  <c r="G133" i="51"/>
  <c r="G134" i="51"/>
  <c r="G135" i="51"/>
  <c r="G136" i="51"/>
  <c r="G137" i="51"/>
  <c r="G138" i="51"/>
  <c r="G2" i="50"/>
  <c r="G3" i="50"/>
  <c r="I2" i="50" s="1"/>
  <c r="M124" i="36" s="1"/>
  <c r="G4" i="50"/>
  <c r="G5" i="50"/>
  <c r="G6" i="50"/>
  <c r="G7" i="50"/>
  <c r="G8" i="50"/>
  <c r="G9" i="50"/>
  <c r="G10" i="50"/>
  <c r="G11" i="50"/>
  <c r="G12" i="50"/>
  <c r="G13" i="50"/>
  <c r="G14" i="50"/>
  <c r="I3" i="50" s="1"/>
  <c r="G15" i="50"/>
  <c r="G16" i="50"/>
  <c r="G17" i="50"/>
  <c r="G18" i="50"/>
  <c r="G19" i="50"/>
  <c r="G20" i="50"/>
  <c r="I20" i="50"/>
  <c r="G21" i="50"/>
  <c r="G22" i="50"/>
  <c r="G23" i="50"/>
  <c r="G24" i="50"/>
  <c r="G25" i="50"/>
  <c r="G26" i="50"/>
  <c r="G27" i="50"/>
  <c r="G28" i="50"/>
  <c r="G29" i="50"/>
  <c r="G30" i="50"/>
  <c r="G31" i="50"/>
  <c r="G32" i="50"/>
  <c r="G33" i="50"/>
  <c r="G34" i="50"/>
  <c r="G35" i="50"/>
  <c r="G36" i="50"/>
  <c r="G37" i="50"/>
  <c r="G38" i="50"/>
  <c r="G39" i="50"/>
  <c r="G40" i="50"/>
  <c r="I5" i="50" s="1"/>
  <c r="G41" i="50"/>
  <c r="G42" i="50"/>
  <c r="G43" i="50"/>
  <c r="G44" i="50"/>
  <c r="G45" i="50"/>
  <c r="G46" i="50"/>
  <c r="G47" i="50"/>
  <c r="G48" i="50"/>
  <c r="G49" i="50"/>
  <c r="G50" i="50"/>
  <c r="G51" i="50"/>
  <c r="G52" i="50"/>
  <c r="G53" i="50"/>
  <c r="G54" i="50"/>
  <c r="G55" i="50"/>
  <c r="G56" i="50"/>
  <c r="G57" i="50"/>
  <c r="G58" i="50"/>
  <c r="G59" i="50"/>
  <c r="G60" i="50"/>
  <c r="G61" i="50"/>
  <c r="G62" i="50"/>
  <c r="G63" i="50"/>
  <c r="G64" i="50"/>
  <c r="G65" i="50"/>
  <c r="G66" i="50"/>
  <c r="G67" i="50"/>
  <c r="G68" i="50"/>
  <c r="G69" i="50"/>
  <c r="G70" i="50"/>
  <c r="G71" i="50"/>
  <c r="G72" i="50"/>
  <c r="G73" i="50"/>
  <c r="G74" i="50"/>
  <c r="G75" i="50"/>
  <c r="G76" i="50"/>
  <c r="G77" i="50"/>
  <c r="G78" i="50"/>
  <c r="G79" i="50"/>
  <c r="G80" i="50"/>
  <c r="G81" i="50"/>
  <c r="G82" i="50"/>
  <c r="G83" i="50"/>
  <c r="G84" i="50"/>
  <c r="G85" i="50"/>
  <c r="G86" i="50"/>
  <c r="G87" i="50"/>
  <c r="G88" i="50"/>
  <c r="G89" i="50"/>
  <c r="G90" i="50"/>
  <c r="G91" i="50"/>
  <c r="G92" i="50"/>
  <c r="G93" i="50"/>
  <c r="G94" i="50"/>
  <c r="G95" i="50"/>
  <c r="G96" i="50"/>
  <c r="G97" i="50"/>
  <c r="G98" i="50"/>
  <c r="G99" i="50"/>
  <c r="G100" i="50"/>
  <c r="G101" i="50"/>
  <c r="G102" i="50"/>
  <c r="G103" i="50"/>
  <c r="G104" i="50"/>
  <c r="G105" i="50"/>
  <c r="G106" i="50"/>
  <c r="G107" i="50"/>
  <c r="G108" i="50"/>
  <c r="G109" i="50"/>
  <c r="G110" i="50"/>
  <c r="G111" i="50"/>
  <c r="G112" i="50"/>
  <c r="G113" i="50"/>
  <c r="G114" i="50"/>
  <c r="G115" i="50"/>
  <c r="G116" i="50"/>
  <c r="G117" i="50"/>
  <c r="G118" i="50"/>
  <c r="G119" i="50"/>
  <c r="G120" i="50"/>
  <c r="G121" i="50"/>
  <c r="G122" i="50"/>
  <c r="G123" i="50"/>
  <c r="G124" i="50"/>
  <c r="G125" i="50"/>
  <c r="G126" i="50"/>
  <c r="I11" i="50" s="1"/>
  <c r="G127" i="50"/>
  <c r="G128" i="50"/>
  <c r="G129" i="50"/>
  <c r="G130" i="50"/>
  <c r="G131" i="50"/>
  <c r="G132" i="50"/>
  <c r="G133" i="50"/>
  <c r="G134" i="50"/>
  <c r="G135" i="50"/>
  <c r="G136" i="50"/>
  <c r="G137" i="50"/>
  <c r="G138" i="50"/>
  <c r="G139" i="50"/>
  <c r="G140" i="50"/>
  <c r="G141" i="50"/>
  <c r="G142" i="50"/>
  <c r="G143" i="50"/>
  <c r="G144" i="50"/>
  <c r="G145" i="50"/>
  <c r="G146" i="50"/>
  <c r="G147" i="50"/>
  <c r="G148" i="50"/>
  <c r="G149" i="50"/>
  <c r="G150" i="50"/>
  <c r="G151" i="50"/>
  <c r="G152" i="50"/>
  <c r="G153" i="50"/>
  <c r="G154" i="50"/>
  <c r="G155" i="50"/>
  <c r="G156" i="50"/>
  <c r="G157" i="50"/>
  <c r="G158" i="50"/>
  <c r="G159" i="50"/>
  <c r="G160" i="50"/>
  <c r="G161" i="50"/>
  <c r="G162" i="50"/>
  <c r="G163" i="50"/>
  <c r="G164" i="50"/>
  <c r="G165" i="50"/>
  <c r="G166" i="50"/>
  <c r="G167" i="50"/>
  <c r="G168" i="50"/>
  <c r="G169" i="50"/>
  <c r="G170" i="50"/>
  <c r="G171" i="50"/>
  <c r="G172" i="50"/>
  <c r="G173" i="50"/>
  <c r="G174" i="50"/>
  <c r="G175" i="50"/>
  <c r="G176" i="50"/>
  <c r="G177" i="50"/>
  <c r="G178" i="50"/>
  <c r="G179" i="50"/>
  <c r="G180" i="50"/>
  <c r="G181" i="50"/>
  <c r="G182" i="50"/>
  <c r="G183" i="50"/>
  <c r="G184" i="50"/>
  <c r="G185" i="50"/>
  <c r="G186" i="50"/>
  <c r="G187" i="50"/>
  <c r="G188" i="50"/>
  <c r="G189" i="50"/>
  <c r="G190" i="50"/>
  <c r="G191" i="50"/>
  <c r="G192" i="50"/>
  <c r="G193" i="50"/>
  <c r="G194" i="50"/>
  <c r="G195" i="50"/>
  <c r="G196" i="50"/>
  <c r="G197" i="50"/>
  <c r="G198" i="50"/>
  <c r="G199" i="50"/>
  <c r="G200" i="50"/>
  <c r="G201" i="50"/>
  <c r="G202" i="50"/>
  <c r="G203" i="50"/>
  <c r="G204" i="50"/>
  <c r="G205" i="50"/>
  <c r="G206" i="50"/>
  <c r="G207" i="50"/>
  <c r="G208" i="50"/>
  <c r="G209" i="50"/>
  <c r="G210" i="50"/>
  <c r="G211" i="50"/>
  <c r="G212" i="50"/>
  <c r="G213" i="50"/>
  <c r="G214" i="50"/>
  <c r="G215" i="50"/>
  <c r="G216" i="50"/>
  <c r="G217" i="50"/>
  <c r="G218" i="50"/>
  <c r="G219" i="50"/>
  <c r="G220" i="50"/>
  <c r="G221" i="50"/>
  <c r="G222" i="50"/>
  <c r="G223" i="50"/>
  <c r="G224" i="50"/>
  <c r="G225" i="50"/>
  <c r="G226" i="50"/>
  <c r="G227" i="50"/>
  <c r="G228" i="50"/>
  <c r="G229" i="50"/>
  <c r="G230" i="50"/>
  <c r="G231" i="50"/>
  <c r="G232" i="50"/>
  <c r="G233" i="50"/>
  <c r="G234" i="50"/>
  <c r="G235" i="50"/>
  <c r="G236" i="50"/>
  <c r="G237" i="50"/>
  <c r="G238" i="50"/>
  <c r="G239" i="50"/>
  <c r="G240" i="50"/>
  <c r="G241" i="50"/>
  <c r="G242" i="50"/>
  <c r="G243" i="50"/>
  <c r="G244" i="50"/>
  <c r="I16" i="50" s="1"/>
  <c r="G245" i="50"/>
  <c r="G246" i="50"/>
  <c r="G247" i="50"/>
  <c r="G248" i="50"/>
  <c r="G249" i="50"/>
  <c r="G250" i="50"/>
  <c r="G251" i="50"/>
  <c r="G252" i="50"/>
  <c r="G253" i="50"/>
  <c r="G254" i="50"/>
  <c r="G255" i="50"/>
  <c r="G256" i="50"/>
  <c r="G257" i="50"/>
  <c r="G258" i="50"/>
  <c r="G259" i="50"/>
  <c r="G260" i="50"/>
  <c r="G261" i="50"/>
  <c r="G262" i="50"/>
  <c r="I17" i="50" s="1"/>
  <c r="G263" i="50"/>
  <c r="G264" i="50"/>
  <c r="G265" i="50"/>
  <c r="G266" i="50"/>
  <c r="G267" i="50"/>
  <c r="G268" i="50"/>
  <c r="G269" i="50"/>
  <c r="G270" i="50"/>
  <c r="G271" i="50"/>
  <c r="G272" i="50"/>
  <c r="G273" i="50"/>
  <c r="G274" i="50"/>
  <c r="G275" i="50"/>
  <c r="G276" i="50"/>
  <c r="G277" i="50"/>
  <c r="G278" i="50"/>
  <c r="G279" i="50"/>
  <c r="G280" i="50"/>
  <c r="G281" i="50"/>
  <c r="G282" i="50"/>
  <c r="G283" i="50"/>
  <c r="G284" i="50"/>
  <c r="G285" i="50"/>
  <c r="G286" i="50"/>
  <c r="G287" i="50"/>
  <c r="G288" i="50"/>
  <c r="G289" i="50"/>
  <c r="G290" i="50"/>
  <c r="G291" i="50"/>
  <c r="G292" i="50"/>
  <c r="G293" i="50"/>
  <c r="G294" i="50"/>
  <c r="G295" i="50"/>
  <c r="G296" i="50"/>
  <c r="G297" i="50"/>
  <c r="G298" i="50"/>
  <c r="I18" i="50" s="1"/>
  <c r="G299" i="50"/>
  <c r="G300" i="50"/>
  <c r="G301" i="50"/>
  <c r="G302" i="50"/>
  <c r="G303" i="50"/>
  <c r="G304" i="50"/>
  <c r="G305" i="50"/>
  <c r="G306" i="50"/>
  <c r="G307" i="50"/>
  <c r="G308" i="50"/>
  <c r="I19" i="50" s="1"/>
  <c r="G309" i="50"/>
  <c r="G310" i="50"/>
  <c r="G311" i="50"/>
  <c r="G312" i="50"/>
  <c r="G313" i="50"/>
  <c r="G314" i="50"/>
  <c r="G315" i="50"/>
  <c r="G316" i="50"/>
  <c r="G317" i="50"/>
  <c r="G318" i="50"/>
  <c r="G319" i="50"/>
  <c r="G320" i="50"/>
  <c r="G321" i="50"/>
  <c r="G322" i="50"/>
  <c r="G323" i="50"/>
  <c r="G324" i="50"/>
  <c r="G325" i="50"/>
  <c r="G326" i="50"/>
  <c r="G327" i="50"/>
  <c r="G328" i="50"/>
  <c r="G329" i="50"/>
  <c r="G330" i="50"/>
  <c r="G331" i="50"/>
  <c r="G332" i="50"/>
  <c r="G333" i="50"/>
  <c r="G334" i="50"/>
  <c r="G335" i="50"/>
  <c r="G336" i="50"/>
  <c r="G337" i="50"/>
  <c r="G338" i="50"/>
  <c r="G339" i="50"/>
  <c r="G340" i="50"/>
  <c r="G341" i="50"/>
  <c r="G342" i="50"/>
  <c r="G343" i="50"/>
  <c r="G344" i="50"/>
  <c r="G345" i="50"/>
  <c r="G346" i="50"/>
  <c r="G347" i="50"/>
  <c r="G348" i="50"/>
  <c r="A22" i="36" l="1"/>
  <c r="A23" i="36" s="1"/>
  <c r="M118" i="36"/>
  <c r="I8" i="51"/>
  <c r="M103" i="36" s="1"/>
  <c r="M104" i="36" s="1"/>
  <c r="I6" i="51"/>
  <c r="G139" i="51"/>
  <c r="G67" i="51"/>
  <c r="I7" i="51"/>
  <c r="I6" i="50"/>
  <c r="I13" i="50"/>
  <c r="I12" i="50"/>
  <c r="I7" i="50"/>
  <c r="I15" i="50"/>
  <c r="I10" i="50"/>
  <c r="M116" i="36" s="1"/>
  <c r="I14" i="50"/>
  <c r="M120" i="36" s="1"/>
  <c r="I8" i="50"/>
  <c r="I9" i="50"/>
  <c r="I4" i="50"/>
  <c r="I5" i="51"/>
  <c r="M100" i="36" s="1"/>
  <c r="M101" i="36" s="1"/>
  <c r="L93" i="36"/>
  <c r="L70" i="36"/>
  <c r="N93" i="36"/>
  <c r="G349" i="50"/>
  <c r="G39" i="44"/>
  <c r="N348" i="36"/>
  <c r="L357" i="36"/>
  <c r="A24" i="36" l="1"/>
  <c r="G38" i="44"/>
  <c r="N80" i="36"/>
  <c r="N78" i="36"/>
  <c r="N76" i="36"/>
  <c r="N84" i="36"/>
  <c r="N82" i="36"/>
  <c r="M122" i="36"/>
  <c r="N122" i="36" s="1"/>
  <c r="L91" i="36"/>
  <c r="N70" i="36"/>
  <c r="N86" i="36"/>
  <c r="H75" i="33"/>
  <c r="H74" i="33"/>
  <c r="N107" i="36"/>
  <c r="N106" i="36"/>
  <c r="N120" i="36"/>
  <c r="N124" i="36"/>
  <c r="N118" i="36"/>
  <c r="N116" i="36"/>
  <c r="L186" i="36"/>
  <c r="N8" i="48"/>
  <c r="N10" i="48"/>
  <c r="N11" i="48"/>
  <c r="N2" i="48"/>
  <c r="N9" i="48"/>
  <c r="N7" i="48"/>
  <c r="N6" i="48"/>
  <c r="N5" i="48"/>
  <c r="N4" i="48"/>
  <c r="N3" i="48"/>
  <c r="M2" i="48"/>
  <c r="B37" i="44" s="1"/>
  <c r="L334" i="36"/>
  <c r="N334" i="36" s="1"/>
  <c r="A25" i="36" l="1"/>
  <c r="A26" i="36" s="1"/>
  <c r="A27" i="36" s="1"/>
  <c r="A28" i="36" s="1"/>
  <c r="A29" i="36" s="1"/>
  <c r="A30" i="36" s="1"/>
  <c r="A31" i="36" s="1"/>
  <c r="A32" i="36" s="1"/>
  <c r="A33" i="36" s="1"/>
  <c r="A34" i="36" s="1"/>
  <c r="A35" i="36" s="1"/>
  <c r="A36" i="36" s="1"/>
  <c r="A37" i="36" s="1"/>
  <c r="A38" i="36" s="1"/>
  <c r="A39" i="36" s="1"/>
  <c r="A40" i="36" s="1"/>
  <c r="A41" i="36" s="1"/>
  <c r="A42" i="36" s="1"/>
  <c r="A43" i="36" s="1"/>
  <c r="A44" i="36" s="1"/>
  <c r="A45" i="36" s="1"/>
  <c r="A46" i="36" s="1"/>
  <c r="A47" i="36" s="1"/>
  <c r="A48" i="36" s="1"/>
  <c r="A49" i="36" s="1"/>
  <c r="A50" i="36" s="1"/>
  <c r="A51" i="36" s="1"/>
  <c r="A52" i="36" s="1"/>
  <c r="A53" i="36" s="1"/>
  <c r="A54" i="36" s="1"/>
  <c r="A55" i="36" s="1"/>
  <c r="A56" i="36" s="1"/>
  <c r="A57" i="36" s="1"/>
  <c r="A58" i="36" s="1"/>
  <c r="A59" i="36" s="1"/>
  <c r="A60" i="36" s="1"/>
  <c r="A61" i="36" s="1"/>
  <c r="A62" i="36" s="1"/>
  <c r="A63" i="36" s="1"/>
  <c r="A64" i="36" s="1"/>
  <c r="A65" i="36" s="1"/>
  <c r="A66" i="36" s="1"/>
  <c r="A67" i="36" s="1"/>
  <c r="A68" i="36" s="1"/>
  <c r="A69" i="36" s="1"/>
  <c r="A70" i="36" s="1"/>
  <c r="A71" i="36" s="1"/>
  <c r="A72" i="36" s="1"/>
  <c r="A73" i="36" s="1"/>
  <c r="A74" i="36" s="1"/>
  <c r="A75" i="36" s="1"/>
  <c r="A76" i="36" s="1"/>
  <c r="A77" i="36" s="1"/>
  <c r="A78" i="36" s="1"/>
  <c r="A79" i="36" s="1"/>
  <c r="A80" i="36" s="1"/>
  <c r="A81" i="36" s="1"/>
  <c r="A82" i="36" s="1"/>
  <c r="A83" i="36" s="1"/>
  <c r="A84" i="36" s="1"/>
  <c r="A85" i="36" s="1"/>
  <c r="A86" i="36" s="1"/>
  <c r="A87" i="36" s="1"/>
  <c r="A88" i="36" s="1"/>
  <c r="A89" i="36" s="1"/>
  <c r="A90" i="36" s="1"/>
  <c r="A91" i="36" s="1"/>
  <c r="A92" i="36" s="1"/>
  <c r="A93" i="36" s="1"/>
  <c r="A94" i="36" s="1"/>
  <c r="A95" i="36" s="1"/>
  <c r="A96" i="36" s="1"/>
  <c r="A97" i="36" s="1"/>
  <c r="A98" i="36" s="1"/>
  <c r="A99" i="36" s="1"/>
  <c r="A100" i="36" s="1"/>
  <c r="A101" i="36" s="1"/>
  <c r="A102" i="36" s="1"/>
  <c r="A103" i="36" s="1"/>
  <c r="A104" i="36" s="1"/>
  <c r="A105" i="36" s="1"/>
  <c r="A106" i="36" s="1"/>
  <c r="A107" i="36" s="1"/>
  <c r="A108" i="36" s="1"/>
  <c r="A109" i="36" s="1"/>
  <c r="A110" i="36" s="1"/>
  <c r="A111" i="36" s="1"/>
  <c r="A112" i="36" s="1"/>
  <c r="A113" i="36" s="1"/>
  <c r="A114" i="36" s="1"/>
  <c r="A115" i="36" s="1"/>
  <c r="A116" i="36" s="1"/>
  <c r="A117" i="36" s="1"/>
  <c r="A118" i="36" s="1"/>
  <c r="A119" i="36" s="1"/>
  <c r="A120" i="36" s="1"/>
  <c r="A121" i="36" s="1"/>
  <c r="A122" i="36" s="1"/>
  <c r="A123" i="36" s="1"/>
  <c r="A124" i="36" s="1"/>
  <c r="A125" i="36" s="1"/>
  <c r="A126" i="36" s="1"/>
  <c r="A127" i="36" s="1"/>
  <c r="A128" i="36" s="1"/>
  <c r="A129" i="36" s="1"/>
  <c r="A130" i="36" s="1"/>
  <c r="A131" i="36" s="1"/>
  <c r="A132" i="36" s="1"/>
  <c r="A133" i="36" s="1"/>
  <c r="A134" i="36" s="1"/>
  <c r="A135" i="36" s="1"/>
  <c r="A136" i="36" s="1"/>
  <c r="A137" i="36" s="1"/>
  <c r="A138" i="36" s="1"/>
  <c r="A139" i="36" s="1"/>
  <c r="A140" i="36" s="1"/>
  <c r="A141" i="36" s="1"/>
  <c r="A142" i="36" s="1"/>
  <c r="A143" i="36" s="1"/>
  <c r="A144" i="36" s="1"/>
  <c r="A145" i="36" s="1"/>
  <c r="A146" i="36" s="1"/>
  <c r="A147" i="36" s="1"/>
  <c r="A148" i="36" s="1"/>
  <c r="A149" i="36" s="1"/>
  <c r="A150" i="36" s="1"/>
  <c r="A151" i="36" s="1"/>
  <c r="A152" i="36" s="1"/>
  <c r="A153" i="36" s="1"/>
  <c r="A154" i="36" s="1"/>
  <c r="A155" i="36" s="1"/>
  <c r="A156" i="36" s="1"/>
  <c r="A157" i="36" s="1"/>
  <c r="A158" i="36" s="1"/>
  <c r="A159" i="36" s="1"/>
  <c r="A160" i="36" s="1"/>
  <c r="A161" i="36" s="1"/>
  <c r="A162" i="36" s="1"/>
  <c r="A163" i="36" s="1"/>
  <c r="A164" i="36" s="1"/>
  <c r="A165" i="36" s="1"/>
  <c r="A166" i="36" s="1"/>
  <c r="A167" i="36" s="1"/>
  <c r="A168" i="36" s="1"/>
  <c r="A169" i="36" s="1"/>
  <c r="A170" i="36" s="1"/>
  <c r="A171" i="36" s="1"/>
  <c r="A172" i="36" s="1"/>
  <c r="A173" i="36" s="1"/>
  <c r="A174" i="36" s="1"/>
  <c r="A175" i="36" s="1"/>
  <c r="A176" i="36" s="1"/>
  <c r="A177" i="36" s="1"/>
  <c r="A178" i="36" s="1"/>
  <c r="A179" i="36" s="1"/>
  <c r="A180" i="36" s="1"/>
  <c r="A181" i="36" s="1"/>
  <c r="A182" i="36" s="1"/>
  <c r="A183" i="36" s="1"/>
  <c r="A184" i="36" s="1"/>
  <c r="A185" i="36" s="1"/>
  <c r="A186" i="36" s="1"/>
  <c r="A187" i="36" s="1"/>
  <c r="A188" i="36" s="1"/>
  <c r="A189" i="36" s="1"/>
  <c r="A190" i="36" s="1"/>
  <c r="A191" i="36" s="1"/>
  <c r="A192" i="36" s="1"/>
  <c r="A193" i="36" s="1"/>
  <c r="A194" i="36" s="1"/>
  <c r="A195" i="36" s="1"/>
  <c r="A196" i="36" s="1"/>
  <c r="A197" i="36" s="1"/>
  <c r="A198" i="36" s="1"/>
  <c r="A199" i="36" s="1"/>
  <c r="A200" i="36" s="1"/>
  <c r="A201" i="36" s="1"/>
  <c r="A202" i="36" s="1"/>
  <c r="A203" i="36" s="1"/>
  <c r="A204" i="36" s="1"/>
  <c r="A205" i="36" s="1"/>
  <c r="A206" i="36" s="1"/>
  <c r="A207" i="36" s="1"/>
  <c r="A208" i="36" s="1"/>
  <c r="A209" i="36" s="1"/>
  <c r="A210" i="36" s="1"/>
  <c r="A211" i="36" s="1"/>
  <c r="A212" i="36" s="1"/>
  <c r="A213" i="36" s="1"/>
  <c r="A214" i="36" s="1"/>
  <c r="A215" i="36" s="1"/>
  <c r="A216" i="36" s="1"/>
  <c r="A217" i="36" s="1"/>
  <c r="A218" i="36" s="1"/>
  <c r="A219" i="36" s="1"/>
  <c r="A220" i="36" s="1"/>
  <c r="A221" i="36" s="1"/>
  <c r="A222" i="36" s="1"/>
  <c r="A223" i="36" s="1"/>
  <c r="A224" i="36" s="1"/>
  <c r="A225" i="36" s="1"/>
  <c r="A226" i="36" s="1"/>
  <c r="A227" i="36" s="1"/>
  <c r="A228" i="36" s="1"/>
  <c r="A229" i="36" s="1"/>
  <c r="A230" i="36" s="1"/>
  <c r="A231" i="36" s="1"/>
  <c r="A232" i="36" s="1"/>
  <c r="A233" i="36" s="1"/>
  <c r="A234" i="36" s="1"/>
  <c r="A235" i="36" s="1"/>
  <c r="A236" i="36" s="1"/>
  <c r="A237" i="36" s="1"/>
  <c r="A238" i="36" s="1"/>
  <c r="A239" i="36" s="1"/>
  <c r="A240" i="36" s="1"/>
  <c r="A241" i="36" s="1"/>
  <c r="A242" i="36" s="1"/>
  <c r="A243" i="36" s="1"/>
  <c r="A244" i="36" s="1"/>
  <c r="A245" i="36" s="1"/>
  <c r="A246" i="36" s="1"/>
  <c r="A247" i="36" s="1"/>
  <c r="A248" i="36" s="1"/>
  <c r="A249" i="36" s="1"/>
  <c r="A250" i="36" s="1"/>
  <c r="A251" i="36" s="1"/>
  <c r="A252" i="36" s="1"/>
  <c r="A253" i="36" s="1"/>
  <c r="A254" i="36" s="1"/>
  <c r="A255" i="36" s="1"/>
  <c r="A256" i="36" s="1"/>
  <c r="A257" i="36" s="1"/>
  <c r="A258" i="36" s="1"/>
  <c r="A259" i="36" s="1"/>
  <c r="A260" i="36" s="1"/>
  <c r="A261" i="36" s="1"/>
  <c r="A262" i="36" s="1"/>
  <c r="A263" i="36" s="1"/>
  <c r="A264" i="36" s="1"/>
  <c r="A265" i="36" s="1"/>
  <c r="A266" i="36" s="1"/>
  <c r="A267" i="36" s="1"/>
  <c r="A268" i="36" s="1"/>
  <c r="A269" i="36" s="1"/>
  <c r="A270" i="36" s="1"/>
  <c r="A271" i="36" s="1"/>
  <c r="A272" i="36" s="1"/>
  <c r="A273" i="36" s="1"/>
  <c r="A274" i="36" s="1"/>
  <c r="A275" i="36" s="1"/>
  <c r="A276" i="36" s="1"/>
  <c r="A277" i="36" s="1"/>
  <c r="A278" i="36" s="1"/>
  <c r="A279" i="36" s="1"/>
  <c r="A280" i="36" s="1"/>
  <c r="A281" i="36" s="1"/>
  <c r="A282" i="36" s="1"/>
  <c r="A283" i="36" s="1"/>
  <c r="A284" i="36" s="1"/>
  <c r="A285" i="36" s="1"/>
  <c r="A286" i="36" s="1"/>
  <c r="A287" i="36" s="1"/>
  <c r="A288" i="36" s="1"/>
  <c r="A289" i="36" s="1"/>
  <c r="A290" i="36" s="1"/>
  <c r="A291" i="36" s="1"/>
  <c r="A292" i="36" s="1"/>
  <c r="A293" i="36" s="1"/>
  <c r="A294" i="36" s="1"/>
  <c r="A295" i="36" s="1"/>
  <c r="A296" i="36" s="1"/>
  <c r="A297" i="36" s="1"/>
  <c r="A298" i="36" s="1"/>
  <c r="A299" i="36" s="1"/>
  <c r="A300" i="36" s="1"/>
  <c r="A301" i="36" s="1"/>
  <c r="A302" i="36" s="1"/>
  <c r="A303" i="36" s="1"/>
  <c r="A304" i="36" s="1"/>
  <c r="A305" i="36" s="1"/>
  <c r="A306" i="36" s="1"/>
  <c r="A307" i="36" s="1"/>
  <c r="A308" i="36" s="1"/>
  <c r="A309" i="36" s="1"/>
  <c r="A310" i="36" s="1"/>
  <c r="A311" i="36" s="1"/>
  <c r="A312" i="36" s="1"/>
  <c r="A313" i="36" s="1"/>
  <c r="A314" i="36" s="1"/>
  <c r="A315" i="36" s="1"/>
  <c r="A316" i="36" s="1"/>
  <c r="A317" i="36" s="1"/>
  <c r="A318" i="36" s="1"/>
  <c r="A319" i="36" s="1"/>
  <c r="A320" i="36" s="1"/>
  <c r="A321" i="36" s="1"/>
  <c r="A322" i="36" s="1"/>
  <c r="A323" i="36" s="1"/>
  <c r="A324" i="36" s="1"/>
  <c r="A325" i="36" s="1"/>
  <c r="A326" i="36" s="1"/>
  <c r="A327" i="36" s="1"/>
  <c r="A328" i="36" s="1"/>
  <c r="A329" i="36" s="1"/>
  <c r="A330" i="36" s="1"/>
  <c r="A331" i="36" s="1"/>
  <c r="A332" i="36" s="1"/>
  <c r="A333" i="36" s="1"/>
  <c r="A334" i="36" s="1"/>
  <c r="A335" i="36" s="1"/>
  <c r="A336" i="36" s="1"/>
  <c r="A337" i="36" s="1"/>
  <c r="A338" i="36" s="1"/>
  <c r="A339" i="36" s="1"/>
  <c r="A340" i="36" s="1"/>
  <c r="A341" i="36" s="1"/>
  <c r="A342" i="36" s="1"/>
  <c r="A343" i="36" s="1"/>
  <c r="A344" i="36" s="1"/>
  <c r="A345" i="36" s="1"/>
  <c r="A346" i="36" s="1"/>
  <c r="A347" i="36" s="1"/>
  <c r="A348" i="36" s="1"/>
  <c r="A349" i="36" s="1"/>
  <c r="A350" i="36" s="1"/>
  <c r="A351" i="36" s="1"/>
  <c r="A352" i="36" s="1"/>
  <c r="A353" i="36" s="1"/>
  <c r="A354" i="36" s="1"/>
  <c r="A355" i="36" s="1"/>
  <c r="A356" i="36" s="1"/>
  <c r="A357" i="36" s="1"/>
  <c r="A358" i="36" s="1"/>
  <c r="A359" i="36" s="1"/>
  <c r="A360" i="36" s="1"/>
  <c r="A361" i="36" s="1"/>
  <c r="A362" i="36" s="1"/>
  <c r="A363" i="36" s="1"/>
  <c r="A364" i="36" s="1"/>
  <c r="A365" i="36" s="1"/>
  <c r="A366" i="36" s="1"/>
  <c r="A367" i="36" s="1"/>
  <c r="A368" i="36" s="1"/>
  <c r="A369" i="36" s="1"/>
  <c r="A370" i="36" s="1"/>
  <c r="A371" i="36" s="1"/>
  <c r="A372" i="36" s="1"/>
  <c r="A373" i="36" s="1"/>
  <c r="A374" i="36" s="1"/>
  <c r="A375" i="36" s="1"/>
  <c r="A376" i="36" s="1"/>
  <c r="A377" i="36" s="1"/>
  <c r="A378" i="36" s="1"/>
  <c r="A379" i="36" s="1"/>
  <c r="A380" i="36" s="1"/>
  <c r="A381" i="36" s="1"/>
  <c r="A382" i="36" s="1"/>
  <c r="A383" i="36" s="1"/>
  <c r="A384" i="36" s="1"/>
  <c r="A385" i="36" s="1"/>
  <c r="A386" i="36" s="1"/>
  <c r="A387" i="36" s="1"/>
  <c r="A388" i="36" s="1"/>
  <c r="A389" i="36" s="1"/>
  <c r="A390" i="36" s="1"/>
  <c r="A391" i="36" s="1"/>
  <c r="A392" i="36" s="1"/>
  <c r="A393" i="36" s="1"/>
  <c r="A394" i="36" s="1"/>
  <c r="A395" i="36" s="1"/>
  <c r="A396" i="36" s="1"/>
  <c r="A397" i="36" s="1"/>
  <c r="A398" i="36" s="1"/>
  <c r="A399" i="36" s="1"/>
  <c r="A400" i="36" s="1"/>
  <c r="A401" i="36" s="1"/>
  <c r="N104" i="36"/>
  <c r="N103" i="36"/>
  <c r="N101" i="36"/>
  <c r="N100" i="36"/>
  <c r="N108" i="36"/>
  <c r="N186" i="36" l="1"/>
  <c r="S49" i="34" l="1"/>
  <c r="S26" i="34"/>
  <c r="S25" i="34"/>
  <c r="S24" i="34"/>
  <c r="S23" i="34"/>
  <c r="S22" i="34"/>
  <c r="S20" i="34"/>
  <c r="S19" i="34"/>
  <c r="S18" i="34"/>
  <c r="S17" i="34"/>
  <c r="S16" i="34"/>
  <c r="S15" i="34"/>
  <c r="S13" i="34"/>
  <c r="S12" i="34"/>
  <c r="H27" i="34"/>
  <c r="F27" i="34"/>
  <c r="L174" i="36"/>
  <c r="N174" i="36" s="1"/>
  <c r="AP17" i="37" l="1"/>
  <c r="AN17" i="37"/>
  <c r="AR17" i="37" s="1"/>
  <c r="AM17" i="37"/>
  <c r="AN16" i="37"/>
  <c r="AM16" i="37"/>
  <c r="AR16" i="37" s="1"/>
  <c r="AQ17" i="37"/>
  <c r="AN15" i="37"/>
  <c r="AR15" i="37" s="1"/>
  <c r="AM15" i="37"/>
  <c r="AQ15" i="37" s="1"/>
  <c r="AP15" i="37" s="1"/>
  <c r="AN14" i="37"/>
  <c r="AR14" i="37" s="1"/>
  <c r="AM14" i="37"/>
  <c r="AQ14" i="37" s="1"/>
  <c r="AP14" i="37" s="1"/>
  <c r="AR13" i="37"/>
  <c r="AQ10" i="37"/>
  <c r="AP10" i="37" s="1"/>
  <c r="AQ11" i="37"/>
  <c r="AP11" i="37" s="1"/>
  <c r="AN13" i="37"/>
  <c r="AM13" i="37"/>
  <c r="AQ13" i="37" s="1"/>
  <c r="AP13" i="37" s="1"/>
  <c r="AN10" i="37"/>
  <c r="AN12" i="37"/>
  <c r="AM12" i="37"/>
  <c r="AQ12" i="37" s="1"/>
  <c r="AP12" i="37" s="1"/>
  <c r="AN11" i="37"/>
  <c r="AR11" i="37" s="1"/>
  <c r="AM11" i="37"/>
  <c r="AM10" i="37"/>
  <c r="G121" i="35"/>
  <c r="E134" i="35"/>
  <c r="G134" i="35" s="1"/>
  <c r="G124" i="35"/>
  <c r="E109" i="35"/>
  <c r="G109" i="35" s="1"/>
  <c r="G119" i="35"/>
  <c r="E120" i="35"/>
  <c r="G120" i="35" s="1"/>
  <c r="G122" i="35"/>
  <c r="G140" i="35"/>
  <c r="G139" i="35"/>
  <c r="G138" i="35"/>
  <c r="G137" i="35"/>
  <c r="G136" i="35"/>
  <c r="G135" i="35"/>
  <c r="G133" i="35"/>
  <c r="G132" i="35"/>
  <c r="G131" i="35"/>
  <c r="G130" i="35"/>
  <c r="G129" i="35"/>
  <c r="G128" i="35"/>
  <c r="G127" i="35"/>
  <c r="G126" i="35"/>
  <c r="G125" i="35"/>
  <c r="C125" i="35"/>
  <c r="E111" i="35"/>
  <c r="E104" i="35"/>
  <c r="G110" i="35"/>
  <c r="G108" i="35"/>
  <c r="G107" i="35"/>
  <c r="G106" i="35"/>
  <c r="G105" i="35"/>
  <c r="C106" i="35"/>
  <c r="C107" i="35" s="1"/>
  <c r="C108" i="35" s="1"/>
  <c r="E84" i="35"/>
  <c r="G72" i="35"/>
  <c r="G62" i="35"/>
  <c r="G63" i="35"/>
  <c r="G56" i="35"/>
  <c r="G57" i="35"/>
  <c r="G58" i="35"/>
  <c r="G59" i="35"/>
  <c r="G60" i="35"/>
  <c r="G61" i="35"/>
  <c r="G64" i="35"/>
  <c r="G55" i="35"/>
  <c r="C56" i="35"/>
  <c r="G24" i="35"/>
  <c r="G23" i="35" s="1"/>
  <c r="C24" i="35"/>
  <c r="G53" i="35"/>
  <c r="G52" i="35"/>
  <c r="G51" i="35"/>
  <c r="C52" i="35"/>
  <c r="C53" i="35" s="1"/>
  <c r="G49" i="35"/>
  <c r="G48" i="35"/>
  <c r="G47" i="35"/>
  <c r="C48" i="35"/>
  <c r="C49" i="35" s="1"/>
  <c r="H48" i="34"/>
  <c r="G44" i="35"/>
  <c r="G38" i="35"/>
  <c r="G42" i="35"/>
  <c r="G45" i="35"/>
  <c r="G43" i="35"/>
  <c r="G41" i="35"/>
  <c r="C19" i="35"/>
  <c r="C20" i="35" s="1"/>
  <c r="C21" i="35" s="1"/>
  <c r="C22" i="35" s="1"/>
  <c r="G22" i="35"/>
  <c r="G21" i="35"/>
  <c r="G20" i="35"/>
  <c r="G19" i="35"/>
  <c r="B66" i="35"/>
  <c r="B67" i="35" s="1"/>
  <c r="B68" i="35" s="1"/>
  <c r="G39" i="35"/>
  <c r="G37" i="35"/>
  <c r="G36" i="35"/>
  <c r="G35" i="35"/>
  <c r="G34" i="35"/>
  <c r="G33" i="35"/>
  <c r="G32" i="35"/>
  <c r="G31" i="35"/>
  <c r="G30" i="35"/>
  <c r="G29" i="35"/>
  <c r="G28" i="35"/>
  <c r="G27" i="35"/>
  <c r="G26" i="35"/>
  <c r="C28" i="35"/>
  <c r="C29" i="35" s="1"/>
  <c r="C30" i="35" s="1"/>
  <c r="C31" i="35" s="1"/>
  <c r="C32" i="35" s="1"/>
  <c r="C33" i="35" s="1"/>
  <c r="C34" i="35" s="1"/>
  <c r="C35" i="35" s="1"/>
  <c r="C36" i="35" s="1"/>
  <c r="C37" i="35" s="1"/>
  <c r="C38" i="35" s="1"/>
  <c r="C39" i="35" s="1"/>
  <c r="L332" i="36"/>
  <c r="N332" i="36" s="1"/>
  <c r="L331" i="36"/>
  <c r="N331" i="36" s="1"/>
  <c r="L329" i="36"/>
  <c r="N329" i="36" s="1"/>
  <c r="L327" i="36"/>
  <c r="N327" i="36" s="1"/>
  <c r="H47" i="34"/>
  <c r="O32" i="34"/>
  <c r="N32" i="34"/>
  <c r="M32" i="34"/>
  <c r="L32" i="34"/>
  <c r="K32" i="34"/>
  <c r="J32" i="34"/>
  <c r="I32" i="34"/>
  <c r="H32" i="34"/>
  <c r="P32" i="34"/>
  <c r="P36" i="34"/>
  <c r="L36" i="34"/>
  <c r="K36" i="34"/>
  <c r="J36" i="34"/>
  <c r="I36" i="34"/>
  <c r="H36" i="34"/>
  <c r="F14" i="34"/>
  <c r="F28" i="34"/>
  <c r="P45" i="34"/>
  <c r="L45" i="34"/>
  <c r="K45" i="34"/>
  <c r="J45" i="34"/>
  <c r="I45" i="34"/>
  <c r="H45" i="34"/>
  <c r="I8" i="33"/>
  <c r="L295" i="36" s="1"/>
  <c r="N295" i="36" s="1"/>
  <c r="H14" i="33"/>
  <c r="H22" i="33"/>
  <c r="H23" i="33"/>
  <c r="H24" i="33"/>
  <c r="H25" i="33"/>
  <c r="H26" i="33"/>
  <c r="H27" i="33"/>
  <c r="H28" i="33"/>
  <c r="H40" i="33"/>
  <c r="H41" i="33"/>
  <c r="H42" i="33"/>
  <c r="H43" i="33"/>
  <c r="H44" i="33"/>
  <c r="H45" i="33"/>
  <c r="H46" i="33"/>
  <c r="H47" i="33"/>
  <c r="H48" i="33"/>
  <c r="H49" i="33"/>
  <c r="H50" i="33"/>
  <c r="H51" i="33"/>
  <c r="H52" i="33"/>
  <c r="H57" i="33"/>
  <c r="H58" i="33"/>
  <c r="H59" i="33"/>
  <c r="H60" i="33"/>
  <c r="H61" i="33"/>
  <c r="H62" i="33"/>
  <c r="H63" i="33"/>
  <c r="H64" i="33"/>
  <c r="H65" i="33"/>
  <c r="H66" i="33"/>
  <c r="H67" i="33"/>
  <c r="H68" i="33"/>
  <c r="H69" i="33"/>
  <c r="H70" i="33"/>
  <c r="H71" i="33"/>
  <c r="H72" i="33"/>
  <c r="H56" i="33"/>
  <c r="H82" i="33"/>
  <c r="H81" i="33"/>
  <c r="L290" i="36" s="1"/>
  <c r="N290" i="36" s="1"/>
  <c r="H80" i="33"/>
  <c r="L289" i="36" s="1"/>
  <c r="N289" i="36" s="1"/>
  <c r="H79" i="33"/>
  <c r="H85" i="33"/>
  <c r="H86" i="33"/>
  <c r="H87" i="33"/>
  <c r="H88" i="33"/>
  <c r="H89" i="33"/>
  <c r="H90" i="33"/>
  <c r="H91" i="33"/>
  <c r="H92" i="33"/>
  <c r="I96" i="33"/>
  <c r="I97" i="33"/>
  <c r="I95" i="33"/>
  <c r="L309" i="36" s="1"/>
  <c r="N309" i="36" s="1"/>
  <c r="L302" i="36"/>
  <c r="N302" i="36" s="1"/>
  <c r="H30" i="33"/>
  <c r="P47" i="34"/>
  <c r="P46" i="34"/>
  <c r="AR12" i="37" l="1"/>
  <c r="G50" i="35"/>
  <c r="AR10" i="37"/>
  <c r="AR18" i="37" s="1"/>
  <c r="L378" i="36" s="1"/>
  <c r="L288" i="36"/>
  <c r="G25" i="35"/>
  <c r="G104" i="35"/>
  <c r="G40" i="35"/>
  <c r="G46" i="35"/>
  <c r="G18" i="35"/>
  <c r="G54" i="35"/>
  <c r="G123" i="35"/>
  <c r="S27" i="34"/>
  <c r="AQ16" i="37"/>
  <c r="AP16" i="37" s="1"/>
  <c r="AP18" i="37" s="1"/>
  <c r="L380" i="36" s="1"/>
  <c r="C109" i="35"/>
  <c r="C110" i="35" s="1"/>
  <c r="C129" i="35"/>
  <c r="C128" i="35"/>
  <c r="C126" i="35"/>
  <c r="C130" i="35" s="1"/>
  <c r="C131" i="35" s="1"/>
  <c r="C132" i="35" s="1"/>
  <c r="C133" i="35" s="1"/>
  <c r="C134" i="35" s="1"/>
  <c r="C135" i="35" s="1"/>
  <c r="C136" i="35" s="1"/>
  <c r="C137" i="35" s="1"/>
  <c r="C138" i="35" s="1"/>
  <c r="C139" i="35" s="1"/>
  <c r="C140" i="35" s="1"/>
  <c r="C127" i="35"/>
  <c r="C57" i="35"/>
  <c r="C58" i="35" s="1"/>
  <c r="C59" i="35" s="1"/>
  <c r="C60" i="35" s="1"/>
  <c r="C61" i="35" s="1"/>
  <c r="C62" i="35" s="1"/>
  <c r="C63" i="35" s="1"/>
  <c r="C64" i="35" s="1"/>
  <c r="C42" i="35"/>
  <c r="C43" i="35" s="1"/>
  <c r="C44" i="35" s="1"/>
  <c r="C45" i="35" s="1"/>
  <c r="H95" i="33"/>
  <c r="H97" i="33"/>
  <c r="H96" i="33"/>
  <c r="L311" i="36"/>
  <c r="N311" i="36" s="1"/>
  <c r="H8" i="33"/>
  <c r="L310" i="36"/>
  <c r="N310" i="36" s="1"/>
  <c r="S32" i="34"/>
  <c r="F36" i="34"/>
  <c r="C7" i="35"/>
  <c r="L44" i="34"/>
  <c r="L43" i="34"/>
  <c r="L42" i="34"/>
  <c r="L41" i="34"/>
  <c r="L40" i="34"/>
  <c r="L39" i="34"/>
  <c r="L35" i="34"/>
  <c r="L34" i="34"/>
  <c r="L33" i="34"/>
  <c r="L38" i="34"/>
  <c r="S46" i="34"/>
  <c r="S36" i="34"/>
  <c r="L177" i="36" l="1"/>
  <c r="N177" i="36" s="1"/>
  <c r="AQ18" i="37"/>
  <c r="L379" i="36" s="1"/>
  <c r="N379" i="36" s="1"/>
  <c r="N378" i="36"/>
  <c r="S21" i="34"/>
  <c r="L315" i="36"/>
  <c r="N315" i="36" s="1"/>
  <c r="S48" i="34"/>
  <c r="S37" i="34"/>
  <c r="S28" i="34"/>
  <c r="S29" i="34"/>
  <c r="S30" i="34"/>
  <c r="S31" i="34"/>
  <c r="S45" i="34"/>
  <c r="S8" i="34"/>
  <c r="S10" i="34"/>
  <c r="S9" i="34"/>
  <c r="N380" i="36" l="1"/>
  <c r="S14" i="34"/>
  <c r="S11" i="34"/>
  <c r="M319" i="36" s="1"/>
  <c r="H39" i="33"/>
  <c r="H21" i="33"/>
  <c r="I9" i="33"/>
  <c r="I10" i="33"/>
  <c r="I11" i="33"/>
  <c r="H84" i="33"/>
  <c r="H78" i="33"/>
  <c r="L287" i="36" s="1"/>
  <c r="N287" i="36" s="1"/>
  <c r="I118" i="33"/>
  <c r="L263" i="36"/>
  <c r="L272" i="36" s="1"/>
  <c r="C142" i="44"/>
  <c r="D142" i="44" s="1"/>
  <c r="G142" i="44" s="1"/>
  <c r="M363" i="36" s="1"/>
  <c r="C143" i="44"/>
  <c r="D143" i="44" s="1"/>
  <c r="G143" i="44" s="1"/>
  <c r="M364" i="36" s="1"/>
  <c r="C141" i="44"/>
  <c r="L275" i="36"/>
  <c r="AC6" i="48"/>
  <c r="AC5" i="48"/>
  <c r="AC4" i="48"/>
  <c r="AC3" i="48"/>
  <c r="L364" i="36"/>
  <c r="L356" i="36"/>
  <c r="L363" i="36" s="1"/>
  <c r="L355" i="36"/>
  <c r="L362" i="36" s="1"/>
  <c r="L354" i="36"/>
  <c r="N354" i="36" s="1"/>
  <c r="L370" i="36"/>
  <c r="L372" i="36" s="1"/>
  <c r="N372" i="36" s="1"/>
  <c r="L368" i="36"/>
  <c r="L371" i="36" s="1"/>
  <c r="N371" i="36" s="1"/>
  <c r="L351" i="36"/>
  <c r="L360" i="36" s="1"/>
  <c r="N360" i="36" s="1"/>
  <c r="L342" i="36"/>
  <c r="N342" i="36" s="1"/>
  <c r="L341" i="36"/>
  <c r="N341" i="36" s="1"/>
  <c r="L340" i="36"/>
  <c r="N340" i="36" s="1"/>
  <c r="L260" i="36"/>
  <c r="L261" i="36" s="1"/>
  <c r="L274" i="36"/>
  <c r="N352" i="36" l="1"/>
  <c r="N364" i="36"/>
  <c r="N363" i="36"/>
  <c r="N356" i="36"/>
  <c r="I120" i="33"/>
  <c r="L279" i="36"/>
  <c r="N279" i="36" s="1"/>
  <c r="N288" i="36"/>
  <c r="S47" i="34"/>
  <c r="N319" i="36"/>
  <c r="H9" i="33"/>
  <c r="L294" i="36"/>
  <c r="N294" i="36" s="1"/>
  <c r="H11" i="33"/>
  <c r="L296" i="36"/>
  <c r="N296" i="36" s="1"/>
  <c r="H10" i="33"/>
  <c r="L293" i="36"/>
  <c r="N293" i="36" s="1"/>
  <c r="L359" i="36"/>
  <c r="B81" i="44" s="1"/>
  <c r="N266" i="36"/>
  <c r="N267" i="36"/>
  <c r="N264" i="36"/>
  <c r="L350" i="36"/>
  <c r="N350" i="36" s="1"/>
  <c r="L361" i="36"/>
  <c r="N355" i="36"/>
  <c r="L271" i="36"/>
  <c r="L270" i="36"/>
  <c r="L273" i="36"/>
  <c r="L259" i="36"/>
  <c r="L269" i="36" s="1"/>
  <c r="M323" i="36" l="1"/>
  <c r="N323" i="36" s="1"/>
  <c r="N263" i="36"/>
  <c r="N351" i="36"/>
  <c r="I143" i="44"/>
  <c r="I142" i="44"/>
  <c r="L298" i="36"/>
  <c r="N298" i="36" s="1"/>
  <c r="L304" i="36"/>
  <c r="N304" i="36" s="1"/>
  <c r="N261" i="36"/>
  <c r="N368" i="36"/>
  <c r="N370" i="36"/>
  <c r="N357" i="36"/>
  <c r="N259" i="36" l="1"/>
  <c r="N260" i="36"/>
  <c r="AD10" i="48"/>
  <c r="AD9" i="48"/>
  <c r="AD8" i="48"/>
  <c r="AD7" i="48"/>
  <c r="AD6" i="48"/>
  <c r="AD5" i="48"/>
  <c r="AD4" i="48"/>
  <c r="AD3" i="48"/>
  <c r="AD2" i="48"/>
  <c r="AC2" i="48"/>
  <c r="AB11" i="48"/>
  <c r="AB10" i="48"/>
  <c r="AB9" i="48"/>
  <c r="AB8" i="48"/>
  <c r="AB7" i="48"/>
  <c r="AB6" i="48"/>
  <c r="AB5" i="48"/>
  <c r="AB4" i="48"/>
  <c r="AB3" i="48"/>
  <c r="AB2" i="48"/>
  <c r="AA11" i="48"/>
  <c r="AA10" i="48"/>
  <c r="AA9" i="48"/>
  <c r="AA8" i="48"/>
  <c r="AA7" i="48"/>
  <c r="AA6" i="48"/>
  <c r="AA5" i="48"/>
  <c r="AA4" i="48"/>
  <c r="AA3" i="48"/>
  <c r="AA2" i="48"/>
  <c r="Z10" i="48"/>
  <c r="Z9" i="48"/>
  <c r="Z8" i="48"/>
  <c r="Z7" i="48"/>
  <c r="Z6" i="48"/>
  <c r="Z5" i="48"/>
  <c r="Z4" i="48"/>
  <c r="Z3" i="48"/>
  <c r="Y11" i="48"/>
  <c r="Y10" i="48"/>
  <c r="Y9" i="48"/>
  <c r="Y8" i="48"/>
  <c r="Y7" i="48"/>
  <c r="Y6" i="48"/>
  <c r="Y5" i="48"/>
  <c r="Y4" i="48"/>
  <c r="Y3" i="48"/>
  <c r="Y2" i="48"/>
  <c r="L226" i="36"/>
  <c r="L235" i="36"/>
  <c r="L251" i="36" s="1"/>
  <c r="V10" i="48"/>
  <c r="V9" i="48"/>
  <c r="V8" i="48"/>
  <c r="V7" i="48"/>
  <c r="L224" i="36"/>
  <c r="U2" i="48"/>
  <c r="B70" i="44" s="1"/>
  <c r="W2" i="48"/>
  <c r="B119" i="44" s="1"/>
  <c r="W10" i="48"/>
  <c r="B127" i="44" s="1"/>
  <c r="B138" i="44"/>
  <c r="U9" i="48"/>
  <c r="B77" i="44" s="1"/>
  <c r="B131" i="44"/>
  <c r="B132" i="44"/>
  <c r="B133" i="44"/>
  <c r="B134" i="44"/>
  <c r="B139" i="44"/>
  <c r="B121" i="44"/>
  <c r="B122" i="44"/>
  <c r="B123" i="44"/>
  <c r="B128" i="44"/>
  <c r="B137" i="44"/>
  <c r="B136" i="44"/>
  <c r="B135" i="44"/>
  <c r="B130" i="44"/>
  <c r="L231" i="36"/>
  <c r="W9" i="48"/>
  <c r="B126" i="44" s="1"/>
  <c r="W8" i="48"/>
  <c r="B125" i="44" s="1"/>
  <c r="W7" i="48"/>
  <c r="B124" i="44" s="1"/>
  <c r="W3" i="48"/>
  <c r="B120" i="44" s="1"/>
  <c r="L230" i="36"/>
  <c r="L229" i="36"/>
  <c r="L249" i="36" s="1"/>
  <c r="L236" i="36"/>
  <c r="L252" i="36" s="1"/>
  <c r="L237" i="36"/>
  <c r="L238" i="36"/>
  <c r="L239" i="36"/>
  <c r="L240" i="36"/>
  <c r="L247" i="36" l="1"/>
  <c r="N224" i="36"/>
  <c r="L253" i="36"/>
  <c r="L250" i="36"/>
  <c r="L254" i="36"/>
  <c r="L223" i="36"/>
  <c r="L228" i="36"/>
  <c r="L233" i="36"/>
  <c r="L245" i="36"/>
  <c r="Q10" i="48"/>
  <c r="P10" i="48"/>
  <c r="L192" i="36"/>
  <c r="L200" i="36" s="1"/>
  <c r="L191" i="36"/>
  <c r="L246" i="36" l="1"/>
  <c r="N223" i="36"/>
  <c r="N239" i="36"/>
  <c r="N236" i="36"/>
  <c r="N238" i="36"/>
  <c r="N233" i="36"/>
  <c r="N240" i="36"/>
  <c r="N230" i="36"/>
  <c r="N237" i="36"/>
  <c r="N235" i="36"/>
  <c r="L248" i="36"/>
  <c r="N229" i="36" l="1"/>
  <c r="N192" i="36"/>
  <c r="N231" i="36"/>
  <c r="N226" i="36"/>
  <c r="N218" i="36"/>
  <c r="N221" i="36"/>
  <c r="N216" i="36"/>
  <c r="N227" i="36"/>
  <c r="N228" i="36"/>
  <c r="L219" i="36"/>
  <c r="L217" i="36"/>
  <c r="U11" i="48"/>
  <c r="B79" i="44" s="1"/>
  <c r="U10" i="48"/>
  <c r="B78" i="44" s="1"/>
  <c r="U7" i="48"/>
  <c r="B75" i="44" s="1"/>
  <c r="U8" i="48"/>
  <c r="B76" i="44" s="1"/>
  <c r="U6" i="48"/>
  <c r="B74" i="44" s="1"/>
  <c r="U5" i="48"/>
  <c r="B73" i="44" s="1"/>
  <c r="U4" i="48"/>
  <c r="B72" i="44" s="1"/>
  <c r="U3" i="48"/>
  <c r="B71" i="44" s="1"/>
  <c r="L11" i="48"/>
  <c r="L2" i="48"/>
  <c r="B59" i="44" s="1"/>
  <c r="L242" i="36"/>
  <c r="B117" i="44"/>
  <c r="T8" i="48"/>
  <c r="B114" i="44" s="1"/>
  <c r="T10" i="48"/>
  <c r="B116" i="44" s="1"/>
  <c r="T9" i="48"/>
  <c r="B115" i="44" s="1"/>
  <c r="T7" i="48"/>
  <c r="B113" i="44" s="1"/>
  <c r="T6" i="48"/>
  <c r="B112" i="44" s="1"/>
  <c r="T5" i="48"/>
  <c r="B111" i="44" s="1"/>
  <c r="T4" i="48"/>
  <c r="B110" i="44" s="1"/>
  <c r="T3" i="48"/>
  <c r="B109" i="44" s="1"/>
  <c r="T2" i="48"/>
  <c r="B108" i="44" s="1"/>
  <c r="H85" i="44"/>
  <c r="B95" i="44"/>
  <c r="S10" i="48"/>
  <c r="B94" i="44" s="1"/>
  <c r="S9" i="48"/>
  <c r="B93" i="44" s="1"/>
  <c r="S8" i="48"/>
  <c r="B92" i="44" s="1"/>
  <c r="S7" i="48"/>
  <c r="B91" i="44" s="1"/>
  <c r="S6" i="48"/>
  <c r="B90" i="44" s="1"/>
  <c r="S5" i="48"/>
  <c r="B89" i="44" s="1"/>
  <c r="S4" i="48"/>
  <c r="B88" i="44" s="1"/>
  <c r="S3" i="48"/>
  <c r="B87" i="44" s="1"/>
  <c r="S2" i="48"/>
  <c r="B86" i="44" s="1"/>
  <c r="B106" i="44"/>
  <c r="B101" i="44"/>
  <c r="B100" i="44"/>
  <c r="B99" i="44"/>
  <c r="B98" i="44"/>
  <c r="R10" i="48"/>
  <c r="Q2" i="48"/>
  <c r="P9" i="48"/>
  <c r="B104" i="44" s="1"/>
  <c r="P8" i="48"/>
  <c r="B103" i="44" s="1"/>
  <c r="P7" i="48"/>
  <c r="B102" i="44" s="1"/>
  <c r="P2" i="48"/>
  <c r="O11" i="48"/>
  <c r="B57" i="44" s="1"/>
  <c r="L197" i="36"/>
  <c r="O10" i="48"/>
  <c r="B56" i="44" s="1"/>
  <c r="O9" i="48"/>
  <c r="B55" i="44" s="1"/>
  <c r="O8" i="48"/>
  <c r="B54" i="44" s="1"/>
  <c r="O7" i="48"/>
  <c r="B53" i="44" s="1"/>
  <c r="O6" i="48"/>
  <c r="B52" i="44" s="1"/>
  <c r="O5" i="48"/>
  <c r="B51" i="44" s="1"/>
  <c r="O4" i="48"/>
  <c r="B50" i="44" s="1"/>
  <c r="O3" i="48"/>
  <c r="B49" i="44" s="1"/>
  <c r="O2" i="48"/>
  <c r="B48" i="44" s="1"/>
  <c r="M11" i="48"/>
  <c r="B46" i="44" s="1"/>
  <c r="M10" i="48"/>
  <c r="B45" i="44" s="1"/>
  <c r="M9" i="48"/>
  <c r="B44" i="44" s="1"/>
  <c r="M8" i="48"/>
  <c r="B43" i="44" s="1"/>
  <c r="M7" i="48"/>
  <c r="B42" i="44" s="1"/>
  <c r="M6" i="48"/>
  <c r="B41" i="44" s="1"/>
  <c r="M5" i="48"/>
  <c r="B40" i="44" s="1"/>
  <c r="M4" i="48"/>
  <c r="B39" i="44" s="1"/>
  <c r="M3" i="48"/>
  <c r="B38" i="44" s="1"/>
  <c r="L52" i="36"/>
  <c r="B20" i="44"/>
  <c r="B19" i="44"/>
  <c r="B18" i="44"/>
  <c r="B17" i="44"/>
  <c r="B16" i="44"/>
  <c r="B15" i="44"/>
  <c r="B14" i="44"/>
  <c r="B13" i="44"/>
  <c r="B12" i="44"/>
  <c r="B11" i="44"/>
  <c r="L10" i="48"/>
  <c r="B67" i="44" s="1"/>
  <c r="L9" i="48"/>
  <c r="B66" i="44" s="1"/>
  <c r="L8" i="48"/>
  <c r="B65" i="44" s="1"/>
  <c r="L7" i="48"/>
  <c r="B64" i="44" s="1"/>
  <c r="L6" i="48"/>
  <c r="B63" i="44" s="1"/>
  <c r="L5" i="48"/>
  <c r="B62" i="44" s="1"/>
  <c r="L4" i="48"/>
  <c r="B61" i="44" s="1"/>
  <c r="L3" i="48"/>
  <c r="B60" i="44" s="1"/>
  <c r="K11" i="48"/>
  <c r="L210" i="36"/>
  <c r="I8" i="48"/>
  <c r="I11" i="48"/>
  <c r="B31" i="44" s="1"/>
  <c r="I10" i="48"/>
  <c r="I9" i="48"/>
  <c r="I7" i="48"/>
  <c r="J10" i="48"/>
  <c r="J9" i="48"/>
  <c r="J8" i="48"/>
  <c r="J7" i="48"/>
  <c r="I6" i="48"/>
  <c r="B26" i="44" s="1"/>
  <c r="I5" i="48"/>
  <c r="B25" i="44" s="1"/>
  <c r="I4" i="48"/>
  <c r="B24" i="44" s="1"/>
  <c r="I3" i="48"/>
  <c r="B23" i="44" s="1"/>
  <c r="I2" i="48"/>
  <c r="B22" i="44" s="1"/>
  <c r="L193" i="36"/>
  <c r="L201" i="36" s="1"/>
  <c r="L189" i="36"/>
  <c r="L199" i="36" s="1"/>
  <c r="L187" i="36"/>
  <c r="L183" i="36"/>
  <c r="N183" i="36" s="1"/>
  <c r="L184" i="36"/>
  <c r="N184" i="36" s="1"/>
  <c r="L88" i="36"/>
  <c r="L96" i="36" s="1"/>
  <c r="B68" i="44" l="1"/>
  <c r="D34" i="44"/>
  <c r="G34" i="44" s="1"/>
  <c r="M91" i="36" s="1"/>
  <c r="N91" i="36" s="1"/>
  <c r="N52" i="36"/>
  <c r="N217" i="36"/>
  <c r="N219" i="36"/>
  <c r="N96" i="36"/>
  <c r="N88" i="36"/>
  <c r="L198" i="36"/>
  <c r="N187" i="36"/>
  <c r="L255" i="36"/>
  <c r="N242" i="36"/>
  <c r="L202" i="36"/>
  <c r="N195" i="36"/>
  <c r="L56" i="36"/>
  <c r="L64" i="36" s="1"/>
  <c r="O63" i="36" s="1"/>
  <c r="C115" i="44"/>
  <c r="D115" i="44" s="1"/>
  <c r="L244" i="36"/>
  <c r="C116" i="44"/>
  <c r="D116" i="44" s="1"/>
  <c r="C109" i="44"/>
  <c r="D109" i="44" s="1"/>
  <c r="C117" i="44"/>
  <c r="D117" i="44" s="1"/>
  <c r="C108" i="44"/>
  <c r="D108" i="44" s="1"/>
  <c r="C114" i="44"/>
  <c r="D114" i="44" s="1"/>
  <c r="C110" i="44"/>
  <c r="D110" i="44" s="1"/>
  <c r="C111" i="44"/>
  <c r="D111" i="44" s="1"/>
  <c r="C112" i="44"/>
  <c r="D112" i="44" s="1"/>
  <c r="C113" i="44"/>
  <c r="D113" i="44" s="1"/>
  <c r="B97" i="44"/>
  <c r="B28" i="44"/>
  <c r="B30" i="44"/>
  <c r="B27" i="44"/>
  <c r="B29" i="44"/>
  <c r="L220" i="36"/>
  <c r="N220" i="36" s="1"/>
  <c r="C88" i="44"/>
  <c r="D88" i="44" s="1"/>
  <c r="C91" i="44"/>
  <c r="C92" i="44"/>
  <c r="C89" i="44"/>
  <c r="D89" i="44" s="1"/>
  <c r="C90" i="44"/>
  <c r="D90" i="44" s="1"/>
  <c r="C93" i="44"/>
  <c r="C86" i="44"/>
  <c r="D86" i="44" s="1"/>
  <c r="C94" i="44"/>
  <c r="C87" i="44"/>
  <c r="D87" i="44" s="1"/>
  <c r="C95" i="44"/>
  <c r="B105" i="44"/>
  <c r="N56" i="36" l="1"/>
  <c r="N189" i="36"/>
  <c r="N193" i="36"/>
  <c r="C98" i="44"/>
  <c r="D107" i="44"/>
  <c r="G107" i="44" s="1"/>
  <c r="C97" i="44"/>
  <c r="D97" i="44" s="1"/>
  <c r="N191" i="36"/>
  <c r="C102" i="44"/>
  <c r="C100" i="44"/>
  <c r="M255" i="36" l="1"/>
  <c r="N255" i="36" s="1"/>
  <c r="U264" i="39"/>
  <c r="U265" i="39"/>
  <c r="U266" i="39"/>
  <c r="U263" i="39"/>
  <c r="S263" i="39"/>
  <c r="T264" i="39"/>
  <c r="T265" i="39"/>
  <c r="T266" i="39"/>
  <c r="T263" i="39"/>
  <c r="S264" i="39"/>
  <c r="S265" i="39"/>
  <c r="S266" i="39"/>
  <c r="Q264" i="39"/>
  <c r="Q265" i="39"/>
  <c r="Q266" i="39"/>
  <c r="Q263" i="39"/>
  <c r="K264" i="39"/>
  <c r="K265" i="39"/>
  <c r="K266" i="39"/>
  <c r="K263" i="39"/>
  <c r="L61" i="36"/>
  <c r="N61" i="36" s="1"/>
  <c r="L59" i="36"/>
  <c r="N59" i="36" s="1"/>
  <c r="L57" i="36"/>
  <c r="L65" i="36" s="1"/>
  <c r="O64" i="36" s="1"/>
  <c r="L53" i="36"/>
  <c r="L54" i="36"/>
  <c r="N54" i="36" s="1"/>
  <c r="N53" i="36" l="1"/>
  <c r="L63" i="36"/>
  <c r="O62" i="36" s="1"/>
  <c r="N57" i="36"/>
  <c r="L60" i="36"/>
  <c r="N60" i="36" s="1"/>
  <c r="C31" i="44" l="1"/>
  <c r="D31" i="44" s="1"/>
  <c r="C30" i="44"/>
  <c r="D30" i="44" s="1"/>
  <c r="C29" i="44"/>
  <c r="D29" i="44" s="1"/>
  <c r="C28" i="44"/>
  <c r="D28" i="44" s="1"/>
  <c r="C27" i="44"/>
  <c r="D27" i="44" s="1"/>
  <c r="C26" i="44"/>
  <c r="D26" i="44" s="1"/>
  <c r="C25" i="44"/>
  <c r="D25" i="44" s="1"/>
  <c r="C24" i="44"/>
  <c r="D24" i="44" s="1"/>
  <c r="C23" i="44"/>
  <c r="D23" i="44" s="1"/>
  <c r="C20" i="44"/>
  <c r="D20" i="44" s="1"/>
  <c r="D10" i="44"/>
  <c r="D8" i="44"/>
  <c r="M389" i="36"/>
  <c r="D141" i="44"/>
  <c r="G141" i="44" s="1"/>
  <c r="M362" i="36" s="1"/>
  <c r="C83" i="44"/>
  <c r="D83" i="44" s="1"/>
  <c r="M336" i="36"/>
  <c r="C81" i="44"/>
  <c r="D81" i="44" s="1"/>
  <c r="C22" i="44"/>
  <c r="D22" i="44" s="1"/>
  <c r="C3" i="44"/>
  <c r="C8" i="44" s="1"/>
  <c r="N128" i="36" l="1"/>
  <c r="N362" i="36"/>
  <c r="N336" i="36"/>
  <c r="N112" i="36"/>
  <c r="G145" i="44"/>
  <c r="N389" i="36"/>
  <c r="D91" i="44"/>
  <c r="D94" i="44"/>
  <c r="D95" i="44"/>
  <c r="D92" i="44"/>
  <c r="D93" i="44"/>
  <c r="G21" i="44"/>
  <c r="C138" i="44"/>
  <c r="D138" i="44" s="1"/>
  <c r="C135" i="44"/>
  <c r="D135" i="44" s="1"/>
  <c r="C136" i="44"/>
  <c r="D136" i="44" s="1"/>
  <c r="C119" i="44"/>
  <c r="D119" i="44" s="1"/>
  <c r="C127" i="44"/>
  <c r="D127" i="44" s="1"/>
  <c r="C125" i="44"/>
  <c r="D125" i="44" s="1"/>
  <c r="C122" i="44"/>
  <c r="D122" i="44" s="1"/>
  <c r="C123" i="44"/>
  <c r="D123" i="44" s="1"/>
  <c r="C124" i="44"/>
  <c r="D124" i="44" s="1"/>
  <c r="C126" i="44"/>
  <c r="D126" i="44" s="1"/>
  <c r="C101" i="44"/>
  <c r="D101" i="44" s="1"/>
  <c r="C103" i="44"/>
  <c r="D103" i="44" s="1"/>
  <c r="C104" i="44"/>
  <c r="D104" i="44" s="1"/>
  <c r="D102" i="44"/>
  <c r="C15" i="44"/>
  <c r="D15" i="44" s="1"/>
  <c r="C19" i="44"/>
  <c r="D19" i="44" s="1"/>
  <c r="C18" i="44"/>
  <c r="D18" i="44" s="1"/>
  <c r="C14" i="44"/>
  <c r="D14" i="44" s="1"/>
  <c r="C11" i="44"/>
  <c r="D11" i="44" s="1"/>
  <c r="C12" i="44"/>
  <c r="D12" i="44" s="1"/>
  <c r="C16" i="44"/>
  <c r="D16" i="44" s="1"/>
  <c r="C17" i="44"/>
  <c r="D17" i="44" s="1"/>
  <c r="C13" i="44"/>
  <c r="D13" i="44" s="1"/>
  <c r="C128" i="44"/>
  <c r="D128" i="44" s="1"/>
  <c r="C120" i="44"/>
  <c r="D120" i="44" s="1"/>
  <c r="C137" i="44"/>
  <c r="D137" i="44" s="1"/>
  <c r="C121" i="44"/>
  <c r="D121" i="44" s="1"/>
  <c r="E3" i="44"/>
  <c r="C131" i="44"/>
  <c r="D131" i="44" s="1"/>
  <c r="D98" i="44"/>
  <c r="C139" i="44"/>
  <c r="C106" i="44"/>
  <c r="D106" i="44" s="1"/>
  <c r="C134" i="44"/>
  <c r="D134" i="44" s="1"/>
  <c r="C133" i="44"/>
  <c r="D133" i="44" s="1"/>
  <c r="D100" i="44"/>
  <c r="C130" i="44"/>
  <c r="D130" i="44" s="1"/>
  <c r="G83" i="44"/>
  <c r="G3" i="44"/>
  <c r="C99" i="44"/>
  <c r="D99" i="44" s="1"/>
  <c r="C105" i="44"/>
  <c r="D105" i="44" s="1"/>
  <c r="C132" i="44"/>
  <c r="D132" i="44" s="1"/>
  <c r="G81" i="44"/>
  <c r="L47" i="36"/>
  <c r="E9" i="21"/>
  <c r="D139" i="44" l="1"/>
  <c r="D129" i="44" s="1"/>
  <c r="C144" i="44"/>
  <c r="E144" i="44" s="1"/>
  <c r="M388" i="36" s="1"/>
  <c r="N388" i="36" s="1"/>
  <c r="I144" i="44" s="1"/>
  <c r="J144" i="44" s="1"/>
  <c r="D118" i="44"/>
  <c r="M65" i="36"/>
  <c r="N65" i="36" s="1"/>
  <c r="I23" i="44" s="1"/>
  <c r="M64" i="36"/>
  <c r="N64" i="36" s="1"/>
  <c r="M63" i="36"/>
  <c r="N63" i="36" s="1"/>
  <c r="N361" i="36"/>
  <c r="M359" i="36"/>
  <c r="N359" i="36" s="1"/>
  <c r="I83" i="44"/>
  <c r="J83" i="44" s="1"/>
  <c r="I141" i="44"/>
  <c r="J141" i="44" s="1"/>
  <c r="D96" i="44"/>
  <c r="D85" i="44"/>
  <c r="G85" i="44" s="1"/>
  <c r="G118" i="44"/>
  <c r="M248" i="36" s="1"/>
  <c r="G9" i="44"/>
  <c r="C9" i="44"/>
  <c r="E8" i="44"/>
  <c r="L38" i="36"/>
  <c r="X29" i="37"/>
  <c r="AQ7" i="37"/>
  <c r="AP7" i="37"/>
  <c r="AO7" i="37"/>
  <c r="AN7" i="37"/>
  <c r="AM7" i="37"/>
  <c r="G130" i="44" l="1"/>
  <c r="M252" i="36" s="1"/>
  <c r="G132" i="44"/>
  <c r="M202" i="36"/>
  <c r="N202" i="36" s="1"/>
  <c r="I85" i="44" s="1"/>
  <c r="M47" i="36"/>
  <c r="N47" i="36" s="1"/>
  <c r="AN4" i="37"/>
  <c r="L28" i="36" s="1"/>
  <c r="N28" i="36" s="1"/>
  <c r="I22" i="44"/>
  <c r="I21" i="44"/>
  <c r="N274" i="36"/>
  <c r="N269" i="36"/>
  <c r="N251" i="36"/>
  <c r="G119" i="44"/>
  <c r="M249" i="36" s="1"/>
  <c r="G96" i="44"/>
  <c r="E9" i="44"/>
  <c r="C21" i="44"/>
  <c r="C32" i="44" s="1"/>
  <c r="AP3" i="37"/>
  <c r="AQ3" i="37"/>
  <c r="AO3" i="37"/>
  <c r="L26" i="36" s="1"/>
  <c r="N26" i="36" s="1"/>
  <c r="AM4" i="37"/>
  <c r="L27" i="36" s="1"/>
  <c r="N27" i="36" s="1"/>
  <c r="AO4" i="37"/>
  <c r="AP4" i="37"/>
  <c r="AM3" i="37"/>
  <c r="L24" i="36" s="1"/>
  <c r="N24" i="36" s="1"/>
  <c r="AN3" i="37"/>
  <c r="L25" i="36" s="1"/>
  <c r="N25" i="36" s="1"/>
  <c r="AQ4" i="37"/>
  <c r="J21" i="44" l="1"/>
  <c r="E32" i="44"/>
  <c r="M254" i="36"/>
  <c r="N254" i="36" s="1"/>
  <c r="N275" i="36"/>
  <c r="N253" i="36"/>
  <c r="M200" i="36"/>
  <c r="N200" i="36" s="1"/>
  <c r="M199" i="36"/>
  <c r="N199" i="36" s="1"/>
  <c r="N248" i="36"/>
  <c r="I118" i="44" s="1"/>
  <c r="N270" i="36"/>
  <c r="N252" i="36"/>
  <c r="N271" i="36"/>
  <c r="N38" i="36"/>
  <c r="N249" i="36"/>
  <c r="G120" i="44"/>
  <c r="M250" i="36" s="1"/>
  <c r="G97" i="44"/>
  <c r="M201" i="36" s="1"/>
  <c r="E21" i="44"/>
  <c r="L29" i="36"/>
  <c r="N29" i="36" s="1"/>
  <c r="I97" i="44" l="1"/>
  <c r="I130" i="44"/>
  <c r="N201" i="36"/>
  <c r="N272" i="36"/>
  <c r="N273" i="36"/>
  <c r="N250" i="36"/>
  <c r="I98" i="44" l="1"/>
  <c r="I120" i="44"/>
  <c r="O8" i="39" l="1"/>
  <c r="L40" i="36" s="1"/>
  <c r="N40" i="36" s="1"/>
  <c r="Q7" i="39"/>
  <c r="U252" i="39"/>
  <c r="U253" i="39"/>
  <c r="U254" i="39"/>
  <c r="U251" i="39"/>
  <c r="F162" i="39"/>
  <c r="F135" i="39"/>
  <c r="M135" i="39" s="1"/>
  <c r="R135" i="39" s="1"/>
  <c r="F153" i="39"/>
  <c r="F152" i="39"/>
  <c r="U152" i="39" s="1"/>
  <c r="F148" i="39"/>
  <c r="U148" i="39" s="1"/>
  <c r="F146" i="39"/>
  <c r="U146" i="39" s="1"/>
  <c r="F145" i="39"/>
  <c r="M145" i="39" s="1"/>
  <c r="R145" i="39" s="1"/>
  <c r="F144" i="39"/>
  <c r="F143" i="39"/>
  <c r="F142" i="39"/>
  <c r="U142" i="39" s="1"/>
  <c r="F140" i="39"/>
  <c r="M140" i="39" s="1"/>
  <c r="R140" i="39" s="1"/>
  <c r="F133" i="39"/>
  <c r="M133" i="39" s="1"/>
  <c r="R133" i="39" s="1"/>
  <c r="F128" i="39"/>
  <c r="M128" i="39" s="1"/>
  <c r="R128" i="39" s="1"/>
  <c r="F159" i="39"/>
  <c r="U159" i="39" s="1"/>
  <c r="F121" i="39"/>
  <c r="U121" i="39" s="1"/>
  <c r="F155" i="39"/>
  <c r="M155" i="39" s="1"/>
  <c r="R155" i="39" s="1"/>
  <c r="F166" i="39"/>
  <c r="U166" i="39" s="1"/>
  <c r="F163" i="39"/>
  <c r="U163" i="39" s="1"/>
  <c r="F168" i="39"/>
  <c r="U168" i="39" s="1"/>
  <c r="F174" i="39"/>
  <c r="U174" i="39" s="1"/>
  <c r="U175" i="39"/>
  <c r="S175" i="39"/>
  <c r="T175" i="39" s="1"/>
  <c r="R175" i="39"/>
  <c r="M175" i="39"/>
  <c r="J175" i="39"/>
  <c r="L175" i="39" s="1"/>
  <c r="S168" i="39"/>
  <c r="M168" i="39"/>
  <c r="R168" i="39" s="1"/>
  <c r="J168" i="39"/>
  <c r="F173" i="39"/>
  <c r="U173" i="39" s="1"/>
  <c r="F172" i="39"/>
  <c r="U172" i="39" s="1"/>
  <c r="S172" i="39"/>
  <c r="M172" i="39"/>
  <c r="R172" i="39" s="1"/>
  <c r="J172" i="39"/>
  <c r="U169" i="39"/>
  <c r="S169" i="39"/>
  <c r="T169" i="39" s="1"/>
  <c r="M169" i="39"/>
  <c r="R169" i="39" s="1"/>
  <c r="J169" i="39"/>
  <c r="L169" i="39" s="1"/>
  <c r="U167" i="39"/>
  <c r="S167" i="39"/>
  <c r="T167" i="39" s="1"/>
  <c r="M167" i="39"/>
  <c r="R167" i="39" s="1"/>
  <c r="J167" i="39"/>
  <c r="L167" i="39" s="1"/>
  <c r="S166" i="39"/>
  <c r="M166" i="39"/>
  <c r="R166" i="39" s="1"/>
  <c r="J166" i="39"/>
  <c r="L166" i="39" s="1"/>
  <c r="S174" i="39"/>
  <c r="J174" i="39"/>
  <c r="S173" i="39"/>
  <c r="J173" i="39"/>
  <c r="U171" i="39"/>
  <c r="S171" i="39"/>
  <c r="T171" i="39" s="1"/>
  <c r="M171" i="39"/>
  <c r="R171" i="39" s="1"/>
  <c r="J171" i="39"/>
  <c r="L171" i="39" s="1"/>
  <c r="U170" i="39"/>
  <c r="S170" i="39"/>
  <c r="T170" i="39" s="1"/>
  <c r="M170" i="39"/>
  <c r="R170" i="39" s="1"/>
  <c r="J170" i="39"/>
  <c r="L170" i="39" s="1"/>
  <c r="U161" i="39"/>
  <c r="S161" i="39"/>
  <c r="T161" i="39" s="1"/>
  <c r="M161" i="39"/>
  <c r="R161" i="39" s="1"/>
  <c r="J161" i="39"/>
  <c r="L161" i="39" s="1"/>
  <c r="U160" i="39"/>
  <c r="S160" i="39"/>
  <c r="T160" i="39" s="1"/>
  <c r="M160" i="39"/>
  <c r="R160" i="39" s="1"/>
  <c r="J160" i="39"/>
  <c r="L160" i="39" s="1"/>
  <c r="S159" i="39"/>
  <c r="J159" i="39"/>
  <c r="U158" i="39"/>
  <c r="S158" i="39"/>
  <c r="T158" i="39" s="1"/>
  <c r="M158" i="39"/>
  <c r="R158" i="39" s="1"/>
  <c r="J158" i="39"/>
  <c r="L158" i="39" s="1"/>
  <c r="U165" i="39"/>
  <c r="S165" i="39"/>
  <c r="T165" i="39" s="1"/>
  <c r="M165" i="39"/>
  <c r="R165" i="39" s="1"/>
  <c r="J165" i="39"/>
  <c r="L165" i="39" s="1"/>
  <c r="U164" i="39"/>
  <c r="S164" i="39"/>
  <c r="T164" i="39" s="1"/>
  <c r="M164" i="39"/>
  <c r="R164" i="39" s="1"/>
  <c r="J164" i="39"/>
  <c r="L164" i="39" s="1"/>
  <c r="S163" i="39"/>
  <c r="J163" i="39"/>
  <c r="U162" i="39"/>
  <c r="S162" i="39"/>
  <c r="J162" i="39"/>
  <c r="F157" i="39"/>
  <c r="U157" i="39" s="1"/>
  <c r="S157" i="39"/>
  <c r="M157" i="39"/>
  <c r="R157" i="39" s="1"/>
  <c r="J157" i="39"/>
  <c r="U156" i="39"/>
  <c r="S156" i="39"/>
  <c r="T156" i="39" s="1"/>
  <c r="M156" i="39"/>
  <c r="R156" i="39" s="1"/>
  <c r="J156" i="39"/>
  <c r="L156" i="39" s="1"/>
  <c r="S155" i="39"/>
  <c r="J155" i="39"/>
  <c r="L155" i="39" s="1"/>
  <c r="F120" i="39"/>
  <c r="F119" i="39"/>
  <c r="U119" i="39" s="1"/>
  <c r="F109" i="39"/>
  <c r="M109" i="39" s="1"/>
  <c r="R109" i="39" s="1"/>
  <c r="F104" i="39"/>
  <c r="M104" i="39" s="1"/>
  <c r="R104" i="39" s="1"/>
  <c r="F112" i="39"/>
  <c r="F111" i="39"/>
  <c r="F110" i="39"/>
  <c r="F114" i="39"/>
  <c r="F113" i="39"/>
  <c r="F108" i="39"/>
  <c r="U108" i="39" s="1"/>
  <c r="U101" i="39"/>
  <c r="S101" i="39"/>
  <c r="T101" i="39" s="1"/>
  <c r="M101" i="39"/>
  <c r="R101" i="39" s="1"/>
  <c r="J101" i="39"/>
  <c r="L101" i="39" s="1"/>
  <c r="F154" i="39"/>
  <c r="U154" i="39" s="1"/>
  <c r="F100" i="39"/>
  <c r="S154" i="39"/>
  <c r="T154" i="39" s="1"/>
  <c r="J154" i="39"/>
  <c r="U153" i="39"/>
  <c r="S153" i="39"/>
  <c r="T153" i="39" s="1"/>
  <c r="M153" i="39"/>
  <c r="R153" i="39" s="1"/>
  <c r="J153" i="39"/>
  <c r="S152" i="39"/>
  <c r="J152" i="39"/>
  <c r="U151" i="39"/>
  <c r="S151" i="39"/>
  <c r="T151" i="39" s="1"/>
  <c r="M151" i="39"/>
  <c r="R151" i="39" s="1"/>
  <c r="J151" i="39"/>
  <c r="L151" i="39" s="1"/>
  <c r="U150" i="39"/>
  <c r="S150" i="39"/>
  <c r="T150" i="39" s="1"/>
  <c r="M150" i="39"/>
  <c r="R150" i="39" s="1"/>
  <c r="J150" i="39"/>
  <c r="L150" i="39" s="1"/>
  <c r="U149" i="39"/>
  <c r="S149" i="39"/>
  <c r="T149" i="39" s="1"/>
  <c r="M149" i="39"/>
  <c r="R149" i="39" s="1"/>
  <c r="J149" i="39"/>
  <c r="L149" i="39" s="1"/>
  <c r="S148" i="39"/>
  <c r="J148" i="39"/>
  <c r="U147" i="39"/>
  <c r="S147" i="39"/>
  <c r="T147" i="39" s="1"/>
  <c r="M147" i="39"/>
  <c r="R147" i="39" s="1"/>
  <c r="J147" i="39"/>
  <c r="L147" i="39" s="1"/>
  <c r="S146" i="39"/>
  <c r="T146" i="39" s="1"/>
  <c r="M146" i="39"/>
  <c r="R146" i="39" s="1"/>
  <c r="J146" i="39"/>
  <c r="L146" i="39" s="1"/>
  <c r="U145" i="39"/>
  <c r="S145" i="39"/>
  <c r="T145" i="39" s="1"/>
  <c r="J145" i="39"/>
  <c r="U144" i="39"/>
  <c r="S144" i="39"/>
  <c r="T144" i="39" s="1"/>
  <c r="M144" i="39"/>
  <c r="R144" i="39" s="1"/>
  <c r="J144" i="39"/>
  <c r="L144" i="39" s="1"/>
  <c r="U143" i="39"/>
  <c r="S143" i="39"/>
  <c r="T143" i="39" s="1"/>
  <c r="M143" i="39"/>
  <c r="R143" i="39" s="1"/>
  <c r="J143" i="39"/>
  <c r="L143" i="39" s="1"/>
  <c r="S142" i="39"/>
  <c r="J142" i="39"/>
  <c r="U141" i="39"/>
  <c r="S141" i="39"/>
  <c r="T141" i="39" s="1"/>
  <c r="M141" i="39"/>
  <c r="R141" i="39" s="1"/>
  <c r="J141" i="39"/>
  <c r="L141" i="39" s="1"/>
  <c r="U140" i="39"/>
  <c r="S140" i="39"/>
  <c r="J140" i="39"/>
  <c r="U139" i="39"/>
  <c r="S139" i="39"/>
  <c r="T139" i="39" s="1"/>
  <c r="M139" i="39"/>
  <c r="R139" i="39" s="1"/>
  <c r="J139" i="39"/>
  <c r="L139" i="39" s="1"/>
  <c r="U138" i="39"/>
  <c r="S138" i="39"/>
  <c r="T138" i="39" s="1"/>
  <c r="M138" i="39"/>
  <c r="R138" i="39" s="1"/>
  <c r="J138" i="39"/>
  <c r="L138" i="39" s="1"/>
  <c r="U137" i="39"/>
  <c r="S137" i="39"/>
  <c r="T137" i="39" s="1"/>
  <c r="M137" i="39"/>
  <c r="R137" i="39" s="1"/>
  <c r="J137" i="39"/>
  <c r="L137" i="39" s="1"/>
  <c r="U136" i="39"/>
  <c r="S136" i="39"/>
  <c r="T136" i="39" s="1"/>
  <c r="M136" i="39"/>
  <c r="R136" i="39" s="1"/>
  <c r="J136" i="39"/>
  <c r="L136" i="39" s="1"/>
  <c r="S135" i="39"/>
  <c r="J135" i="39"/>
  <c r="U134" i="39"/>
  <c r="S134" i="39"/>
  <c r="T134" i="39" s="1"/>
  <c r="M134" i="39"/>
  <c r="R134" i="39" s="1"/>
  <c r="J134" i="39"/>
  <c r="L134" i="39" s="1"/>
  <c r="S133" i="39"/>
  <c r="J133" i="39"/>
  <c r="U132" i="39"/>
  <c r="S132" i="39"/>
  <c r="T132" i="39" s="1"/>
  <c r="M132" i="39"/>
  <c r="R132" i="39" s="1"/>
  <c r="J132" i="39"/>
  <c r="L132" i="39" s="1"/>
  <c r="U131" i="39"/>
  <c r="S131" i="39"/>
  <c r="T131" i="39" s="1"/>
  <c r="M131" i="39"/>
  <c r="R131" i="39" s="1"/>
  <c r="J131" i="39"/>
  <c r="L131" i="39" s="1"/>
  <c r="U130" i="39"/>
  <c r="S130" i="39"/>
  <c r="T130" i="39" s="1"/>
  <c r="M130" i="39"/>
  <c r="R130" i="39" s="1"/>
  <c r="J130" i="39"/>
  <c r="L130" i="39" s="1"/>
  <c r="U129" i="39"/>
  <c r="S129" i="39"/>
  <c r="T129" i="39" s="1"/>
  <c r="M129" i="39"/>
  <c r="R129" i="39" s="1"/>
  <c r="J129" i="39"/>
  <c r="L129" i="39" s="1"/>
  <c r="U128" i="39"/>
  <c r="S128" i="39"/>
  <c r="J128" i="39"/>
  <c r="U127" i="39"/>
  <c r="S127" i="39"/>
  <c r="T127" i="39" s="1"/>
  <c r="M127" i="39"/>
  <c r="R127" i="39" s="1"/>
  <c r="J127" i="39"/>
  <c r="L127" i="39" s="1"/>
  <c r="U126" i="39"/>
  <c r="S126" i="39"/>
  <c r="T126" i="39" s="1"/>
  <c r="M126" i="39"/>
  <c r="R126" i="39" s="1"/>
  <c r="J126" i="39"/>
  <c r="L126" i="39" s="1"/>
  <c r="U125" i="39"/>
  <c r="S125" i="39"/>
  <c r="T125" i="39" s="1"/>
  <c r="M125" i="39"/>
  <c r="R125" i="39" s="1"/>
  <c r="J125" i="39"/>
  <c r="L125" i="39" s="1"/>
  <c r="U124" i="39"/>
  <c r="S124" i="39"/>
  <c r="T124" i="39" s="1"/>
  <c r="M124" i="39"/>
  <c r="R124" i="39" s="1"/>
  <c r="J124" i="39"/>
  <c r="L124" i="39" s="1"/>
  <c r="U123" i="39"/>
  <c r="S123" i="39"/>
  <c r="T123" i="39" s="1"/>
  <c r="M123" i="39"/>
  <c r="R123" i="39" s="1"/>
  <c r="J123" i="39"/>
  <c r="L123" i="39" s="1"/>
  <c r="U122" i="39"/>
  <c r="S122" i="39"/>
  <c r="T122" i="39" s="1"/>
  <c r="M122" i="39"/>
  <c r="R122" i="39" s="1"/>
  <c r="J122" i="39"/>
  <c r="L122" i="39" s="1"/>
  <c r="S121" i="39"/>
  <c r="J121" i="39"/>
  <c r="U120" i="39"/>
  <c r="S120" i="39"/>
  <c r="T120" i="39" s="1"/>
  <c r="M120" i="39"/>
  <c r="R120" i="39" s="1"/>
  <c r="J120" i="39"/>
  <c r="L120" i="39" s="1"/>
  <c r="S119" i="39"/>
  <c r="J119" i="39"/>
  <c r="U118" i="39"/>
  <c r="S118" i="39"/>
  <c r="T118" i="39" s="1"/>
  <c r="M118" i="39"/>
  <c r="R118" i="39" s="1"/>
  <c r="J118" i="39"/>
  <c r="L118" i="39" s="1"/>
  <c r="U117" i="39"/>
  <c r="S117" i="39"/>
  <c r="T117" i="39" s="1"/>
  <c r="M117" i="39"/>
  <c r="R117" i="39" s="1"/>
  <c r="J117" i="39"/>
  <c r="L117" i="39" s="1"/>
  <c r="F98" i="39"/>
  <c r="U98" i="39" s="1"/>
  <c r="F97" i="39"/>
  <c r="S8" i="39"/>
  <c r="R8" i="39"/>
  <c r="Q8" i="39"/>
  <c r="P8" i="39"/>
  <c r="R7" i="39"/>
  <c r="P7" i="39"/>
  <c r="O7" i="39"/>
  <c r="J8" i="39"/>
  <c r="I8" i="39"/>
  <c r="H8" i="39"/>
  <c r="G8" i="39"/>
  <c r="A53" i="39"/>
  <c r="A70" i="39"/>
  <c r="A88" i="39"/>
  <c r="A178" i="39"/>
  <c r="A243" i="39"/>
  <c r="A255" i="39"/>
  <c r="A267" i="39"/>
  <c r="R78" i="39"/>
  <c r="Q243" i="39"/>
  <c r="Q178" i="39"/>
  <c r="Q88" i="39"/>
  <c r="Q70" i="39"/>
  <c r="Q53" i="39"/>
  <c r="U110" i="39"/>
  <c r="S110" i="39"/>
  <c r="T110" i="39" s="1"/>
  <c r="M110" i="39"/>
  <c r="R110" i="39" s="1"/>
  <c r="J110" i="39"/>
  <c r="L110" i="39" s="1"/>
  <c r="U109" i="39"/>
  <c r="S109" i="39"/>
  <c r="T109" i="39" s="1"/>
  <c r="J109" i="39"/>
  <c r="L109" i="39" s="1"/>
  <c r="S108" i="39"/>
  <c r="J108" i="39"/>
  <c r="U107" i="39"/>
  <c r="S107" i="39"/>
  <c r="T107" i="39" s="1"/>
  <c r="M107" i="39"/>
  <c r="R107" i="39" s="1"/>
  <c r="J107" i="39"/>
  <c r="L107" i="39" s="1"/>
  <c r="U106" i="39"/>
  <c r="S106" i="39"/>
  <c r="T106" i="39" s="1"/>
  <c r="M106" i="39"/>
  <c r="R106" i="39" s="1"/>
  <c r="J106" i="39"/>
  <c r="L106" i="39" s="1"/>
  <c r="U105" i="39"/>
  <c r="S105" i="39"/>
  <c r="T105" i="39" s="1"/>
  <c r="M105" i="39"/>
  <c r="R105" i="39" s="1"/>
  <c r="J105" i="39"/>
  <c r="L105" i="39" s="1"/>
  <c r="S104" i="39"/>
  <c r="J104" i="39"/>
  <c r="U103" i="39"/>
  <c r="S103" i="39"/>
  <c r="T103" i="39" s="1"/>
  <c r="M103" i="39"/>
  <c r="R103" i="39" s="1"/>
  <c r="J103" i="39"/>
  <c r="L103" i="39" s="1"/>
  <c r="U102" i="39"/>
  <c r="S102" i="39"/>
  <c r="T102" i="39" s="1"/>
  <c r="M102" i="39"/>
  <c r="R102" i="39" s="1"/>
  <c r="J102" i="39"/>
  <c r="L102" i="39" s="1"/>
  <c r="U100" i="39"/>
  <c r="S100" i="39"/>
  <c r="T100" i="39" s="1"/>
  <c r="M100" i="39"/>
  <c r="R100" i="39" s="1"/>
  <c r="J100" i="39"/>
  <c r="L100" i="39" s="1"/>
  <c r="U99" i="39"/>
  <c r="S99" i="39"/>
  <c r="T99" i="39" s="1"/>
  <c r="M99" i="39"/>
  <c r="R99" i="39" s="1"/>
  <c r="J99" i="39"/>
  <c r="L99" i="39" s="1"/>
  <c r="S98" i="39"/>
  <c r="J98" i="39"/>
  <c r="L98" i="39" s="1"/>
  <c r="T254" i="39"/>
  <c r="S254" i="39"/>
  <c r="M254" i="39"/>
  <c r="R254" i="39" s="1"/>
  <c r="J254" i="39"/>
  <c r="L254" i="39" s="1"/>
  <c r="T253" i="39"/>
  <c r="S253" i="39"/>
  <c r="M253" i="39"/>
  <c r="R253" i="39" s="1"/>
  <c r="J253" i="39"/>
  <c r="L253" i="39" s="1"/>
  <c r="T251" i="39"/>
  <c r="S251" i="39"/>
  <c r="M251" i="39"/>
  <c r="R251" i="39" s="1"/>
  <c r="J251" i="39"/>
  <c r="L251" i="39" s="1"/>
  <c r="T252" i="39"/>
  <c r="S252" i="39"/>
  <c r="M252" i="39"/>
  <c r="R252" i="39" s="1"/>
  <c r="J252" i="39"/>
  <c r="L252" i="39" s="1"/>
  <c r="U221" i="39"/>
  <c r="S221" i="39"/>
  <c r="T221" i="39" s="1"/>
  <c r="M221" i="39"/>
  <c r="R221" i="39" s="1"/>
  <c r="J221" i="39"/>
  <c r="L221" i="39" s="1"/>
  <c r="U223" i="39"/>
  <c r="S223" i="39"/>
  <c r="T223" i="39" s="1"/>
  <c r="M223" i="39"/>
  <c r="R223" i="39" s="1"/>
  <c r="J223" i="39"/>
  <c r="L223" i="39" s="1"/>
  <c r="U225" i="39"/>
  <c r="S225" i="39"/>
  <c r="T225" i="39" s="1"/>
  <c r="M225" i="39"/>
  <c r="R225" i="39" s="1"/>
  <c r="J225" i="39"/>
  <c r="L225" i="39" s="1"/>
  <c r="U227" i="39"/>
  <c r="S227" i="39"/>
  <c r="T227" i="39" s="1"/>
  <c r="M227" i="39"/>
  <c r="R227" i="39" s="1"/>
  <c r="J227" i="39"/>
  <c r="L227" i="39" s="1"/>
  <c r="U229" i="39"/>
  <c r="S229" i="39"/>
  <c r="T229" i="39" s="1"/>
  <c r="M229" i="39"/>
  <c r="R229" i="39" s="1"/>
  <c r="J229" i="39"/>
  <c r="L229" i="39" s="1"/>
  <c r="U231" i="39"/>
  <c r="S231" i="39"/>
  <c r="T231" i="39" s="1"/>
  <c r="M231" i="39"/>
  <c r="R231" i="39" s="1"/>
  <c r="J231" i="39"/>
  <c r="L231" i="39" s="1"/>
  <c r="U233" i="39"/>
  <c r="S233" i="39"/>
  <c r="T233" i="39" s="1"/>
  <c r="M233" i="39"/>
  <c r="R233" i="39" s="1"/>
  <c r="J233" i="39"/>
  <c r="L233" i="39" s="1"/>
  <c r="U235" i="39"/>
  <c r="S235" i="39"/>
  <c r="T235" i="39" s="1"/>
  <c r="M235" i="39"/>
  <c r="R235" i="39" s="1"/>
  <c r="J235" i="39"/>
  <c r="L235" i="39" s="1"/>
  <c r="U238" i="39"/>
  <c r="S238" i="39"/>
  <c r="T238" i="39" s="1"/>
  <c r="M238" i="39"/>
  <c r="R238" i="39" s="1"/>
  <c r="J238" i="39"/>
  <c r="L238" i="39" s="1"/>
  <c r="U237" i="39"/>
  <c r="S237" i="39"/>
  <c r="T237" i="39" s="1"/>
  <c r="M237" i="39"/>
  <c r="R237" i="39" s="1"/>
  <c r="J237" i="39"/>
  <c r="L237" i="39" s="1"/>
  <c r="U239" i="39"/>
  <c r="S239" i="39"/>
  <c r="T239" i="39" s="1"/>
  <c r="M239" i="39"/>
  <c r="R239" i="39" s="1"/>
  <c r="J239" i="39"/>
  <c r="L239" i="39" s="1"/>
  <c r="U240" i="39"/>
  <c r="S240" i="39"/>
  <c r="T240" i="39" s="1"/>
  <c r="M240" i="39"/>
  <c r="R240" i="39" s="1"/>
  <c r="J240" i="39"/>
  <c r="L240" i="39" s="1"/>
  <c r="U236" i="39"/>
  <c r="S236" i="39"/>
  <c r="T236" i="39" s="1"/>
  <c r="M236" i="39"/>
  <c r="R236" i="39" s="1"/>
  <c r="J236" i="39"/>
  <c r="L236" i="39" s="1"/>
  <c r="U234" i="39"/>
  <c r="S234" i="39"/>
  <c r="T234" i="39" s="1"/>
  <c r="M234" i="39"/>
  <c r="R234" i="39" s="1"/>
  <c r="J234" i="39"/>
  <c r="L234" i="39" s="1"/>
  <c r="U232" i="39"/>
  <c r="S232" i="39"/>
  <c r="T232" i="39" s="1"/>
  <c r="M232" i="39"/>
  <c r="R232" i="39" s="1"/>
  <c r="J232" i="39"/>
  <c r="L232" i="39" s="1"/>
  <c r="U230" i="39"/>
  <c r="S230" i="39"/>
  <c r="T230" i="39" s="1"/>
  <c r="M230" i="39"/>
  <c r="R230" i="39" s="1"/>
  <c r="J230" i="39"/>
  <c r="L230" i="39" s="1"/>
  <c r="U228" i="39"/>
  <c r="S228" i="39"/>
  <c r="T228" i="39" s="1"/>
  <c r="M228" i="39"/>
  <c r="R228" i="39" s="1"/>
  <c r="J228" i="39"/>
  <c r="L228" i="39" s="1"/>
  <c r="U226" i="39"/>
  <c r="S226" i="39"/>
  <c r="T226" i="39" s="1"/>
  <c r="M226" i="39"/>
  <c r="R226" i="39" s="1"/>
  <c r="J226" i="39"/>
  <c r="L226" i="39" s="1"/>
  <c r="U224" i="39"/>
  <c r="S224" i="39"/>
  <c r="T224" i="39" s="1"/>
  <c r="M224" i="39"/>
  <c r="R224" i="39" s="1"/>
  <c r="J224" i="39"/>
  <c r="L224" i="39" s="1"/>
  <c r="U218" i="39"/>
  <c r="S218" i="39"/>
  <c r="T218" i="39" s="1"/>
  <c r="M218" i="39"/>
  <c r="R218" i="39" s="1"/>
  <c r="J218" i="39"/>
  <c r="L218" i="39" s="1"/>
  <c r="U217" i="39"/>
  <c r="S217" i="39"/>
  <c r="T217" i="39" s="1"/>
  <c r="M217" i="39"/>
  <c r="R217" i="39" s="1"/>
  <c r="J217" i="39"/>
  <c r="L217" i="39" s="1"/>
  <c r="U216" i="39"/>
  <c r="S216" i="39"/>
  <c r="T216" i="39" s="1"/>
  <c r="M216" i="39"/>
  <c r="R216" i="39" s="1"/>
  <c r="J216" i="39"/>
  <c r="L216" i="39" s="1"/>
  <c r="U215" i="39"/>
  <c r="S215" i="39"/>
  <c r="T215" i="39" s="1"/>
  <c r="M215" i="39"/>
  <c r="R215" i="39" s="1"/>
  <c r="J215" i="39"/>
  <c r="L215" i="39" s="1"/>
  <c r="U214" i="39"/>
  <c r="S214" i="39"/>
  <c r="T214" i="39" s="1"/>
  <c r="M214" i="39"/>
  <c r="R214" i="39" s="1"/>
  <c r="J214" i="39"/>
  <c r="L214" i="39" s="1"/>
  <c r="U213" i="39"/>
  <c r="S213" i="39"/>
  <c r="T213" i="39" s="1"/>
  <c r="M213" i="39"/>
  <c r="R213" i="39" s="1"/>
  <c r="J213" i="39"/>
  <c r="L213" i="39" s="1"/>
  <c r="U212" i="39"/>
  <c r="S212" i="39"/>
  <c r="T212" i="39" s="1"/>
  <c r="M212" i="39"/>
  <c r="R212" i="39" s="1"/>
  <c r="J212" i="39"/>
  <c r="L212" i="39" s="1"/>
  <c r="U211" i="39"/>
  <c r="S211" i="39"/>
  <c r="T211" i="39" s="1"/>
  <c r="M211" i="39"/>
  <c r="R211" i="39" s="1"/>
  <c r="J211" i="39"/>
  <c r="L211" i="39" s="1"/>
  <c r="U210" i="39"/>
  <c r="S210" i="39"/>
  <c r="T210" i="39" s="1"/>
  <c r="M210" i="39"/>
  <c r="R210" i="39" s="1"/>
  <c r="J210" i="39"/>
  <c r="L210" i="39" s="1"/>
  <c r="U209" i="39"/>
  <c r="S209" i="39"/>
  <c r="T209" i="39" s="1"/>
  <c r="M209" i="39"/>
  <c r="R209" i="39" s="1"/>
  <c r="J209" i="39"/>
  <c r="L209" i="39" s="1"/>
  <c r="U208" i="39"/>
  <c r="S208" i="39"/>
  <c r="T208" i="39" s="1"/>
  <c r="M208" i="39"/>
  <c r="R208" i="39" s="1"/>
  <c r="J208" i="39"/>
  <c r="L208" i="39" s="1"/>
  <c r="U207" i="39"/>
  <c r="S207" i="39"/>
  <c r="T207" i="39" s="1"/>
  <c r="M207" i="39"/>
  <c r="R207" i="39" s="1"/>
  <c r="J207" i="39"/>
  <c r="L207" i="39" s="1"/>
  <c r="J195" i="39"/>
  <c r="L195" i="39" s="1"/>
  <c r="M195" i="39"/>
  <c r="R195" i="39" s="1"/>
  <c r="S195" i="39"/>
  <c r="T195" i="39" s="1"/>
  <c r="U195" i="39"/>
  <c r="J196" i="39"/>
  <c r="L196" i="39" s="1"/>
  <c r="M196" i="39"/>
  <c r="R196" i="39" s="1"/>
  <c r="S196" i="39"/>
  <c r="T196" i="39" s="1"/>
  <c r="U196" i="39"/>
  <c r="J197" i="39"/>
  <c r="L197" i="39" s="1"/>
  <c r="M197" i="39"/>
  <c r="R197" i="39" s="1"/>
  <c r="S197" i="39"/>
  <c r="T197" i="39" s="1"/>
  <c r="U197" i="39"/>
  <c r="J198" i="39"/>
  <c r="L198" i="39" s="1"/>
  <c r="M198" i="39"/>
  <c r="R198" i="39" s="1"/>
  <c r="S198" i="39"/>
  <c r="T198" i="39" s="1"/>
  <c r="U198" i="39"/>
  <c r="J199" i="39"/>
  <c r="L199" i="39" s="1"/>
  <c r="M199" i="39"/>
  <c r="R199" i="39" s="1"/>
  <c r="S199" i="39"/>
  <c r="T199" i="39" s="1"/>
  <c r="U199" i="39"/>
  <c r="J200" i="39"/>
  <c r="L200" i="39" s="1"/>
  <c r="M200" i="39"/>
  <c r="R200" i="39" s="1"/>
  <c r="S200" i="39"/>
  <c r="T200" i="39" s="1"/>
  <c r="U200" i="39"/>
  <c r="J201" i="39"/>
  <c r="L201" i="39" s="1"/>
  <c r="M201" i="39"/>
  <c r="R201" i="39" s="1"/>
  <c r="S201" i="39"/>
  <c r="T201" i="39" s="1"/>
  <c r="U201" i="39"/>
  <c r="J202" i="39"/>
  <c r="L202" i="39" s="1"/>
  <c r="M202" i="39"/>
  <c r="R202" i="39" s="1"/>
  <c r="S202" i="39"/>
  <c r="T202" i="39" s="1"/>
  <c r="U202" i="39"/>
  <c r="J203" i="39"/>
  <c r="L203" i="39" s="1"/>
  <c r="M203" i="39"/>
  <c r="R203" i="39" s="1"/>
  <c r="S203" i="39"/>
  <c r="T203" i="39" s="1"/>
  <c r="U203" i="39"/>
  <c r="J204" i="39"/>
  <c r="L204" i="39" s="1"/>
  <c r="M204" i="39"/>
  <c r="R204" i="39" s="1"/>
  <c r="S204" i="39"/>
  <c r="T204" i="39" s="1"/>
  <c r="U204" i="39"/>
  <c r="J205" i="39"/>
  <c r="L205" i="39" s="1"/>
  <c r="M205" i="39"/>
  <c r="R205" i="39" s="1"/>
  <c r="S205" i="39"/>
  <c r="T205" i="39" s="1"/>
  <c r="U205" i="39"/>
  <c r="J206" i="39"/>
  <c r="L206" i="39" s="1"/>
  <c r="M206" i="39"/>
  <c r="R206" i="39" s="1"/>
  <c r="S206" i="39"/>
  <c r="T206" i="39" s="1"/>
  <c r="U206" i="39"/>
  <c r="J219" i="39"/>
  <c r="L219" i="39" s="1"/>
  <c r="M219" i="39"/>
  <c r="R219" i="39" s="1"/>
  <c r="S219" i="39"/>
  <c r="T219" i="39" s="1"/>
  <c r="U219" i="39"/>
  <c r="J220" i="39"/>
  <c r="L220" i="39" s="1"/>
  <c r="M220" i="39"/>
  <c r="R220" i="39" s="1"/>
  <c r="S220" i="39"/>
  <c r="T220" i="39" s="1"/>
  <c r="U220" i="39"/>
  <c r="J222" i="39"/>
  <c r="L222" i="39" s="1"/>
  <c r="M222" i="39"/>
  <c r="R222" i="39" s="1"/>
  <c r="S222" i="39"/>
  <c r="T222" i="39" s="1"/>
  <c r="U222" i="39"/>
  <c r="J241" i="39"/>
  <c r="L241" i="39" s="1"/>
  <c r="M241" i="39"/>
  <c r="R241" i="39" s="1"/>
  <c r="S241" i="39"/>
  <c r="T241" i="39" s="1"/>
  <c r="U241" i="39"/>
  <c r="U50" i="39"/>
  <c r="S50" i="39"/>
  <c r="M50" i="39"/>
  <c r="T50" i="39" s="1"/>
  <c r="J50" i="39"/>
  <c r="L50" i="39" s="1"/>
  <c r="U49" i="39"/>
  <c r="S49" i="39"/>
  <c r="M49" i="39"/>
  <c r="R49" i="39" s="1"/>
  <c r="J49" i="39"/>
  <c r="L49" i="39" s="1"/>
  <c r="U48" i="39"/>
  <c r="S48" i="39"/>
  <c r="M48" i="39"/>
  <c r="T48" i="39" s="1"/>
  <c r="J48" i="39"/>
  <c r="L48" i="39" s="1"/>
  <c r="U46" i="39"/>
  <c r="S46" i="39"/>
  <c r="M46" i="39"/>
  <c r="T46" i="39" s="1"/>
  <c r="J46" i="39"/>
  <c r="L46" i="39" s="1"/>
  <c r="U45" i="39"/>
  <c r="S45" i="39"/>
  <c r="M45" i="39"/>
  <c r="T45" i="39" s="1"/>
  <c r="J45" i="39"/>
  <c r="L45" i="39" s="1"/>
  <c r="U44" i="39"/>
  <c r="S44" i="39"/>
  <c r="M44" i="39"/>
  <c r="T44" i="39" s="1"/>
  <c r="J44" i="39"/>
  <c r="L44" i="39" s="1"/>
  <c r="U43" i="39"/>
  <c r="S43" i="39"/>
  <c r="M43" i="39"/>
  <c r="T43" i="39" s="1"/>
  <c r="J43" i="39"/>
  <c r="L43" i="39" s="1"/>
  <c r="U42" i="39"/>
  <c r="S42" i="39"/>
  <c r="M42" i="39"/>
  <c r="T42" i="39" s="1"/>
  <c r="J42" i="39"/>
  <c r="L42" i="39" s="1"/>
  <c r="U41" i="39"/>
  <c r="S41" i="39"/>
  <c r="M41" i="39"/>
  <c r="T41" i="39" s="1"/>
  <c r="J41" i="39"/>
  <c r="L41" i="39" s="1"/>
  <c r="U40" i="39"/>
  <c r="S40" i="39"/>
  <c r="M40" i="39"/>
  <c r="T40" i="39" s="1"/>
  <c r="J40" i="39"/>
  <c r="L40" i="39" s="1"/>
  <c r="U39" i="39"/>
  <c r="S39" i="39"/>
  <c r="M39" i="39"/>
  <c r="R39" i="39" s="1"/>
  <c r="J39" i="39"/>
  <c r="L39" i="39" s="1"/>
  <c r="U38" i="39"/>
  <c r="S38" i="39"/>
  <c r="M38" i="39"/>
  <c r="T38" i="39" s="1"/>
  <c r="J38" i="39"/>
  <c r="L38" i="39" s="1"/>
  <c r="U37" i="39"/>
  <c r="S37" i="39"/>
  <c r="M37" i="39"/>
  <c r="T37" i="39" s="1"/>
  <c r="J37" i="39"/>
  <c r="L37" i="39" s="1"/>
  <c r="U36" i="39"/>
  <c r="S36" i="39"/>
  <c r="M36" i="39"/>
  <c r="T36" i="39" s="1"/>
  <c r="J36" i="39"/>
  <c r="L36" i="39" s="1"/>
  <c r="U33" i="39"/>
  <c r="S33" i="39"/>
  <c r="M33" i="39"/>
  <c r="T33" i="39" s="1"/>
  <c r="J33" i="39"/>
  <c r="L33" i="39" s="1"/>
  <c r="U32" i="39"/>
  <c r="S32" i="39"/>
  <c r="M32" i="39"/>
  <c r="R32" i="39" s="1"/>
  <c r="J32" i="39"/>
  <c r="L32" i="39" s="1"/>
  <c r="U31" i="39"/>
  <c r="S31" i="39"/>
  <c r="M31" i="39"/>
  <c r="T31" i="39" s="1"/>
  <c r="J31" i="39"/>
  <c r="L31" i="39" s="1"/>
  <c r="U30" i="39"/>
  <c r="S30" i="39"/>
  <c r="M30" i="39"/>
  <c r="T30" i="39" s="1"/>
  <c r="J30" i="39"/>
  <c r="L30" i="39" s="1"/>
  <c r="U29" i="39"/>
  <c r="S29" i="39"/>
  <c r="M29" i="39"/>
  <c r="T29" i="39" s="1"/>
  <c r="J29" i="39"/>
  <c r="L29" i="39" s="1"/>
  <c r="U28" i="39"/>
  <c r="S28" i="39"/>
  <c r="M28" i="39"/>
  <c r="T28" i="39" s="1"/>
  <c r="J28" i="39"/>
  <c r="L28" i="39" s="1"/>
  <c r="U27" i="39"/>
  <c r="S27" i="39"/>
  <c r="M27" i="39"/>
  <c r="T27" i="39" s="1"/>
  <c r="J27" i="39"/>
  <c r="L27" i="39" s="1"/>
  <c r="U26" i="39"/>
  <c r="S26" i="39"/>
  <c r="M26" i="39"/>
  <c r="T26" i="39" s="1"/>
  <c r="J26" i="39"/>
  <c r="L26" i="39" s="1"/>
  <c r="U25" i="39"/>
  <c r="S25" i="39"/>
  <c r="M25" i="39"/>
  <c r="T25" i="39" s="1"/>
  <c r="J25" i="39"/>
  <c r="L25" i="39" s="1"/>
  <c r="U24" i="39"/>
  <c r="S24" i="39"/>
  <c r="M24" i="39"/>
  <c r="R24" i="39" s="1"/>
  <c r="J24" i="39"/>
  <c r="L24" i="39" s="1"/>
  <c r="U23" i="39"/>
  <c r="S23" i="39"/>
  <c r="M23" i="39"/>
  <c r="T23" i="39" s="1"/>
  <c r="J23" i="39"/>
  <c r="L23" i="39" s="1"/>
  <c r="U22" i="39"/>
  <c r="S22" i="39"/>
  <c r="M22" i="39"/>
  <c r="T22" i="39" s="1"/>
  <c r="J22" i="39"/>
  <c r="L22" i="39" s="1"/>
  <c r="U21" i="39"/>
  <c r="S21" i="39"/>
  <c r="M21" i="39"/>
  <c r="T21" i="39" s="1"/>
  <c r="J21" i="39"/>
  <c r="L21" i="39" s="1"/>
  <c r="U20" i="39"/>
  <c r="S20" i="39"/>
  <c r="M20" i="39"/>
  <c r="T20" i="39" s="1"/>
  <c r="J20" i="39"/>
  <c r="L20" i="39" s="1"/>
  <c r="E64" i="39"/>
  <c r="D64" i="39"/>
  <c r="G63" i="39"/>
  <c r="G60" i="39"/>
  <c r="G61" i="39"/>
  <c r="D62" i="39"/>
  <c r="F62" i="39"/>
  <c r="T133" i="39" l="1"/>
  <c r="L157" i="39"/>
  <c r="N157" i="39" s="1"/>
  <c r="O157" i="39" s="1"/>
  <c r="U133" i="39"/>
  <c r="L174" i="39"/>
  <c r="T157" i="39"/>
  <c r="M174" i="39"/>
  <c r="R174" i="39" s="1"/>
  <c r="T174" i="39"/>
  <c r="U255" i="39"/>
  <c r="L168" i="39"/>
  <c r="U104" i="39"/>
  <c r="N104" i="39" s="1"/>
  <c r="O104" i="39" s="1"/>
  <c r="U135" i="39"/>
  <c r="M98" i="39"/>
  <c r="R98" i="39" s="1"/>
  <c r="T162" i="39"/>
  <c r="T98" i="39"/>
  <c r="L163" i="39"/>
  <c r="N163" i="39" s="1"/>
  <c r="O163" i="39" s="1"/>
  <c r="M163" i="39"/>
  <c r="R163" i="39" s="1"/>
  <c r="L104" i="39"/>
  <c r="L135" i="39"/>
  <c r="T163" i="39"/>
  <c r="T104" i="39"/>
  <c r="T135" i="39"/>
  <c r="T166" i="39"/>
  <c r="T168" i="39"/>
  <c r="L162" i="39"/>
  <c r="N162" i="39" s="1"/>
  <c r="O162" i="39" s="1"/>
  <c r="M162" i="39"/>
  <c r="R162" i="39" s="1"/>
  <c r="T148" i="39"/>
  <c r="L152" i="39"/>
  <c r="L148" i="39"/>
  <c r="M148" i="39"/>
  <c r="R148" i="39" s="1"/>
  <c r="L145" i="39"/>
  <c r="N145" i="39" s="1"/>
  <c r="M152" i="39"/>
  <c r="R152" i="39" s="1"/>
  <c r="N147" i="39"/>
  <c r="O147" i="39" s="1"/>
  <c r="T152" i="39"/>
  <c r="L153" i="39"/>
  <c r="N153" i="39" s="1"/>
  <c r="O153" i="39" s="1"/>
  <c r="L128" i="39"/>
  <c r="N128" i="39" s="1"/>
  <c r="O128" i="39" s="1"/>
  <c r="L140" i="39"/>
  <c r="N140" i="39" s="1"/>
  <c r="T128" i="39"/>
  <c r="L142" i="39"/>
  <c r="L133" i="39"/>
  <c r="N133" i="39" s="1"/>
  <c r="O133" i="39" s="1"/>
  <c r="T140" i="39"/>
  <c r="M142" i="39"/>
  <c r="R142" i="39" s="1"/>
  <c r="T142" i="39"/>
  <c r="T155" i="39"/>
  <c r="U155" i="39"/>
  <c r="L159" i="39"/>
  <c r="N159" i="39" s="1"/>
  <c r="O159" i="39" s="1"/>
  <c r="L121" i="39"/>
  <c r="N121" i="39" s="1"/>
  <c r="O121" i="39" s="1"/>
  <c r="M159" i="39"/>
  <c r="R159" i="39" s="1"/>
  <c r="M121" i="39"/>
  <c r="R121" i="39" s="1"/>
  <c r="T159" i="39"/>
  <c r="T121" i="39"/>
  <c r="N156" i="39"/>
  <c r="O156" i="39" s="1"/>
  <c r="N161" i="39"/>
  <c r="O161" i="39" s="1"/>
  <c r="N167" i="39"/>
  <c r="O167" i="39" s="1"/>
  <c r="O175" i="39"/>
  <c r="N168" i="39"/>
  <c r="O168" i="39" s="1"/>
  <c r="L172" i="39"/>
  <c r="N172" i="39" s="1"/>
  <c r="O172" i="39" s="1"/>
  <c r="N160" i="39"/>
  <c r="O160" i="39" s="1"/>
  <c r="N175" i="39"/>
  <c r="N169" i="39"/>
  <c r="O169" i="39" s="1"/>
  <c r="T173" i="39"/>
  <c r="N158" i="39"/>
  <c r="O158" i="39" s="1"/>
  <c r="N166" i="39"/>
  <c r="O166" i="39" s="1"/>
  <c r="N155" i="39"/>
  <c r="O155" i="39" s="1"/>
  <c r="N164" i="39"/>
  <c r="O164" i="39" s="1"/>
  <c r="N149" i="39"/>
  <c r="O149" i="39" s="1"/>
  <c r="N170" i="39"/>
  <c r="O170" i="39" s="1"/>
  <c r="L173" i="39"/>
  <c r="N171" i="39"/>
  <c r="O171" i="39" s="1"/>
  <c r="M173" i="39"/>
  <c r="R173" i="39" s="1"/>
  <c r="L108" i="39"/>
  <c r="N108" i="39" s="1"/>
  <c r="O108" i="39" s="1"/>
  <c r="N117" i="39"/>
  <c r="O117" i="39" s="1"/>
  <c r="L119" i="39"/>
  <c r="N119" i="39" s="1"/>
  <c r="O119" i="39" s="1"/>
  <c r="N165" i="39"/>
  <c r="O165" i="39" s="1"/>
  <c r="N174" i="39"/>
  <c r="O174" i="39" s="1"/>
  <c r="M108" i="39"/>
  <c r="R108" i="39" s="1"/>
  <c r="M119" i="39"/>
  <c r="R119" i="39" s="1"/>
  <c r="N125" i="39"/>
  <c r="O125" i="39" s="1"/>
  <c r="N141" i="39"/>
  <c r="O141" i="39" s="1"/>
  <c r="T172" i="39"/>
  <c r="T108" i="39"/>
  <c r="T119" i="39"/>
  <c r="N139" i="39"/>
  <c r="O139" i="39" s="1"/>
  <c r="N101" i="39"/>
  <c r="O101" i="39" s="1"/>
  <c r="N123" i="39"/>
  <c r="O123" i="39" s="1"/>
  <c r="M154" i="39"/>
  <c r="R154" i="39" s="1"/>
  <c r="N131" i="39"/>
  <c r="O131" i="39" s="1"/>
  <c r="L154" i="39"/>
  <c r="N129" i="39"/>
  <c r="O129" i="39" s="1"/>
  <c r="N143" i="39"/>
  <c r="O143" i="39" s="1"/>
  <c r="N146" i="39"/>
  <c r="O146" i="39" s="1"/>
  <c r="N148" i="39"/>
  <c r="O148" i="39" s="1"/>
  <c r="N122" i="39"/>
  <c r="O122" i="39" s="1"/>
  <c r="N132" i="39"/>
  <c r="O132" i="39" s="1"/>
  <c r="N138" i="39"/>
  <c r="O138" i="39" s="1"/>
  <c r="N124" i="39"/>
  <c r="O124" i="39" s="1"/>
  <c r="N127" i="39"/>
  <c r="O127" i="39" s="1"/>
  <c r="N130" i="39"/>
  <c r="O130" i="39" s="1"/>
  <c r="N137" i="39"/>
  <c r="O137" i="39" s="1"/>
  <c r="N151" i="39"/>
  <c r="O151" i="39" s="1"/>
  <c r="O145" i="39"/>
  <c r="Q267" i="39"/>
  <c r="K8" i="39" s="1"/>
  <c r="N118" i="39"/>
  <c r="O118" i="39" s="1"/>
  <c r="N126" i="39"/>
  <c r="O126" i="39" s="1"/>
  <c r="N134" i="39"/>
  <c r="O134" i="39" s="1"/>
  <c r="N142" i="39"/>
  <c r="O142" i="39" s="1"/>
  <c r="N150" i="39"/>
  <c r="O150" i="39" s="1"/>
  <c r="N120" i="39"/>
  <c r="O120" i="39" s="1"/>
  <c r="N136" i="39"/>
  <c r="O136" i="39" s="1"/>
  <c r="N144" i="39"/>
  <c r="O144" i="39" s="1"/>
  <c r="N152" i="39"/>
  <c r="O152" i="39" s="1"/>
  <c r="K267" i="39"/>
  <c r="F8" i="39" s="1"/>
  <c r="L42" i="36" s="1"/>
  <c r="N42" i="36" s="1"/>
  <c r="Q255" i="39"/>
  <c r="K7" i="39" s="1"/>
  <c r="N106" i="39"/>
  <c r="O106" i="39" s="1"/>
  <c r="N109" i="39"/>
  <c r="O109" i="39" s="1"/>
  <c r="N99" i="39"/>
  <c r="O99" i="39" s="1"/>
  <c r="N100" i="39"/>
  <c r="O100" i="39" s="1"/>
  <c r="N98" i="39"/>
  <c r="O98" i="39" s="1"/>
  <c r="N107" i="39"/>
  <c r="O107" i="39" s="1"/>
  <c r="N105" i="39"/>
  <c r="O105" i="39" s="1"/>
  <c r="N102" i="39"/>
  <c r="O102" i="39" s="1"/>
  <c r="N110" i="39"/>
  <c r="O110" i="39" s="1"/>
  <c r="N103" i="39"/>
  <c r="O103" i="39" s="1"/>
  <c r="N252" i="39"/>
  <c r="O252" i="39" s="1"/>
  <c r="N251" i="39"/>
  <c r="O251" i="39" s="1"/>
  <c r="N253" i="39"/>
  <c r="O253" i="39" s="1"/>
  <c r="N254" i="39"/>
  <c r="O254" i="39" s="1"/>
  <c r="N234" i="39"/>
  <c r="O234" i="39" s="1"/>
  <c r="N237" i="39"/>
  <c r="O237" i="39" s="1"/>
  <c r="N225" i="39"/>
  <c r="O225" i="39" s="1"/>
  <c r="N221" i="39"/>
  <c r="O221" i="39" s="1"/>
  <c r="N227" i="39"/>
  <c r="O227" i="39" s="1"/>
  <c r="N229" i="39"/>
  <c r="O229" i="39" s="1"/>
  <c r="N223" i="39"/>
  <c r="O223" i="39" s="1"/>
  <c r="N205" i="39"/>
  <c r="O205" i="39" s="1"/>
  <c r="N201" i="39"/>
  <c r="O201" i="39" s="1"/>
  <c r="N199" i="39"/>
  <c r="O199" i="39" s="1"/>
  <c r="N233" i="39"/>
  <c r="O233" i="39" s="1"/>
  <c r="N231" i="39"/>
  <c r="O231" i="39" s="1"/>
  <c r="T39" i="39"/>
  <c r="N235" i="39"/>
  <c r="O235" i="39" s="1"/>
  <c r="R42" i="39"/>
  <c r="N239" i="39"/>
  <c r="O239" i="39" s="1"/>
  <c r="N238" i="39"/>
  <c r="O238" i="39" s="1"/>
  <c r="N216" i="39"/>
  <c r="O216" i="39" s="1"/>
  <c r="N40" i="39"/>
  <c r="O40" i="39" s="1"/>
  <c r="R50" i="39"/>
  <c r="N232" i="39"/>
  <c r="O232" i="39" s="1"/>
  <c r="N236" i="39"/>
  <c r="O236" i="39" s="1"/>
  <c r="N208" i="39"/>
  <c r="O208" i="39" s="1"/>
  <c r="N215" i="39"/>
  <c r="O215" i="39" s="1"/>
  <c r="N217" i="39"/>
  <c r="O217" i="39" s="1"/>
  <c r="N207" i="39"/>
  <c r="O207" i="39" s="1"/>
  <c r="N209" i="39"/>
  <c r="O209" i="39" s="1"/>
  <c r="N230" i="39"/>
  <c r="O230" i="39" s="1"/>
  <c r="N222" i="39"/>
  <c r="O222" i="39" s="1"/>
  <c r="N228" i="39"/>
  <c r="O228" i="39" s="1"/>
  <c r="N219" i="39"/>
  <c r="O219" i="39" s="1"/>
  <c r="N214" i="39"/>
  <c r="O214" i="39" s="1"/>
  <c r="N240" i="39"/>
  <c r="O240" i="39" s="1"/>
  <c r="N210" i="39"/>
  <c r="O210" i="39" s="1"/>
  <c r="N197" i="39"/>
  <c r="O197" i="39" s="1"/>
  <c r="N213" i="39"/>
  <c r="O213" i="39" s="1"/>
  <c r="N218" i="39"/>
  <c r="O218" i="39" s="1"/>
  <c r="N32" i="39"/>
  <c r="O32" i="39" s="1"/>
  <c r="T24" i="39"/>
  <c r="R28" i="39"/>
  <c r="N211" i="39"/>
  <c r="O211" i="39" s="1"/>
  <c r="N224" i="39"/>
  <c r="O224" i="39" s="1"/>
  <c r="N41" i="39"/>
  <c r="O41" i="39" s="1"/>
  <c r="N212" i="39"/>
  <c r="O212" i="39" s="1"/>
  <c r="N226" i="39"/>
  <c r="O226" i="39" s="1"/>
  <c r="T49" i="39"/>
  <c r="N202" i="39"/>
  <c r="O202" i="39" s="1"/>
  <c r="N206" i="39"/>
  <c r="O206" i="39" s="1"/>
  <c r="N200" i="39"/>
  <c r="O200" i="39" s="1"/>
  <c r="N196" i="39"/>
  <c r="O196" i="39" s="1"/>
  <c r="N203" i="39"/>
  <c r="O203" i="39" s="1"/>
  <c r="N241" i="39"/>
  <c r="O241" i="39" s="1"/>
  <c r="N195" i="39"/>
  <c r="O195" i="39" s="1"/>
  <c r="N204" i="39"/>
  <c r="O204" i="39" s="1"/>
  <c r="N220" i="39"/>
  <c r="O220" i="39" s="1"/>
  <c r="N198" i="39"/>
  <c r="O198" i="39" s="1"/>
  <c r="R38" i="39"/>
  <c r="N24" i="39"/>
  <c r="O24" i="39" s="1"/>
  <c r="N44" i="39"/>
  <c r="O44" i="39" s="1"/>
  <c r="N36" i="39"/>
  <c r="O36" i="39" s="1"/>
  <c r="N50" i="39"/>
  <c r="O50" i="39" s="1"/>
  <c r="N49" i="39"/>
  <c r="O49" i="39" s="1"/>
  <c r="N48" i="39"/>
  <c r="O48" i="39" s="1"/>
  <c r="R41" i="39"/>
  <c r="R46" i="39"/>
  <c r="R22" i="39"/>
  <c r="R48" i="39"/>
  <c r="T32" i="39"/>
  <c r="R40" i="39"/>
  <c r="N21" i="39"/>
  <c r="O21" i="39" s="1"/>
  <c r="N37" i="39"/>
  <c r="O37" i="39" s="1"/>
  <c r="N39" i="39"/>
  <c r="O39" i="39" s="1"/>
  <c r="N43" i="39"/>
  <c r="O43" i="39" s="1"/>
  <c r="N45" i="39"/>
  <c r="O45" i="39" s="1"/>
  <c r="N42" i="39"/>
  <c r="O42" i="39" s="1"/>
  <c r="R27" i="39"/>
  <c r="R43" i="39"/>
  <c r="R20" i="39"/>
  <c r="R30" i="39"/>
  <c r="R36" i="39"/>
  <c r="N38" i="39"/>
  <c r="O38" i="39" s="1"/>
  <c r="R44" i="39"/>
  <c r="N46" i="39"/>
  <c r="O46" i="39" s="1"/>
  <c r="N29" i="39"/>
  <c r="O29" i="39" s="1"/>
  <c r="R37" i="39"/>
  <c r="R26" i="39"/>
  <c r="R45" i="39"/>
  <c r="R31" i="39"/>
  <c r="N25" i="39"/>
  <c r="O25" i="39" s="1"/>
  <c r="N31" i="39"/>
  <c r="O31" i="39" s="1"/>
  <c r="N20" i="39"/>
  <c r="O20" i="39" s="1"/>
  <c r="N27" i="39"/>
  <c r="O27" i="39" s="1"/>
  <c r="N23" i="39"/>
  <c r="O23" i="39" s="1"/>
  <c r="N33" i="39"/>
  <c r="O33" i="39" s="1"/>
  <c r="N28" i="39"/>
  <c r="O28" i="39" s="1"/>
  <c r="N22" i="39"/>
  <c r="O22" i="39" s="1"/>
  <c r="N30" i="39"/>
  <c r="O30" i="39" s="1"/>
  <c r="R21" i="39"/>
  <c r="R29" i="39"/>
  <c r="R23" i="39"/>
  <c r="N26" i="39"/>
  <c r="O26" i="39" s="1"/>
  <c r="R25" i="39"/>
  <c r="R33" i="39"/>
  <c r="C1" i="38"/>
  <c r="C2" i="38"/>
  <c r="C3" i="38"/>
  <c r="E1" i="39"/>
  <c r="E2" i="39"/>
  <c r="E3" i="39"/>
  <c r="L19" i="36"/>
  <c r="N15" i="36"/>
  <c r="Y267" i="39"/>
  <c r="X267" i="39"/>
  <c r="U242" i="39"/>
  <c r="S242" i="39"/>
  <c r="T242" i="39" s="1"/>
  <c r="M242" i="39"/>
  <c r="R242" i="39" s="1"/>
  <c r="J242" i="39"/>
  <c r="L242" i="39" s="1"/>
  <c r="U194" i="39"/>
  <c r="S194" i="39"/>
  <c r="T194" i="39" s="1"/>
  <c r="M194" i="39"/>
  <c r="R194" i="39" s="1"/>
  <c r="J194" i="39"/>
  <c r="L194" i="39" s="1"/>
  <c r="U193" i="39"/>
  <c r="S193" i="39"/>
  <c r="T193" i="39" s="1"/>
  <c r="M193" i="39"/>
  <c r="R193" i="39" s="1"/>
  <c r="J193" i="39"/>
  <c r="L193" i="39" s="1"/>
  <c r="U192" i="39"/>
  <c r="S192" i="39"/>
  <c r="T192" i="39" s="1"/>
  <c r="M192" i="39"/>
  <c r="R192" i="39" s="1"/>
  <c r="J192" i="39"/>
  <c r="L192" i="39" s="1"/>
  <c r="U191" i="39"/>
  <c r="S191" i="39"/>
  <c r="T191" i="39" s="1"/>
  <c r="M191" i="39"/>
  <c r="R191" i="39" s="1"/>
  <c r="J191" i="39"/>
  <c r="L191" i="39" s="1"/>
  <c r="U190" i="39"/>
  <c r="S190" i="39"/>
  <c r="T190" i="39" s="1"/>
  <c r="M190" i="39"/>
  <c r="R190" i="39" s="1"/>
  <c r="J190" i="39"/>
  <c r="L190" i="39" s="1"/>
  <c r="U189" i="39"/>
  <c r="S189" i="39"/>
  <c r="T189" i="39" s="1"/>
  <c r="M189" i="39"/>
  <c r="R189" i="39" s="1"/>
  <c r="J189" i="39"/>
  <c r="L189" i="39" s="1"/>
  <c r="U188" i="39"/>
  <c r="S188" i="39"/>
  <c r="M188" i="39"/>
  <c r="R188" i="39" s="1"/>
  <c r="J188" i="39"/>
  <c r="L188" i="39" s="1"/>
  <c r="U187" i="39"/>
  <c r="S187" i="39"/>
  <c r="T187" i="39" s="1"/>
  <c r="M187" i="39"/>
  <c r="R187" i="39" s="1"/>
  <c r="J187" i="39"/>
  <c r="L187" i="39" s="1"/>
  <c r="U186" i="39"/>
  <c r="S186" i="39"/>
  <c r="T186" i="39" s="1"/>
  <c r="M186" i="39"/>
  <c r="R186" i="39" s="1"/>
  <c r="J186" i="39"/>
  <c r="L186" i="39" s="1"/>
  <c r="U177" i="39"/>
  <c r="S177" i="39"/>
  <c r="T177" i="39" s="1"/>
  <c r="M177" i="39"/>
  <c r="R177" i="39" s="1"/>
  <c r="J177" i="39"/>
  <c r="L177" i="39" s="1"/>
  <c r="U176" i="39"/>
  <c r="S176" i="39"/>
  <c r="T176" i="39" s="1"/>
  <c r="M176" i="39"/>
  <c r="R176" i="39" s="1"/>
  <c r="J176" i="39"/>
  <c r="L176" i="39" s="1"/>
  <c r="U116" i="39"/>
  <c r="S116" i="39"/>
  <c r="T116" i="39" s="1"/>
  <c r="M116" i="39"/>
  <c r="R116" i="39" s="1"/>
  <c r="J116" i="39"/>
  <c r="L116" i="39" s="1"/>
  <c r="U115" i="39"/>
  <c r="S115" i="39"/>
  <c r="T115" i="39" s="1"/>
  <c r="M115" i="39"/>
  <c r="R115" i="39" s="1"/>
  <c r="J115" i="39"/>
  <c r="L115" i="39" s="1"/>
  <c r="U114" i="39"/>
  <c r="S114" i="39"/>
  <c r="T114" i="39" s="1"/>
  <c r="M114" i="39"/>
  <c r="R114" i="39" s="1"/>
  <c r="J114" i="39"/>
  <c r="L114" i="39" s="1"/>
  <c r="U113" i="39"/>
  <c r="S113" i="39"/>
  <c r="T113" i="39" s="1"/>
  <c r="M113" i="39"/>
  <c r="R113" i="39" s="1"/>
  <c r="J113" i="39"/>
  <c r="L113" i="39" s="1"/>
  <c r="U112" i="39"/>
  <c r="S112" i="39"/>
  <c r="T112" i="39" s="1"/>
  <c r="M112" i="39"/>
  <c r="R112" i="39" s="1"/>
  <c r="J112" i="39"/>
  <c r="L112" i="39" s="1"/>
  <c r="U111" i="39"/>
  <c r="S111" i="39"/>
  <c r="T111" i="39" s="1"/>
  <c r="M111" i="39"/>
  <c r="R111" i="39" s="1"/>
  <c r="J111" i="39"/>
  <c r="L111" i="39" s="1"/>
  <c r="U97" i="39"/>
  <c r="S97" i="39"/>
  <c r="M97" i="39"/>
  <c r="J97" i="39"/>
  <c r="L97" i="39" s="1"/>
  <c r="T88" i="39"/>
  <c r="U87" i="39"/>
  <c r="S87" i="39"/>
  <c r="R87" i="39"/>
  <c r="M87" i="39"/>
  <c r="J87" i="39"/>
  <c r="L87" i="39" s="1"/>
  <c r="U86" i="39"/>
  <c r="S86" i="39"/>
  <c r="R86" i="39"/>
  <c r="M86" i="39"/>
  <c r="J86" i="39"/>
  <c r="L86" i="39" s="1"/>
  <c r="U85" i="39"/>
  <c r="S85" i="39"/>
  <c r="R85" i="39"/>
  <c r="M85" i="39"/>
  <c r="J85" i="39"/>
  <c r="L85" i="39" s="1"/>
  <c r="U84" i="39"/>
  <c r="S84" i="39"/>
  <c r="R84" i="39"/>
  <c r="M84" i="39"/>
  <c r="J84" i="39"/>
  <c r="L84" i="39" s="1"/>
  <c r="U83" i="39"/>
  <c r="S83" i="39"/>
  <c r="R83" i="39"/>
  <c r="M83" i="39"/>
  <c r="J83" i="39"/>
  <c r="L83" i="39" s="1"/>
  <c r="U82" i="39"/>
  <c r="S82" i="39"/>
  <c r="R82" i="39"/>
  <c r="M82" i="39"/>
  <c r="J82" i="39"/>
  <c r="L82" i="39" s="1"/>
  <c r="U81" i="39"/>
  <c r="S81" i="39"/>
  <c r="R81" i="39"/>
  <c r="M81" i="39"/>
  <c r="J81" i="39"/>
  <c r="L81" i="39" s="1"/>
  <c r="U80" i="39"/>
  <c r="S80" i="39"/>
  <c r="R80" i="39"/>
  <c r="M80" i="39"/>
  <c r="J80" i="39"/>
  <c r="L80" i="39" s="1"/>
  <c r="U79" i="39"/>
  <c r="S79" i="39"/>
  <c r="R79" i="39"/>
  <c r="M79" i="39"/>
  <c r="J79" i="39"/>
  <c r="L79" i="39" s="1"/>
  <c r="U78" i="39"/>
  <c r="S78" i="39"/>
  <c r="M78" i="39"/>
  <c r="J78" i="39"/>
  <c r="L78" i="39" s="1"/>
  <c r="U77" i="39"/>
  <c r="S77" i="39"/>
  <c r="T70" i="39"/>
  <c r="U69" i="39"/>
  <c r="S69" i="39"/>
  <c r="M69" i="39"/>
  <c r="R69" i="39" s="1"/>
  <c r="L69" i="39"/>
  <c r="U68" i="39"/>
  <c r="S68" i="39"/>
  <c r="M68" i="39"/>
  <c r="R68" i="39" s="1"/>
  <c r="L68" i="39"/>
  <c r="U67" i="39"/>
  <c r="S67" i="39"/>
  <c r="M67" i="39"/>
  <c r="R67" i="39" s="1"/>
  <c r="L67" i="39"/>
  <c r="U66" i="39"/>
  <c r="S66" i="39"/>
  <c r="M66" i="39"/>
  <c r="R66" i="39" s="1"/>
  <c r="L66" i="39"/>
  <c r="U65" i="39"/>
  <c r="S65" i="39"/>
  <c r="M65" i="39"/>
  <c r="R65" i="39" s="1"/>
  <c r="L65" i="39"/>
  <c r="U64" i="39"/>
  <c r="S64" i="39"/>
  <c r="M64" i="39"/>
  <c r="R64" i="39" s="1"/>
  <c r="L64" i="39"/>
  <c r="U63" i="39"/>
  <c r="S63" i="39"/>
  <c r="M63" i="39"/>
  <c r="R63" i="39" s="1"/>
  <c r="L63" i="39"/>
  <c r="U62" i="39"/>
  <c r="S62" i="39"/>
  <c r="M62" i="39"/>
  <c r="R62" i="39" s="1"/>
  <c r="L62" i="39"/>
  <c r="U61" i="39"/>
  <c r="S61" i="39"/>
  <c r="M61" i="39"/>
  <c r="R61" i="39" s="1"/>
  <c r="L61" i="39"/>
  <c r="U60" i="39"/>
  <c r="S60" i="39"/>
  <c r="M60" i="39"/>
  <c r="R60" i="39" s="1"/>
  <c r="L60" i="39"/>
  <c r="U52" i="39"/>
  <c r="S52" i="39"/>
  <c r="M52" i="39"/>
  <c r="R52" i="39" s="1"/>
  <c r="J52" i="39"/>
  <c r="L52" i="39" s="1"/>
  <c r="U51" i="39"/>
  <c r="S51" i="39"/>
  <c r="M51" i="39"/>
  <c r="T51" i="39" s="1"/>
  <c r="J51" i="39"/>
  <c r="L51" i="39" s="1"/>
  <c r="U47" i="39"/>
  <c r="S47" i="39"/>
  <c r="M47" i="39"/>
  <c r="T47" i="39" s="1"/>
  <c r="J47" i="39"/>
  <c r="L47" i="39" s="1"/>
  <c r="U35" i="39"/>
  <c r="S35" i="39"/>
  <c r="M35" i="39"/>
  <c r="R35" i="39" s="1"/>
  <c r="J35" i="39"/>
  <c r="L35" i="39" s="1"/>
  <c r="U34" i="39"/>
  <c r="S34" i="39"/>
  <c r="M34" i="39"/>
  <c r="T34" i="39" s="1"/>
  <c r="J34" i="39"/>
  <c r="L34" i="39" s="1"/>
  <c r="U19" i="39"/>
  <c r="S19" i="39"/>
  <c r="M19" i="39"/>
  <c r="T19" i="39" s="1"/>
  <c r="J19" i="39"/>
  <c r="L19" i="39" s="1"/>
  <c r="U18" i="39"/>
  <c r="S18" i="39"/>
  <c r="M18" i="39"/>
  <c r="T18" i="39" s="1"/>
  <c r="J18" i="39"/>
  <c r="L18" i="39" s="1"/>
  <c r="U17" i="39"/>
  <c r="S17" i="39"/>
  <c r="M17" i="39"/>
  <c r="T17" i="39" s="1"/>
  <c r="J17" i="39"/>
  <c r="L17" i="39" s="1"/>
  <c r="U16" i="39"/>
  <c r="S16" i="39"/>
  <c r="M16" i="39"/>
  <c r="T16" i="39" s="1"/>
  <c r="J16" i="39"/>
  <c r="L16" i="39" s="1"/>
  <c r="U15" i="39"/>
  <c r="S15" i="39"/>
  <c r="M15" i="39"/>
  <c r="T15" i="39" s="1"/>
  <c r="J15" i="39"/>
  <c r="L15" i="39" s="1"/>
  <c r="K20" i="38"/>
  <c r="H20" i="38"/>
  <c r="K19" i="38"/>
  <c r="H19" i="38"/>
  <c r="K18" i="38"/>
  <c r="H18" i="38"/>
  <c r="H17" i="38"/>
  <c r="K16" i="38"/>
  <c r="H16" i="38"/>
  <c r="K15" i="38"/>
  <c r="K14" i="38"/>
  <c r="K13" i="38"/>
  <c r="H13" i="38"/>
  <c r="K12" i="38"/>
  <c r="H12" i="38"/>
  <c r="O11" i="38"/>
  <c r="N11" i="38"/>
  <c r="M11" i="38"/>
  <c r="C11" i="38"/>
  <c r="G10" i="38"/>
  <c r="H10" i="38" s="1"/>
  <c r="H15" i="38" s="1"/>
  <c r="F10" i="38"/>
  <c r="G9" i="38"/>
  <c r="H9" i="38" s="1"/>
  <c r="F9" i="38"/>
  <c r="P7" i="38"/>
  <c r="G278" i="37"/>
  <c r="G277" i="37"/>
  <c r="V27" i="37" s="1"/>
  <c r="G276" i="37"/>
  <c r="U27" i="37" s="1"/>
  <c r="G275" i="37"/>
  <c r="G274" i="37"/>
  <c r="G273" i="37"/>
  <c r="G272" i="37"/>
  <c r="Q27" i="37" s="1"/>
  <c r="F271" i="37"/>
  <c r="E271" i="37"/>
  <c r="D271" i="37"/>
  <c r="F270" i="37"/>
  <c r="G270" i="37" s="1"/>
  <c r="M27" i="37" s="1"/>
  <c r="F266" i="37"/>
  <c r="W26" i="37" s="1"/>
  <c r="F265" i="37"/>
  <c r="F264" i="37"/>
  <c r="U26" i="37" s="1"/>
  <c r="F263" i="37"/>
  <c r="F262" i="37"/>
  <c r="S26" i="37" s="1"/>
  <c r="F261" i="37"/>
  <c r="F260" i="37"/>
  <c r="Q26" i="37" s="1"/>
  <c r="E259" i="37"/>
  <c r="F259" i="37" s="1"/>
  <c r="N26" i="37" s="1"/>
  <c r="D259" i="37"/>
  <c r="F258" i="37"/>
  <c r="G254" i="37"/>
  <c r="G253" i="37"/>
  <c r="G252" i="37"/>
  <c r="U25" i="37" s="1"/>
  <c r="G251" i="37"/>
  <c r="G250" i="37"/>
  <c r="S25" i="37" s="1"/>
  <c r="G249" i="37"/>
  <c r="R25" i="37" s="1"/>
  <c r="G248" i="37"/>
  <c r="F247" i="37"/>
  <c r="E247" i="37"/>
  <c r="D247" i="37"/>
  <c r="G246" i="37"/>
  <c r="M25" i="37" s="1"/>
  <c r="H242" i="37"/>
  <c r="W24" i="37" s="1"/>
  <c r="H241" i="37"/>
  <c r="V24" i="37" s="1"/>
  <c r="H240" i="37"/>
  <c r="U24" i="37" s="1"/>
  <c r="H239" i="37"/>
  <c r="T24" i="37" s="1"/>
  <c r="H238" i="37"/>
  <c r="H237" i="37"/>
  <c r="H236" i="37"/>
  <c r="G235" i="37"/>
  <c r="F235" i="37"/>
  <c r="E235" i="37"/>
  <c r="D235" i="37"/>
  <c r="G234" i="37"/>
  <c r="F234" i="37"/>
  <c r="E234" i="37"/>
  <c r="D234" i="37"/>
  <c r="G230" i="37"/>
  <c r="H230" i="37" s="1"/>
  <c r="W23" i="37" s="1"/>
  <c r="G229" i="37"/>
  <c r="H229" i="37" s="1"/>
  <c r="V23" i="37" s="1"/>
  <c r="G228" i="37"/>
  <c r="H228" i="37" s="1"/>
  <c r="U23" i="37" s="1"/>
  <c r="G227" i="37"/>
  <c r="H227" i="37" s="1"/>
  <c r="T23" i="37" s="1"/>
  <c r="G226" i="37"/>
  <c r="H226" i="37" s="1"/>
  <c r="S23" i="37" s="1"/>
  <c r="G225" i="37"/>
  <c r="H225" i="37" s="1"/>
  <c r="R23" i="37" s="1"/>
  <c r="G224" i="37"/>
  <c r="H224" i="37" s="1"/>
  <c r="Q23" i="37" s="1"/>
  <c r="F223" i="37"/>
  <c r="E223" i="37"/>
  <c r="D223" i="37"/>
  <c r="F222" i="37"/>
  <c r="H222" i="37" s="1"/>
  <c r="M23" i="37" s="1"/>
  <c r="G218" i="37"/>
  <c r="F218" i="37"/>
  <c r="E218" i="37"/>
  <c r="G217" i="37"/>
  <c r="E217" i="37"/>
  <c r="G216" i="37"/>
  <c r="E216" i="37"/>
  <c r="G215" i="37"/>
  <c r="E215" i="37"/>
  <c r="G214" i="37"/>
  <c r="E214" i="37"/>
  <c r="G213" i="37"/>
  <c r="E213" i="37"/>
  <c r="G212" i="37"/>
  <c r="F212" i="37"/>
  <c r="E212" i="37"/>
  <c r="D211" i="37"/>
  <c r="G210" i="37"/>
  <c r="G206" i="37"/>
  <c r="F206" i="37"/>
  <c r="E206" i="37"/>
  <c r="G205" i="37"/>
  <c r="E205" i="37"/>
  <c r="G204" i="37"/>
  <c r="E204" i="37"/>
  <c r="G203" i="37"/>
  <c r="E203" i="37"/>
  <c r="G202" i="37"/>
  <c r="E202" i="37"/>
  <c r="G201" i="37"/>
  <c r="E201" i="37"/>
  <c r="G200" i="37"/>
  <c r="F200" i="37"/>
  <c r="E200" i="37"/>
  <c r="D199" i="37"/>
  <c r="G198" i="37"/>
  <c r="G194" i="37"/>
  <c r="F194" i="37"/>
  <c r="E194" i="37"/>
  <c r="G193" i="37"/>
  <c r="E193" i="37"/>
  <c r="G192" i="37"/>
  <c r="E192" i="37"/>
  <c r="G191" i="37"/>
  <c r="E191" i="37"/>
  <c r="G190" i="37"/>
  <c r="E190" i="37"/>
  <c r="G189" i="37"/>
  <c r="E189" i="37"/>
  <c r="G188" i="37"/>
  <c r="F188" i="37"/>
  <c r="E188" i="37"/>
  <c r="D187" i="37"/>
  <c r="G186" i="37"/>
  <c r="G182" i="37"/>
  <c r="F182" i="37"/>
  <c r="E182" i="37"/>
  <c r="G181" i="37"/>
  <c r="E181" i="37"/>
  <c r="G180" i="37"/>
  <c r="E180" i="37"/>
  <c r="G179" i="37"/>
  <c r="E179" i="37"/>
  <c r="G178" i="37"/>
  <c r="E178" i="37"/>
  <c r="G177" i="37"/>
  <c r="E177" i="37"/>
  <c r="G176" i="37"/>
  <c r="F176" i="37"/>
  <c r="E176" i="37"/>
  <c r="D175" i="37"/>
  <c r="G174" i="37"/>
  <c r="G170" i="37"/>
  <c r="F170" i="37"/>
  <c r="E170" i="37"/>
  <c r="G169" i="37"/>
  <c r="E169" i="37"/>
  <c r="G168" i="37"/>
  <c r="E168" i="37"/>
  <c r="G167" i="37"/>
  <c r="E167" i="37"/>
  <c r="G166" i="37"/>
  <c r="E166" i="37"/>
  <c r="G165" i="37"/>
  <c r="E165" i="37"/>
  <c r="G164" i="37"/>
  <c r="F164" i="37"/>
  <c r="E164" i="37"/>
  <c r="D163" i="37"/>
  <c r="G162" i="37"/>
  <c r="G158" i="37"/>
  <c r="F158" i="37"/>
  <c r="G157" i="37"/>
  <c r="G156" i="37"/>
  <c r="G155" i="37"/>
  <c r="G154" i="37"/>
  <c r="G153" i="37"/>
  <c r="G152" i="37"/>
  <c r="F152" i="37"/>
  <c r="E151" i="37"/>
  <c r="D151" i="37"/>
  <c r="G150" i="37"/>
  <c r="G146" i="37"/>
  <c r="F146" i="37"/>
  <c r="E146" i="37"/>
  <c r="G145" i="37"/>
  <c r="E145" i="37"/>
  <c r="G144" i="37"/>
  <c r="E144" i="37"/>
  <c r="G143" i="37"/>
  <c r="E143" i="37"/>
  <c r="G142" i="37"/>
  <c r="E142" i="37"/>
  <c r="G141" i="37"/>
  <c r="E141" i="37"/>
  <c r="G140" i="37"/>
  <c r="F140" i="37"/>
  <c r="E140" i="37"/>
  <c r="D139" i="37"/>
  <c r="G138" i="37"/>
  <c r="G134" i="37"/>
  <c r="F134" i="37"/>
  <c r="E134" i="37"/>
  <c r="G133" i="37"/>
  <c r="E133" i="37"/>
  <c r="G132" i="37"/>
  <c r="E132" i="37"/>
  <c r="G131" i="37"/>
  <c r="E131" i="37"/>
  <c r="G130" i="37"/>
  <c r="E130" i="37"/>
  <c r="G129" i="37"/>
  <c r="E129" i="37"/>
  <c r="G128" i="37"/>
  <c r="F128" i="37"/>
  <c r="E128" i="37"/>
  <c r="D127" i="37"/>
  <c r="G126" i="37"/>
  <c r="G122" i="37"/>
  <c r="F122" i="37"/>
  <c r="E122" i="37"/>
  <c r="G121" i="37"/>
  <c r="E121" i="37"/>
  <c r="G120" i="37"/>
  <c r="E120" i="37"/>
  <c r="G119" i="37"/>
  <c r="E119" i="37"/>
  <c r="G118" i="37"/>
  <c r="E118" i="37"/>
  <c r="G117" i="37"/>
  <c r="E117" i="37"/>
  <c r="G116" i="37"/>
  <c r="G115" i="37" s="1"/>
  <c r="F116" i="37"/>
  <c r="E116" i="37"/>
  <c r="G114" i="37"/>
  <c r="G110" i="37"/>
  <c r="F110" i="37"/>
  <c r="E110" i="37"/>
  <c r="G109" i="37"/>
  <c r="E109" i="37"/>
  <c r="G108" i="37"/>
  <c r="E108" i="37"/>
  <c r="G107" i="37"/>
  <c r="E107" i="37"/>
  <c r="G106" i="37"/>
  <c r="E106" i="37"/>
  <c r="G105" i="37"/>
  <c r="E105" i="37"/>
  <c r="G104" i="37"/>
  <c r="F104" i="37"/>
  <c r="E104" i="37"/>
  <c r="D103" i="37"/>
  <c r="G102" i="37"/>
  <c r="G98" i="37"/>
  <c r="F98" i="37"/>
  <c r="E98" i="37"/>
  <c r="G97" i="37"/>
  <c r="E97" i="37"/>
  <c r="G96" i="37"/>
  <c r="E96" i="37"/>
  <c r="G95" i="37"/>
  <c r="E95" i="37"/>
  <c r="G94" i="37"/>
  <c r="E94" i="37"/>
  <c r="G93" i="37"/>
  <c r="E93" i="37"/>
  <c r="G92" i="37"/>
  <c r="F92" i="37"/>
  <c r="E92" i="37"/>
  <c r="G90" i="37"/>
  <c r="H86" i="37"/>
  <c r="W11" i="37" s="1"/>
  <c r="F85" i="37"/>
  <c r="F217" i="37" s="1"/>
  <c r="F84" i="37"/>
  <c r="F192" i="37" s="1"/>
  <c r="H192" i="37" s="1"/>
  <c r="U20" i="37" s="1"/>
  <c r="F83" i="37"/>
  <c r="F215" i="37" s="1"/>
  <c r="F82" i="37"/>
  <c r="F190" i="37" s="1"/>
  <c r="F81" i="37"/>
  <c r="F213" i="37" s="1"/>
  <c r="H213" i="37" s="1"/>
  <c r="R22" i="37" s="1"/>
  <c r="H80" i="37"/>
  <c r="Q11" i="37" s="1"/>
  <c r="G79" i="37"/>
  <c r="E79" i="37"/>
  <c r="D79" i="37"/>
  <c r="F78" i="37"/>
  <c r="E78" i="37"/>
  <c r="E174" i="37" s="1"/>
  <c r="D78" i="37"/>
  <c r="D114" i="37" s="1"/>
  <c r="H74" i="37"/>
  <c r="W10" i="37" s="1"/>
  <c r="H73" i="37"/>
  <c r="H72" i="37"/>
  <c r="U10" i="37" s="1"/>
  <c r="H71" i="37"/>
  <c r="T10" i="37" s="1"/>
  <c r="H70" i="37"/>
  <c r="S10" i="37" s="1"/>
  <c r="H69" i="37"/>
  <c r="R10" i="37" s="1"/>
  <c r="H68" i="37"/>
  <c r="G67" i="37"/>
  <c r="F67" i="37"/>
  <c r="E67" i="37"/>
  <c r="D67" i="37"/>
  <c r="F66" i="37"/>
  <c r="E66" i="37"/>
  <c r="D66" i="37"/>
  <c r="I62" i="37"/>
  <c r="I61" i="37"/>
  <c r="I60" i="37"/>
  <c r="U9" i="37" s="1"/>
  <c r="I59" i="37"/>
  <c r="T9" i="37" s="1"/>
  <c r="I58" i="37"/>
  <c r="S9" i="37" s="1"/>
  <c r="I57" i="37"/>
  <c r="R9" i="37" s="1"/>
  <c r="I56" i="37"/>
  <c r="H55" i="37"/>
  <c r="G55" i="37"/>
  <c r="F55" i="37"/>
  <c r="E55" i="37"/>
  <c r="D55" i="37"/>
  <c r="G54" i="37"/>
  <c r="F54" i="37"/>
  <c r="E54" i="37"/>
  <c r="D54" i="37"/>
  <c r="I50" i="37"/>
  <c r="W8" i="37" s="1"/>
  <c r="I49" i="37"/>
  <c r="V8" i="37" s="1"/>
  <c r="I48" i="37"/>
  <c r="U8" i="37" s="1"/>
  <c r="I47" i="37"/>
  <c r="T8" i="37" s="1"/>
  <c r="I46" i="37"/>
  <c r="S8" i="37" s="1"/>
  <c r="I45" i="37"/>
  <c r="R8" i="37" s="1"/>
  <c r="I44" i="37"/>
  <c r="Q8" i="37" s="1"/>
  <c r="H43" i="37"/>
  <c r="G43" i="37"/>
  <c r="F43" i="37"/>
  <c r="E43" i="37"/>
  <c r="D43" i="37"/>
  <c r="G42" i="37"/>
  <c r="F42" i="37"/>
  <c r="E42" i="37"/>
  <c r="D42" i="37"/>
  <c r="I38" i="37"/>
  <c r="I37" i="37"/>
  <c r="V7" i="37" s="1"/>
  <c r="I36" i="37"/>
  <c r="U7" i="37" s="1"/>
  <c r="I35" i="37"/>
  <c r="T7" i="37" s="1"/>
  <c r="I34" i="37"/>
  <c r="S7" i="37" s="1"/>
  <c r="I33" i="37"/>
  <c r="R7" i="37" s="1"/>
  <c r="I32" i="37"/>
  <c r="Q7" i="37" s="1"/>
  <c r="H31" i="37"/>
  <c r="G31" i="37"/>
  <c r="F31" i="37"/>
  <c r="E31" i="37"/>
  <c r="D31" i="37"/>
  <c r="H30" i="37"/>
  <c r="G30" i="37"/>
  <c r="F30" i="37"/>
  <c r="E30" i="37"/>
  <c r="D30" i="37"/>
  <c r="W27" i="37"/>
  <c r="T27" i="37"/>
  <c r="S27" i="37"/>
  <c r="R27" i="37"/>
  <c r="L27" i="37"/>
  <c r="P27" i="37" s="1"/>
  <c r="V26" i="37"/>
  <c r="T26" i="37"/>
  <c r="R26" i="37"/>
  <c r="M26" i="37"/>
  <c r="L26" i="37"/>
  <c r="P26" i="37" s="1"/>
  <c r="I26" i="37"/>
  <c r="W25" i="37"/>
  <c r="V25" i="37"/>
  <c r="T25" i="37"/>
  <c r="Q25" i="37"/>
  <c r="L25" i="37"/>
  <c r="P25" i="37" s="1"/>
  <c r="I25" i="37"/>
  <c r="S24" i="37"/>
  <c r="R24" i="37"/>
  <c r="Q24" i="37"/>
  <c r="L24" i="37"/>
  <c r="P24" i="37" s="1"/>
  <c r="I24" i="37"/>
  <c r="U6" i="37" s="1"/>
  <c r="L23" i="37"/>
  <c r="P23" i="37" s="1"/>
  <c r="I23" i="37"/>
  <c r="T6" i="37" s="1"/>
  <c r="L22" i="37"/>
  <c r="P22" i="37" s="1"/>
  <c r="I22" i="37"/>
  <c r="S6" i="37" s="1"/>
  <c r="L21" i="37"/>
  <c r="P21" i="37" s="1"/>
  <c r="I21" i="37"/>
  <c r="R6" i="37" s="1"/>
  <c r="L20" i="37"/>
  <c r="P20" i="37" s="1"/>
  <c r="I20" i="37"/>
  <c r="Q6" i="37" s="1"/>
  <c r="L19" i="37"/>
  <c r="P19" i="37" s="1"/>
  <c r="H19" i="37"/>
  <c r="G19" i="37"/>
  <c r="F19" i="37"/>
  <c r="E19" i="37"/>
  <c r="D19" i="37"/>
  <c r="L18" i="37"/>
  <c r="P18" i="37" s="1"/>
  <c r="F18" i="37"/>
  <c r="E18" i="37"/>
  <c r="D18" i="37"/>
  <c r="L17" i="37"/>
  <c r="P17" i="37" s="1"/>
  <c r="L16" i="37"/>
  <c r="P16" i="37" s="1"/>
  <c r="L15" i="37"/>
  <c r="P15" i="37" s="1"/>
  <c r="L14" i="37"/>
  <c r="P14" i="37" s="1"/>
  <c r="I14" i="37"/>
  <c r="X5" i="37" s="1"/>
  <c r="L13" i="37"/>
  <c r="P13" i="37" s="1"/>
  <c r="I13" i="37"/>
  <c r="W5" i="37" s="1"/>
  <c r="L12" i="37"/>
  <c r="P12" i="37" s="1"/>
  <c r="I12" i="37"/>
  <c r="L11" i="37"/>
  <c r="P11" i="37" s="1"/>
  <c r="I11" i="37"/>
  <c r="U5" i="37" s="1"/>
  <c r="V10" i="37"/>
  <c r="Q10" i="37"/>
  <c r="L10" i="37"/>
  <c r="P10" i="37" s="1"/>
  <c r="I10" i="37"/>
  <c r="T5" i="37" s="1"/>
  <c r="W9" i="37"/>
  <c r="V9" i="37"/>
  <c r="Q9" i="37"/>
  <c r="L9" i="37"/>
  <c r="P9" i="37" s="1"/>
  <c r="I9" i="37"/>
  <c r="S5" i="37" s="1"/>
  <c r="L8" i="37"/>
  <c r="P8" i="37" s="1"/>
  <c r="I8" i="37"/>
  <c r="R5" i="37" s="1"/>
  <c r="N16" i="36" s="1"/>
  <c r="W7" i="37"/>
  <c r="L7" i="37"/>
  <c r="P7" i="37" s="1"/>
  <c r="I7" i="37"/>
  <c r="Q5" i="37" s="1"/>
  <c r="W6" i="37"/>
  <c r="V6" i="37"/>
  <c r="L6" i="37"/>
  <c r="P6" i="37" s="1"/>
  <c r="H6" i="37"/>
  <c r="G6" i="37"/>
  <c r="F6" i="37"/>
  <c r="E6" i="37"/>
  <c r="D6" i="37"/>
  <c r="V5" i="37"/>
  <c r="L5" i="37"/>
  <c r="P5" i="37" s="1"/>
  <c r="F5" i="37"/>
  <c r="E5" i="37"/>
  <c r="D5" i="37"/>
  <c r="E91" i="37" l="1"/>
  <c r="I9" i="38"/>
  <c r="G91" i="37"/>
  <c r="F126" i="37"/>
  <c r="F102" i="37"/>
  <c r="E115" i="37"/>
  <c r="N135" i="39"/>
  <c r="O135" i="39" s="1"/>
  <c r="G8" i="44"/>
  <c r="L48" i="36"/>
  <c r="B10" i="44" s="1"/>
  <c r="G10" i="44" s="1"/>
  <c r="G247" i="37"/>
  <c r="N25" i="37" s="1"/>
  <c r="H217" i="37"/>
  <c r="V22" i="37" s="1"/>
  <c r="I5" i="37"/>
  <c r="T7" i="39" s="1"/>
  <c r="G271" i="37"/>
  <c r="N27" i="37" s="1"/>
  <c r="H140" i="37"/>
  <c r="Q16" i="37" s="1"/>
  <c r="H218" i="37"/>
  <c r="W22" i="37" s="1"/>
  <c r="G163" i="37"/>
  <c r="G199" i="37"/>
  <c r="H190" i="37"/>
  <c r="S20" i="37" s="1"/>
  <c r="H215" i="37"/>
  <c r="T22" i="37" s="1"/>
  <c r="I30" i="37"/>
  <c r="M7" i="37" s="1"/>
  <c r="E139" i="37"/>
  <c r="G103" i="37"/>
  <c r="H110" i="37"/>
  <c r="W13" i="37" s="1"/>
  <c r="H92" i="37"/>
  <c r="Q12" i="37" s="1"/>
  <c r="G211" i="37"/>
  <c r="H194" i="37"/>
  <c r="W20" i="37" s="1"/>
  <c r="I42" i="37"/>
  <c r="M8" i="37" s="1"/>
  <c r="H152" i="37"/>
  <c r="Q17" i="37" s="1"/>
  <c r="H98" i="37"/>
  <c r="W12" i="37" s="1"/>
  <c r="E199" i="37"/>
  <c r="H67" i="37"/>
  <c r="N10" i="37" s="1"/>
  <c r="H182" i="37"/>
  <c r="W19" i="37" s="1"/>
  <c r="I6" i="37"/>
  <c r="N5" i="37" s="1"/>
  <c r="H158" i="37"/>
  <c r="W17" i="37" s="1"/>
  <c r="E187" i="37"/>
  <c r="H82" i="37"/>
  <c r="S11" i="37" s="1"/>
  <c r="H146" i="37"/>
  <c r="W16" i="37" s="1"/>
  <c r="I54" i="37"/>
  <c r="M9" i="37" s="1"/>
  <c r="E163" i="37"/>
  <c r="H122" i="37"/>
  <c r="W14" i="37" s="1"/>
  <c r="E175" i="37"/>
  <c r="M5" i="37"/>
  <c r="I18" i="37"/>
  <c r="M6" i="37" s="1"/>
  <c r="H134" i="37"/>
  <c r="W15" i="37" s="1"/>
  <c r="H170" i="37"/>
  <c r="W18" i="37" s="1"/>
  <c r="F191" i="37"/>
  <c r="H191" i="37" s="1"/>
  <c r="T20" i="37" s="1"/>
  <c r="F214" i="37"/>
  <c r="E103" i="37"/>
  <c r="F107" i="37"/>
  <c r="H107" i="37" s="1"/>
  <c r="T13" i="37" s="1"/>
  <c r="E198" i="37"/>
  <c r="X28" i="37"/>
  <c r="H66" i="37"/>
  <c r="M10" i="37" s="1"/>
  <c r="H84" i="37"/>
  <c r="U11" i="37" s="1"/>
  <c r="G127" i="37"/>
  <c r="D138" i="37"/>
  <c r="G187" i="37"/>
  <c r="E211" i="37"/>
  <c r="H234" i="37"/>
  <c r="M24" i="37" s="1"/>
  <c r="E114" i="37"/>
  <c r="F132" i="37"/>
  <c r="H132" i="37" s="1"/>
  <c r="U15" i="37" s="1"/>
  <c r="G139" i="37"/>
  <c r="H206" i="37"/>
  <c r="W21" i="37" s="1"/>
  <c r="I43" i="37"/>
  <c r="N8" i="37" s="1"/>
  <c r="I55" i="37"/>
  <c r="N9" i="37" s="1"/>
  <c r="F108" i="37"/>
  <c r="H108" i="37" s="1"/>
  <c r="U13" i="37" s="1"/>
  <c r="F168" i="37"/>
  <c r="H168" i="37" s="1"/>
  <c r="U18" i="37" s="1"/>
  <c r="I19" i="37"/>
  <c r="N6" i="37" s="1"/>
  <c r="D90" i="37"/>
  <c r="D102" i="37"/>
  <c r="D162" i="37"/>
  <c r="F216" i="37"/>
  <c r="H216" i="37" s="1"/>
  <c r="U22" i="37" s="1"/>
  <c r="I31" i="37"/>
  <c r="N7" i="37" s="1"/>
  <c r="E90" i="37"/>
  <c r="F130" i="37"/>
  <c r="H130" i="37" s="1"/>
  <c r="S15" i="37" s="1"/>
  <c r="G151" i="37"/>
  <c r="H200" i="37"/>
  <c r="Q21" i="37" s="1"/>
  <c r="D210" i="37"/>
  <c r="H235" i="37"/>
  <c r="N24" i="37" s="1"/>
  <c r="F166" i="37"/>
  <c r="H166" i="37" s="1"/>
  <c r="S18" i="37" s="1"/>
  <c r="G175" i="37"/>
  <c r="O140" i="39"/>
  <c r="N173" i="39"/>
  <c r="O173" i="39" s="1"/>
  <c r="N154" i="39"/>
  <c r="O154" i="39" s="1"/>
  <c r="S7" i="39"/>
  <c r="N17" i="36" s="1"/>
  <c r="N18" i="39"/>
  <c r="O18" i="39" s="1"/>
  <c r="R51" i="39"/>
  <c r="N68" i="39"/>
  <c r="O68" i="39" s="1"/>
  <c r="N67" i="39"/>
  <c r="O67" i="39" s="1"/>
  <c r="N111" i="39"/>
  <c r="O111" i="39" s="1"/>
  <c r="N65" i="39"/>
  <c r="O65" i="39" s="1"/>
  <c r="R88" i="39"/>
  <c r="N17" i="39"/>
  <c r="O17" i="39" s="1"/>
  <c r="N176" i="39"/>
  <c r="O176" i="39" s="1"/>
  <c r="R15" i="39"/>
  <c r="R19" i="39"/>
  <c r="R47" i="39"/>
  <c r="S88" i="39"/>
  <c r="M178" i="39"/>
  <c r="R243" i="39"/>
  <c r="N97" i="39"/>
  <c r="O97" i="39" s="1"/>
  <c r="R255" i="39"/>
  <c r="N69" i="39"/>
  <c r="O69" i="39" s="1"/>
  <c r="R97" i="39"/>
  <c r="R178" i="39" s="1"/>
  <c r="U243" i="39"/>
  <c r="S255" i="39"/>
  <c r="U53" i="39"/>
  <c r="S178" i="39"/>
  <c r="L178" i="39"/>
  <c r="T35" i="39"/>
  <c r="T52" i="39"/>
  <c r="U178" i="39"/>
  <c r="N191" i="39"/>
  <c r="O191" i="39" s="1"/>
  <c r="M53" i="39"/>
  <c r="R17" i="39"/>
  <c r="S243" i="39"/>
  <c r="S53" i="39"/>
  <c r="M88" i="39"/>
  <c r="S70" i="39"/>
  <c r="L70" i="39"/>
  <c r="M70" i="39"/>
  <c r="N61" i="39"/>
  <c r="O61" i="39" s="1"/>
  <c r="N60" i="39"/>
  <c r="O60" i="39" s="1"/>
  <c r="U70" i="39"/>
  <c r="N62" i="39"/>
  <c r="O62" i="39" s="1"/>
  <c r="N83" i="39"/>
  <c r="O83" i="39" s="1"/>
  <c r="N194" i="39"/>
  <c r="O194" i="39" s="1"/>
  <c r="N80" i="39"/>
  <c r="O80" i="39" s="1"/>
  <c r="N115" i="39"/>
  <c r="O115" i="39" s="1"/>
  <c r="N52" i="39"/>
  <c r="O52" i="39" s="1"/>
  <c r="L88" i="39"/>
  <c r="N85" i="39"/>
  <c r="O85" i="39" s="1"/>
  <c r="N190" i="39"/>
  <c r="O190" i="39" s="1"/>
  <c r="R70" i="39"/>
  <c r="N82" i="39"/>
  <c r="O82" i="39" s="1"/>
  <c r="K9" i="38"/>
  <c r="J9" i="38"/>
  <c r="N51" i="39"/>
  <c r="O51" i="39" s="1"/>
  <c r="N79" i="39"/>
  <c r="O79" i="39" s="1"/>
  <c r="N87" i="39"/>
  <c r="O87" i="39" s="1"/>
  <c r="L243" i="39"/>
  <c r="N186" i="39"/>
  <c r="N189" i="39"/>
  <c r="O189" i="39" s="1"/>
  <c r="N16" i="39"/>
  <c r="O16" i="39" s="1"/>
  <c r="N84" i="39"/>
  <c r="O84" i="39" s="1"/>
  <c r="H11" i="38"/>
  <c r="N81" i="39"/>
  <c r="O81" i="39" s="1"/>
  <c r="N116" i="39"/>
  <c r="O116" i="39" s="1"/>
  <c r="N34" i="39"/>
  <c r="O34" i="39" s="1"/>
  <c r="N113" i="39"/>
  <c r="O113" i="39" s="1"/>
  <c r="N192" i="39"/>
  <c r="O192" i="39" s="1"/>
  <c r="I10" i="38"/>
  <c r="L53" i="39"/>
  <c r="N15" i="39"/>
  <c r="N47" i="39"/>
  <c r="O47" i="39" s="1"/>
  <c r="N78" i="39"/>
  <c r="O78" i="39" s="1"/>
  <c r="N86" i="39"/>
  <c r="O86" i="39" s="1"/>
  <c r="N177" i="39"/>
  <c r="O177" i="39" s="1"/>
  <c r="N188" i="39"/>
  <c r="O188" i="39" s="1"/>
  <c r="H14" i="38"/>
  <c r="R16" i="39"/>
  <c r="T188" i="39"/>
  <c r="T243" i="39" s="1"/>
  <c r="N19" i="39"/>
  <c r="O19" i="39" s="1"/>
  <c r="N66" i="39"/>
  <c r="O66" i="39" s="1"/>
  <c r="N112" i="39"/>
  <c r="O112" i="39" s="1"/>
  <c r="N193" i="39"/>
  <c r="O193" i="39" s="1"/>
  <c r="R18" i="39"/>
  <c r="N35" i="39"/>
  <c r="O35" i="39" s="1"/>
  <c r="N64" i="39"/>
  <c r="O64" i="39" s="1"/>
  <c r="U88" i="39"/>
  <c r="T97" i="39"/>
  <c r="T178" i="39" s="1"/>
  <c r="N114" i="39"/>
  <c r="N187" i="39"/>
  <c r="O187" i="39" s="1"/>
  <c r="N242" i="39"/>
  <c r="O242" i="39" s="1"/>
  <c r="M243" i="39"/>
  <c r="R34" i="39"/>
  <c r="N63" i="39"/>
  <c r="F105" i="37"/>
  <c r="F109" i="37"/>
  <c r="H109" i="37" s="1"/>
  <c r="V13" i="37" s="1"/>
  <c r="F174" i="37"/>
  <c r="H78" i="37"/>
  <c r="M11" i="37" s="1"/>
  <c r="H81" i="37"/>
  <c r="R11" i="37" s="1"/>
  <c r="H85" i="37"/>
  <c r="V11" i="37" s="1"/>
  <c r="F114" i="37"/>
  <c r="D150" i="37"/>
  <c r="F154" i="37"/>
  <c r="H154" i="37" s="1"/>
  <c r="S17" i="37" s="1"/>
  <c r="E162" i="37"/>
  <c r="F178" i="37"/>
  <c r="H178" i="37" s="1"/>
  <c r="S19" i="37" s="1"/>
  <c r="F180" i="37"/>
  <c r="H180" i="37" s="1"/>
  <c r="U19" i="37" s="1"/>
  <c r="H188" i="37"/>
  <c r="Q20" i="37" s="1"/>
  <c r="F201" i="37"/>
  <c r="H201" i="37" s="1"/>
  <c r="R21" i="37" s="1"/>
  <c r="F203" i="37"/>
  <c r="H203" i="37" s="1"/>
  <c r="T21" i="37" s="1"/>
  <c r="F205" i="37"/>
  <c r="H205" i="37" s="1"/>
  <c r="V21" i="37" s="1"/>
  <c r="E210" i="37"/>
  <c r="F93" i="37"/>
  <c r="F91" i="37" s="1"/>
  <c r="F95" i="37"/>
  <c r="H95" i="37" s="1"/>
  <c r="T12" i="37" s="1"/>
  <c r="F97" i="37"/>
  <c r="H97" i="37" s="1"/>
  <c r="V12" i="37" s="1"/>
  <c r="E102" i="37"/>
  <c r="F118" i="37"/>
  <c r="H118" i="37" s="1"/>
  <c r="S14" i="37" s="1"/>
  <c r="F120" i="37"/>
  <c r="H120" i="37" s="1"/>
  <c r="U14" i="37" s="1"/>
  <c r="H128" i="37"/>
  <c r="Q15" i="37" s="1"/>
  <c r="F141" i="37"/>
  <c r="F143" i="37"/>
  <c r="H143" i="37" s="1"/>
  <c r="T16" i="37" s="1"/>
  <c r="F145" i="37"/>
  <c r="H145" i="37" s="1"/>
  <c r="V16" i="37" s="1"/>
  <c r="E150" i="37"/>
  <c r="F157" i="37"/>
  <c r="H157" i="37" s="1"/>
  <c r="V17" i="37" s="1"/>
  <c r="F162" i="37"/>
  <c r="D198" i="37"/>
  <c r="F210" i="37"/>
  <c r="H176" i="37"/>
  <c r="Q19" i="37" s="1"/>
  <c r="G223" i="37"/>
  <c r="H223" i="37" s="1"/>
  <c r="N23" i="37" s="1"/>
  <c r="F79" i="37"/>
  <c r="H79" i="37" s="1"/>
  <c r="N11" i="37" s="1"/>
  <c r="F106" i="37"/>
  <c r="H106" i="37" s="1"/>
  <c r="S13" i="37" s="1"/>
  <c r="H116" i="37"/>
  <c r="Q14" i="37" s="1"/>
  <c r="F129" i="37"/>
  <c r="F131" i="37"/>
  <c r="H131" i="37" s="1"/>
  <c r="T15" i="37" s="1"/>
  <c r="F133" i="37"/>
  <c r="H133" i="37" s="1"/>
  <c r="V15" i="37" s="1"/>
  <c r="E138" i="37"/>
  <c r="F155" i="37"/>
  <c r="H155" i="37" s="1"/>
  <c r="T17" i="37" s="1"/>
  <c r="D186" i="37"/>
  <c r="F198" i="37"/>
  <c r="H83" i="37"/>
  <c r="T11" i="37" s="1"/>
  <c r="F90" i="37"/>
  <c r="D126" i="37"/>
  <c r="F138" i="37"/>
  <c r="H164" i="37"/>
  <c r="Q18" i="37" s="1"/>
  <c r="Q29" i="37" s="1"/>
  <c r="F177" i="37"/>
  <c r="F179" i="37"/>
  <c r="H179" i="37" s="1"/>
  <c r="T19" i="37" s="1"/>
  <c r="F181" i="37"/>
  <c r="H181" i="37" s="1"/>
  <c r="V19" i="37" s="1"/>
  <c r="E186" i="37"/>
  <c r="F202" i="37"/>
  <c r="H202" i="37" s="1"/>
  <c r="S21" i="37" s="1"/>
  <c r="F204" i="37"/>
  <c r="H204" i="37" s="1"/>
  <c r="U21" i="37" s="1"/>
  <c r="H212" i="37"/>
  <c r="Q22" i="37" s="1"/>
  <c r="E127" i="37"/>
  <c r="F150" i="37"/>
  <c r="F189" i="37"/>
  <c r="H189" i="37" s="1"/>
  <c r="R20" i="37" s="1"/>
  <c r="F193" i="37"/>
  <c r="H193" i="37" s="1"/>
  <c r="V20" i="37" s="1"/>
  <c r="F94" i="37"/>
  <c r="H94" i="37" s="1"/>
  <c r="S12" i="37" s="1"/>
  <c r="F96" i="37"/>
  <c r="H96" i="37" s="1"/>
  <c r="U12" i="37" s="1"/>
  <c r="H104" i="37"/>
  <c r="Q13" i="37" s="1"/>
  <c r="F117" i="37"/>
  <c r="H117" i="37" s="1"/>
  <c r="R14" i="37" s="1"/>
  <c r="F119" i="37"/>
  <c r="H119" i="37" s="1"/>
  <c r="T14" i="37" s="1"/>
  <c r="F121" i="37"/>
  <c r="H121" i="37" s="1"/>
  <c r="V14" i="37" s="1"/>
  <c r="E126" i="37"/>
  <c r="F142" i="37"/>
  <c r="H142" i="37" s="1"/>
  <c r="S16" i="37" s="1"/>
  <c r="F144" i="37"/>
  <c r="H144" i="37" s="1"/>
  <c r="U16" i="37" s="1"/>
  <c r="F153" i="37"/>
  <c r="D174" i="37"/>
  <c r="F186" i="37"/>
  <c r="F156" i="37"/>
  <c r="H156" i="37" s="1"/>
  <c r="U17" i="37" s="1"/>
  <c r="F165" i="37"/>
  <c r="H165" i="37" s="1"/>
  <c r="R18" i="37" s="1"/>
  <c r="F167" i="37"/>
  <c r="H167" i="37" s="1"/>
  <c r="T18" i="37" s="1"/>
  <c r="F169" i="37"/>
  <c r="H169" i="37" s="1"/>
  <c r="V18" i="37" s="1"/>
  <c r="F115" i="37" l="1"/>
  <c r="M48" i="36"/>
  <c r="N48" i="36" s="1"/>
  <c r="M19" i="36"/>
  <c r="N19" i="36" s="1"/>
  <c r="N34" i="5"/>
  <c r="N28" i="5"/>
  <c r="N42" i="5"/>
  <c r="N37" i="5"/>
  <c r="N44" i="5"/>
  <c r="N41" i="5"/>
  <c r="N71" i="5"/>
  <c r="N66" i="5"/>
  <c r="N36" i="5"/>
  <c r="N72" i="5"/>
  <c r="N29" i="5"/>
  <c r="N43" i="5"/>
  <c r="N70" i="5"/>
  <c r="W29" i="37"/>
  <c r="L37" i="36" s="1"/>
  <c r="N37" i="36" s="1"/>
  <c r="V29" i="37"/>
  <c r="L36" i="36" s="1"/>
  <c r="N36" i="36" s="1"/>
  <c r="T29" i="37"/>
  <c r="L34" i="36" s="1"/>
  <c r="N34" i="36" s="1"/>
  <c r="U29" i="37"/>
  <c r="L35" i="36" s="1"/>
  <c r="N35" i="36" s="1"/>
  <c r="L31" i="36"/>
  <c r="N31" i="36" s="1"/>
  <c r="H138" i="37"/>
  <c r="M16" i="37" s="1"/>
  <c r="H102" i="37"/>
  <c r="M13" i="37" s="1"/>
  <c r="F211" i="37"/>
  <c r="H211" i="37" s="1"/>
  <c r="N22" i="37" s="1"/>
  <c r="W28" i="37"/>
  <c r="Q28" i="37"/>
  <c r="H114" i="37"/>
  <c r="M14" i="37" s="1"/>
  <c r="H214" i="37"/>
  <c r="S22" i="37" s="1"/>
  <c r="S28" i="37" s="1"/>
  <c r="H90" i="37"/>
  <c r="M12" i="37" s="1"/>
  <c r="F127" i="37"/>
  <c r="H127" i="37" s="1"/>
  <c r="N15" i="37" s="1"/>
  <c r="H174" i="37"/>
  <c r="M19" i="37" s="1"/>
  <c r="H126" i="37"/>
  <c r="M15" i="37" s="1"/>
  <c r="H198" i="37"/>
  <c r="M21" i="37" s="1"/>
  <c r="H129" i="37"/>
  <c r="R15" i="37" s="1"/>
  <c r="F175" i="37"/>
  <c r="H175" i="37" s="1"/>
  <c r="N19" i="37" s="1"/>
  <c r="H162" i="37"/>
  <c r="M18" i="37" s="1"/>
  <c r="H210" i="37"/>
  <c r="M22" i="37" s="1"/>
  <c r="H150" i="37"/>
  <c r="M17" i="37" s="1"/>
  <c r="M7" i="39"/>
  <c r="T255" i="39"/>
  <c r="L74" i="36" s="1"/>
  <c r="M255" i="39"/>
  <c r="H7" i="39" s="1"/>
  <c r="U267" i="39"/>
  <c r="T53" i="39"/>
  <c r="N178" i="39"/>
  <c r="N53" i="39"/>
  <c r="L255" i="39"/>
  <c r="G7" i="39" s="1"/>
  <c r="R53" i="39"/>
  <c r="L7" i="39" s="1"/>
  <c r="N243" i="39"/>
  <c r="N70" i="39"/>
  <c r="K10" i="38"/>
  <c r="P10" i="38" s="1"/>
  <c r="J10" i="38"/>
  <c r="J11" i="38" s="1"/>
  <c r="O114" i="39"/>
  <c r="O178" i="39" s="1"/>
  <c r="O186" i="39"/>
  <c r="O243" i="39" s="1"/>
  <c r="O63" i="39"/>
  <c r="O70" i="39" s="1"/>
  <c r="N88" i="39"/>
  <c r="R267" i="39"/>
  <c r="L8" i="39" s="1"/>
  <c r="O88" i="39"/>
  <c r="N255" i="39"/>
  <c r="P9" i="38"/>
  <c r="P11" i="38" s="1"/>
  <c r="K17" i="38"/>
  <c r="K11" i="38"/>
  <c r="O255" i="39"/>
  <c r="T267" i="39"/>
  <c r="S267" i="39"/>
  <c r="O15" i="39"/>
  <c r="O53" i="39" s="1"/>
  <c r="I11" i="38"/>
  <c r="V28" i="37"/>
  <c r="U28" i="37"/>
  <c r="T28" i="37"/>
  <c r="H115" i="37"/>
  <c r="N14" i="37" s="1"/>
  <c r="H153" i="37"/>
  <c r="R17" i="37" s="1"/>
  <c r="F151" i="37"/>
  <c r="H151" i="37" s="1"/>
  <c r="N17" i="37" s="1"/>
  <c r="F199" i="37"/>
  <c r="H199" i="37" s="1"/>
  <c r="N21" i="37" s="1"/>
  <c r="F187" i="37"/>
  <c r="H187" i="37" s="1"/>
  <c r="N20" i="37" s="1"/>
  <c r="H186" i="37"/>
  <c r="M20" i="37" s="1"/>
  <c r="F163" i="37"/>
  <c r="H163" i="37" s="1"/>
  <c r="N18" i="37" s="1"/>
  <c r="H93" i="37"/>
  <c r="R12" i="37" s="1"/>
  <c r="H91" i="37"/>
  <c r="N12" i="37" s="1"/>
  <c r="H177" i="37"/>
  <c r="R19" i="37" s="1"/>
  <c r="H141" i="37"/>
  <c r="R16" i="37" s="1"/>
  <c r="F139" i="37"/>
  <c r="H139" i="37" s="1"/>
  <c r="N16" i="37" s="1"/>
  <c r="H105" i="37"/>
  <c r="R13" i="37" s="1"/>
  <c r="F103" i="37"/>
  <c r="H103" i="37" s="1"/>
  <c r="N13" i="37" s="1"/>
  <c r="L94" i="36" l="1"/>
  <c r="N94" i="36" s="1"/>
  <c r="L69" i="36"/>
  <c r="N74" i="36"/>
  <c r="R29" i="37"/>
  <c r="L32" i="36" s="1"/>
  <c r="N32" i="36" s="1"/>
  <c r="N28" i="37"/>
  <c r="N8" i="39"/>
  <c r="S29" i="37"/>
  <c r="L33" i="36" s="1"/>
  <c r="N33" i="36" s="1"/>
  <c r="M28" i="37"/>
  <c r="L41" i="36" s="1"/>
  <c r="L45" i="36" s="1"/>
  <c r="R28" i="37"/>
  <c r="N7" i="39"/>
  <c r="L72" i="36" s="1"/>
  <c r="J7" i="39"/>
  <c r="I7" i="39"/>
  <c r="M8" i="39"/>
  <c r="L23" i="36" s="1"/>
  <c r="N23" i="36" s="1"/>
  <c r="L92" i="36" l="1"/>
  <c r="N92" i="36" s="1"/>
  <c r="N72" i="36"/>
  <c r="L90" i="36"/>
  <c r="N90" i="36" s="1"/>
  <c r="N69" i="36"/>
  <c r="N45" i="36"/>
  <c r="N41" i="36"/>
  <c r="I4" i="36"/>
  <c r="I5" i="36"/>
  <c r="I5" i="5"/>
  <c r="I4" i="5"/>
  <c r="E8" i="5"/>
  <c r="E9" i="5" s="1"/>
  <c r="D8" i="5"/>
  <c r="C8" i="5"/>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B8" i="5"/>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62" i="5" s="1"/>
  <c r="B63" i="5" s="1"/>
  <c r="B64" i="5" s="1"/>
  <c r="B65" i="5" s="1"/>
  <c r="B66" i="5" s="1"/>
  <c r="B67" i="5" s="1"/>
  <c r="B68" i="5" s="1"/>
  <c r="B69" i="5" s="1"/>
  <c r="B70" i="5" s="1"/>
  <c r="B71" i="5" s="1"/>
  <c r="B72" i="5" s="1"/>
  <c r="B73" i="5" s="1"/>
  <c r="B74" i="5" s="1"/>
  <c r="B75" i="5" s="1"/>
  <c r="B76" i="5" s="1"/>
  <c r="B77" i="5" s="1"/>
  <c r="B78" i="5" s="1"/>
  <c r="B79" i="5" s="1"/>
  <c r="B80" i="5" s="1"/>
  <c r="B81" i="5" s="1"/>
  <c r="B82" i="5" s="1"/>
  <c r="B83" i="5" s="1"/>
  <c r="B84" i="5" s="1"/>
  <c r="B85" i="5" s="1"/>
  <c r="B86" i="5" s="1"/>
  <c r="B87" i="5" s="1"/>
  <c r="B88" i="5" s="1"/>
  <c r="B89" i="5" s="1"/>
  <c r="B90" i="5" s="1"/>
  <c r="B91" i="5" s="1"/>
  <c r="B92" i="5" s="1"/>
  <c r="B93" i="5" s="1"/>
  <c r="B94" i="5" s="1"/>
  <c r="B95" i="5" s="1"/>
  <c r="B96" i="5" s="1"/>
  <c r="B97" i="5" s="1"/>
  <c r="B98" i="5" s="1"/>
  <c r="B99" i="5" s="1"/>
  <c r="B100" i="5" s="1"/>
  <c r="B101" i="5" s="1"/>
  <c r="B102" i="5" s="1"/>
  <c r="B103" i="5" s="1"/>
  <c r="B104" i="5" s="1"/>
  <c r="B105" i="5" s="1"/>
  <c r="B106" i="5" s="1"/>
  <c r="B107" i="5" s="1"/>
  <c r="B108" i="5" s="1"/>
  <c r="B109" i="5" s="1"/>
  <c r="B110" i="5" s="1"/>
  <c r="B111" i="5" s="1"/>
  <c r="B112" i="5" s="1"/>
  <c r="B113" i="5" s="1"/>
  <c r="B114" i="5" s="1"/>
  <c r="B115" i="5" s="1"/>
  <c r="B116" i="5" s="1"/>
  <c r="B117" i="5" s="1"/>
  <c r="B118" i="5" s="1"/>
  <c r="B119" i="5" s="1"/>
  <c r="B120" i="5" s="1"/>
  <c r="B121" i="5" s="1"/>
  <c r="B122" i="5" s="1"/>
  <c r="B123" i="5" s="1"/>
  <c r="B124" i="5" s="1"/>
  <c r="B125" i="5" s="1"/>
  <c r="B126" i="5" s="1"/>
  <c r="B127" i="5" s="1"/>
  <c r="B128" i="5" s="1"/>
  <c r="B129" i="5" s="1"/>
  <c r="B130" i="5" s="1"/>
  <c r="B131" i="5" s="1"/>
  <c r="B132" i="5" s="1"/>
  <c r="B133" i="5" s="1"/>
  <c r="B134" i="5" s="1"/>
  <c r="B135" i="5" s="1"/>
  <c r="B136" i="5" s="1"/>
  <c r="B137" i="5" s="1"/>
  <c r="B138" i="5" s="1"/>
  <c r="B139" i="5" s="1"/>
  <c r="B140" i="5" s="1"/>
  <c r="B141" i="5" s="1"/>
  <c r="B142" i="5" s="1"/>
  <c r="B143" i="5" s="1"/>
  <c r="B144" i="5" s="1"/>
  <c r="B145" i="5" s="1"/>
  <c r="B146" i="5" s="1"/>
  <c r="B147" i="5" s="1"/>
  <c r="B148" i="5" s="1"/>
  <c r="B149" i="5" s="1"/>
  <c r="B150" i="5" s="1"/>
  <c r="B151" i="5" s="1"/>
  <c r="B152" i="5" s="1"/>
  <c r="B153" i="5" s="1"/>
  <c r="B154" i="5" s="1"/>
  <c r="B155" i="5" s="1"/>
  <c r="B156" i="5" s="1"/>
  <c r="B157" i="5" s="1"/>
  <c r="B158" i="5" s="1"/>
  <c r="B159" i="5" s="1"/>
  <c r="B160" i="5" s="1"/>
  <c r="B161" i="5" s="1"/>
  <c r="B162" i="5" s="1"/>
  <c r="B163" i="5" s="1"/>
  <c r="B164" i="5" s="1"/>
  <c r="B165" i="5" s="1"/>
  <c r="B166" i="5" s="1"/>
  <c r="B167" i="5" s="1"/>
  <c r="B168" i="5" s="1"/>
  <c r="B169" i="5" s="1"/>
  <c r="B170" i="5" s="1"/>
  <c r="B171" i="5" s="1"/>
  <c r="B172" i="5" s="1"/>
  <c r="B173" i="5" s="1"/>
  <c r="B174" i="5" s="1"/>
  <c r="B175" i="5" s="1"/>
  <c r="B176" i="5" s="1"/>
  <c r="B177" i="5" s="1"/>
  <c r="B178" i="5" s="1"/>
  <c r="B179" i="5" s="1"/>
  <c r="B180" i="5" s="1"/>
  <c r="B181" i="5" s="1"/>
  <c r="B182" i="5" s="1"/>
  <c r="B183" i="5" s="1"/>
  <c r="B184" i="5" s="1"/>
  <c r="B185" i="5" s="1"/>
  <c r="B186" i="5" s="1"/>
  <c r="B187" i="5" s="1"/>
  <c r="B188" i="5" s="1"/>
  <c r="B189" i="5" s="1"/>
  <c r="B190" i="5" s="1"/>
  <c r="B191" i="5" s="1"/>
  <c r="B192" i="5" s="1"/>
  <c r="B193" i="5" s="1"/>
  <c r="B194" i="5" s="1"/>
  <c r="B195" i="5" s="1"/>
  <c r="B196" i="5" s="1"/>
  <c r="B197" i="5" s="1"/>
  <c r="B198" i="5" s="1"/>
  <c r="B199" i="5" s="1"/>
  <c r="B200" i="5" s="1"/>
  <c r="B201" i="5" s="1"/>
  <c r="B202" i="5" s="1"/>
  <c r="B203" i="5" s="1"/>
  <c r="B204" i="5" s="1"/>
  <c r="B205" i="5" s="1"/>
  <c r="B206" i="5" s="1"/>
  <c r="B207" i="5" s="1"/>
  <c r="B208" i="5" s="1"/>
  <c r="B209" i="5" s="1"/>
  <c r="B210" i="5" s="1"/>
  <c r="B211" i="5" s="1"/>
  <c r="B212" i="5" s="1"/>
  <c r="B213" i="5" s="1"/>
  <c r="B214" i="5" s="1"/>
  <c r="B215" i="5" s="1"/>
  <c r="B216" i="5" s="1"/>
  <c r="B217" i="5" s="1"/>
  <c r="B218" i="5" s="1"/>
  <c r="B219" i="5" s="1"/>
  <c r="B220" i="5" s="1"/>
  <c r="B221" i="5" s="1"/>
  <c r="B222" i="5" s="1"/>
  <c r="B223" i="5" s="1"/>
  <c r="B224" i="5" s="1"/>
  <c r="B225" i="5" s="1"/>
  <c r="B226" i="5" s="1"/>
  <c r="B227" i="5" s="1"/>
  <c r="B228" i="5" s="1"/>
  <c r="B229" i="5" s="1"/>
  <c r="B230" i="5" s="1"/>
  <c r="B231" i="5" s="1"/>
  <c r="B232" i="5" s="1"/>
  <c r="B233" i="5" s="1"/>
  <c r="B234" i="5" s="1"/>
  <c r="B235" i="5" s="1"/>
  <c r="B236" i="5" s="1"/>
  <c r="B237" i="5" s="1"/>
  <c r="B238" i="5" s="1"/>
  <c r="B239" i="5" s="1"/>
  <c r="B240" i="5" s="1"/>
  <c r="B241" i="5" s="1"/>
  <c r="B242" i="5" s="1"/>
  <c r="B243" i="5" s="1"/>
  <c r="B244" i="5" s="1"/>
  <c r="B245" i="5" s="1"/>
  <c r="B246" i="5" s="1"/>
  <c r="B247" i="5" s="1"/>
  <c r="B248" i="5" s="1"/>
  <c r="B249" i="5" s="1"/>
  <c r="B250" i="5" s="1"/>
  <c r="B251" i="5" s="1"/>
  <c r="B252" i="5" s="1"/>
  <c r="B253" i="5" s="1"/>
  <c r="B254" i="5" s="1"/>
  <c r="B255" i="5" s="1"/>
  <c r="B256" i="5" s="1"/>
  <c r="B257" i="5" s="1"/>
  <c r="B258" i="5" s="1"/>
  <c r="B259" i="5" s="1"/>
  <c r="B260" i="5" s="1"/>
  <c r="B261" i="5" s="1"/>
  <c r="B262" i="5" s="1"/>
  <c r="B263" i="5" s="1"/>
  <c r="B264" i="5" s="1"/>
  <c r="B265" i="5" s="1"/>
  <c r="B266" i="5" s="1"/>
  <c r="B267" i="5" s="1"/>
  <c r="B268" i="5" s="1"/>
  <c r="B269" i="5" s="1"/>
  <c r="B270" i="5" s="1"/>
  <c r="B271" i="5" s="1"/>
  <c r="B272" i="5" s="1"/>
  <c r="B273" i="5" s="1"/>
  <c r="B274" i="5" s="1"/>
  <c r="B275" i="5" s="1"/>
  <c r="B276" i="5" s="1"/>
  <c r="B277" i="5" s="1"/>
  <c r="B278" i="5" s="1"/>
  <c r="B279" i="5" s="1"/>
  <c r="B280" i="5" s="1"/>
  <c r="B281" i="5" s="1"/>
  <c r="B282" i="5" s="1"/>
  <c r="B283" i="5" s="1"/>
  <c r="B284" i="5" s="1"/>
  <c r="B285" i="5" s="1"/>
  <c r="B286" i="5" s="1"/>
  <c r="B287" i="5" s="1"/>
  <c r="B288" i="5" s="1"/>
  <c r="B289" i="5" s="1"/>
  <c r="B290" i="5" s="1"/>
  <c r="B291" i="5" s="1"/>
  <c r="B292" i="5" s="1"/>
  <c r="B293" i="5" s="1"/>
  <c r="B294" i="5" s="1"/>
  <c r="B295" i="5" s="1"/>
  <c r="B296" i="5" s="1"/>
  <c r="B297" i="5" s="1"/>
  <c r="B298" i="5" s="1"/>
  <c r="B299" i="5" s="1"/>
  <c r="B300" i="5" s="1"/>
  <c r="B301" i="5" s="1"/>
  <c r="B302" i="5" s="1"/>
  <c r="B303" i="5" s="1"/>
  <c r="B304" i="5" s="1"/>
  <c r="B305" i="5" s="1"/>
  <c r="B306" i="5" s="1"/>
  <c r="B307" i="5" s="1"/>
  <c r="B308" i="5" s="1"/>
  <c r="B309" i="5" s="1"/>
  <c r="B310" i="5" s="1"/>
  <c r="B311" i="5" s="1"/>
  <c r="B312" i="5" s="1"/>
  <c r="B313" i="5" s="1"/>
  <c r="B314" i="5" s="1"/>
  <c r="B315" i="5" s="1"/>
  <c r="B316" i="5" s="1"/>
  <c r="B317" i="5" s="1"/>
  <c r="B318" i="5" s="1"/>
  <c r="B319" i="5" s="1"/>
  <c r="B320" i="5" s="1"/>
  <c r="B321" i="5" s="1"/>
  <c r="B322" i="5" s="1"/>
  <c r="B323" i="5" s="1"/>
  <c r="B324" i="5" s="1"/>
  <c r="B325" i="5" s="1"/>
  <c r="B326" i="5" s="1"/>
  <c r="B327" i="5" s="1"/>
  <c r="B328" i="5" s="1"/>
  <c r="B329" i="5" s="1"/>
  <c r="B330" i="5" s="1"/>
  <c r="B331" i="5" s="1"/>
  <c r="B332" i="5" s="1"/>
  <c r="B333" i="5" s="1"/>
  <c r="B334" i="5" s="1"/>
  <c r="B335" i="5" s="1"/>
  <c r="B336" i="5" s="1"/>
  <c r="B337" i="5" s="1"/>
  <c r="B338" i="5" s="1"/>
  <c r="B339" i="5" s="1"/>
  <c r="B340" i="5" s="1"/>
  <c r="B341" i="5" s="1"/>
  <c r="B342" i="5" s="1"/>
  <c r="B343" i="5" s="1"/>
  <c r="B344" i="5" s="1"/>
  <c r="B345" i="5" s="1"/>
  <c r="B346" i="5" s="1"/>
  <c r="B347" i="5" s="1"/>
  <c r="B348" i="5" s="1"/>
  <c r="B349" i="5" s="1"/>
  <c r="B350" i="5" s="1"/>
  <c r="B351" i="5" s="1"/>
  <c r="B352" i="5" s="1"/>
  <c r="B353" i="5" s="1"/>
  <c r="B354" i="5" s="1"/>
  <c r="B355" i="5" s="1"/>
  <c r="B356" i="5" s="1"/>
  <c r="B357" i="5" s="1"/>
  <c r="B358" i="5" s="1"/>
  <c r="B359" i="5" s="1"/>
  <c r="B360" i="5" s="1"/>
  <c r="B361" i="5" s="1"/>
  <c r="B362" i="5" s="1"/>
  <c r="B363" i="5" s="1"/>
  <c r="B364" i="5" s="1"/>
  <c r="B365" i="5" s="1"/>
  <c r="B366" i="5" s="1"/>
  <c r="B367" i="5" s="1"/>
  <c r="B368" i="5" s="1"/>
  <c r="B369" i="5" s="1"/>
  <c r="B370" i="5" s="1"/>
  <c r="B371" i="5" s="1"/>
  <c r="B372" i="5" s="1"/>
  <c r="B373" i="5" s="1"/>
  <c r="B374" i="5" s="1"/>
  <c r="B375" i="5" s="1"/>
  <c r="B376" i="5" s="1"/>
  <c r="B377" i="5" s="1"/>
  <c r="B378" i="5" s="1"/>
  <c r="B379" i="5" s="1"/>
  <c r="B380" i="5" s="1"/>
  <c r="B381" i="5" s="1"/>
  <c r="B382" i="5" s="1"/>
  <c r="B383" i="5" s="1"/>
  <c r="B384" i="5" s="1"/>
  <c r="B385" i="5" s="1"/>
  <c r="B386" i="5" s="1"/>
  <c r="B387" i="5" s="1"/>
  <c r="B388" i="5" s="1"/>
  <c r="B389" i="5" s="1"/>
  <c r="B390" i="5" s="1"/>
  <c r="B391" i="5" s="1"/>
  <c r="B392" i="5" s="1"/>
  <c r="B393" i="5" s="1"/>
  <c r="B394" i="5" s="1"/>
  <c r="B395" i="5" s="1"/>
  <c r="B396" i="5" s="1"/>
  <c r="B397" i="5" s="1"/>
  <c r="B398" i="5" s="1"/>
  <c r="B399" i="5" s="1"/>
  <c r="B400" i="5" s="1"/>
  <c r="B401" i="5" s="1"/>
  <c r="B402" i="5" s="1"/>
  <c r="B403" i="5" s="1"/>
  <c r="B404" i="5" s="1"/>
  <c r="B405" i="5" s="1"/>
  <c r="B406" i="5" s="1"/>
  <c r="B407" i="5" s="1"/>
  <c r="B408" i="5" s="1"/>
  <c r="B409" i="5" s="1"/>
  <c r="B410" i="5" s="1"/>
  <c r="B411" i="5" s="1"/>
  <c r="B412" i="5" s="1"/>
  <c r="B413" i="5" s="1"/>
  <c r="B414" i="5" s="1"/>
  <c r="B415" i="5" s="1"/>
  <c r="B416" i="5" s="1"/>
  <c r="B417" i="5" s="1"/>
  <c r="B418" i="5" s="1"/>
  <c r="B419" i="5" s="1"/>
  <c r="B420" i="5" s="1"/>
  <c r="B421" i="5" s="1"/>
  <c r="B422" i="5" s="1"/>
  <c r="B423" i="5" s="1"/>
  <c r="B424" i="5" s="1"/>
  <c r="B425" i="5" s="1"/>
  <c r="B426" i="5" s="1"/>
  <c r="B427" i="5" s="1"/>
  <c r="B428" i="5" s="1"/>
  <c r="B429" i="5" s="1"/>
  <c r="B430" i="5" s="1"/>
  <c r="B431" i="5" s="1"/>
  <c r="B432" i="5" s="1"/>
  <c r="B433" i="5" s="1"/>
  <c r="B434" i="5" s="1"/>
  <c r="B435" i="5" s="1"/>
  <c r="B436" i="5" s="1"/>
  <c r="B437" i="5" s="1"/>
  <c r="B438" i="5" s="1"/>
  <c r="B439" i="5" s="1"/>
  <c r="B440" i="5" s="1"/>
  <c r="B441" i="5" s="1"/>
  <c r="B442" i="5" s="1"/>
  <c r="B443" i="5" s="1"/>
  <c r="B444" i="5" s="1"/>
  <c r="B445" i="5" s="1"/>
  <c r="B446" i="5" s="1"/>
  <c r="B447" i="5" s="1"/>
  <c r="B448" i="5" s="1"/>
  <c r="B449" i="5" s="1"/>
  <c r="B450" i="5" s="1"/>
  <c r="B451" i="5" s="1"/>
  <c r="B452" i="5" s="1"/>
  <c r="B453" i="5" s="1"/>
  <c r="B454" i="5" s="1"/>
  <c r="B455" i="5" s="1"/>
  <c r="B456" i="5" s="1"/>
  <c r="B457" i="5" s="1"/>
  <c r="B458" i="5" s="1"/>
  <c r="B459" i="5" s="1"/>
  <c r="B460" i="5" s="1"/>
  <c r="B461" i="5" s="1"/>
  <c r="B462" i="5" s="1"/>
  <c r="B463" i="5" s="1"/>
  <c r="B464" i="5" s="1"/>
  <c r="B465" i="5" s="1"/>
  <c r="B466" i="5" s="1"/>
  <c r="B467" i="5" s="1"/>
  <c r="B468" i="5" s="1"/>
  <c r="B469" i="5" s="1"/>
  <c r="B470" i="5" s="1"/>
  <c r="B471" i="5" s="1"/>
  <c r="B472" i="5" s="1"/>
  <c r="B473" i="5" s="1"/>
  <c r="B474" i="5" s="1"/>
  <c r="B475" i="5" s="1"/>
  <c r="B476" i="5" s="1"/>
  <c r="B477" i="5" s="1"/>
  <c r="B478" i="5" s="1"/>
  <c r="B479" i="5" s="1"/>
  <c r="B480" i="5" s="1"/>
  <c r="B481" i="5" s="1"/>
  <c r="B482" i="5" s="1"/>
  <c r="B483" i="5" s="1"/>
  <c r="B484" i="5" s="1"/>
  <c r="B485" i="5" s="1"/>
  <c r="B486" i="5" s="1"/>
  <c r="B487" i="5" s="1"/>
  <c r="B488" i="5" s="1"/>
  <c r="B489" i="5" s="1"/>
  <c r="B490" i="5" s="1"/>
  <c r="B491" i="5" s="1"/>
  <c r="B492" i="5" s="1"/>
  <c r="B493" i="5" s="1"/>
  <c r="B494" i="5" s="1"/>
  <c r="B495" i="5" s="1"/>
  <c r="B496" i="5" s="1"/>
  <c r="B497" i="5" s="1"/>
  <c r="B498" i="5" s="1"/>
  <c r="B499" i="5" s="1"/>
  <c r="B500" i="5" s="1"/>
  <c r="B501" i="5" s="1"/>
  <c r="B502" i="5" s="1"/>
  <c r="B503" i="5" s="1"/>
  <c r="B504" i="5" s="1"/>
  <c r="B505" i="5" s="1"/>
  <c r="B506" i="5" s="1"/>
  <c r="B507" i="5" s="1"/>
  <c r="B508" i="5" s="1"/>
  <c r="B509" i="5" s="1"/>
  <c r="B510" i="5" s="1"/>
  <c r="B511" i="5" s="1"/>
  <c r="B512" i="5" s="1"/>
  <c r="B513" i="5" s="1"/>
  <c r="B514" i="5" s="1"/>
  <c r="B515" i="5" s="1"/>
  <c r="B516" i="5" s="1"/>
  <c r="B517" i="5" s="1"/>
  <c r="B518" i="5" s="1"/>
  <c r="B519" i="5" s="1"/>
  <c r="B520" i="5" s="1"/>
  <c r="B521" i="5" s="1"/>
  <c r="B522" i="5" s="1"/>
  <c r="B523" i="5" s="1"/>
  <c r="B524" i="5" s="1"/>
  <c r="B525" i="5" s="1"/>
  <c r="B526" i="5" s="1"/>
  <c r="B527" i="5" s="1"/>
  <c r="B528" i="5" s="1"/>
  <c r="B529" i="5" s="1"/>
  <c r="B530" i="5" s="1"/>
  <c r="B531" i="5" s="1"/>
  <c r="B532" i="5" s="1"/>
  <c r="B533" i="5" s="1"/>
  <c r="B534" i="5" s="1"/>
  <c r="B535" i="5" s="1"/>
  <c r="B536" i="5" s="1"/>
  <c r="B537" i="5" s="1"/>
  <c r="B538" i="5" s="1"/>
  <c r="B539" i="5" s="1"/>
  <c r="B540" i="5" s="1"/>
  <c r="B541" i="5" s="1"/>
  <c r="B542" i="5" s="1"/>
  <c r="B543" i="5" s="1"/>
  <c r="B544" i="5" s="1"/>
  <c r="B545" i="5" s="1"/>
  <c r="B546" i="5" s="1"/>
  <c r="B547" i="5" s="1"/>
  <c r="B548" i="5" s="1"/>
  <c r="B549" i="5" s="1"/>
  <c r="B550" i="5" s="1"/>
  <c r="B551" i="5" s="1"/>
  <c r="B552" i="5" s="1"/>
  <c r="B553" i="5" s="1"/>
  <c r="B554" i="5" s="1"/>
  <c r="B555" i="5" s="1"/>
  <c r="B556" i="5" s="1"/>
  <c r="B557" i="5" s="1"/>
  <c r="B558" i="5" s="1"/>
  <c r="B559" i="5" s="1"/>
  <c r="B560" i="5" s="1"/>
  <c r="B561" i="5" s="1"/>
  <c r="B562" i="5" s="1"/>
  <c r="B563" i="5" s="1"/>
  <c r="B564" i="5" s="1"/>
  <c r="B565" i="5" s="1"/>
  <c r="B566" i="5" s="1"/>
  <c r="B567" i="5" s="1"/>
  <c r="B568" i="5" s="1"/>
  <c r="B569" i="5" s="1"/>
  <c r="B570" i="5" s="1"/>
  <c r="B571" i="5" s="1"/>
  <c r="B572" i="5" s="1"/>
  <c r="B573" i="5" s="1"/>
  <c r="B574" i="5" s="1"/>
  <c r="B575" i="5" s="1"/>
  <c r="B576" i="5" s="1"/>
  <c r="B577" i="5" s="1"/>
  <c r="B578" i="5" s="1"/>
  <c r="B579" i="5" s="1"/>
  <c r="B580" i="5" s="1"/>
  <c r="B581" i="5" s="1"/>
  <c r="B582" i="5" s="1"/>
  <c r="B583" i="5" s="1"/>
  <c r="B584" i="5" s="1"/>
  <c r="B585" i="5" s="1"/>
  <c r="B586" i="5" s="1"/>
  <c r="B587" i="5" s="1"/>
  <c r="B588" i="5" s="1"/>
  <c r="B589" i="5" s="1"/>
  <c r="B590" i="5" s="1"/>
  <c r="B591" i="5" s="1"/>
  <c r="B592" i="5" s="1"/>
  <c r="B593" i="5" s="1"/>
  <c r="B594" i="5" s="1"/>
  <c r="B595" i="5" s="1"/>
  <c r="B596" i="5" s="1"/>
  <c r="B597" i="5" s="1"/>
  <c r="B598" i="5" s="1"/>
  <c r="B599" i="5" s="1"/>
  <c r="B600" i="5" s="1"/>
  <c r="B601" i="5" s="1"/>
  <c r="B602" i="5" s="1"/>
  <c r="B603" i="5" s="1"/>
  <c r="B604" i="5" s="1"/>
  <c r="B605" i="5" s="1"/>
  <c r="B606" i="5" s="1"/>
  <c r="B607" i="5" s="1"/>
  <c r="B608" i="5" s="1"/>
  <c r="B609" i="5" s="1"/>
  <c r="B610" i="5" s="1"/>
  <c r="B611" i="5" s="1"/>
  <c r="B612" i="5" s="1"/>
  <c r="B613" i="5" s="1"/>
  <c r="B614" i="5" s="1"/>
  <c r="B615" i="5" s="1"/>
  <c r="B616" i="5" s="1"/>
  <c r="B617" i="5" s="1"/>
  <c r="B618" i="5" s="1"/>
  <c r="B619" i="5" s="1"/>
  <c r="B620" i="5" s="1"/>
  <c r="B621" i="5" s="1"/>
  <c r="B622" i="5" s="1"/>
  <c r="B623" i="5" s="1"/>
  <c r="B624" i="5" s="1"/>
  <c r="B625" i="5" s="1"/>
  <c r="B626" i="5" s="1"/>
  <c r="B627" i="5" s="1"/>
  <c r="B628" i="5" s="1"/>
  <c r="B629" i="5" s="1"/>
  <c r="B630" i="5" s="1"/>
  <c r="B631" i="5" s="1"/>
  <c r="B632" i="5" s="1"/>
  <c r="B633" i="5" s="1"/>
  <c r="B634" i="5" s="1"/>
  <c r="B635" i="5" s="1"/>
  <c r="B636" i="5" s="1"/>
  <c r="B637" i="5" s="1"/>
  <c r="B638" i="5" s="1"/>
  <c r="B639" i="5" s="1"/>
  <c r="B640" i="5" s="1"/>
  <c r="B641" i="5" s="1"/>
  <c r="B642" i="5" s="1"/>
  <c r="B643" i="5" s="1"/>
  <c r="B644" i="5" s="1"/>
  <c r="B645" i="5" s="1"/>
  <c r="B646" i="5" s="1"/>
  <c r="B647" i="5" s="1"/>
  <c r="B648" i="5" s="1"/>
  <c r="B649" i="5" s="1"/>
  <c r="B650" i="5" s="1"/>
  <c r="B651" i="5" s="1"/>
  <c r="B652" i="5" s="1"/>
  <c r="B653" i="5" s="1"/>
  <c r="B654" i="5" s="1"/>
  <c r="B655" i="5" s="1"/>
  <c r="B656" i="5" s="1"/>
  <c r="B657" i="5" s="1"/>
  <c r="B658" i="5" s="1"/>
  <c r="B659" i="5" s="1"/>
  <c r="B660" i="5" s="1"/>
  <c r="B661" i="5" s="1"/>
  <c r="B662" i="5" s="1"/>
  <c r="B663" i="5" s="1"/>
  <c r="B664" i="5" s="1"/>
  <c r="B665" i="5" s="1"/>
  <c r="B666" i="5" s="1"/>
  <c r="B667" i="5" s="1"/>
  <c r="B668" i="5" s="1"/>
  <c r="B669" i="5" s="1"/>
  <c r="B670" i="5" s="1"/>
  <c r="B671" i="5" s="1"/>
  <c r="B672" i="5" s="1"/>
  <c r="B673" i="5" s="1"/>
  <c r="B674" i="5" s="1"/>
  <c r="B675" i="5" s="1"/>
  <c r="B676" i="5" s="1"/>
  <c r="B677" i="5" s="1"/>
  <c r="B678" i="5" s="1"/>
  <c r="B679" i="5" s="1"/>
  <c r="B680" i="5" s="1"/>
  <c r="B681" i="5" s="1"/>
  <c r="B682" i="5" s="1"/>
  <c r="B683" i="5" s="1"/>
  <c r="B684" i="5" s="1"/>
  <c r="B685" i="5" s="1"/>
  <c r="B686" i="5" s="1"/>
  <c r="B687" i="5" s="1"/>
  <c r="B688" i="5" s="1"/>
  <c r="B689" i="5" s="1"/>
  <c r="B690" i="5" s="1"/>
  <c r="B691" i="5" s="1"/>
  <c r="B692" i="5" s="1"/>
  <c r="B693" i="5" s="1"/>
  <c r="B694" i="5" s="1"/>
  <c r="B695" i="5" s="1"/>
  <c r="B696" i="5" s="1"/>
  <c r="B697" i="5" s="1"/>
  <c r="B698" i="5" s="1"/>
  <c r="B699" i="5" s="1"/>
  <c r="B700" i="5" s="1"/>
  <c r="B701" i="5" s="1"/>
  <c r="B702" i="5" s="1"/>
  <c r="B703" i="5" s="1"/>
  <c r="B704" i="5" s="1"/>
  <c r="B705" i="5" s="1"/>
  <c r="B706" i="5" s="1"/>
  <c r="B707" i="5" s="1"/>
  <c r="B708" i="5" s="1"/>
  <c r="B709" i="5" s="1"/>
  <c r="B710" i="5" s="1"/>
  <c r="B711" i="5" s="1"/>
  <c r="B712" i="5" s="1"/>
  <c r="B713" i="5" s="1"/>
  <c r="B714" i="5" s="1"/>
  <c r="B715" i="5" s="1"/>
  <c r="B716" i="5" s="1"/>
  <c r="B717" i="5" s="1"/>
  <c r="B718" i="5" s="1"/>
  <c r="B719" i="5" s="1"/>
  <c r="B720" i="5" s="1"/>
  <c r="B721" i="5" s="1"/>
  <c r="B722" i="5" s="1"/>
  <c r="B723" i="5" s="1"/>
  <c r="B724" i="5" s="1"/>
  <c r="B725" i="5" s="1"/>
  <c r="B726" i="5" s="1"/>
  <c r="B727" i="5" s="1"/>
  <c r="B728" i="5" s="1"/>
  <c r="B729" i="5" s="1"/>
  <c r="B730" i="5" s="1"/>
  <c r="B731" i="5" s="1"/>
  <c r="B732" i="5" s="1"/>
  <c r="B733" i="5" s="1"/>
  <c r="B734" i="5" s="1"/>
  <c r="B735" i="5" s="1"/>
  <c r="B736" i="5" s="1"/>
  <c r="B737" i="5" s="1"/>
  <c r="B738" i="5" s="1"/>
  <c r="B739" i="5" s="1"/>
  <c r="B740" i="5" s="1"/>
  <c r="B741" i="5" s="1"/>
  <c r="B742" i="5" s="1"/>
  <c r="B743" i="5" s="1"/>
  <c r="B744" i="5" s="1"/>
  <c r="B745" i="5" s="1"/>
  <c r="B746" i="5" s="1"/>
  <c r="B747" i="5" s="1"/>
  <c r="B748" i="5" s="1"/>
  <c r="B749" i="5" s="1"/>
  <c r="B750" i="5" s="1"/>
  <c r="B751" i="5" s="1"/>
  <c r="B752" i="5" s="1"/>
  <c r="B753" i="5" s="1"/>
  <c r="B754" i="5" s="1"/>
  <c r="A8" i="5"/>
  <c r="I145" i="44"/>
  <c r="J145" i="44" s="1"/>
  <c r="I132" i="44"/>
  <c r="N210" i="36"/>
  <c r="J85" i="44"/>
  <c r="I10" i="44"/>
  <c r="E8" i="36"/>
  <c r="E9" i="36" s="1"/>
  <c r="D8" i="36"/>
  <c r="C8" i="36"/>
  <c r="C9" i="36" s="1"/>
  <c r="C10" i="36" s="1"/>
  <c r="C11" i="36" s="1"/>
  <c r="B8" i="36"/>
  <c r="B9" i="36" s="1"/>
  <c r="B10" i="36" s="1"/>
  <c r="B11" i="36" s="1"/>
  <c r="B12" i="36" s="1"/>
  <c r="B13" i="36" s="1"/>
  <c r="B14" i="36" s="1"/>
  <c r="B15" i="36" s="1"/>
  <c r="B16" i="36" s="1"/>
  <c r="B17" i="36" s="1"/>
  <c r="B18" i="36" s="1"/>
  <c r="B19" i="36" s="1"/>
  <c r="B20" i="36" s="1"/>
  <c r="B21" i="36" s="1"/>
  <c r="B22" i="36" s="1"/>
  <c r="B23" i="36" s="1"/>
  <c r="B24" i="36" s="1"/>
  <c r="B25" i="36" s="1"/>
  <c r="B26" i="36" s="1"/>
  <c r="B27" i="36" s="1"/>
  <c r="B28" i="36" s="1"/>
  <c r="B29" i="36" s="1"/>
  <c r="B30" i="36" s="1"/>
  <c r="B31" i="36" s="1"/>
  <c r="B32" i="36" s="1"/>
  <c r="B33" i="36" s="1"/>
  <c r="B34" i="36" s="1"/>
  <c r="B35" i="36" s="1"/>
  <c r="B36" i="36" s="1"/>
  <c r="B37" i="36" s="1"/>
  <c r="B38" i="36" s="1"/>
  <c r="B39" i="36" s="1"/>
  <c r="B40" i="36" s="1"/>
  <c r="B41" i="36" s="1"/>
  <c r="B42" i="36" s="1"/>
  <c r="B43" i="36" s="1"/>
  <c r="B44" i="36" s="1"/>
  <c r="B45" i="36" s="1"/>
  <c r="B46" i="36" s="1"/>
  <c r="B47" i="36" s="1"/>
  <c r="B48" i="36" s="1"/>
  <c r="B49" i="36" s="1"/>
  <c r="B50" i="36" s="1"/>
  <c r="B51" i="36" s="1"/>
  <c r="B52" i="36" s="1"/>
  <c r="B53" i="36" s="1"/>
  <c r="B54" i="36" s="1"/>
  <c r="B55" i="36" s="1"/>
  <c r="B56" i="36" s="1"/>
  <c r="B57" i="36" s="1"/>
  <c r="B58" i="36" s="1"/>
  <c r="B59" i="36" s="1"/>
  <c r="B60" i="36" s="1"/>
  <c r="B61" i="36" s="1"/>
  <c r="B62" i="36" s="1"/>
  <c r="B63" i="36" s="1"/>
  <c r="B64" i="36" s="1"/>
  <c r="B65" i="36" s="1"/>
  <c r="B66" i="36" s="1"/>
  <c r="B67" i="36" s="1"/>
  <c r="B68" i="36" s="1"/>
  <c r="B69" i="36" s="1"/>
  <c r="B70" i="36" s="1"/>
  <c r="B71" i="36" s="1"/>
  <c r="B72" i="36" s="1"/>
  <c r="B73" i="36" s="1"/>
  <c r="B74" i="36" s="1"/>
  <c r="B75" i="36" s="1"/>
  <c r="B76" i="36" s="1"/>
  <c r="B77" i="36" s="1"/>
  <c r="B78" i="36" s="1"/>
  <c r="B79" i="36" s="1"/>
  <c r="B80" i="36" s="1"/>
  <c r="B81" i="36" s="1"/>
  <c r="B82" i="36" s="1"/>
  <c r="B83" i="36" s="1"/>
  <c r="B84" i="36" s="1"/>
  <c r="B85" i="36" s="1"/>
  <c r="B86" i="36" s="1"/>
  <c r="B87" i="36" s="1"/>
  <c r="B88" i="36" s="1"/>
  <c r="B89" i="36" s="1"/>
  <c r="B90" i="36" s="1"/>
  <c r="B91" i="36" s="1"/>
  <c r="B92" i="36" s="1"/>
  <c r="B93" i="36" s="1"/>
  <c r="B94" i="36" s="1"/>
  <c r="B95" i="36" s="1"/>
  <c r="B96" i="36" s="1"/>
  <c r="B97" i="36" s="1"/>
  <c r="B98" i="36" s="1"/>
  <c r="B99" i="36" s="1"/>
  <c r="B100" i="36" s="1"/>
  <c r="B101" i="36" s="1"/>
  <c r="B102" i="36" s="1"/>
  <c r="B103" i="36" s="1"/>
  <c r="B104" i="36" s="1"/>
  <c r="B105" i="36" s="1"/>
  <c r="B106" i="36" s="1"/>
  <c r="B107" i="36" s="1"/>
  <c r="B108" i="36" s="1"/>
  <c r="B109" i="36" s="1"/>
  <c r="B110" i="36" s="1"/>
  <c r="B111" i="36" s="1"/>
  <c r="B112" i="36" s="1"/>
  <c r="B113" i="36" s="1"/>
  <c r="B114" i="36" s="1"/>
  <c r="B115" i="36" s="1"/>
  <c r="B116" i="36" s="1"/>
  <c r="B117" i="36" s="1"/>
  <c r="B118" i="36" s="1"/>
  <c r="B119" i="36" s="1"/>
  <c r="B120" i="36" s="1"/>
  <c r="B121" i="36" s="1"/>
  <c r="B122" i="36" s="1"/>
  <c r="B123" i="36" s="1"/>
  <c r="B124" i="36" s="1"/>
  <c r="B125" i="36" s="1"/>
  <c r="B126" i="36" s="1"/>
  <c r="B127" i="36" s="1"/>
  <c r="B128" i="36" s="1"/>
  <c r="B129" i="36" s="1"/>
  <c r="B130" i="36" s="1"/>
  <c r="B131" i="36" s="1"/>
  <c r="B132" i="36" s="1"/>
  <c r="B133" i="36" s="1"/>
  <c r="B134" i="36" s="1"/>
  <c r="B135" i="36" s="1"/>
  <c r="B136" i="36" s="1"/>
  <c r="B137" i="36" s="1"/>
  <c r="B138" i="36" s="1"/>
  <c r="B139" i="36" s="1"/>
  <c r="B140" i="36" s="1"/>
  <c r="B141" i="36" s="1"/>
  <c r="B142" i="36" s="1"/>
  <c r="B143" i="36" s="1"/>
  <c r="B144" i="36" s="1"/>
  <c r="B145" i="36" s="1"/>
  <c r="B146" i="36" s="1"/>
  <c r="B147" i="36" s="1"/>
  <c r="B148" i="36" s="1"/>
  <c r="B149" i="36" s="1"/>
  <c r="B150" i="36" s="1"/>
  <c r="B151" i="36" s="1"/>
  <c r="B152" i="36" s="1"/>
  <c r="B153" i="36" s="1"/>
  <c r="B154" i="36" s="1"/>
  <c r="B155" i="36" s="1"/>
  <c r="B156" i="36" s="1"/>
  <c r="B157" i="36" s="1"/>
  <c r="B158" i="36" s="1"/>
  <c r="B159" i="36" s="1"/>
  <c r="B160" i="36" s="1"/>
  <c r="B161" i="36" s="1"/>
  <c r="B162" i="36" s="1"/>
  <c r="B163" i="36" s="1"/>
  <c r="B164" i="36" s="1"/>
  <c r="B165" i="36" s="1"/>
  <c r="B166" i="36" s="1"/>
  <c r="B167" i="36" s="1"/>
  <c r="B168" i="36" s="1"/>
  <c r="B169" i="36" s="1"/>
  <c r="B170" i="36" s="1"/>
  <c r="B171" i="36" s="1"/>
  <c r="B172" i="36" s="1"/>
  <c r="B173" i="36" s="1"/>
  <c r="B174" i="36" s="1"/>
  <c r="B175" i="36" s="1"/>
  <c r="B176" i="36" s="1"/>
  <c r="B177" i="36" s="1"/>
  <c r="B178" i="36" s="1"/>
  <c r="B179" i="36" s="1"/>
  <c r="B180" i="36" s="1"/>
  <c r="B181" i="36" s="1"/>
  <c r="B182" i="36" s="1"/>
  <c r="B183" i="36" s="1"/>
  <c r="B184" i="36" s="1"/>
  <c r="B185" i="36" s="1"/>
  <c r="B186" i="36" s="1"/>
  <c r="B187" i="36" s="1"/>
  <c r="B188" i="36" s="1"/>
  <c r="B189" i="36" s="1"/>
  <c r="B190" i="36" s="1"/>
  <c r="B191" i="36" s="1"/>
  <c r="B192" i="36" s="1"/>
  <c r="B193" i="36" s="1"/>
  <c r="B194" i="36" s="1"/>
  <c r="B195" i="36" s="1"/>
  <c r="B196" i="36" s="1"/>
  <c r="B197" i="36" s="1"/>
  <c r="B198" i="36" s="1"/>
  <c r="B199" i="36" s="1"/>
  <c r="B200" i="36" s="1"/>
  <c r="B201" i="36" s="1"/>
  <c r="B202" i="36" s="1"/>
  <c r="B203" i="36" s="1"/>
  <c r="B204" i="36" s="1"/>
  <c r="B205" i="36" s="1"/>
  <c r="B206" i="36" s="1"/>
  <c r="B207" i="36" s="1"/>
  <c r="B208" i="36" s="1"/>
  <c r="B209" i="36" s="1"/>
  <c r="B210" i="36" s="1"/>
  <c r="B211" i="36" s="1"/>
  <c r="B212" i="36" s="1"/>
  <c r="B213" i="36" s="1"/>
  <c r="B214" i="36" s="1"/>
  <c r="B215" i="36" s="1"/>
  <c r="B216" i="36" s="1"/>
  <c r="B217" i="36" s="1"/>
  <c r="B218" i="36" s="1"/>
  <c r="B219" i="36" s="1"/>
  <c r="B220" i="36" s="1"/>
  <c r="B221" i="36" s="1"/>
  <c r="B222" i="36" s="1"/>
  <c r="B223" i="36" s="1"/>
  <c r="B224" i="36" s="1"/>
  <c r="B225" i="36" s="1"/>
  <c r="B226" i="36" s="1"/>
  <c r="B227" i="36" s="1"/>
  <c r="B228" i="36" s="1"/>
  <c r="B229" i="36" s="1"/>
  <c r="B230" i="36" s="1"/>
  <c r="B231" i="36" s="1"/>
  <c r="B232" i="36" s="1"/>
  <c r="B233" i="36" s="1"/>
  <c r="B234" i="36" s="1"/>
  <c r="B235" i="36" s="1"/>
  <c r="B236" i="36" s="1"/>
  <c r="B237" i="36" s="1"/>
  <c r="B238" i="36" s="1"/>
  <c r="B239" i="36" s="1"/>
  <c r="B240" i="36" s="1"/>
  <c r="B241" i="36" s="1"/>
  <c r="B242" i="36" s="1"/>
  <c r="B243" i="36" s="1"/>
  <c r="B244" i="36" s="1"/>
  <c r="B245" i="36" s="1"/>
  <c r="B246" i="36" s="1"/>
  <c r="B247" i="36" s="1"/>
  <c r="B248" i="36" s="1"/>
  <c r="B249" i="36" s="1"/>
  <c r="B250" i="36" s="1"/>
  <c r="B251" i="36" s="1"/>
  <c r="B252" i="36" s="1"/>
  <c r="B253" i="36" s="1"/>
  <c r="B254" i="36" s="1"/>
  <c r="B255" i="36" s="1"/>
  <c r="B256" i="36" s="1"/>
  <c r="B257" i="36" s="1"/>
  <c r="B258" i="36" s="1"/>
  <c r="B259" i="36" s="1"/>
  <c r="B260" i="36" s="1"/>
  <c r="B261" i="36" s="1"/>
  <c r="B262" i="36" s="1"/>
  <c r="B263" i="36" s="1"/>
  <c r="B264" i="36" s="1"/>
  <c r="B265" i="36" s="1"/>
  <c r="B266" i="36" s="1"/>
  <c r="B267" i="36" s="1"/>
  <c r="B268" i="36" s="1"/>
  <c r="B269" i="36" s="1"/>
  <c r="B270" i="36" s="1"/>
  <c r="B271" i="36" s="1"/>
  <c r="B272" i="36" s="1"/>
  <c r="B273" i="36" s="1"/>
  <c r="B274" i="36" s="1"/>
  <c r="B275" i="36" s="1"/>
  <c r="B276" i="36" s="1"/>
  <c r="B277" i="36" s="1"/>
  <c r="B278" i="36" s="1"/>
  <c r="B279" i="36" s="1"/>
  <c r="B280" i="36" s="1"/>
  <c r="B281" i="36" s="1"/>
  <c r="B282" i="36" s="1"/>
  <c r="B283" i="36" s="1"/>
  <c r="B284" i="36" s="1"/>
  <c r="B285" i="36" s="1"/>
  <c r="B286" i="36" s="1"/>
  <c r="B287" i="36" s="1"/>
  <c r="B288" i="36" s="1"/>
  <c r="B289" i="36" s="1"/>
  <c r="B290" i="36" s="1"/>
  <c r="B291" i="36" s="1"/>
  <c r="B292" i="36" s="1"/>
  <c r="B293" i="36" s="1"/>
  <c r="B294" i="36" s="1"/>
  <c r="B295" i="36" s="1"/>
  <c r="B296" i="36" s="1"/>
  <c r="B297" i="36" s="1"/>
  <c r="B298" i="36" s="1"/>
  <c r="B299" i="36" s="1"/>
  <c r="B300" i="36" s="1"/>
  <c r="B301" i="36" s="1"/>
  <c r="B302" i="36" s="1"/>
  <c r="B303" i="36" s="1"/>
  <c r="B304" i="36" s="1"/>
  <c r="B305" i="36" s="1"/>
  <c r="B306" i="36" s="1"/>
  <c r="B307" i="36" s="1"/>
  <c r="B308" i="36" s="1"/>
  <c r="B309" i="36" s="1"/>
  <c r="B310" i="36" s="1"/>
  <c r="B311" i="36" s="1"/>
  <c r="B312" i="36" s="1"/>
  <c r="B313" i="36" s="1"/>
  <c r="B314" i="36" s="1"/>
  <c r="B315" i="36" s="1"/>
  <c r="B316" i="36" s="1"/>
  <c r="B317" i="36" s="1"/>
  <c r="B318" i="36" s="1"/>
  <c r="B319" i="36" s="1"/>
  <c r="B320" i="36" s="1"/>
  <c r="B321" i="36" s="1"/>
  <c r="B322" i="36" s="1"/>
  <c r="B323" i="36" s="1"/>
  <c r="B324" i="36" s="1"/>
  <c r="B325" i="36" s="1"/>
  <c r="B326" i="36" s="1"/>
  <c r="B327" i="36" s="1"/>
  <c r="B328" i="36" s="1"/>
  <c r="B329" i="36" s="1"/>
  <c r="B330" i="36" s="1"/>
  <c r="B331" i="36" s="1"/>
  <c r="B332" i="36" s="1"/>
  <c r="B333" i="36" s="1"/>
  <c r="B334" i="36" s="1"/>
  <c r="B335" i="36" s="1"/>
  <c r="B336" i="36" s="1"/>
  <c r="B337" i="36" s="1"/>
  <c r="B338" i="36" s="1"/>
  <c r="B339" i="36" s="1"/>
  <c r="B340" i="36" s="1"/>
  <c r="B341" i="36" s="1"/>
  <c r="B342" i="36" s="1"/>
  <c r="B343" i="36" s="1"/>
  <c r="B344" i="36" s="1"/>
  <c r="B345" i="36" s="1"/>
  <c r="B346" i="36" s="1"/>
  <c r="B347" i="36" s="1"/>
  <c r="B348" i="36" s="1"/>
  <c r="B349" i="36" s="1"/>
  <c r="B350" i="36" s="1"/>
  <c r="B351" i="36" s="1"/>
  <c r="B352" i="36" s="1"/>
  <c r="B353" i="36" s="1"/>
  <c r="B354" i="36" s="1"/>
  <c r="B355" i="36" s="1"/>
  <c r="B356" i="36" s="1"/>
  <c r="B357" i="36" s="1"/>
  <c r="B358" i="36" s="1"/>
  <c r="B359" i="36" s="1"/>
  <c r="B360" i="36" s="1"/>
  <c r="B361" i="36" s="1"/>
  <c r="B362" i="36" s="1"/>
  <c r="B363" i="36" s="1"/>
  <c r="B364" i="36" s="1"/>
  <c r="B365" i="36" s="1"/>
  <c r="B366" i="36" s="1"/>
  <c r="B367" i="36" s="1"/>
  <c r="B368" i="36" s="1"/>
  <c r="B369" i="36" s="1"/>
  <c r="B370" i="36" s="1"/>
  <c r="B371" i="36" s="1"/>
  <c r="B372" i="36" s="1"/>
  <c r="B373" i="36" s="1"/>
  <c r="B374" i="36" s="1"/>
  <c r="B375" i="36" s="1"/>
  <c r="B376" i="36" s="1"/>
  <c r="B377" i="36" s="1"/>
  <c r="B378" i="36" s="1"/>
  <c r="B379" i="36" s="1"/>
  <c r="B380" i="36" s="1"/>
  <c r="B381" i="36" s="1"/>
  <c r="B382" i="36" s="1"/>
  <c r="B383" i="36" s="1"/>
  <c r="B384" i="36" s="1"/>
  <c r="B385" i="36" s="1"/>
  <c r="B386" i="36" s="1"/>
  <c r="B387" i="36" s="1"/>
  <c r="B388" i="36" s="1"/>
  <c r="B389" i="36" s="1"/>
  <c r="B390" i="36" s="1"/>
  <c r="B391" i="36" s="1"/>
  <c r="B392" i="36" s="1"/>
  <c r="B393" i="36" s="1"/>
  <c r="B394" i="36" s="1"/>
  <c r="B395" i="36" s="1"/>
  <c r="B396" i="36" s="1"/>
  <c r="B397" i="36" s="1"/>
  <c r="B398" i="36" s="1"/>
  <c r="B399" i="36" s="1"/>
  <c r="B400" i="36" s="1"/>
  <c r="B401" i="36" s="1"/>
  <c r="A9" i="5" l="1"/>
  <c r="A10" i="5" s="1"/>
  <c r="I33" i="44"/>
  <c r="J33" i="44" s="1"/>
  <c r="I8" i="5"/>
  <c r="I81" i="44"/>
  <c r="J81" i="44" s="1"/>
  <c r="I107" i="44"/>
  <c r="J107" i="44" s="1"/>
  <c r="I8" i="44"/>
  <c r="I9" i="44"/>
  <c r="J9" i="44" s="1"/>
  <c r="I8" i="36"/>
  <c r="I96" i="44"/>
  <c r="J129" i="44"/>
  <c r="I119" i="44"/>
  <c r="J118" i="44" s="1"/>
  <c r="A11" i="5" l="1"/>
  <c r="J96" i="44"/>
  <c r="J84" i="44"/>
  <c r="J8" i="44"/>
  <c r="I73" i="36"/>
  <c r="I9" i="5"/>
  <c r="I9" i="36"/>
  <c r="A12" i="5" l="1"/>
  <c r="I76" i="36"/>
  <c r="I75" i="36"/>
  <c r="I74" i="36"/>
  <c r="I10" i="5"/>
  <c r="I10" i="36"/>
  <c r="I11" i="36"/>
  <c r="A13" i="5" l="1"/>
  <c r="A14" i="5" s="1"/>
  <c r="I11" i="5"/>
  <c r="A15" i="5" l="1"/>
  <c r="I79" i="36"/>
  <c r="I80" i="36"/>
  <c r="I12" i="5"/>
  <c r="A16" i="5" l="1"/>
  <c r="A17" i="5" s="1"/>
  <c r="I83" i="36"/>
  <c r="I13" i="5"/>
  <c r="A18" i="5" l="1"/>
  <c r="I84" i="36"/>
  <c r="I14" i="5"/>
  <c r="A19" i="5" l="1"/>
  <c r="I15" i="5"/>
  <c r="A20" i="5" l="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I16" i="5"/>
  <c r="I95" i="36" l="1"/>
  <c r="I17" i="5"/>
  <c r="I18" i="5" l="1"/>
  <c r="I287" i="36" l="1"/>
  <c r="I19" i="5"/>
  <c r="I12" i="36"/>
  <c r="I20" i="5" l="1"/>
  <c r="I13" i="36"/>
  <c r="I21" i="5" l="1"/>
  <c r="I14" i="36"/>
  <c r="I22" i="5" l="1"/>
  <c r="I15" i="36"/>
  <c r="N79" i="36" l="1"/>
  <c r="N83" i="36"/>
  <c r="N73" i="36"/>
  <c r="N99" i="36"/>
  <c r="O99" i="36" s="1"/>
  <c r="N75" i="36"/>
  <c r="I23" i="5"/>
  <c r="I24" i="5" l="1"/>
  <c r="I25" i="5" l="1"/>
  <c r="I26" i="5" l="1"/>
  <c r="I27" i="5" l="1"/>
  <c r="I28" i="5" l="1"/>
  <c r="I29" i="5" l="1"/>
  <c r="I30" i="5" l="1"/>
  <c r="I31" i="5" l="1"/>
  <c r="I32" i="5" l="1"/>
  <c r="I33" i="5" l="1"/>
  <c r="I34" i="5" l="1"/>
  <c r="I16" i="36"/>
  <c r="I35" i="5" l="1"/>
  <c r="I36" i="5" l="1"/>
  <c r="I37" i="5" l="1"/>
  <c r="I38" i="5" l="1"/>
  <c r="I39" i="5" l="1"/>
  <c r="I40" i="5" l="1"/>
  <c r="I41" i="5" l="1"/>
  <c r="I42" i="5" l="1"/>
  <c r="I43" i="5" l="1"/>
  <c r="I17" i="36"/>
  <c r="I44" i="5" l="1"/>
  <c r="I19" i="36"/>
  <c r="I18" i="36"/>
  <c r="I45" i="5" l="1"/>
  <c r="I20" i="36"/>
  <c r="I46" i="5" l="1"/>
  <c r="I21" i="36"/>
  <c r="I22" i="36"/>
  <c r="I47" i="5" l="1"/>
  <c r="I23" i="36"/>
  <c r="I48" i="5" l="1"/>
  <c r="I24" i="36"/>
  <c r="I49" i="5" l="1"/>
  <c r="I25" i="36"/>
  <c r="I50" i="5" l="1"/>
  <c r="I26" i="36"/>
  <c r="I27" i="36"/>
  <c r="I51" i="5" l="1"/>
  <c r="I28" i="36"/>
  <c r="I53" i="5" l="1"/>
  <c r="I29" i="36"/>
  <c r="I30" i="36"/>
  <c r="I54" i="5" l="1"/>
  <c r="I31" i="36"/>
  <c r="I55" i="5" l="1"/>
  <c r="I32" i="36"/>
  <c r="I56" i="5" l="1"/>
  <c r="I33" i="36"/>
  <c r="I57" i="5" l="1"/>
  <c r="I34" i="36"/>
  <c r="I58" i="5" l="1"/>
  <c r="I35" i="36"/>
  <c r="I59" i="5" l="1"/>
  <c r="I36" i="36"/>
  <c r="I60" i="5" l="1"/>
  <c r="I37" i="36"/>
  <c r="I61" i="5" l="1"/>
  <c r="I38" i="36"/>
  <c r="I40" i="36" l="1"/>
  <c r="I39" i="36"/>
  <c r="I62" i="5" l="1"/>
  <c r="I42" i="36"/>
  <c r="I41" i="36"/>
  <c r="I63" i="5" l="1"/>
  <c r="I43" i="36"/>
  <c r="I64" i="5" l="1"/>
  <c r="I44" i="36"/>
  <c r="I45" i="36"/>
  <c r="I65" i="5" l="1"/>
  <c r="I46" i="36"/>
  <c r="I66" i="5" l="1"/>
  <c r="I47" i="36"/>
  <c r="I67" i="5" l="1"/>
  <c r="I48" i="36"/>
  <c r="I68" i="5" l="1"/>
  <c r="I52" i="5"/>
  <c r="I69" i="5" l="1"/>
  <c r="I49" i="36"/>
  <c r="I70" i="5" l="1"/>
  <c r="I50" i="36"/>
  <c r="I51" i="36" l="1"/>
  <c r="I52" i="36" l="1"/>
  <c r="I53" i="36" l="1"/>
  <c r="I54" i="36" l="1"/>
  <c r="I71" i="5" l="1"/>
  <c r="I55" i="36"/>
  <c r="I72" i="5" l="1"/>
  <c r="I56" i="36"/>
  <c r="I57" i="36" l="1"/>
  <c r="I58" i="36" l="1"/>
  <c r="I73" i="5" l="1"/>
  <c r="I59" i="36"/>
  <c r="I74" i="5" l="1"/>
  <c r="I60" i="36"/>
  <c r="I75" i="5" l="1"/>
  <c r="I61" i="36"/>
  <c r="I76" i="5" l="1"/>
  <c r="I62" i="36"/>
  <c r="I77" i="5" l="1"/>
  <c r="I63" i="36"/>
  <c r="I78" i="5" l="1"/>
  <c r="I64" i="36"/>
  <c r="I79" i="5" l="1"/>
  <c r="I65" i="36"/>
  <c r="I80" i="5" l="1"/>
  <c r="I66" i="36"/>
  <c r="I81" i="5" l="1"/>
  <c r="I67" i="36"/>
  <c r="I82" i="5" l="1"/>
  <c r="I68" i="36"/>
  <c r="I83" i="5" l="1"/>
  <c r="I69" i="36"/>
  <c r="I84" i="5" l="1"/>
  <c r="I70" i="36"/>
  <c r="I85" i="5" l="1"/>
  <c r="I71" i="36"/>
  <c r="I86" i="5" l="1"/>
  <c r="I72" i="36"/>
  <c r="I87" i="5" l="1"/>
  <c r="I77" i="36"/>
  <c r="I88" i="5" l="1"/>
  <c r="I78" i="36"/>
  <c r="I89" i="5" l="1"/>
  <c r="I81" i="36"/>
  <c r="I90" i="5" l="1"/>
  <c r="I82" i="36"/>
  <c r="I91" i="5" l="1"/>
  <c r="I85" i="36"/>
  <c r="I92" i="5" l="1"/>
  <c r="I86" i="36"/>
  <c r="I93" i="5" l="1"/>
  <c r="I87" i="36"/>
  <c r="I94" i="5" l="1"/>
  <c r="I88" i="36"/>
  <c r="I95" i="5" l="1"/>
  <c r="I90" i="36"/>
  <c r="I89" i="36"/>
  <c r="I96" i="5" l="1"/>
  <c r="I91" i="36"/>
  <c r="I92" i="36"/>
  <c r="I97" i="5" l="1"/>
  <c r="I93" i="36"/>
  <c r="I98" i="5" l="1"/>
  <c r="I94" i="36"/>
  <c r="I99" i="5" l="1"/>
  <c r="I96" i="36"/>
  <c r="I100" i="5" l="1"/>
  <c r="I97" i="36"/>
  <c r="I101" i="5" l="1"/>
  <c r="I98" i="36"/>
  <c r="I102" i="5" l="1"/>
  <c r="I99" i="36"/>
  <c r="I103" i="5" l="1"/>
  <c r="I100" i="36"/>
  <c r="I104" i="5" l="1"/>
  <c r="I101" i="36"/>
  <c r="I102" i="36"/>
  <c r="I105" i="5" l="1"/>
  <c r="I103" i="36"/>
  <c r="I106" i="5" l="1"/>
  <c r="I104" i="36"/>
  <c r="I105" i="36"/>
  <c r="I106" i="36" l="1"/>
  <c r="I107" i="5" l="1"/>
  <c r="I108" i="36"/>
  <c r="I107" i="36"/>
  <c r="I108" i="5" l="1"/>
  <c r="I109" i="36"/>
  <c r="I109" i="5" l="1"/>
  <c r="I110" i="36"/>
  <c r="I110" i="5" l="1"/>
  <c r="I111" i="36"/>
  <c r="I112" i="36" l="1"/>
  <c r="I111" i="5" l="1"/>
  <c r="I113" i="36"/>
  <c r="I112" i="5" l="1"/>
  <c r="I114" i="36"/>
  <c r="I113" i="5" l="1"/>
  <c r="I115" i="36"/>
  <c r="I116" i="5" l="1"/>
  <c r="I115" i="5"/>
  <c r="I114" i="5"/>
  <c r="I116" i="36"/>
  <c r="I117" i="36" l="1"/>
  <c r="N99" i="5" l="1"/>
  <c r="N33" i="5"/>
  <c r="N27" i="5"/>
  <c r="N30" i="5"/>
  <c r="I118" i="36"/>
  <c r="I119" i="36" l="1"/>
  <c r="I120" i="36" l="1"/>
  <c r="I121" i="36" l="1"/>
  <c r="I122" i="36" l="1"/>
  <c r="I123" i="36" l="1"/>
  <c r="I124" i="36" l="1"/>
  <c r="I125" i="36" l="1"/>
  <c r="I126" i="36" l="1"/>
  <c r="I127" i="36" l="1"/>
  <c r="I128" i="36" l="1"/>
  <c r="I129" i="36" l="1"/>
  <c r="I130" i="36" l="1"/>
  <c r="I131" i="36" l="1"/>
  <c r="I132" i="36" l="1"/>
  <c r="I133" i="36" l="1"/>
  <c r="I134" i="36" l="1"/>
  <c r="I135" i="36" l="1"/>
  <c r="I136" i="36"/>
  <c r="I137" i="36" l="1"/>
  <c r="I138" i="36" l="1"/>
  <c r="I139" i="36" l="1"/>
  <c r="I140" i="36" l="1"/>
  <c r="I141" i="36" l="1"/>
  <c r="I142" i="36" l="1"/>
  <c r="I143" i="36" l="1"/>
  <c r="I144" i="36" l="1"/>
  <c r="I145" i="36" l="1"/>
  <c r="I146" i="36" l="1"/>
  <c r="I147" i="36" l="1"/>
  <c r="I148" i="36" l="1"/>
  <c r="I149" i="36" l="1"/>
  <c r="I150" i="36" l="1"/>
  <c r="I151" i="36" l="1"/>
  <c r="I152" i="36" l="1"/>
  <c r="I153" i="36" l="1"/>
  <c r="I154" i="36" l="1"/>
  <c r="I155" i="36" l="1"/>
  <c r="I156" i="36" l="1"/>
  <c r="I157" i="36" l="1"/>
  <c r="I158" i="36" l="1"/>
  <c r="I159" i="36" l="1"/>
  <c r="I160" i="36" l="1"/>
  <c r="I161" i="36" l="1"/>
  <c r="I162" i="36" l="1"/>
  <c r="I163" i="36" l="1"/>
  <c r="I164" i="36" l="1"/>
  <c r="I165" i="36" l="1"/>
  <c r="I166" i="36" l="1"/>
  <c r="I171" i="36" l="1"/>
  <c r="I172" i="36" l="1"/>
  <c r="I173" i="36" l="1"/>
  <c r="I174" i="36" l="1"/>
  <c r="I175" i="36" l="1"/>
  <c r="I176" i="36"/>
  <c r="I177" i="36" l="1"/>
  <c r="I178" i="36" l="1"/>
  <c r="I179" i="36" l="1"/>
  <c r="I180" i="36" l="1"/>
  <c r="I181" i="36" l="1"/>
  <c r="I182" i="36" l="1"/>
  <c r="I183" i="36"/>
  <c r="I184" i="36" l="1"/>
  <c r="I185" i="36" l="1"/>
  <c r="I186" i="36" l="1"/>
  <c r="I187" i="36" l="1"/>
  <c r="I188" i="36" l="1"/>
  <c r="I189" i="36" l="1"/>
  <c r="I190" i="36" l="1"/>
  <c r="I191" i="36" l="1"/>
  <c r="I192" i="36" l="1"/>
  <c r="I193" i="36" l="1"/>
  <c r="I194" i="36" l="1"/>
  <c r="I195" i="36" l="1"/>
  <c r="I196" i="36" l="1"/>
  <c r="I197" i="36" l="1"/>
  <c r="I198" i="36" l="1"/>
  <c r="I199" i="36" l="1"/>
  <c r="I200" i="36" l="1"/>
  <c r="I201" i="36" l="1"/>
  <c r="I202" i="36" l="1"/>
  <c r="I203" i="36" l="1"/>
  <c r="I204" i="36" l="1"/>
  <c r="I205" i="36" l="1"/>
  <c r="I206" i="36" l="1"/>
  <c r="I207" i="36" l="1"/>
  <c r="I208" i="36" l="1"/>
  <c r="I209" i="36" l="1"/>
  <c r="I210" i="36" l="1"/>
  <c r="I211" i="36" l="1"/>
  <c r="I212" i="36" l="1"/>
  <c r="I213" i="36" l="1"/>
  <c r="I214" i="36" l="1"/>
  <c r="I215" i="36" l="1"/>
  <c r="I216" i="36" l="1"/>
  <c r="I217" i="36" l="1"/>
  <c r="I218" i="36" l="1"/>
  <c r="I219" i="36" l="1"/>
  <c r="I220" i="36" l="1"/>
  <c r="I221" i="36" l="1"/>
  <c r="I222" i="36" l="1"/>
  <c r="I223" i="36" l="1"/>
  <c r="I224" i="36" l="1"/>
  <c r="I225" i="36" l="1"/>
  <c r="I226" i="36" l="1"/>
  <c r="I227" i="36" l="1"/>
  <c r="I228" i="36" l="1"/>
  <c r="I229" i="36" l="1"/>
  <c r="I230" i="36" l="1"/>
  <c r="I231" i="36" l="1"/>
  <c r="I232" i="36" l="1"/>
  <c r="I233" i="36" l="1"/>
  <c r="I234" i="36" l="1"/>
  <c r="I235" i="36" l="1"/>
  <c r="I236" i="36" l="1"/>
  <c r="I237" i="36" l="1"/>
  <c r="I238" i="36" l="1"/>
  <c r="I239" i="36" l="1"/>
  <c r="I240" i="36" l="1"/>
  <c r="I241" i="36" l="1"/>
  <c r="I242" i="36" l="1"/>
  <c r="I243" i="36" l="1"/>
  <c r="I244" i="36" l="1"/>
  <c r="I245" i="36" l="1"/>
  <c r="I246" i="36" l="1"/>
  <c r="I247" i="36" l="1"/>
  <c r="I248" i="36" l="1"/>
  <c r="I249" i="36" l="1"/>
  <c r="I250" i="36" l="1"/>
  <c r="I256" i="36" l="1"/>
  <c r="I257" i="36" l="1"/>
  <c r="I258" i="36" l="1"/>
  <c r="I259" i="36" l="1"/>
  <c r="I260" i="36" l="1"/>
  <c r="I261" i="36" l="1"/>
  <c r="I262" i="36" l="1"/>
  <c r="I263" i="36" l="1"/>
  <c r="I264" i="36" l="1"/>
  <c r="I265" i="36" l="1"/>
  <c r="I266" i="36" l="1"/>
  <c r="I267" i="36" l="1"/>
  <c r="I268" i="36" l="1"/>
  <c r="I269" i="36" l="1"/>
  <c r="I270" i="36" l="1"/>
  <c r="I271" i="36" l="1"/>
  <c r="I272" i="36" l="1"/>
  <c r="I273" i="36" l="1"/>
  <c r="I274" i="36" l="1"/>
  <c r="I275" i="36" l="1"/>
  <c r="I276" i="36" l="1"/>
  <c r="I277" i="36" l="1"/>
  <c r="I278" i="36" l="1"/>
  <c r="I279" i="36" l="1"/>
  <c r="I280" i="36" l="1"/>
  <c r="I281" i="36" l="1"/>
  <c r="I282" i="36" l="1"/>
  <c r="I283" i="36" l="1"/>
  <c r="I284" i="36" l="1"/>
  <c r="I285" i="36" l="1"/>
  <c r="I286" i="36" l="1"/>
  <c r="I288" i="36" l="1"/>
  <c r="I289" i="36" l="1"/>
  <c r="I290" i="36" l="1"/>
  <c r="I291" i="36" l="1"/>
  <c r="I292" i="36" l="1"/>
  <c r="I294" i="36" l="1"/>
  <c r="I293" i="36"/>
  <c r="I295" i="36" l="1"/>
  <c r="I296" i="36" l="1"/>
  <c r="I297" i="36"/>
  <c r="I298" i="36" l="1"/>
  <c r="I299" i="36" l="1"/>
  <c r="I300" i="36" l="1"/>
  <c r="I301" i="36" l="1"/>
  <c r="I302" i="36" l="1"/>
  <c r="I303" i="36" l="1"/>
  <c r="I304" i="36" l="1"/>
  <c r="I305" i="36" l="1"/>
  <c r="I306" i="36" l="1"/>
  <c r="I307" i="36" l="1"/>
  <c r="I308" i="36" l="1"/>
  <c r="I309" i="36" l="1"/>
  <c r="I310" i="36"/>
  <c r="I311" i="36" l="1"/>
  <c r="I312" i="36" l="1"/>
  <c r="I313" i="36" l="1"/>
  <c r="I314" i="36" l="1"/>
  <c r="I315" i="36" l="1"/>
  <c r="I316" i="36" l="1"/>
  <c r="I317" i="36" l="1"/>
  <c r="I318" i="36" l="1"/>
  <c r="I319" i="36" l="1"/>
  <c r="I320" i="36" l="1"/>
  <c r="I321" i="36" l="1"/>
  <c r="I322" i="36" l="1"/>
  <c r="I323" i="36" l="1"/>
  <c r="I324" i="36" l="1"/>
  <c r="I325" i="36" l="1"/>
  <c r="I326" i="36" l="1"/>
  <c r="I327" i="36" l="1"/>
  <c r="I328" i="36" l="1"/>
  <c r="I329" i="36" l="1"/>
  <c r="I330" i="36" l="1"/>
  <c r="I331" i="36" l="1"/>
  <c r="I332" i="36" l="1"/>
  <c r="I333" i="36" l="1"/>
  <c r="I334" i="36" l="1"/>
  <c r="I335" i="36" l="1"/>
  <c r="I336" i="36" l="1"/>
  <c r="I337" i="36" l="1"/>
  <c r="I338" i="36" l="1"/>
  <c r="I339" i="36" l="1"/>
  <c r="I340" i="36" l="1"/>
  <c r="I341" i="36" l="1"/>
  <c r="D47" i="4"/>
  <c r="D23" i="4"/>
  <c r="D41" i="4"/>
  <c r="D32" i="4"/>
  <c r="D30" i="4"/>
  <c r="B36" i="4"/>
  <c r="D17" i="4"/>
  <c r="G62" i="2"/>
  <c r="G61" i="2"/>
  <c r="G60" i="2"/>
  <c r="G59" i="2"/>
  <c r="G58" i="2"/>
  <c r="I342" i="36" l="1"/>
  <c r="G64" i="2"/>
  <c r="D33" i="4"/>
  <c r="C3" i="35"/>
  <c r="C2" i="35"/>
  <c r="C1" i="35"/>
  <c r="E149" i="35"/>
  <c r="G149" i="35" s="1"/>
  <c r="G148" i="35" s="1"/>
  <c r="C149" i="35"/>
  <c r="B148" i="35"/>
  <c r="G146" i="35"/>
  <c r="G145" i="35"/>
  <c r="G144" i="35"/>
  <c r="G143" i="35"/>
  <c r="G142" i="35"/>
  <c r="C143" i="35"/>
  <c r="C144" i="35" s="1"/>
  <c r="C145" i="35" s="1"/>
  <c r="C146" i="35" s="1"/>
  <c r="G118" i="35"/>
  <c r="G117" i="35"/>
  <c r="G116" i="35"/>
  <c r="G115" i="35"/>
  <c r="G114" i="35"/>
  <c r="G113" i="35"/>
  <c r="G112" i="35"/>
  <c r="G94" i="35"/>
  <c r="G93" i="35"/>
  <c r="G92" i="35"/>
  <c r="G91" i="35"/>
  <c r="G90" i="35"/>
  <c r="G89" i="35"/>
  <c r="G88" i="35"/>
  <c r="G87" i="35"/>
  <c r="G86" i="35"/>
  <c r="G85" i="35"/>
  <c r="G84" i="35"/>
  <c r="G83" i="35"/>
  <c r="G82" i="35"/>
  <c r="G81" i="35"/>
  <c r="G80" i="35"/>
  <c r="G79" i="35"/>
  <c r="G103" i="35"/>
  <c r="G102" i="35"/>
  <c r="G101" i="35"/>
  <c r="G100" i="35"/>
  <c r="G99" i="35"/>
  <c r="G98" i="35"/>
  <c r="G97" i="35"/>
  <c r="G96" i="35"/>
  <c r="C97" i="35"/>
  <c r="C98" i="35" s="1"/>
  <c r="C99" i="35" s="1"/>
  <c r="C100" i="35" s="1"/>
  <c r="C101" i="35" s="1"/>
  <c r="C102" i="35" s="1"/>
  <c r="C103" i="35" s="1"/>
  <c r="G77" i="35"/>
  <c r="G76" i="35"/>
  <c r="G75" i="35"/>
  <c r="G74" i="35"/>
  <c r="G73" i="35"/>
  <c r="G71" i="35"/>
  <c r="G70" i="35"/>
  <c r="G69" i="35"/>
  <c r="G68" i="35"/>
  <c r="G67" i="35"/>
  <c r="C68" i="35"/>
  <c r="C69" i="35" s="1"/>
  <c r="C70" i="35" s="1"/>
  <c r="G17" i="35"/>
  <c r="G16" i="35"/>
  <c r="G15" i="35"/>
  <c r="G14" i="35"/>
  <c r="B13" i="35"/>
  <c r="B14" i="35" s="1"/>
  <c r="B15" i="35" s="1"/>
  <c r="B16" i="35" s="1"/>
  <c r="B17" i="35" s="1"/>
  <c r="B18" i="35" s="1"/>
  <c r="B19" i="35" s="1"/>
  <c r="B20" i="35" s="1"/>
  <c r="B21" i="35" s="1"/>
  <c r="B22" i="35" s="1"/>
  <c r="B23" i="35" s="1"/>
  <c r="B24" i="35" s="1"/>
  <c r="B25" i="35" s="1"/>
  <c r="B26" i="35" s="1"/>
  <c r="B27" i="35" s="1"/>
  <c r="B28" i="35" s="1"/>
  <c r="B29" i="35" s="1"/>
  <c r="B30" i="35" s="1"/>
  <c r="B31" i="35" s="1"/>
  <c r="B32" i="35" s="1"/>
  <c r="B33" i="35" s="1"/>
  <c r="B34" i="35" s="1"/>
  <c r="B35" i="35" s="1"/>
  <c r="B36" i="35" s="1"/>
  <c r="B37" i="35" s="1"/>
  <c r="B38" i="35" s="1"/>
  <c r="B39" i="35" s="1"/>
  <c r="B40" i="35" s="1"/>
  <c r="B41" i="35" s="1"/>
  <c r="B42" i="35" s="1"/>
  <c r="B43" i="35" s="1"/>
  <c r="B44" i="35" s="1"/>
  <c r="B45" i="35" s="1"/>
  <c r="B46" i="35" s="1"/>
  <c r="B47" i="35" s="1"/>
  <c r="B48" i="35" s="1"/>
  <c r="B49" i="35" s="1"/>
  <c r="B50" i="35" s="1"/>
  <c r="B51" i="35" s="1"/>
  <c r="B52" i="35" s="1"/>
  <c r="B53" i="35" s="1"/>
  <c r="B54" i="35" s="1"/>
  <c r="B55" i="35" s="1"/>
  <c r="B56" i="35" s="1"/>
  <c r="B57" i="35" s="1"/>
  <c r="B58" i="35" s="1"/>
  <c r="B59" i="35" s="1"/>
  <c r="B60" i="35" s="1"/>
  <c r="B61" i="35" s="1"/>
  <c r="B62" i="35" s="1"/>
  <c r="B63" i="35" s="1"/>
  <c r="D3" i="34"/>
  <c r="D2" i="34"/>
  <c r="D1" i="34"/>
  <c r="F47" i="34"/>
  <c r="F46" i="34"/>
  <c r="F45" i="34"/>
  <c r="P44" i="34"/>
  <c r="O44" i="34"/>
  <c r="N44" i="34"/>
  <c r="M44" i="34"/>
  <c r="K44" i="34"/>
  <c r="J44" i="34"/>
  <c r="I44" i="34"/>
  <c r="H44" i="34"/>
  <c r="P43" i="34"/>
  <c r="O43" i="34"/>
  <c r="N43" i="34"/>
  <c r="M43" i="34"/>
  <c r="K43" i="34"/>
  <c r="J43" i="34"/>
  <c r="I43" i="34"/>
  <c r="H43" i="34"/>
  <c r="P42" i="34"/>
  <c r="O42" i="34"/>
  <c r="N42" i="34"/>
  <c r="M42" i="34"/>
  <c r="K42" i="34"/>
  <c r="J42" i="34"/>
  <c r="I42" i="34"/>
  <c r="H42" i="34"/>
  <c r="P41" i="34"/>
  <c r="O41" i="34"/>
  <c r="N41" i="34"/>
  <c r="M41" i="34"/>
  <c r="K41" i="34"/>
  <c r="J41" i="34"/>
  <c r="I41" i="34"/>
  <c r="H41" i="34"/>
  <c r="P40" i="34"/>
  <c r="O40" i="34"/>
  <c r="N40" i="34"/>
  <c r="M40" i="34"/>
  <c r="K40" i="34"/>
  <c r="J40" i="34"/>
  <c r="I40" i="34"/>
  <c r="H40" i="34"/>
  <c r="P39" i="34"/>
  <c r="O39" i="34"/>
  <c r="N39" i="34"/>
  <c r="M39" i="34"/>
  <c r="K39" i="34"/>
  <c r="J39" i="34"/>
  <c r="I39" i="34"/>
  <c r="H39" i="34"/>
  <c r="P35" i="34"/>
  <c r="O35" i="34"/>
  <c r="N35" i="34"/>
  <c r="M35" i="34"/>
  <c r="K35" i="34"/>
  <c r="J35" i="34"/>
  <c r="I35" i="34"/>
  <c r="H35" i="34"/>
  <c r="P34" i="34"/>
  <c r="O34" i="34"/>
  <c r="N34" i="34"/>
  <c r="M34" i="34"/>
  <c r="K34" i="34"/>
  <c r="J34" i="34"/>
  <c r="I34" i="34"/>
  <c r="H34" i="34"/>
  <c r="P33" i="34"/>
  <c r="O33" i="34"/>
  <c r="N33" i="34"/>
  <c r="M33" i="34"/>
  <c r="K33" i="34"/>
  <c r="J33" i="34"/>
  <c r="I33" i="34"/>
  <c r="H33" i="34"/>
  <c r="P38" i="34"/>
  <c r="O38" i="34"/>
  <c r="N38" i="34"/>
  <c r="M38" i="34"/>
  <c r="K38" i="34"/>
  <c r="J38" i="34"/>
  <c r="I38" i="34"/>
  <c r="H38" i="34"/>
  <c r="F31" i="34"/>
  <c r="F30" i="34"/>
  <c r="F29" i="34"/>
  <c r="F26" i="34"/>
  <c r="F25" i="34"/>
  <c r="F24" i="34"/>
  <c r="F23" i="34"/>
  <c r="F22" i="34"/>
  <c r="F21" i="34"/>
  <c r="F20" i="34"/>
  <c r="F19" i="34"/>
  <c r="F18" i="34"/>
  <c r="F17" i="34"/>
  <c r="F16" i="34"/>
  <c r="F15" i="34"/>
  <c r="F13" i="34"/>
  <c r="F12" i="34"/>
  <c r="F11" i="34"/>
  <c r="F10" i="34"/>
  <c r="F9" i="34"/>
  <c r="C9" i="34"/>
  <c r="C10" i="34" s="1"/>
  <c r="C12" i="34" s="1"/>
  <c r="F8" i="34"/>
  <c r="S35" i="34" l="1"/>
  <c r="S38" i="34"/>
  <c r="S33" i="34"/>
  <c r="S34" i="34"/>
  <c r="S39" i="34"/>
  <c r="N93" i="5"/>
  <c r="G95" i="35"/>
  <c r="G78" i="35"/>
  <c r="G111" i="35"/>
  <c r="G141" i="35"/>
  <c r="N69" i="5"/>
  <c r="I344" i="36"/>
  <c r="I343" i="36"/>
  <c r="S41" i="34"/>
  <c r="S40" i="34"/>
  <c r="S42" i="34"/>
  <c r="S44" i="34"/>
  <c r="S43" i="34"/>
  <c r="C6" i="35"/>
  <c r="C71" i="35"/>
  <c r="C73" i="35" s="1"/>
  <c r="C74" i="35" s="1"/>
  <c r="C75" i="35" s="1"/>
  <c r="C76" i="35" s="1"/>
  <c r="C77" i="35" s="1"/>
  <c r="C72" i="35"/>
  <c r="C15" i="35"/>
  <c r="C16" i="35" s="1"/>
  <c r="C17" i="35" s="1"/>
  <c r="C8" i="35"/>
  <c r="C82" i="35"/>
  <c r="C83" i="35" s="1"/>
  <c r="C84" i="35" s="1"/>
  <c r="C85" i="35" s="1"/>
  <c r="C86" i="35" s="1"/>
  <c r="C87" i="35" s="1"/>
  <c r="C88" i="35" s="1"/>
  <c r="C89" i="35" s="1"/>
  <c r="C90" i="35" s="1"/>
  <c r="C91" i="35" s="1"/>
  <c r="C92" i="35" s="1"/>
  <c r="C93" i="35" s="1"/>
  <c r="C94" i="35" s="1"/>
  <c r="F41" i="34"/>
  <c r="C11" i="34"/>
  <c r="C13" i="34" s="1"/>
  <c r="F38" i="34"/>
  <c r="B69" i="35"/>
  <c r="B70" i="35" s="1"/>
  <c r="G147" i="35"/>
  <c r="G66" i="35"/>
  <c r="C114" i="35"/>
  <c r="C116" i="35"/>
  <c r="C113" i="35"/>
  <c r="C117" i="35" s="1"/>
  <c r="C115" i="35"/>
  <c r="B149" i="35"/>
  <c r="F37" i="34"/>
  <c r="F43" i="34"/>
  <c r="F44" i="34"/>
  <c r="F32" i="34"/>
  <c r="F42" i="34"/>
  <c r="F33" i="34"/>
  <c r="F34" i="34"/>
  <c r="F35" i="34"/>
  <c r="F39" i="34"/>
  <c r="F40" i="34"/>
  <c r="C26" i="34"/>
  <c r="M321" i="36" l="1"/>
  <c r="M375" i="36"/>
  <c r="N375" i="36" s="1"/>
  <c r="N67" i="5"/>
  <c r="N65" i="5" s="1"/>
  <c r="N24" i="5"/>
  <c r="N39" i="5"/>
  <c r="N40" i="5"/>
  <c r="N18" i="5"/>
  <c r="N26" i="5"/>
  <c r="N25" i="5"/>
  <c r="N38" i="5"/>
  <c r="N14" i="5"/>
  <c r="N15" i="5"/>
  <c r="N13" i="5"/>
  <c r="N21" i="5"/>
  <c r="N98" i="5"/>
  <c r="N22" i="5"/>
  <c r="N63" i="5"/>
  <c r="N12" i="5"/>
  <c r="N11" i="5"/>
  <c r="N47" i="5"/>
  <c r="N97" i="5"/>
  <c r="N96" i="5" s="1"/>
  <c r="N17" i="5"/>
  <c r="N16" i="5" s="1"/>
  <c r="N20" i="5"/>
  <c r="N23" i="5"/>
  <c r="N19" i="5"/>
  <c r="N35" i="5"/>
  <c r="C118" i="35"/>
  <c r="C120" i="35" s="1"/>
  <c r="C122" i="35" s="1"/>
  <c r="C119" i="35"/>
  <c r="C121" i="35" s="1"/>
  <c r="B71" i="35"/>
  <c r="B73" i="35" s="1"/>
  <c r="B74" i="35" s="1"/>
  <c r="B75" i="35" s="1"/>
  <c r="B76" i="35" s="1"/>
  <c r="B72" i="35"/>
  <c r="G13" i="35"/>
  <c r="G12" i="35" s="1"/>
  <c r="G65" i="35"/>
  <c r="C9" i="35"/>
  <c r="N321" i="36"/>
  <c r="N9" i="5" l="1"/>
  <c r="B77" i="35"/>
  <c r="B78" i="35" s="1"/>
  <c r="B79" i="35" s="1"/>
  <c r="B80" i="35" s="1"/>
  <c r="B81" i="35" s="1"/>
  <c r="B82" i="35" s="1"/>
  <c r="B83" i="35" s="1"/>
  <c r="B84" i="35" s="1"/>
  <c r="B85" i="35" s="1"/>
  <c r="B86" i="35" s="1"/>
  <c r="B87" i="35" s="1"/>
  <c r="B88" i="35" s="1"/>
  <c r="B89" i="35" s="1"/>
  <c r="B90" i="35" s="1"/>
  <c r="B91" i="35" s="1"/>
  <c r="B92" i="35" s="1"/>
  <c r="B93" i="35" s="1"/>
  <c r="B94" i="35" s="1"/>
  <c r="B95" i="35" s="1"/>
  <c r="B96" i="35" s="1"/>
  <c r="B97" i="35" s="1"/>
  <c r="B98" i="35" s="1"/>
  <c r="N10" i="5"/>
  <c r="N46" i="5"/>
  <c r="N45" i="5" s="1"/>
  <c r="N94" i="5"/>
  <c r="N32" i="5"/>
  <c r="N8" i="5"/>
  <c r="I345" i="36"/>
  <c r="I349" i="36" l="1"/>
  <c r="B99" i="35"/>
  <c r="B100" i="35" s="1"/>
  <c r="B101" i="35" s="1"/>
  <c r="B102" i="35" s="1"/>
  <c r="B103" i="35" s="1"/>
  <c r="B104" i="35" s="1"/>
  <c r="B105" i="35" s="1"/>
  <c r="B106" i="35" s="1"/>
  <c r="B107" i="35" s="1"/>
  <c r="B108" i="35" s="1"/>
  <c r="B109" i="35" s="1"/>
  <c r="B110" i="35" s="1"/>
  <c r="B111" i="35" s="1"/>
  <c r="B112" i="35" s="1"/>
  <c r="B113" i="35" s="1"/>
  <c r="B114" i="35" s="1"/>
  <c r="B115" i="35" s="1"/>
  <c r="B116" i="35" s="1"/>
  <c r="B117" i="35" s="1"/>
  <c r="B118" i="35" s="1"/>
  <c r="B119" i="35" s="1"/>
  <c r="B120" i="35" s="1"/>
  <c r="B121" i="35" s="1"/>
  <c r="B122" i="35" s="1"/>
  <c r="B123" i="35" s="1"/>
  <c r="B124" i="35" s="1"/>
  <c r="B125" i="35" s="1"/>
  <c r="B126" i="35" s="1"/>
  <c r="B127" i="35" s="1"/>
  <c r="B128" i="35" s="1"/>
  <c r="B129" i="35" s="1"/>
  <c r="B130" i="35" s="1"/>
  <c r="B131" i="35" s="1"/>
  <c r="B132" i="35" s="1"/>
  <c r="B133" i="35" s="1"/>
  <c r="B134" i="35" s="1"/>
  <c r="B135" i="35" s="1"/>
  <c r="B136" i="35" s="1"/>
  <c r="B137" i="35" s="1"/>
  <c r="B138" i="35" s="1"/>
  <c r="B139" i="35" s="1"/>
  <c r="B140" i="35" s="1"/>
  <c r="B141" i="35" s="1"/>
  <c r="B142" i="35" s="1"/>
  <c r="B143" i="35" s="1"/>
  <c r="B144" i="35" s="1"/>
  <c r="B145" i="35" s="1"/>
  <c r="D1" i="33"/>
  <c r="D2" i="33"/>
  <c r="D3" i="33"/>
  <c r="I123" i="33"/>
  <c r="I122" i="33"/>
  <c r="I121" i="33"/>
  <c r="I350" i="36" l="1"/>
  <c r="L281" i="36"/>
  <c r="N281" i="36" s="1"/>
  <c r="I119" i="33"/>
  <c r="I125" i="33"/>
  <c r="I124" i="33"/>
  <c r="I351" i="36" l="1"/>
  <c r="L285" i="36"/>
  <c r="N285" i="36" s="1"/>
  <c r="L300" i="36"/>
  <c r="N300" i="36" s="1"/>
  <c r="L283" i="36"/>
  <c r="N283" i="36" s="1"/>
  <c r="B64" i="35"/>
  <c r="I352" i="36" l="1"/>
  <c r="D25" i="4"/>
  <c r="I353" i="36" l="1"/>
  <c r="B146" i="35"/>
  <c r="D54" i="4"/>
  <c r="N75" i="5"/>
  <c r="N76" i="5"/>
  <c r="D18" i="4"/>
  <c r="D62" i="4"/>
  <c r="D36" i="4"/>
  <c r="N73" i="5" l="1"/>
  <c r="M74" i="5"/>
  <c r="N74" i="5" s="1"/>
  <c r="I354" i="36"/>
  <c r="N95" i="5"/>
  <c r="N82" i="5"/>
  <c r="N81" i="5"/>
  <c r="N85" i="5"/>
  <c r="N80" i="5"/>
  <c r="N84" i="5"/>
  <c r="N87" i="5"/>
  <c r="N79" i="5"/>
  <c r="N78" i="5"/>
  <c r="N83" i="5"/>
  <c r="N52" i="5"/>
  <c r="N64" i="5"/>
  <c r="N62" i="5" s="1"/>
  <c r="N51" i="5"/>
  <c r="N53" i="5"/>
  <c r="B1" i="2"/>
  <c r="B2" i="2"/>
  <c r="B3" i="2"/>
  <c r="P6" i="2"/>
  <c r="B1" i="4"/>
  <c r="B2" i="4"/>
  <c r="B3" i="4"/>
  <c r="E47" i="2"/>
  <c r="E46" i="2"/>
  <c r="E45" i="2"/>
  <c r="E44" i="2"/>
  <c r="E43" i="2"/>
  <c r="E42" i="2"/>
  <c r="E41" i="2"/>
  <c r="E40" i="2"/>
  <c r="E39" i="2"/>
  <c r="D13" i="2"/>
  <c r="D10" i="2"/>
  <c r="D8" i="2"/>
  <c r="N92" i="5" l="1"/>
  <c r="N50" i="5"/>
  <c r="I355" i="36"/>
  <c r="N86" i="5" l="1"/>
  <c r="I356" i="36"/>
  <c r="I357" i="36" l="1"/>
  <c r="I358" i="36" l="1"/>
  <c r="I359" i="36" l="1"/>
  <c r="I360" i="36" l="1"/>
  <c r="I361" i="36" l="1"/>
  <c r="I362" i="36" l="1"/>
  <c r="I363" i="36" l="1"/>
  <c r="E48" i="2"/>
  <c r="E37" i="2"/>
  <c r="E38" i="2"/>
  <c r="E36" i="2"/>
  <c r="E50" i="2"/>
  <c r="I364" i="36" l="1"/>
  <c r="G50" i="2"/>
  <c r="I365" i="36" l="1"/>
  <c r="G39" i="2"/>
  <c r="G48" i="2"/>
  <c r="G38" i="2"/>
  <c r="G37" i="2"/>
  <c r="G47" i="2"/>
  <c r="G43" i="2"/>
  <c r="G41" i="2"/>
  <c r="G42" i="2"/>
  <c r="G45" i="2"/>
  <c r="G46" i="2"/>
  <c r="G36" i="2"/>
  <c r="G44" i="2"/>
  <c r="G40" i="2"/>
  <c r="E49" i="2"/>
  <c r="G49" i="2" s="1"/>
  <c r="I366" i="36" l="1"/>
  <c r="G51" i="2"/>
  <c r="P54" i="2"/>
  <c r="P52" i="2"/>
  <c r="I367" i="36" l="1"/>
  <c r="D14" i="2"/>
  <c r="D12" i="2"/>
  <c r="I368" i="36" l="1"/>
  <c r="I369" i="36" l="1"/>
  <c r="I370" i="36" l="1"/>
  <c r="D21" i="2"/>
  <c r="I371" i="36" l="1"/>
  <c r="I372" i="36" l="1"/>
  <c r="I373" i="36"/>
  <c r="I374" i="36" l="1"/>
  <c r="I375" i="36" l="1"/>
  <c r="I376" i="36" l="1"/>
  <c r="I377" i="36" l="1"/>
  <c r="B42" i="4"/>
  <c r="B49" i="4"/>
  <c r="B55" i="4"/>
  <c r="I378" i="36" l="1"/>
  <c r="M104" i="5"/>
  <c r="D55" i="4"/>
  <c r="M115" i="5" l="1"/>
  <c r="N115" i="5" s="1"/>
  <c r="I6" i="44" s="1"/>
  <c r="J6" i="44" s="1"/>
  <c r="M116" i="5"/>
  <c r="N116" i="5" s="1"/>
  <c r="I7" i="44" s="1"/>
  <c r="J7" i="44" s="1"/>
  <c r="N110" i="5"/>
  <c r="N55" i="5"/>
  <c r="N113" i="5"/>
  <c r="N111" i="5"/>
  <c r="N61" i="5"/>
  <c r="N107" i="5"/>
  <c r="N109" i="5"/>
  <c r="N56" i="5"/>
  <c r="N108" i="5"/>
  <c r="N114" i="5"/>
  <c r="N106" i="5"/>
  <c r="N112" i="5"/>
  <c r="N57" i="5"/>
  <c r="N58" i="5"/>
  <c r="N60" i="5"/>
  <c r="N104" i="5"/>
  <c r="I379" i="36"/>
  <c r="I5" i="44" l="1"/>
  <c r="M403" i="36"/>
  <c r="J5" i="44"/>
  <c r="J3" i="44"/>
  <c r="N105" i="5"/>
  <c r="N102" i="5"/>
  <c r="N103" i="5"/>
  <c r="N101" i="5"/>
  <c r="I380" i="36"/>
  <c r="I381" i="36" l="1"/>
  <c r="I382" i="36" l="1"/>
  <c r="I383" i="36" l="1"/>
  <c r="I384" i="36" l="1"/>
  <c r="D15" i="2"/>
  <c r="D16" i="2"/>
  <c r="D49" i="4"/>
  <c r="D42" i="4"/>
  <c r="P59" i="2"/>
  <c r="F30" i="2"/>
  <c r="F29" i="2"/>
  <c r="D28" i="2"/>
  <c r="F28" i="2" s="1"/>
  <c r="D25" i="2"/>
  <c r="F25" i="2" s="1"/>
  <c r="F24" i="2"/>
  <c r="F23" i="2"/>
  <c r="F22" i="2"/>
  <c r="F21" i="2"/>
  <c r="P11" i="2"/>
  <c r="N59" i="5" l="1"/>
  <c r="N54" i="5" s="1"/>
  <c r="N91" i="5"/>
  <c r="N90" i="5" s="1"/>
  <c r="I385" i="36"/>
  <c r="F31" i="2"/>
  <c r="F26" i="2"/>
  <c r="P12" i="2"/>
  <c r="P14" i="2" s="1"/>
  <c r="T4" i="2"/>
  <c r="P61" i="2"/>
  <c r="N89" i="5" l="1"/>
  <c r="N49" i="5"/>
  <c r="I386" i="36"/>
  <c r="P64" i="2"/>
  <c r="P33" i="2"/>
  <c r="P17" i="2"/>
  <c r="P31" i="2"/>
  <c r="P70" i="2"/>
  <c r="P34" i="2"/>
  <c r="P66" i="2"/>
  <c r="P20" i="2"/>
  <c r="N88" i="5" l="1"/>
  <c r="N77" i="5" s="1"/>
  <c r="M120" i="5" s="1"/>
  <c r="N48" i="5"/>
  <c r="M121" i="5"/>
  <c r="N68" i="5"/>
  <c r="M119" i="5" s="1"/>
  <c r="I387" i="36"/>
  <c r="N117" i="5" l="1"/>
  <c r="M118" i="5"/>
  <c r="I388" i="36"/>
  <c r="C32" i="21" l="1"/>
  <c r="Q117" i="5"/>
  <c r="I389" i="36"/>
  <c r="M122" i="5" l="1"/>
  <c r="E32" i="21"/>
  <c r="I390" i="36"/>
  <c r="I391" i="36" l="1"/>
  <c r="I392" i="36" l="1"/>
  <c r="I393" i="36" l="1"/>
  <c r="N390" i="36" l="1"/>
  <c r="N386" i="36"/>
  <c r="I394" i="36"/>
  <c r="N384" i="36" l="1"/>
  <c r="N10" i="36"/>
  <c r="N8" i="36"/>
  <c r="N9" i="36"/>
  <c r="N13" i="36"/>
  <c r="N12" i="36"/>
  <c r="N14" i="36"/>
  <c r="N18" i="36"/>
  <c r="N20" i="36"/>
  <c r="N21" i="36"/>
  <c r="N22" i="36"/>
  <c r="N30" i="36"/>
  <c r="N39" i="36"/>
  <c r="N46" i="36"/>
  <c r="N43" i="36"/>
  <c r="N50" i="36"/>
  <c r="N49" i="36"/>
  <c r="N51" i="36"/>
  <c r="O51" i="36" s="1"/>
  <c r="N55" i="36"/>
  <c r="N58" i="36"/>
  <c r="O58" i="36" s="1"/>
  <c r="N62" i="36"/>
  <c r="N67" i="36"/>
  <c r="N66" i="36"/>
  <c r="N68" i="36"/>
  <c r="N71" i="36"/>
  <c r="N81" i="36"/>
  <c r="N77" i="36"/>
  <c r="N85" i="36"/>
  <c r="N87" i="36"/>
  <c r="N89" i="36"/>
  <c r="N98" i="36"/>
  <c r="N97" i="36"/>
  <c r="N102" i="36"/>
  <c r="O102" i="36" s="1"/>
  <c r="N105" i="36"/>
  <c r="O105" i="36" s="1"/>
  <c r="N109" i="36"/>
  <c r="O109" i="36" s="1"/>
  <c r="N114" i="36"/>
  <c r="N111" i="36"/>
  <c r="O111" i="36" s="1"/>
  <c r="N113" i="36"/>
  <c r="N115" i="36"/>
  <c r="O115" i="36" s="1"/>
  <c r="N117" i="36"/>
  <c r="O117" i="36" s="1"/>
  <c r="N119" i="36"/>
  <c r="O119" i="36" s="1"/>
  <c r="N121" i="36"/>
  <c r="O121" i="36" s="1"/>
  <c r="N123" i="36"/>
  <c r="O123" i="36" s="1"/>
  <c r="N125" i="36"/>
  <c r="O125" i="36" s="1"/>
  <c r="N130" i="36"/>
  <c r="N127" i="36"/>
  <c r="O127" i="36" s="1"/>
  <c r="N129" i="36"/>
  <c r="N131" i="36"/>
  <c r="O131" i="36" s="1"/>
  <c r="N138" i="36"/>
  <c r="O138" i="36" s="1"/>
  <c r="N144" i="36"/>
  <c r="O144" i="36" s="1"/>
  <c r="N143" i="36"/>
  <c r="N145" i="36"/>
  <c r="N150" i="36"/>
  <c r="N153" i="36"/>
  <c r="N152" i="36"/>
  <c r="N154" i="36"/>
  <c r="O154" i="36" s="1"/>
  <c r="N158" i="36"/>
  <c r="O158" i="36" s="1"/>
  <c r="N160" i="36"/>
  <c r="N172" i="36"/>
  <c r="N171" i="36"/>
  <c r="N176" i="36"/>
  <c r="N173" i="36"/>
  <c r="N178" i="36"/>
  <c r="O178" i="36" s="1"/>
  <c r="N182" i="36"/>
  <c r="N185" i="36"/>
  <c r="N188" i="36"/>
  <c r="N190" i="36"/>
  <c r="N194" i="36"/>
  <c r="N205" i="36"/>
  <c r="N207" i="36"/>
  <c r="N209" i="36"/>
  <c r="N257" i="36"/>
  <c r="N256" i="36"/>
  <c r="N258" i="36"/>
  <c r="N265" i="36"/>
  <c r="N262" i="36"/>
  <c r="N268" i="36"/>
  <c r="N277" i="36"/>
  <c r="N276" i="36"/>
  <c r="N278" i="36"/>
  <c r="N280" i="36"/>
  <c r="N282" i="36"/>
  <c r="N284" i="36"/>
  <c r="N286" i="36"/>
  <c r="N292" i="36"/>
  <c r="N291" i="36"/>
  <c r="N297" i="36"/>
  <c r="N299" i="36"/>
  <c r="N301" i="36"/>
  <c r="N303" i="36"/>
  <c r="N306" i="36"/>
  <c r="N305" i="36"/>
  <c r="N308" i="36"/>
  <c r="N312" i="36"/>
  <c r="N317" i="36"/>
  <c r="N314" i="36"/>
  <c r="N316" i="36"/>
  <c r="N318" i="36"/>
  <c r="N320" i="36"/>
  <c r="N322" i="36"/>
  <c r="N325" i="36"/>
  <c r="N324" i="36"/>
  <c r="N326" i="36"/>
  <c r="N328" i="36"/>
  <c r="N330" i="36"/>
  <c r="N333" i="36"/>
  <c r="N338" i="36"/>
  <c r="N335" i="36"/>
  <c r="N337" i="36"/>
  <c r="N339" i="36"/>
  <c r="N343" i="36"/>
  <c r="N349" i="36"/>
  <c r="N353" i="36"/>
  <c r="O354" i="36" s="1"/>
  <c r="N358" i="36"/>
  <c r="N366" i="36"/>
  <c r="N365" i="36"/>
  <c r="N367" i="36"/>
  <c r="N373" i="36"/>
  <c r="N374" i="36"/>
  <c r="N376" i="36"/>
  <c r="I395" i="36"/>
  <c r="M404" i="36" l="1"/>
  <c r="Q324" i="36"/>
  <c r="Q276" i="36"/>
  <c r="Q160" i="36"/>
  <c r="Q113" i="36"/>
  <c r="Q12" i="36"/>
  <c r="Q337" i="36"/>
  <c r="Q49" i="36"/>
  <c r="Q20" i="36"/>
  <c r="Q365" i="36"/>
  <c r="Q256" i="36"/>
  <c r="Q171" i="36"/>
  <c r="Q152" i="36"/>
  <c r="Q143" i="36"/>
  <c r="Q129" i="36"/>
  <c r="Q66" i="36"/>
  <c r="Q8" i="36"/>
  <c r="Q97" i="36"/>
  <c r="Q98" i="36"/>
  <c r="C48" i="21"/>
  <c r="E48" i="21" s="1"/>
  <c r="Q316" i="36"/>
  <c r="C46" i="21"/>
  <c r="C36" i="21"/>
  <c r="C35" i="21"/>
  <c r="C41" i="21"/>
  <c r="C34" i="21"/>
  <c r="C50" i="21"/>
  <c r="C49" i="21"/>
  <c r="C47" i="21"/>
  <c r="C45" i="21"/>
  <c r="C33" i="21"/>
  <c r="C42" i="21"/>
  <c r="C44" i="21"/>
  <c r="C38" i="21"/>
  <c r="E38" i="21" s="1"/>
  <c r="I251" i="36"/>
  <c r="I252" i="36"/>
  <c r="E50" i="21" l="1"/>
  <c r="E36" i="21"/>
  <c r="E46" i="21"/>
  <c r="N225" i="36"/>
  <c r="N234" i="36"/>
  <c r="N241" i="36"/>
  <c r="E35" i="21"/>
  <c r="E49" i="21"/>
  <c r="E45" i="21"/>
  <c r="E47" i="21"/>
  <c r="E33" i="21"/>
  <c r="E34" i="21"/>
  <c r="E41" i="21"/>
  <c r="E42" i="21"/>
  <c r="E44" i="21"/>
  <c r="I253" i="36"/>
  <c r="I254" i="36"/>
  <c r="N215" i="36" l="1"/>
  <c r="N222" i="36"/>
  <c r="N232" i="36"/>
  <c r="I255" i="36"/>
  <c r="C43" i="21" l="1"/>
  <c r="C37" i="21" l="1"/>
  <c r="E43" i="21"/>
  <c r="C51" i="21"/>
  <c r="E37" i="21" l="1"/>
  <c r="E51" i="21"/>
  <c r="I167" i="36" l="1"/>
  <c r="N169" i="36" l="1"/>
  <c r="I168" i="36"/>
  <c r="I169" i="36"/>
  <c r="I170" i="36"/>
  <c r="N162" i="36" l="1"/>
  <c r="N161" i="36"/>
  <c r="B69" i="44" l="1"/>
  <c r="C73" i="44" s="1"/>
  <c r="D73" i="44" s="1"/>
  <c r="B47" i="44"/>
  <c r="C51" i="44" s="1"/>
  <c r="D51" i="44" s="1"/>
  <c r="C65" i="44"/>
  <c r="D65" i="44" s="1"/>
  <c r="B36" i="44"/>
  <c r="C45" i="44" s="1"/>
  <c r="D45" i="44" s="1"/>
  <c r="C35" i="44"/>
  <c r="C80" i="44" s="1"/>
  <c r="C82" i="44" s="1"/>
  <c r="D35" i="44"/>
  <c r="C61" i="44" l="1"/>
  <c r="D61" i="44" s="1"/>
  <c r="C59" i="44"/>
  <c r="D59" i="44" s="1"/>
  <c r="C39" i="44"/>
  <c r="D39" i="44" s="1"/>
  <c r="E35" i="44"/>
  <c r="C49" i="44"/>
  <c r="D49" i="44" s="1"/>
  <c r="C72" i="44"/>
  <c r="D72" i="44" s="1"/>
  <c r="C74" i="44"/>
  <c r="D74" i="44" s="1"/>
  <c r="C57" i="44"/>
  <c r="D57" i="44" s="1"/>
  <c r="C44" i="44"/>
  <c r="D44" i="44" s="1"/>
  <c r="C62" i="44"/>
  <c r="D62" i="44" s="1"/>
  <c r="C38" i="44"/>
  <c r="D38" i="44" s="1"/>
  <c r="C63" i="44"/>
  <c r="D63" i="44" s="1"/>
  <c r="C64" i="44"/>
  <c r="D64" i="44" s="1"/>
  <c r="C84" i="44"/>
  <c r="E82" i="44"/>
  <c r="C41" i="44"/>
  <c r="D41" i="44" s="1"/>
  <c r="C40" i="44"/>
  <c r="D40" i="44" s="1"/>
  <c r="C56" i="44"/>
  <c r="D56" i="44" s="1"/>
  <c r="C50" i="44"/>
  <c r="D50" i="44" s="1"/>
  <c r="C76" i="44"/>
  <c r="D76" i="44" s="1"/>
  <c r="C48" i="44"/>
  <c r="D48" i="44" s="1"/>
  <c r="C37" i="44"/>
  <c r="D37" i="44" s="1"/>
  <c r="C77" i="44"/>
  <c r="D77" i="44" s="1"/>
  <c r="C55" i="44"/>
  <c r="D55" i="44" s="1"/>
  <c r="C71" i="44"/>
  <c r="D71" i="44" s="1"/>
  <c r="C75" i="44"/>
  <c r="D75" i="44" s="1"/>
  <c r="C67" i="44"/>
  <c r="D67" i="44" s="1"/>
  <c r="C66" i="44"/>
  <c r="D66" i="44" s="1"/>
  <c r="C70" i="44"/>
  <c r="D70" i="44" s="1"/>
  <c r="E80" i="44"/>
  <c r="C46" i="44"/>
  <c r="D46" i="44" s="1"/>
  <c r="C43" i="44"/>
  <c r="D43" i="44" s="1"/>
  <c r="C52" i="44"/>
  <c r="D52" i="44" s="1"/>
  <c r="C53" i="44"/>
  <c r="D53" i="44" s="1"/>
  <c r="C78" i="44"/>
  <c r="D78" i="44" s="1"/>
  <c r="C60" i="44"/>
  <c r="D60" i="44" s="1"/>
  <c r="C79" i="44"/>
  <c r="D79" i="44" s="1"/>
  <c r="C68" i="44"/>
  <c r="D68" i="44" s="1"/>
  <c r="C42" i="44"/>
  <c r="D42" i="44" s="1"/>
  <c r="C54" i="44"/>
  <c r="D54" i="44" s="1"/>
  <c r="D58" i="44" l="1"/>
  <c r="D36" i="44"/>
  <c r="E84" i="44"/>
  <c r="C140" i="44"/>
  <c r="D69" i="44"/>
  <c r="G69" i="44" s="1"/>
  <c r="D47" i="44"/>
  <c r="G47" i="44" s="1"/>
  <c r="M198" i="36" s="1"/>
  <c r="N198" i="36" s="1"/>
  <c r="I47" i="44" s="1"/>
  <c r="J47" i="44" s="1"/>
  <c r="G36" i="44" l="1"/>
  <c r="M197" i="36" s="1"/>
  <c r="N197" i="36" s="1"/>
  <c r="I36" i="44" s="1"/>
  <c r="G58" i="44"/>
  <c r="M212" i="36" s="1"/>
  <c r="N212" i="36" s="1"/>
  <c r="M244" i="36"/>
  <c r="N244" i="36" s="1"/>
  <c r="G70" i="44"/>
  <c r="E140" i="44"/>
  <c r="C145" i="44"/>
  <c r="N180" i="36"/>
  <c r="N196" i="36"/>
  <c r="N181" i="36"/>
  <c r="N203" i="36" l="1"/>
  <c r="N211" i="36"/>
  <c r="N204" i="36"/>
  <c r="I58" i="44"/>
  <c r="J58" i="44" s="1"/>
  <c r="J36" i="44"/>
  <c r="Q180" i="36"/>
  <c r="C148" i="44"/>
  <c r="E145" i="44"/>
  <c r="G71" i="44"/>
  <c r="M245" i="36"/>
  <c r="N245" i="36" s="1"/>
  <c r="I69" i="44"/>
  <c r="Q203" i="36" l="1"/>
  <c r="C40" i="21"/>
  <c r="I70" i="44"/>
  <c r="M395" i="36"/>
  <c r="N395" i="36" s="1"/>
  <c r="M400" i="36" s="1"/>
  <c r="M246" i="36"/>
  <c r="N246" i="36" s="1"/>
  <c r="G72" i="44"/>
  <c r="M247" i="36" s="1"/>
  <c r="N247" i="36" s="1"/>
  <c r="I72" i="44" s="1"/>
  <c r="E40" i="21" l="1"/>
  <c r="I71" i="44"/>
  <c r="H147" i="44" s="1"/>
  <c r="H148" i="44" s="1"/>
  <c r="N214" i="36"/>
  <c r="N243" i="36"/>
  <c r="N213" i="36"/>
  <c r="M402" i="36"/>
  <c r="N392" i="36"/>
  <c r="N393" i="36"/>
  <c r="N394" i="36"/>
  <c r="M399" i="36" l="1"/>
  <c r="M398" i="36"/>
  <c r="Q213" i="36"/>
  <c r="C39" i="21"/>
  <c r="N396" i="36"/>
  <c r="M397" i="36"/>
  <c r="Q392" i="36"/>
  <c r="C52" i="21"/>
  <c r="J69" i="44"/>
  <c r="E52" i="21" l="1"/>
  <c r="M401" i="36"/>
  <c r="C53" i="21"/>
  <c r="D39" i="21" s="1"/>
  <c r="E39" i="21"/>
  <c r="E53" i="21" l="1"/>
  <c r="E54" i="21" s="1"/>
  <c r="D33" i="21"/>
  <c r="D36" i="21"/>
  <c r="D38" i="21"/>
  <c r="D47" i="21"/>
  <c r="D44" i="21"/>
  <c r="D46" i="21"/>
  <c r="D41" i="21"/>
  <c r="D32" i="21"/>
  <c r="D45" i="21"/>
  <c r="D43" i="21"/>
  <c r="D48" i="21"/>
  <c r="D51" i="21"/>
  <c r="D49" i="21"/>
  <c r="D35" i="21"/>
  <c r="D42" i="21"/>
  <c r="D50" i="21"/>
  <c r="D34" i="21"/>
  <c r="D37" i="21"/>
  <c r="D40" i="21"/>
  <c r="D52" i="21"/>
  <c r="D53" i="21" l="1"/>
  <c r="I346" i="36" l="1"/>
  <c r="I348" i="36"/>
  <c r="I34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Valquiria Vansquelhe</author>
  </authors>
  <commentList>
    <comment ref="J44" authorId="0" shapeId="0" xr:uid="{00000000-0006-0000-0300-000001000000}">
      <text>
        <r>
          <rPr>
            <b/>
            <sz val="9"/>
            <color indexed="81"/>
            <rFont val="Segoe UI"/>
            <family val="2"/>
          </rPr>
          <t>Valquiria Vansquelhe:</t>
        </r>
        <r>
          <rPr>
            <sz val="9"/>
            <color indexed="81"/>
            <rFont val="Segoe UI"/>
            <family val="2"/>
          </rPr>
          <t xml:space="preserve">
- Informado em formulário que as cubetas já foram adquiridas.
- Considerado verba de 30% do que custaria para manutenção.
- Confirmar com o cliente se o custo da aquisção entrerá neste empreendimento ou se será apenas a manutenção.</t>
        </r>
      </text>
    </comment>
    <comment ref="J45" authorId="0" shapeId="0" xr:uid="{00000000-0006-0000-0300-000002000000}">
      <text>
        <r>
          <rPr>
            <b/>
            <sz val="9"/>
            <color indexed="81"/>
            <rFont val="Segoe UI"/>
            <family val="2"/>
          </rPr>
          <t>Valquiria Vansquelhe:</t>
        </r>
        <r>
          <rPr>
            <sz val="9"/>
            <color indexed="81"/>
            <rFont val="Segoe UI"/>
            <family val="2"/>
          </rPr>
          <t xml:space="preserve">
Solicitado em formulário Escoras em Pontaletes de Madeira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Valquiria Vansquelhe</author>
  </authors>
  <commentList>
    <comment ref="B61" authorId="0" shapeId="0" xr:uid="{00000000-0006-0000-0600-000001000000}">
      <text>
        <r>
          <rPr>
            <sz val="9"/>
            <color indexed="81"/>
            <rFont val="Segoe UI"/>
            <family val="2"/>
          </rPr>
          <t>ALTURA DOS 3 ULTIMOS PAVS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Freo</author>
  </authors>
  <commentList>
    <comment ref="S76" authorId="0" shapeId="0" xr:uid="{00000000-0006-0000-0D00-000001000000}">
      <text>
        <r>
          <rPr>
            <sz val="8"/>
            <color indexed="81"/>
            <rFont val="Tahoma"/>
            <family val="2"/>
          </rPr>
          <t xml:space="preserve">INCLUSO PESCOÇO DA SAPATA </t>
        </r>
      </text>
    </comment>
    <comment ref="S95" authorId="0" shapeId="0" xr:uid="{00000000-0006-0000-0D00-000002000000}">
      <text>
        <r>
          <rPr>
            <sz val="8"/>
            <color indexed="81"/>
            <rFont val="Tahoma"/>
            <family val="2"/>
          </rPr>
          <t xml:space="preserve">INCLUSO PESCOÇO DA SAPATA </t>
        </r>
      </text>
    </comment>
    <comment ref="S184" authorId="0" shapeId="0" xr:uid="{00000000-0006-0000-0D00-000003000000}">
      <text>
        <r>
          <rPr>
            <sz val="8"/>
            <color indexed="81"/>
            <rFont val="Tahoma"/>
            <family val="2"/>
          </rPr>
          <t xml:space="preserve">INCLUSO PESCOÇO DA SAPATA </t>
        </r>
      </text>
    </comment>
  </commentList>
</comments>
</file>

<file path=xl/sharedStrings.xml><?xml version="1.0" encoding="utf-8"?>
<sst xmlns="http://schemas.openxmlformats.org/spreadsheetml/2006/main" count="12828" uniqueCount="4255">
  <si>
    <t>Obra</t>
  </si>
  <si>
    <t>Empresa</t>
  </si>
  <si>
    <t>Revisão</t>
  </si>
  <si>
    <t>Descrição</t>
  </si>
  <si>
    <t>Unidade</t>
  </si>
  <si>
    <t>Quantidade</t>
  </si>
  <si>
    <t>ÁREA DO TERRENO</t>
  </si>
  <si>
    <t>ÁREA CONSTRUÍDA</t>
  </si>
  <si>
    <t>NÚMERO DE UNIDADES HABITACIONAIS</t>
  </si>
  <si>
    <t>UN</t>
  </si>
  <si>
    <t>MESES DE OBRA</t>
  </si>
  <si>
    <t>MÊS</t>
  </si>
  <si>
    <t>NÚMERO DE PAVIMENTOS</t>
  </si>
  <si>
    <t>Número de funcionários</t>
  </si>
  <si>
    <t>Produtividade média (h/m2)</t>
  </si>
  <si>
    <t>Área construída</t>
  </si>
  <si>
    <t>A.C/prazo</t>
  </si>
  <si>
    <t>Prazo da obra</t>
  </si>
  <si>
    <t>meses</t>
  </si>
  <si>
    <t>Pm</t>
  </si>
  <si>
    <t xml:space="preserve">h/m2 </t>
  </si>
  <si>
    <t>Instalações de canteiro</t>
  </si>
  <si>
    <t>NF</t>
  </si>
  <si>
    <t>funcionários</t>
  </si>
  <si>
    <t>Pavimentos</t>
  </si>
  <si>
    <t>Equipe administrativa</t>
  </si>
  <si>
    <t>Produtividade média</t>
  </si>
  <si>
    <t>m2 / mês</t>
  </si>
  <si>
    <t>Barracão interno</t>
  </si>
  <si>
    <t>Externo</t>
  </si>
  <si>
    <t>Numero de funcionários</t>
  </si>
  <si>
    <t>un</t>
  </si>
  <si>
    <t>Pontos de água e esgoto</t>
  </si>
  <si>
    <t>20 funcionários/ponto</t>
  </si>
  <si>
    <t>Bebedouro</t>
  </si>
  <si>
    <t>1 / 5 pav.</t>
  </si>
  <si>
    <t>Área refeitório</t>
  </si>
  <si>
    <t>m²/funcionários</t>
  </si>
  <si>
    <t>Ferramentas</t>
  </si>
  <si>
    <t>R$</t>
  </si>
  <si>
    <t>800,00/func.</t>
  </si>
  <si>
    <t>m²</t>
  </si>
  <si>
    <t>EPI</t>
  </si>
  <si>
    <t>500,00/func.</t>
  </si>
  <si>
    <t xml:space="preserve">Banheiro </t>
  </si>
  <si>
    <t>1/20 func</t>
  </si>
  <si>
    <t>Área de vestiário</t>
  </si>
  <si>
    <t>Mobiliário de canteiro</t>
  </si>
  <si>
    <t>Custo unitário</t>
  </si>
  <si>
    <t>Custo total</t>
  </si>
  <si>
    <t>Cadeira</t>
  </si>
  <si>
    <t>Mesa</t>
  </si>
  <si>
    <t>Ar condicionado</t>
  </si>
  <si>
    <t>Armário</t>
  </si>
  <si>
    <t>m</t>
  </si>
  <si>
    <t>Escrivaninha</t>
  </si>
  <si>
    <t>TOTAL</t>
  </si>
  <si>
    <t>Computador pessoal</t>
  </si>
  <si>
    <t>Área sanitários</t>
  </si>
  <si>
    <t>Impressora</t>
  </si>
  <si>
    <t>Roteador</t>
  </si>
  <si>
    <t>área lavatório</t>
  </si>
  <si>
    <t>Área de chuveiros</t>
  </si>
  <si>
    <t>Escritório</t>
  </si>
  <si>
    <t>m²/pessoa</t>
  </si>
  <si>
    <t xml:space="preserve">Almoxarifado </t>
  </si>
  <si>
    <t>m2</t>
  </si>
  <si>
    <t xml:space="preserve">Total </t>
  </si>
  <si>
    <t xml:space="preserve">800 por funcionário </t>
  </si>
  <si>
    <t>500,00 por funcionário</t>
  </si>
  <si>
    <t>Considerando entrega de 2 uniformes, capacete, bota, óculos e cinto</t>
  </si>
  <si>
    <t>para cada</t>
  </si>
  <si>
    <t>pessoas</t>
  </si>
  <si>
    <t>Despesas de Seguros</t>
  </si>
  <si>
    <t>vb</t>
  </si>
  <si>
    <t>mês</t>
  </si>
  <si>
    <t>Engenheiro Civil</t>
  </si>
  <si>
    <t>Almoxarife</t>
  </si>
  <si>
    <t>Limpeza da camada vegetal</t>
  </si>
  <si>
    <t>Demolições</t>
  </si>
  <si>
    <t>Locação de banheiro químico</t>
  </si>
  <si>
    <t>Equipamentos de proteção coletiva</t>
  </si>
  <si>
    <t>Bandejas de proteção</t>
  </si>
  <si>
    <t>Perímetro de projeção torre</t>
  </si>
  <si>
    <t>Bandeja de proteção primária</t>
  </si>
  <si>
    <t>Bandeja de proteção secundária</t>
  </si>
  <si>
    <t>Guarda - corpo de desforma</t>
  </si>
  <si>
    <t>Perímetro de projeção da torre</t>
  </si>
  <si>
    <t>Repetições de pavimentos**</t>
  </si>
  <si>
    <t>Tela fachadeira</t>
  </si>
  <si>
    <t>Area da fachada</t>
  </si>
  <si>
    <t xml:space="preserve">Fechamento removível de vãos em madeira </t>
  </si>
  <si>
    <t xml:space="preserve">Área das portas de elevadores </t>
  </si>
  <si>
    <t>Quantidade de elevadores</t>
  </si>
  <si>
    <t>Quantidade de portas de elevadores</t>
  </si>
  <si>
    <t>Tapume</t>
  </si>
  <si>
    <t>Perímetro de encontro com pavimentação</t>
  </si>
  <si>
    <t>Altura do tapume</t>
  </si>
  <si>
    <t>Estudos</t>
  </si>
  <si>
    <t>Projetos</t>
  </si>
  <si>
    <t>Consultorias</t>
  </si>
  <si>
    <t>Documentos</t>
  </si>
  <si>
    <t>ADMINISTRAÇÃO E CANTEIRO DE OBRA</t>
  </si>
  <si>
    <t>Equipe de Gestão e Apoio</t>
  </si>
  <si>
    <t>EQUIPAMENTOS</t>
  </si>
  <si>
    <t>Total</t>
  </si>
  <si>
    <t>Estudo ambiental</t>
  </si>
  <si>
    <t>Projeto de Fundação</t>
  </si>
  <si>
    <t>Projeto de Paisagismo</t>
  </si>
  <si>
    <t>consultoria técnica de legalização</t>
  </si>
  <si>
    <t>Orçamento e planejamento</t>
  </si>
  <si>
    <t>Controle tecnológico do concreto</t>
  </si>
  <si>
    <t>Avaliação e Legalização ambiental</t>
  </si>
  <si>
    <t>Aprovação e legalização prefeitura</t>
  </si>
  <si>
    <t>Aprovação e legalização água e esgoto</t>
  </si>
  <si>
    <t>Aprovação e legalização bombeiros</t>
  </si>
  <si>
    <t>Incorporação</t>
  </si>
  <si>
    <t>IPTU</t>
  </si>
  <si>
    <t>Taxa Habite-se</t>
  </si>
  <si>
    <t>Manuais técnicos condomínio/proprietários</t>
  </si>
  <si>
    <t>Certidão INSS</t>
  </si>
  <si>
    <t>Técnico de segurança do trabalho - Quantidade</t>
  </si>
  <si>
    <t>Serviço terceirizado de segurança do trabalho - Valor/mês (R$)</t>
  </si>
  <si>
    <t>Elaboração do Programa de Controle Médico de Saúde Ocupacional (PCMSO)</t>
  </si>
  <si>
    <t>Elaboração do Programa de Condições e Meio Ambiente de Trabalho na indústria da construção (PCMAT)</t>
  </si>
  <si>
    <t>Projetos de segurança do trabalho</t>
  </si>
  <si>
    <t>Remoção de entulhos e resíduos</t>
  </si>
  <si>
    <t>VB</t>
  </si>
  <si>
    <t>Redes Provisórias: Rede de água fria, esgoto e drenagem</t>
  </si>
  <si>
    <t>Redes Provisórias: Redes elétricas, comunicação e dados</t>
  </si>
  <si>
    <t>Consumos Mensais: Água e Esgoto</t>
  </si>
  <si>
    <t>Consumos Mensais: Luz/energia</t>
  </si>
  <si>
    <t>Consumos Mensais: Internet</t>
  </si>
  <si>
    <t>Consumos Mensais: Telefone</t>
  </si>
  <si>
    <t>Consumos Mensais: Coleta de Lixo</t>
  </si>
  <si>
    <t>Consumos Mensais: Alimentação</t>
  </si>
  <si>
    <t>Consumos Mensais: Mateirial de expediênte/escritório</t>
  </si>
  <si>
    <t>Consumos Mensais: Material de higiêne e limpeza</t>
  </si>
  <si>
    <t>Consumos gerais: Fretes</t>
  </si>
  <si>
    <t>Consumos gerais: Consumo de cópias</t>
  </si>
  <si>
    <t>Despesas de manutenção: Manutenção provisória do canteiro</t>
  </si>
  <si>
    <t>Equipamentos de carga e transporte</t>
  </si>
  <si>
    <t>Manutenção Periódica Elevador cremalheira</t>
  </si>
  <si>
    <t>Manutenção Periódica Mini Grua</t>
  </si>
  <si>
    <t>Montagem e Desmontagem Mini Grua</t>
  </si>
  <si>
    <t xml:space="preserve">Projeto Arquitetônico interiores </t>
  </si>
  <si>
    <t>Recebido</t>
  </si>
  <si>
    <t>Un</t>
  </si>
  <si>
    <t>Mobilização e Desmobilização Mini Grua</t>
  </si>
  <si>
    <t>Mobilização e Desmobilização Elevador cremalheira</t>
  </si>
  <si>
    <t>Montagem e Desmontagem Elevador cremalheira</t>
  </si>
  <si>
    <t>Memorial descritivo</t>
  </si>
  <si>
    <t>Levantamento topográfico</t>
  </si>
  <si>
    <t>Sondagem do terreno</t>
  </si>
  <si>
    <t>Projeto de canteiro</t>
  </si>
  <si>
    <t>Legalização de incorporação</t>
  </si>
  <si>
    <t>Projeto luminotécnico</t>
  </si>
  <si>
    <t>Projeto hidrossanitário</t>
  </si>
  <si>
    <t>Taxas ART</t>
  </si>
  <si>
    <t>Taxas alvará</t>
  </si>
  <si>
    <t>Auxiliar de engenharia</t>
  </si>
  <si>
    <t>Mobiliario de apoio a obra</t>
  </si>
  <si>
    <t>Equipamentos de escritorio</t>
  </si>
  <si>
    <t>Ferramentas/equipamentos</t>
  </si>
  <si>
    <t>Projeto estrutural</t>
  </si>
  <si>
    <t>Locação Balancim</t>
  </si>
  <si>
    <t>Montagem/Deslocamento/Desmontagem Balancim</t>
  </si>
  <si>
    <t>Sinalizacao geral da obra</t>
  </si>
  <si>
    <t>Estimado</t>
  </si>
  <si>
    <t>Projeto Arquitetônico Legal</t>
  </si>
  <si>
    <t>Locação Mini Grua</t>
  </si>
  <si>
    <t>Projeto preventivo (PPCI - Plano de Prevenção e Proteção Contra Incêndios) e Gás</t>
  </si>
  <si>
    <t>Linha de Vida</t>
  </si>
  <si>
    <t>Cobertura para Proteção de Pedestres</t>
  </si>
  <si>
    <t>SERVIÇOS INICIAIS</t>
  </si>
  <si>
    <t>Manutenção Veículo de apoio: Carro utilitário para transporte de cargas ou pessoas</t>
  </si>
  <si>
    <t>Locação Elevador cremalheira</t>
  </si>
  <si>
    <t>PROJETO:</t>
  </si>
  <si>
    <t>REVISÃO:</t>
  </si>
  <si>
    <t>DATA</t>
  </si>
  <si>
    <t>EMPRESA:</t>
  </si>
  <si>
    <t>GERENCIAMENTO TÉCNICO E ADMINISTRATIVO</t>
  </si>
  <si>
    <t>Atalho</t>
  </si>
  <si>
    <t>Item</t>
  </si>
  <si>
    <t xml:space="preserve">Quant. </t>
  </si>
  <si>
    <t>Preço un</t>
  </si>
  <si>
    <t>Considerações</t>
  </si>
  <si>
    <t>Situação</t>
  </si>
  <si>
    <t>-</t>
  </si>
  <si>
    <t>Ligações Provisórias</t>
  </si>
  <si>
    <t>FUNDAÇÃO PROFUNDA</t>
  </si>
  <si>
    <t>m³</t>
  </si>
  <si>
    <t>Unid.</t>
  </si>
  <si>
    <t>Observações</t>
  </si>
  <si>
    <t>FUNDAÇÃO RASA</t>
  </si>
  <si>
    <t>SUPRAESTRUTURA</t>
  </si>
  <si>
    <t xml:space="preserve">Perímetro de Pavimentos </t>
  </si>
  <si>
    <t>CUB/SC</t>
  </si>
  <si>
    <t>Guarda - corpo de vãos</t>
  </si>
  <si>
    <t>SERVIÇOS COMPLEMENTARES</t>
  </si>
  <si>
    <t>Perímetro de vãos</t>
  </si>
  <si>
    <t>Central de aço</t>
  </si>
  <si>
    <t>Central de fôrmas</t>
  </si>
  <si>
    <t>Central de Argamassa</t>
  </si>
  <si>
    <t>Almoxarifado geral</t>
  </si>
  <si>
    <t>Construções temporárias</t>
  </si>
  <si>
    <t>Guarita</t>
  </si>
  <si>
    <t>Será utilizado</t>
  </si>
  <si>
    <t>Sim</t>
  </si>
  <si>
    <t>Não</t>
  </si>
  <si>
    <t>Armazenamento de cerâmicas*</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</si>
  <si>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</si>
  <si>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</si>
  <si>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</si>
  <si>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</si>
  <si>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</si>
  <si>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</si>
  <si>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</si>
  <si>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 Central de armazenamento entre pavimentos</t>
  </si>
  <si>
    <t>Lava Rodas</t>
  </si>
  <si>
    <t>Projeto</t>
  </si>
  <si>
    <t>QUADRO DE ÁREAS</t>
  </si>
  <si>
    <t>M²</t>
  </si>
  <si>
    <t>Térreo</t>
  </si>
  <si>
    <t>Garagem G1</t>
  </si>
  <si>
    <t>Garagem G2</t>
  </si>
  <si>
    <t>Garagem G3</t>
  </si>
  <si>
    <t>Garagem G4</t>
  </si>
  <si>
    <t>ÁREA PRIVATIVA</t>
  </si>
  <si>
    <t>ETAPA</t>
  </si>
  <si>
    <t>VALOR ORÇADO</t>
  </si>
  <si>
    <t>%</t>
  </si>
  <si>
    <t>VALOR / m²</t>
  </si>
  <si>
    <t>MOVIMENTAÇÃO DE TERRA</t>
  </si>
  <si>
    <t>INFRAESTRUTURA</t>
  </si>
  <si>
    <t>ALVENARIA</t>
  </si>
  <si>
    <t>INSTALAÇÕES ELÉTRICAS, HIDRÁULICAS, GLP E PREVENTIVAS</t>
  </si>
  <si>
    <t>CLIMATIZAÇÃO, EXAUSTÃO MECÂNICA E PRESSURIZAÇÃO</t>
  </si>
  <si>
    <t>REVESTIMENTOS ARGAMASSADOS PISO E PAREDE</t>
  </si>
  <si>
    <t>REVESTIMENTOS ARGAMASSADOS TETO</t>
  </si>
  <si>
    <t>IMPERMEABILIZAÇÃO</t>
  </si>
  <si>
    <t>ACABAMENTOS INTERNOS EM PAREDE</t>
  </si>
  <si>
    <t>ACABAMENTOS EM PISOS E PAVIMENTAÇÕES</t>
  </si>
  <si>
    <t>ACABAMENTOS INTERNOS EM TETO</t>
  </si>
  <si>
    <t>PINTURA INTERNA</t>
  </si>
  <si>
    <t>REVESTIMENTOS E ACABAMENTOS DE FACHADA</t>
  </si>
  <si>
    <t>ESQUADRIAS, VIDROS E FERRAGENS</t>
  </si>
  <si>
    <t>LOUÇAS E METAIS</t>
  </si>
  <si>
    <t>COBERTURA</t>
  </si>
  <si>
    <t>EQUIPAMENTOS E SISTEMAS ESPECIAIS</t>
  </si>
  <si>
    <t>IMPREVISTOS</t>
  </si>
  <si>
    <t>ALVENARIAS E VEDAÇÕES</t>
  </si>
  <si>
    <t>SISTEMAS E INSTALAÇÕES ELÉTRICAS</t>
  </si>
  <si>
    <t>SISTEMAS E INSTALAÇÕES HIDROSSANITÁRIAS E DRENAGEM</t>
  </si>
  <si>
    <t>IMPERMEABILIZAÇÃO E TRATAMENTOS</t>
  </si>
  <si>
    <t>SISTEMAS DE PINTURA INTERNA</t>
  </si>
  <si>
    <t>REVESTIMENTOS E ACABAMENTOS EM FACHADA</t>
  </si>
  <si>
    <t>SERVIÇOS COMPLEMENTARES E FINAIS</t>
  </si>
  <si>
    <t>Imagens</t>
  </si>
  <si>
    <t>Imagem formulário</t>
  </si>
  <si>
    <t>Perímetro de projeção embasamento</t>
  </si>
  <si>
    <t>Perímetro de projeção torre tipo 1</t>
  </si>
  <si>
    <t>Área das portas de aptos</t>
  </si>
  <si>
    <t>Quantidade de aptos</t>
  </si>
  <si>
    <t>Altura de cobrimento da tela</t>
  </si>
  <si>
    <t>Proteção de periferia pós desforma torre</t>
  </si>
  <si>
    <t xml:space="preserve"> Qtde/ Pavimento</t>
  </si>
  <si>
    <t>Aplicação</t>
  </si>
  <si>
    <t>Descrição do Material</t>
  </si>
  <si>
    <t>Ambiente</t>
  </si>
  <si>
    <t>Largura 
(Cm)</t>
  </si>
  <si>
    <t>Altura 
(Cm)</t>
  </si>
  <si>
    <t>Total 
m2/m</t>
  </si>
  <si>
    <t>Total 
un</t>
  </si>
  <si>
    <t>Custo Unitário</t>
  </si>
  <si>
    <t>Porta Madeira</t>
  </si>
  <si>
    <t>Corrimão Madeira (m)</t>
  </si>
  <si>
    <t>ContraMarco</t>
  </si>
  <si>
    <t>Portões Alumínio</t>
  </si>
  <si>
    <t>Portas Alumínio</t>
  </si>
  <si>
    <t>Janela/Maxim-ar Alumínio (un)</t>
  </si>
  <si>
    <t>Brise de Alumínio (m2)</t>
  </si>
  <si>
    <t>Guarda Corpo  Alumínio(m)</t>
  </si>
  <si>
    <t>Esquadria de Vidro</t>
  </si>
  <si>
    <t>Portas/Portões Ferro</t>
  </si>
  <si>
    <t>Janela / Basculhante / Veneziana Ferro (un)</t>
  </si>
  <si>
    <t>Gradil/Guarda Corpo Ferro (m2)</t>
  </si>
  <si>
    <t>Corrimão Ferro (m)</t>
  </si>
  <si>
    <t>Escada Ferro (un)</t>
  </si>
  <si>
    <t>LEVANTAMENTO ESQUADRIAS</t>
  </si>
  <si>
    <t>Un.</t>
  </si>
  <si>
    <t>Louças</t>
  </si>
  <si>
    <t>Banheiro - Bacia Sanitária / Caixa Acoplada</t>
  </si>
  <si>
    <t>Banheiro - Bacia Sanitária PNE</t>
  </si>
  <si>
    <t>Banheiro - Cuba de Sobrepor - PNE</t>
  </si>
  <si>
    <t>Banheiro - Cuba</t>
  </si>
  <si>
    <t>Banheiro - Lavatorio / Suspenso</t>
  </si>
  <si>
    <t>Banheiro - Lavatorio PNE</t>
  </si>
  <si>
    <t>Cozinha - Cuba / Inox</t>
  </si>
  <si>
    <t>Cozinha - Cuba Dupla / Inox</t>
  </si>
  <si>
    <t>Cozinha - Pia Sintetica</t>
  </si>
  <si>
    <t>Tanque Louça Suspenso</t>
  </si>
  <si>
    <t>Tanque Louça c/ Coluna</t>
  </si>
  <si>
    <t>Tanque Fibra</t>
  </si>
  <si>
    <t>Tanque Inox</t>
  </si>
  <si>
    <t>Mictório Louça</t>
  </si>
  <si>
    <t>Mictório Inox</t>
  </si>
  <si>
    <t>Churrasqueira Pré Frabricada</t>
  </si>
  <si>
    <t>Banheira de Hidromassagem</t>
  </si>
  <si>
    <t>Acabamentos e acessórios</t>
  </si>
  <si>
    <t>Chuveiro Elétrico</t>
  </si>
  <si>
    <t>Ducha</t>
  </si>
  <si>
    <t>Exastor Mecânico</t>
  </si>
  <si>
    <t>Torneira de Jardins</t>
  </si>
  <si>
    <t>Sifão ajustável multiuso</t>
  </si>
  <si>
    <t>Torneira misturador pia cozinha</t>
  </si>
  <si>
    <t>Torneira tanque</t>
  </si>
  <si>
    <t>Torneira Lavatório mesa</t>
  </si>
  <si>
    <t>Barra de apoio PNE</t>
  </si>
  <si>
    <t>Anel de vedação, 100 mm, para saíde de bacia sanitária</t>
  </si>
  <si>
    <t>Engate/ rabicho flexível inóx 1/2"x40mm</t>
  </si>
  <si>
    <t>Parafuso niquelado para fixação de bacia sanitária - tamanho S-10</t>
  </si>
  <si>
    <t>Válvula de escoamento para lavatório</t>
  </si>
  <si>
    <t>Válvula de escoamento para Pia</t>
  </si>
  <si>
    <t>Válvula de escoamento para tanque</t>
  </si>
  <si>
    <t>Artefatos de Pedra</t>
  </si>
  <si>
    <t>Bancada Cozinha</t>
  </si>
  <si>
    <t>Bancada Banheiros</t>
  </si>
  <si>
    <t>TOTAL PAVIMENTOS:</t>
  </si>
  <si>
    <t>ÁREA TOTAL:</t>
  </si>
  <si>
    <t>CUSTO ACABAMENTOS ESPECIAIS:</t>
  </si>
  <si>
    <t>CUSTO/ M2</t>
  </si>
  <si>
    <t>Pavimento</t>
  </si>
  <si>
    <t>Quantidade (un)</t>
  </si>
  <si>
    <t>Preço Unitário</t>
  </si>
  <si>
    <t>Preço Total</t>
  </si>
  <si>
    <t xml:space="preserve">Observações </t>
  </si>
  <si>
    <t>TERREO</t>
  </si>
  <si>
    <t xml:space="preserve">Área: </t>
  </si>
  <si>
    <t>Espelhos</t>
  </si>
  <si>
    <t>Marcenaria</t>
  </si>
  <si>
    <t xml:space="preserve"> Academia</t>
  </si>
  <si>
    <t>ESTEIRA ERGOMÉTRICA ATHLETIC NEW EXTREME 18 KM/H</t>
  </si>
  <si>
    <t>SPINNING ATHLETIC ADVANCED 2200BS</t>
  </si>
  <si>
    <t>ESTAÇÃO DE MUSCULAÇÃO ATHLETIC POWER PLUS</t>
  </si>
  <si>
    <t>Kit Banco Supino Reto Inclinado + 2x Barras 40cm + Barra 1,50m + 80kg anilhas em PVC</t>
  </si>
  <si>
    <t>Estação de Musculação e Banco Supino Gallant GBS1H03A-PT</t>
  </si>
  <si>
    <t>Kit Ketleball + suporte</t>
  </si>
  <si>
    <t>Tapete de yoga Asana - 4.5mm PVC ecológico - Ameixa</t>
  </si>
  <si>
    <t>Purificador Electrolux Água Gelada, Fria e Natural com Painel Easy Touch Cinza (PE11X) - Bivolt</t>
  </si>
  <si>
    <t>Plantas</t>
  </si>
  <si>
    <t>Kit Fitness 20kg + 2 Barras 40cm Rosca + 1 Barra 120cm Presilhas</t>
  </si>
  <si>
    <t>Kit Halteres Ajustáveis Com Rosca 20kg - Top!</t>
  </si>
  <si>
    <t>SUPORTE TORRE EXPOSITOR PARA 20 HALTERES DE 01KG A 10KG</t>
  </si>
  <si>
    <t>Mesa de Bilhar Versátil 2P Vintage</t>
  </si>
  <si>
    <t>5 Tacos De Bilhar</t>
  </si>
  <si>
    <t>Jogo de Bolas Numeradas 54mm para Sinuca + Bolão Branco</t>
  </si>
  <si>
    <t xml:space="preserve">Cortina </t>
  </si>
  <si>
    <t>Pendente Luminaria De Teto Em Madeira Ø38cm</t>
  </si>
  <si>
    <t>Decoração</t>
  </si>
  <si>
    <t>Mesa de Jantar Ingrid Redonda Design Atemporal</t>
  </si>
  <si>
    <t>Brinquedoteca</t>
  </si>
  <si>
    <t>Tapete</t>
  </si>
  <si>
    <t>Conjunto Infantil Mesa com 4 Cadeirinhas Estofadas</t>
  </si>
  <si>
    <t>Cortina</t>
  </si>
  <si>
    <t>Marcenaria e pinturas</t>
  </si>
  <si>
    <t>Enxoval</t>
  </si>
  <si>
    <t>Brinquedos geral</t>
  </si>
  <si>
    <t>pelucias</t>
  </si>
  <si>
    <t>Salão de Festas</t>
  </si>
  <si>
    <t>Poltrona Corda Estofada Algodão Estrutura em Madeira Amêndoa</t>
  </si>
  <si>
    <t xml:space="preserve">mesa de Centro </t>
  </si>
  <si>
    <t>Banqueta Samantha Encosto Anatômico Design Contemporâneo</t>
  </si>
  <si>
    <t>Quadro Decorativo 1 Tela: Obra Abstrata Moderna e Sofisticada,</t>
  </si>
  <si>
    <t>Cooktop Fischer Platinium 5 Bocas Vidro e Alumínio 19784-23299 Bivolt Preto</t>
  </si>
  <si>
    <t>Coifa e Depurador de Ilha EOS 35cm Redonda Inox ECO40IR 220V</t>
  </si>
  <si>
    <t>Geladeira Electrolux Multidoor Efficient Com Autosense E Inverter 590 L Inox Look Im8s 127v 02623fba130</t>
  </si>
  <si>
    <t>Conjunto/Jogo de Panelas 5 Peças, Frigideira, Caçarola em Alumínio</t>
  </si>
  <si>
    <t>Estojo e Faqueiro C/ 101 Pçs Lace Inox St James</t>
  </si>
  <si>
    <t>Kit Promocional Exclusivo: Linha Completa Sommelier (18 Taças + 12 Copos)</t>
  </si>
  <si>
    <t>Jogo churrasqueira</t>
  </si>
  <si>
    <t xml:space="preserve"> Linha Taças em Cristal Sommelier para Água, Vinho e Espumante (18 Taças)</t>
  </si>
  <si>
    <t>Cadeira Oliveira Fixa</t>
  </si>
  <si>
    <t>7º AO 19º PAVIMENTO - TIPO (X13)</t>
  </si>
  <si>
    <t xml:space="preserve"> Circulação</t>
  </si>
  <si>
    <t>LEVANTAMENTO MOBILIÁRIOS E EQUIPAMENTOS DE LAZER</t>
  </si>
  <si>
    <t>Tipo 01 (1x)</t>
  </si>
  <si>
    <t>Tipo 02 (11x)</t>
  </si>
  <si>
    <t>Tipo 03 (01x)</t>
  </si>
  <si>
    <t>Rooftop</t>
  </si>
  <si>
    <t>Casa de máquinas</t>
  </si>
  <si>
    <t>Caixa D'água</t>
  </si>
  <si>
    <t>Atlantia</t>
  </si>
  <si>
    <t>H empreendimentos</t>
  </si>
  <si>
    <t>Projeto elétrico/comunicação/telefonia</t>
  </si>
  <si>
    <t>Sinalização</t>
  </si>
  <si>
    <t>Instalação de sinalizador noturno</t>
  </si>
  <si>
    <t>Sinalizacao Plaqueiro</t>
  </si>
  <si>
    <t>Perímetro de projeção Primária tipo 1</t>
  </si>
  <si>
    <t>* Considerado as informações do Projeto de Segurança</t>
  </si>
  <si>
    <t>Área</t>
  </si>
  <si>
    <t>Perímetro</t>
  </si>
  <si>
    <t>Pé Direito</t>
  </si>
  <si>
    <t>1º Pavimento térreo</t>
  </si>
  <si>
    <t>Cobertura</t>
  </si>
  <si>
    <t>19º Pavto Rooftop</t>
  </si>
  <si>
    <t>18º Pvto Tipo 02</t>
  </si>
  <si>
    <t>17º Pvto Tipo 02</t>
  </si>
  <si>
    <t>16º Pvto Tipo 02</t>
  </si>
  <si>
    <t>15º Pvto Tipo 02</t>
  </si>
  <si>
    <t>14º Pvto Tipo 02</t>
  </si>
  <si>
    <t>13º Pvto Tipo 02</t>
  </si>
  <si>
    <t>12º Pvto Tipo 02</t>
  </si>
  <si>
    <t>10º Pvto Tipo 02</t>
  </si>
  <si>
    <t>09º Pvto Tipo 02</t>
  </si>
  <si>
    <t>08º Pvto Tipo 02</t>
  </si>
  <si>
    <t>07º Pvto Tipo 02</t>
  </si>
  <si>
    <t>11º Pvto Tipo 03</t>
  </si>
  <si>
    <t>06º Pvto Tipo 01</t>
  </si>
  <si>
    <t>05º Pvto G4</t>
  </si>
  <si>
    <t>04º Pvto G3</t>
  </si>
  <si>
    <t>03º Pvto G2</t>
  </si>
  <si>
    <t>02º Pvto G1</t>
  </si>
  <si>
    <t>Unidade Construtiva</t>
  </si>
  <si>
    <t>Célula Construtiva</t>
  </si>
  <si>
    <t>Etapa</t>
  </si>
  <si>
    <t>Subetapa</t>
  </si>
  <si>
    <t>Serviço</t>
  </si>
  <si>
    <t>GERENCIAMENTO EXECUTIVO</t>
  </si>
  <si>
    <t>NIVEL</t>
  </si>
  <si>
    <t>CÉLULA CONSTRUTIVA</t>
  </si>
  <si>
    <t xml:space="preserve">MOVIMENTAÇÃO DE TERRA	</t>
  </si>
  <si>
    <t>SUBETAPA</t>
  </si>
  <si>
    <t>SERVIÇO</t>
  </si>
  <si>
    <t>m3</t>
  </si>
  <si>
    <t>Perfuração</t>
  </si>
  <si>
    <t>Armadura</t>
  </si>
  <si>
    <t>kg</t>
  </si>
  <si>
    <t>Forma</t>
  </si>
  <si>
    <t>Concreto</t>
  </si>
  <si>
    <t>Mão de Obra</t>
  </si>
  <si>
    <t>Mão de obra para execução de fundação rasa e profunda</t>
  </si>
  <si>
    <t>Montagem e Desmontagem de Fôrma de Pilares, em Chapa de Madeira Compensada Resinada</t>
  </si>
  <si>
    <t>Montagem e Desmontagem de Fôrma de Vigas, em Chapa de Madeira Compensada Resinada</t>
  </si>
  <si>
    <t>Montagem e Desmontagem de Fôrma de Lajes, em Chapa de Madeira Compensada Resinada</t>
  </si>
  <si>
    <t>Armação Aço CA-60, Diâmetro de 5,0mm para Supraestrutura, Corte e Dobra em Obra</t>
  </si>
  <si>
    <t>Armação Aço CA-50, Diâmetro de 6,3mm para Supraestrutura, Corte e Dobra em Obr</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</si>
  <si>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</si>
  <si>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</si>
  <si>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</si>
  <si>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</si>
  <si>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</si>
  <si>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 xml:space="preserve">Concreto </t>
  </si>
  <si>
    <t>Complementares</t>
  </si>
  <si>
    <t>Mão de obra</t>
  </si>
  <si>
    <t>Mão de obra para execução de supraestrutura de concreto armado</t>
  </si>
  <si>
    <t>Mão de Obra Polimento de piso</t>
  </si>
  <si>
    <t>Alvenaria de vedação com blocos cerâmicos</t>
  </si>
  <si>
    <t>Alvenaria de vedacao de blocos ceramicos furados na horizontal de 9x19x19cm (espessura 9cm) com argamassa industrializada de assentamento</t>
  </si>
  <si>
    <t>Alvenaria de vedacao de blocos ceramicos furados na horizontal de 11.5x19x19cm (espessura 11.5cm) com argamassa industrializada de assentamento</t>
  </si>
  <si>
    <t>Alvenaria de vedacao de blocos ceramicos furados na horizontal de 14x19x19cm (espessura 14cm) com argamassa industrializada de assentamento</t>
  </si>
  <si>
    <t>Alvenaria de vedação com blocos de concreto</t>
  </si>
  <si>
    <t>Serviços complementares para alvenaria de vedação</t>
  </si>
  <si>
    <t>Encunhamento de alvenaria de vedação com argamassa expansiva</t>
  </si>
  <si>
    <t>Tela soldada para ligacao alvenaria/estrutura - para blocos de 9 a 14cm</t>
  </si>
  <si>
    <t>Verga/contraverga de concreto, moldada in loco</t>
  </si>
  <si>
    <t>Mão de obra para assentamento de blocos cerâmicos</t>
  </si>
  <si>
    <t>Mão de obra para assentamento de blocos de silico calcarios</t>
  </si>
  <si>
    <t>Regularização e proteção mecânica</t>
  </si>
  <si>
    <t>Impermeabilização de Baldrames com Tinta Asfáltica (Neutrol)</t>
  </si>
  <si>
    <t>Impermeabilização de ralos</t>
  </si>
  <si>
    <t>Tratamento de ralo com manta de poliéster</t>
  </si>
  <si>
    <t xml:space="preserve">Mão de obra para regularização de superfície </t>
  </si>
  <si>
    <t>Mão de obra para proteção mecânica</t>
  </si>
  <si>
    <t>Mão de obra Timpermeabilização com emulsão Asfaltica</t>
  </si>
  <si>
    <t>Mão de obra impermeabilização de superfície com manta asfáltica</t>
  </si>
  <si>
    <t>Mão de obra impermeabilização de argamassa polimérica</t>
  </si>
  <si>
    <t>Mão de obra tratamento de ralo com manta de poliéster</t>
  </si>
  <si>
    <t>Instalações de água fria</t>
  </si>
  <si>
    <t>Instalações de água quente</t>
  </si>
  <si>
    <t>Instalações de esgoto e pluviais</t>
  </si>
  <si>
    <t xml:space="preserve">Mão de obra - instalações hidrossanitárias e drenagem </t>
  </si>
  <si>
    <t>Mão de obra Instalação Hidráulica</t>
  </si>
  <si>
    <t>Entrada de energia</t>
  </si>
  <si>
    <t>Quadros elétricos e disjuntores</t>
  </si>
  <si>
    <t>Fios e cabos elétricos</t>
  </si>
  <si>
    <t xml:space="preserve">Luminárias, lâmpadas e acessórios </t>
  </si>
  <si>
    <t>Luminárias, lâmpadas e acessórios</t>
  </si>
  <si>
    <t>Mão de obra - Sistemas e instalações elétricas</t>
  </si>
  <si>
    <t>Mão de obra para instalações elétricas</t>
  </si>
  <si>
    <t>Instalações Preventivas</t>
  </si>
  <si>
    <t>Instalações de proteção e aterramento -SPDA</t>
  </si>
  <si>
    <t>Mão de obra para instalações gás</t>
  </si>
  <si>
    <t>Sistema de interfone / controle de acesso</t>
  </si>
  <si>
    <t>Estimado confrome aba "Interfonia"</t>
  </si>
  <si>
    <t>Instalação de CFTV</t>
  </si>
  <si>
    <t>Custo estimado, devido ausência de quantitativo</t>
  </si>
  <si>
    <t>Instalações de TV VHF/CABO/SATÉLITE</t>
  </si>
  <si>
    <t>Sistema Telefonia/lógica/internet</t>
  </si>
  <si>
    <t>Equipamentos de piscina</t>
  </si>
  <si>
    <t>Elevadores</t>
  </si>
  <si>
    <t>um</t>
  </si>
  <si>
    <t>Climatização</t>
  </si>
  <si>
    <t>Infraestrutura para instalação de ar condicionado</t>
  </si>
  <si>
    <t>Exaustão mecânica</t>
  </si>
  <si>
    <t>Estrutura de exaustão</t>
  </si>
  <si>
    <t>Equipamento Escada Pressurizada</t>
  </si>
  <si>
    <t>REVESTIMENTOS INTERNOS DE PAREDE</t>
  </si>
  <si>
    <t>Chapisco interno paredes</t>
  </si>
  <si>
    <t>Reboco interno paredes</t>
  </si>
  <si>
    <t>Estucamento de estrutura de concreto em pilares e vigas</t>
  </si>
  <si>
    <t>Revestimento  Cerâmico</t>
  </si>
  <si>
    <t>Peitoril em Granito</t>
  </si>
  <si>
    <t>Peitoril em granito, largura 15cm - espessura 2cm</t>
  </si>
  <si>
    <t xml:space="preserve">Mão de obra - Revestimentos internos de parede </t>
  </si>
  <si>
    <t>Mão de obra execução de massa única em paredes interna, incluindo chapisco</t>
  </si>
  <si>
    <t>Mão de obra estucamento de paredes</t>
  </si>
  <si>
    <t>Mão de obra para assentamento de revestimento cerâmico em parede</t>
  </si>
  <si>
    <t>Mão de obra para colocação de peitoril e pingadeira</t>
  </si>
  <si>
    <t>REVESTIMENTOS INTERNOS DE TETO</t>
  </si>
  <si>
    <t>Revestimento argamassado em teto</t>
  </si>
  <si>
    <t>Forro de Gesso</t>
  </si>
  <si>
    <t xml:space="preserve">Mão de obra - Acabamentos internos em teto </t>
  </si>
  <si>
    <t>Mão de obra execução de estucamento em teto</t>
  </si>
  <si>
    <t>Forros especiais</t>
  </si>
  <si>
    <t>PISOS E PAVIMENTAÇÕES</t>
  </si>
  <si>
    <t>Contrapiso</t>
  </si>
  <si>
    <t>Contrapiso comum em argamassa estabilizada, nao aderido, espessura 5cm</t>
  </si>
  <si>
    <t>Acabamentos cimentados em piso</t>
  </si>
  <si>
    <t>Acabamentos cerâmicos em piso</t>
  </si>
  <si>
    <t>Rodapés</t>
  </si>
  <si>
    <t>Rodapé de poliestireno h=10cm</t>
  </si>
  <si>
    <t>Rodapé de porcelanato h=10cm</t>
  </si>
  <si>
    <t>Soleiras</t>
  </si>
  <si>
    <t>Soleira em granito, largura 15cm - espessura 2cm</t>
  </si>
  <si>
    <t>Mão de obra - acabamentos em pisos e pavimentações</t>
  </si>
  <si>
    <t>Mão de Obra Piso Porcenato/ Cerâmico</t>
  </si>
  <si>
    <t>Mão de obra de rodapé Porcelanato</t>
  </si>
  <si>
    <t>Mão de obra de rodapé Poliestireno</t>
  </si>
  <si>
    <t>Mão de obra de colocação de soleira em granito</t>
  </si>
  <si>
    <t>Acabamentos especiais em piso</t>
  </si>
  <si>
    <t>Sistema de pintura em piso</t>
  </si>
  <si>
    <t>Sistema de pintura em parede</t>
  </si>
  <si>
    <t>Pintura Com Tinta Latex Acrilica em Paredes Internas, 3 Demaos</t>
  </si>
  <si>
    <t>Pintura de fosso + area tecnica + hall + escadas + sala comercial + area comum</t>
  </si>
  <si>
    <t>Textura acrílica aplicação em paredes internas, 1 demão</t>
  </si>
  <si>
    <t>áreas com textura</t>
  </si>
  <si>
    <t>Sistema de pintura em teto</t>
  </si>
  <si>
    <t>Pintura com tinta látex acrílica, 3 demãos</t>
  </si>
  <si>
    <t>Mão de obra - pintura interna</t>
  </si>
  <si>
    <t>Mão de obra para aplicação de pintura epoxi, aplicação em piso, 2 demãos</t>
  </si>
  <si>
    <t>Mão de obra para pintura acrílica em paredes internas, 3 demãos</t>
  </si>
  <si>
    <t>Mão de obra para aplicação de textura acrílica em paredes internas, 1 demão</t>
  </si>
  <si>
    <t>Mão de obra para pintura acrílica em teto, 3 demãos</t>
  </si>
  <si>
    <t>Mão de obra para textura Acrílica em teto, 1 demão</t>
  </si>
  <si>
    <t>Contramarco</t>
  </si>
  <si>
    <t>Contramarco de Alumínio, Fixação com Argamassa</t>
  </si>
  <si>
    <t>Esquadrias de alumínio</t>
  </si>
  <si>
    <t>Esquadrias de Alumínio - fornecimento e instalação</t>
  </si>
  <si>
    <t>Pele de vidro</t>
  </si>
  <si>
    <t>Guarda corpo</t>
  </si>
  <si>
    <t>Guarda Corpo de vidro e aluminio h=110cm</t>
  </si>
  <si>
    <t>Guarda Corpo de vidro e aluminio h=120cm</t>
  </si>
  <si>
    <t>Esquadrias de madeira</t>
  </si>
  <si>
    <t xml:space="preserve">Corrimão de madeira </t>
  </si>
  <si>
    <t>Corrimão de escadas em madeira</t>
  </si>
  <si>
    <t>Acessórios e ferragens</t>
  </si>
  <si>
    <t>Mão de obra para instalação de portas de madeira</t>
  </si>
  <si>
    <t>Fechadura eletronica</t>
  </si>
  <si>
    <t>entrada de cada apartamento</t>
  </si>
  <si>
    <t>Contramarco de aço galvanizado Fixados com Argamassa</t>
  </si>
  <si>
    <t>Esquadrias metálicas</t>
  </si>
  <si>
    <t>Porta corta-fogo, 1 folha, 80x220 cm</t>
  </si>
  <si>
    <t>Mão de obra para instalação de portas corta-fogo</t>
  </si>
  <si>
    <t>Porta corta-fogo, 1 folha, 80x210 cm</t>
  </si>
  <si>
    <t>Serralheria</t>
  </si>
  <si>
    <t>Escada de marinheiro</t>
  </si>
  <si>
    <t>Metais e acessórios</t>
  </si>
  <si>
    <t>Bancadas, pias e divisórias</t>
  </si>
  <si>
    <t xml:space="preserve">Tampo de Granito </t>
  </si>
  <si>
    <t>Revestimento argamassado em fachada</t>
  </si>
  <si>
    <t>Chapisco externo de argamassa pré-fabricada adesiva de cimento colante - aplicação rolada em paredes externas</t>
  </si>
  <si>
    <t>Massa unica para reboco externo em Argamassa preparada em central / usinada, espessura de 35mm</t>
  </si>
  <si>
    <t>Tratamento</t>
  </si>
  <si>
    <t>Perímetro de todos os pavimentos</t>
  </si>
  <si>
    <t>Pintura e textura em fachada</t>
  </si>
  <si>
    <t>Fundo selador látex acrílico em paredes externas - 1 demão</t>
  </si>
  <si>
    <t>Pintura PVA Acrílica Externa 2 Demãos</t>
  </si>
  <si>
    <t>Textura acrílica, acabamento granulado  aplicação em paredes externas - 1 demão</t>
  </si>
  <si>
    <t>Acabamentos especiais em fachada</t>
  </si>
  <si>
    <t>Mao de obra para reboco externo - inclui chapisco</t>
  </si>
  <si>
    <t>Mão de obra para aplicação de textura em paredes externas - 1 demão</t>
  </si>
  <si>
    <t>Chapisco externo de argamassa preparada em obra de cimento e areia - traço 1:4 - aplicação em paredes externas</t>
  </si>
  <si>
    <t>Calçadas e Passeios</t>
  </si>
  <si>
    <t>Calçadada/passeio em concreto intertravado</t>
  </si>
  <si>
    <t>Mão de obra para execução de concreto intertravado</t>
  </si>
  <si>
    <t>Mobiliário e decoração</t>
  </si>
  <si>
    <t xml:space="preserve">Mobiliário e decoração </t>
  </si>
  <si>
    <t>Paisagismo</t>
  </si>
  <si>
    <t xml:space="preserve">Paisagismo </t>
  </si>
  <si>
    <t>Comunicação visual</t>
  </si>
  <si>
    <t>Serviços Finais</t>
  </si>
  <si>
    <t>Limpeza final</t>
  </si>
  <si>
    <t>Desmobilização</t>
  </si>
  <si>
    <t>Ligações definitivas</t>
  </si>
  <si>
    <t xml:space="preserve">IMPREVISTOS E CONTINGÊNCIAS </t>
  </si>
  <si>
    <t>Imprevistos e contingências</t>
  </si>
  <si>
    <t xml:space="preserve">SERVIÇOS TÉCNICOS </t>
  </si>
  <si>
    <t>ESTUDOS, PROJETOS, CONSULTORIA E ENSAIOS</t>
  </si>
  <si>
    <t>CONSUMOS, TAXAS E DOCUMENTOS</t>
  </si>
  <si>
    <t>Licenciamentos, Taxas, Impostos, Aprovações e Seguros</t>
  </si>
  <si>
    <t>SEGURANÇA, MEIO AMBIENTE E SAÚDE</t>
  </si>
  <si>
    <t>Segurança do Trabalho</t>
  </si>
  <si>
    <t>Equipamentos de proteção individual - EPI</t>
  </si>
  <si>
    <t>Equipamentos de proteção de canteiro</t>
  </si>
  <si>
    <t>Previsto confomre NR18</t>
  </si>
  <si>
    <t>Meio Ambiente</t>
  </si>
  <si>
    <t>Saúde Ocupacional</t>
  </si>
  <si>
    <t>Operação inicial de canteiro</t>
  </si>
  <si>
    <t>Locação da Obra</t>
  </si>
  <si>
    <t>Despesas de Consumo e Manutenção</t>
  </si>
  <si>
    <t>Instalações Provisórias de Canteiro de Obra</t>
  </si>
  <si>
    <t>Instalações Provisórias (central de aço, formas, argamassa, almoxarifado geral, construções temporárias)</t>
  </si>
  <si>
    <t>Equipamentos de Obra</t>
  </si>
  <si>
    <t>Despesas de Seguros Obra</t>
  </si>
  <si>
    <t>ATLANTIA</t>
  </si>
  <si>
    <t>PAVIMENTO</t>
  </si>
  <si>
    <t>CA-60</t>
  </si>
  <si>
    <t>CA-50</t>
  </si>
  <si>
    <t>TÉRREO</t>
  </si>
  <si>
    <t>CONCRETO (m³)</t>
  </si>
  <si>
    <t>AÇO PAS.        (kg)</t>
  </si>
  <si>
    <t>f5.0</t>
  </si>
  <si>
    <t>f6.3</t>
  </si>
  <si>
    <t>f8.0</t>
  </si>
  <si>
    <t>f10.0</t>
  </si>
  <si>
    <t>f12.5</t>
  </si>
  <si>
    <t>f16</t>
  </si>
  <si>
    <t>f20</t>
  </si>
  <si>
    <t>f25</t>
  </si>
  <si>
    <t>PILARES</t>
  </si>
  <si>
    <t xml:space="preserve">VIGAS </t>
  </si>
  <si>
    <t>LAJES</t>
  </si>
  <si>
    <t>BLOCOS</t>
  </si>
  <si>
    <t>CISTERNA</t>
  </si>
  <si>
    <t>Vol. Concreto (m³)</t>
  </si>
  <si>
    <t>Aço (kg)</t>
  </si>
  <si>
    <t>G1</t>
  </si>
  <si>
    <t>ESCADA</t>
  </si>
  <si>
    <t>RAMPA</t>
  </si>
  <si>
    <t>G2</t>
  </si>
  <si>
    <t>TOTAL (kg)</t>
  </si>
  <si>
    <t>G3</t>
  </si>
  <si>
    <t>G4</t>
  </si>
  <si>
    <t xml:space="preserve">6º PAVTO - TIPO 01 </t>
  </si>
  <si>
    <t>7º PAVTO - TIPO 02</t>
  </si>
  <si>
    <t>8º PAVTO - TIPO 03</t>
  </si>
  <si>
    <t>9º PAVTO - TIPO 04</t>
  </si>
  <si>
    <t>ESCADAS</t>
  </si>
  <si>
    <t>10º PAVTO - TIPO 05</t>
  </si>
  <si>
    <t>11º PAVTO - TIPO 06</t>
  </si>
  <si>
    <t>12º PAVTO - TIPO 07</t>
  </si>
  <si>
    <t>13º PAVTO - TIPO 08</t>
  </si>
  <si>
    <t>14º PAVTO - TIPO 09</t>
  </si>
  <si>
    <t>15º PAVTO - TIPO 10</t>
  </si>
  <si>
    <t>16º PAVTO - TIPO 11</t>
  </si>
  <si>
    <t>17º PAVTO - TIPO 12</t>
  </si>
  <si>
    <t>18º PAVTO - TIPO 13</t>
  </si>
  <si>
    <t>ROOFTOP</t>
  </si>
  <si>
    <t>TELHADO</t>
  </si>
  <si>
    <t>CASA DE MÁQUINAS</t>
  </si>
  <si>
    <t>FUNDO DO RS</t>
  </si>
  <si>
    <t>TAMPA DO RS</t>
  </si>
  <si>
    <t>VIGAS</t>
  </si>
  <si>
    <t>RESERV. (LAJ+PAR)</t>
  </si>
  <si>
    <t>Revisão:</t>
  </si>
  <si>
    <t>ESTACAS</t>
  </si>
  <si>
    <t>ITEM</t>
  </si>
  <si>
    <t>TIPO</t>
  </si>
  <si>
    <t>QUANT</t>
  </si>
  <si>
    <t>DIMENSÕES UNITÁRIAS</t>
  </si>
  <si>
    <t>ESCAV</t>
  </si>
  <si>
    <t>BOTA-FORA</t>
  </si>
  <si>
    <t>CONCRETO</t>
  </si>
  <si>
    <t xml:space="preserve">QUANTIDADE POR ITEM CA-50 </t>
  </si>
  <si>
    <t>TAXA AÇO</t>
  </si>
  <si>
    <t>C. Topo</t>
  </si>
  <si>
    <t>C. Apoio</t>
  </si>
  <si>
    <t>Ø peça</t>
  </si>
  <si>
    <t>H</t>
  </si>
  <si>
    <t>KG/M3</t>
  </si>
  <si>
    <t xml:space="preserve">Hélice diam 50 cm </t>
  </si>
  <si>
    <t>45 MPa</t>
  </si>
  <si>
    <t xml:space="preserve">Hélice diam 60 cm </t>
  </si>
  <si>
    <t>TOTAL GERAL</t>
  </si>
  <si>
    <t>Arrasamento</t>
  </si>
  <si>
    <t>OBSERVAÇÕES:</t>
  </si>
  <si>
    <t xml:space="preserve">Hélice diam 35 cm </t>
  </si>
  <si>
    <t>20 MPa</t>
  </si>
  <si>
    <t xml:space="preserve">Hélice diam 40 cm </t>
  </si>
  <si>
    <t>25 MPa</t>
  </si>
  <si>
    <t>30 MPa</t>
  </si>
  <si>
    <t>35 MPa</t>
  </si>
  <si>
    <t xml:space="preserve">Hélice diam 70 cm </t>
  </si>
  <si>
    <t>40 MPa</t>
  </si>
  <si>
    <t xml:space="preserve">Hélice diam 80 cm </t>
  </si>
  <si>
    <t xml:space="preserve">Hélice diam 90 cm </t>
  </si>
  <si>
    <t>.... MPa</t>
  </si>
  <si>
    <t xml:space="preserve">E.P. Hélice diam 70 cm </t>
  </si>
  <si>
    <t>Projeto:</t>
  </si>
  <si>
    <t>Empresa:</t>
  </si>
  <si>
    <t>APILOA</t>
  </si>
  <si>
    <t>REATER</t>
  </si>
  <si>
    <t>BOTA FORA</t>
  </si>
  <si>
    <t>LASTRO</t>
  </si>
  <si>
    <t>FORMA</t>
  </si>
  <si>
    <t>Imperm</t>
  </si>
  <si>
    <t>20 Mpa</t>
  </si>
  <si>
    <t>30 Mpa</t>
  </si>
  <si>
    <t>35 Mpa</t>
  </si>
  <si>
    <t>40 Mpa</t>
  </si>
  <si>
    <t>45 Mpa</t>
  </si>
  <si>
    <t>BLOCOS QUADRADOS RETANGULARES</t>
  </si>
  <si>
    <t>Dimensões Unitárias - m</t>
  </si>
  <si>
    <t>Adição</t>
  </si>
  <si>
    <t>Quantidade de Serviços</t>
  </si>
  <si>
    <t>Detalhe Típico</t>
  </si>
  <si>
    <t>LARGURA</t>
  </si>
  <si>
    <t>COMPR</t>
  </si>
  <si>
    <t>ALTURA</t>
  </si>
  <si>
    <t>largura</t>
  </si>
  <si>
    <t>altura</t>
  </si>
  <si>
    <t>Escav</t>
  </si>
  <si>
    <t>Apiloam</t>
  </si>
  <si>
    <t>Reaterro</t>
  </si>
  <si>
    <t>Bota-fora</t>
  </si>
  <si>
    <t>Fôrma</t>
  </si>
  <si>
    <t>Tipo</t>
  </si>
  <si>
    <t>A</t>
  </si>
  <si>
    <t>B</t>
  </si>
  <si>
    <t>C</t>
  </si>
  <si>
    <t>esp</t>
  </si>
  <si>
    <t xml:space="preserve">PROJETO: </t>
  </si>
  <si>
    <t>BLOCOS TRIANGULARES</t>
  </si>
  <si>
    <t>LADO 1 DO BLOCO</t>
  </si>
  <si>
    <t>LADO 2 DO BLOCO</t>
  </si>
  <si>
    <t>LADO 3 DO BLOCO</t>
  </si>
  <si>
    <t>LADO 4 DO BLOCO</t>
  </si>
  <si>
    <t>LADO 5 DO BLOCO</t>
  </si>
  <si>
    <t>ALTURA DO BLOCO</t>
  </si>
  <si>
    <t>R</t>
  </si>
  <si>
    <t>h1 + h2</t>
  </si>
  <si>
    <t>h2</t>
  </si>
  <si>
    <t>b2</t>
  </si>
  <si>
    <t>b1</t>
  </si>
  <si>
    <t>Hb</t>
  </si>
  <si>
    <t>UD</t>
  </si>
  <si>
    <t>SAPATAS</t>
  </si>
  <si>
    <t>Quant.</t>
  </si>
  <si>
    <t>H0</t>
  </si>
  <si>
    <t>D</t>
  </si>
  <si>
    <t>H1</t>
  </si>
  <si>
    <r>
      <t xml:space="preserve">Vol. tronco pirâmide </t>
    </r>
    <r>
      <rPr>
        <sz val="9"/>
        <rFont val="Calibri"/>
        <family val="2"/>
        <scheme val="minor"/>
      </rPr>
      <t>= (H2/6) * [ (A*B) + (C*D) + (A+C)*(B+D) ]</t>
    </r>
  </si>
  <si>
    <t>VIGAS  FUNDAÇÃO</t>
  </si>
  <si>
    <t>LARG</t>
  </si>
  <si>
    <t>COMP</t>
  </si>
  <si>
    <t>ALT</t>
  </si>
  <si>
    <t>lados</t>
  </si>
  <si>
    <t>PILARS  FUNDAÇÃO</t>
  </si>
  <si>
    <t xml:space="preserve">Forma </t>
  </si>
  <si>
    <t>DUTO E CISTERNA</t>
  </si>
  <si>
    <t>IMPERM</t>
  </si>
  <si>
    <t>PROJETO</t>
  </si>
  <si>
    <t>DUTO</t>
  </si>
  <si>
    <t>LAJE  FUNDAÇÃO</t>
  </si>
  <si>
    <t>LAJE / MOLDE</t>
  </si>
  <si>
    <t>PERÍMETRO</t>
  </si>
  <si>
    <t>ÁREA</t>
  </si>
  <si>
    <t>COEF</t>
  </si>
  <si>
    <t>UNIT</t>
  </si>
  <si>
    <t>L1</t>
  </si>
  <si>
    <t>MOLDADA IN LOCO</t>
  </si>
  <si>
    <t>L3 - ELEVADOR</t>
  </si>
  <si>
    <t>PROJETO:  HEP-ATL-BSDE-FUN-0001</t>
  </si>
  <si>
    <t>ATLANTIA-LC-0-TER-BL-01-3</t>
  </si>
  <si>
    <t>B1</t>
  </si>
  <si>
    <t>B2</t>
  </si>
  <si>
    <t>B9</t>
  </si>
  <si>
    <t>B32=B33=B41=B45</t>
  </si>
  <si>
    <t>B35</t>
  </si>
  <si>
    <t>B12-16</t>
  </si>
  <si>
    <t>B4-18</t>
  </si>
  <si>
    <t>B13</t>
  </si>
  <si>
    <t>B14</t>
  </si>
  <si>
    <t>B24</t>
  </si>
  <si>
    <t>B25</t>
  </si>
  <si>
    <t>B26</t>
  </si>
  <si>
    <t>B27</t>
  </si>
  <si>
    <t>B28</t>
  </si>
  <si>
    <t>B29</t>
  </si>
  <si>
    <t>B31</t>
  </si>
  <si>
    <t>B34</t>
  </si>
  <si>
    <t>B36</t>
  </si>
  <si>
    <t>B37</t>
  </si>
  <si>
    <t>B38</t>
  </si>
  <si>
    <t>B39</t>
  </si>
  <si>
    <t>B40</t>
  </si>
  <si>
    <t>B41</t>
  </si>
  <si>
    <t>B42</t>
  </si>
  <si>
    <t>B43</t>
  </si>
  <si>
    <t>B44</t>
  </si>
  <si>
    <t>B45</t>
  </si>
  <si>
    <t>B46</t>
  </si>
  <si>
    <t>B47</t>
  </si>
  <si>
    <t>B48</t>
  </si>
  <si>
    <t>B49</t>
  </si>
  <si>
    <t>B50</t>
  </si>
  <si>
    <t>B51</t>
  </si>
  <si>
    <t>B52</t>
  </si>
  <si>
    <t>B53</t>
  </si>
  <si>
    <t>B3-17</t>
  </si>
  <si>
    <t>B5-19</t>
  </si>
  <si>
    <t>B6-20</t>
  </si>
  <si>
    <t>B7-21</t>
  </si>
  <si>
    <t>B8-22</t>
  </si>
  <si>
    <t>B1-15</t>
  </si>
  <si>
    <t>B10-23-30</t>
  </si>
  <si>
    <t>P1</t>
  </si>
  <si>
    <t>P2</t>
  </si>
  <si>
    <t>P9</t>
  </si>
  <si>
    <t>P13</t>
  </si>
  <si>
    <t>P3</t>
  </si>
  <si>
    <t>P14</t>
  </si>
  <si>
    <t>P24</t>
  </si>
  <si>
    <t>P25</t>
  </si>
  <si>
    <t>P26</t>
  </si>
  <si>
    <t>P27</t>
  </si>
  <si>
    <t>P28</t>
  </si>
  <si>
    <t>P29</t>
  </si>
  <si>
    <t>P31</t>
  </si>
  <si>
    <t>P32</t>
  </si>
  <si>
    <t>P34</t>
  </si>
  <si>
    <t>P35</t>
  </si>
  <si>
    <t>P36</t>
  </si>
  <si>
    <t>P37</t>
  </si>
  <si>
    <t>P38</t>
  </si>
  <si>
    <t>P39</t>
  </si>
  <si>
    <t>P40</t>
  </si>
  <si>
    <t>P41</t>
  </si>
  <si>
    <t>P42</t>
  </si>
  <si>
    <t>P43</t>
  </si>
  <si>
    <t>P44</t>
  </si>
  <si>
    <t>P45</t>
  </si>
  <si>
    <t>P46</t>
  </si>
  <si>
    <t>P47</t>
  </si>
  <si>
    <t>P48</t>
  </si>
  <si>
    <t>P49</t>
  </si>
  <si>
    <t>P50</t>
  </si>
  <si>
    <t>P51</t>
  </si>
  <si>
    <t>P52</t>
  </si>
  <si>
    <t>P53</t>
  </si>
  <si>
    <t>P10</t>
  </si>
  <si>
    <t>P23</t>
  </si>
  <si>
    <t>P30</t>
  </si>
  <si>
    <t>P12</t>
  </si>
  <si>
    <t>P16</t>
  </si>
  <si>
    <t>P11</t>
  </si>
  <si>
    <t>P15</t>
  </si>
  <si>
    <t>P8</t>
  </si>
  <si>
    <t>P22</t>
  </si>
  <si>
    <t>P7</t>
  </si>
  <si>
    <t>P21</t>
  </si>
  <si>
    <t>P6</t>
  </si>
  <si>
    <t>P20</t>
  </si>
  <si>
    <t>P5</t>
  </si>
  <si>
    <t>P19</t>
  </si>
  <si>
    <t>P4</t>
  </si>
  <si>
    <t>P18</t>
  </si>
  <si>
    <t>P17</t>
  </si>
  <si>
    <t>Esp</t>
  </si>
  <si>
    <t>Espessura Parede</t>
  </si>
  <si>
    <t>Área Externa</t>
  </si>
  <si>
    <t>Perímetro Externo</t>
  </si>
  <si>
    <t>Lona</t>
  </si>
  <si>
    <t>Brita</t>
  </si>
  <si>
    <t xml:space="preserve">Lastro </t>
  </si>
  <si>
    <t>Fundação Rasa</t>
  </si>
  <si>
    <t>Laje Fundação</t>
  </si>
  <si>
    <t>Lastro
brita</t>
  </si>
  <si>
    <t>Lastro
Concreto</t>
  </si>
  <si>
    <t>Escavação</t>
  </si>
  <si>
    <t>Apiolamento</t>
  </si>
  <si>
    <t>Bota Fora</t>
  </si>
  <si>
    <t>Imperm.</t>
  </si>
  <si>
    <t>ATLANTIA-FO-0-TER-PB-01-0</t>
  </si>
  <si>
    <t>V1</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</si>
  <si>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</si>
  <si>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</si>
  <si>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</si>
  <si>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</si>
  <si>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</si>
  <si>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</si>
  <si>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</si>
  <si>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</si>
  <si>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</si>
  <si>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</si>
  <si>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</si>
  <si>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</si>
  <si>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</si>
  <si>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</si>
  <si>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</si>
  <si>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</si>
  <si>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</si>
  <si>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</si>
  <si>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</si>
  <si>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</si>
  <si>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</si>
  <si>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</si>
  <si>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</si>
  <si>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</si>
  <si>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</si>
  <si>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</si>
  <si>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</si>
  <si>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</si>
  <si>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</si>
  <si>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</si>
  <si>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</si>
  <si>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</si>
  <si>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</si>
  <si>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</si>
  <si>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</si>
  <si>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</si>
  <si>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</si>
  <si>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</si>
  <si>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</si>
  <si>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</si>
  <si>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</si>
  <si>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</si>
  <si>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</si>
  <si>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</si>
  <si>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</si>
  <si>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</si>
  <si>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</si>
  <si>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</si>
  <si>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</si>
  <si>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</si>
  <si>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</si>
  <si>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</si>
  <si>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</si>
  <si>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</si>
  <si>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</si>
  <si>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</si>
  <si>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</si>
  <si>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</si>
  <si>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</si>
  <si>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</si>
  <si>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</si>
  <si>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</si>
  <si>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</si>
  <si>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V65</t>
  </si>
  <si>
    <t>V66</t>
  </si>
  <si>
    <t>V67</t>
  </si>
  <si>
    <t>V68</t>
  </si>
  <si>
    <t>V69</t>
  </si>
  <si>
    <t>V70</t>
  </si>
  <si>
    <t>V71</t>
  </si>
  <si>
    <t>V72</t>
  </si>
  <si>
    <t>V73</t>
  </si>
  <si>
    <t>V74</t>
  </si>
  <si>
    <t>V75</t>
  </si>
  <si>
    <t>V76</t>
  </si>
  <si>
    <t>V77</t>
  </si>
  <si>
    <t>V75A</t>
  </si>
  <si>
    <t>V77A</t>
  </si>
  <si>
    <t>Total
Concreto Projetista</t>
  </si>
  <si>
    <t>PAVIMENTOS</t>
  </si>
  <si>
    <t>DISCIPLINA</t>
  </si>
  <si>
    <t>Fabricação Forma</t>
  </si>
  <si>
    <t>Montagem Forma</t>
  </si>
  <si>
    <t>Estimativa de formas para Supraestrutura</t>
  </si>
  <si>
    <t>Estimado Com Indices Históricos</t>
  </si>
  <si>
    <t>NÚMERO DE UNIDADES COMERCIAIS</t>
  </si>
  <si>
    <t>Sinalização com fita fixada em cone</t>
  </si>
  <si>
    <t>Placa indicativa fixada em totem</t>
  </si>
  <si>
    <t>Placa indicativa fixada na estrutura por pregos</t>
  </si>
  <si>
    <t>Sinalização com fita fixada na estrutura amarrada</t>
  </si>
  <si>
    <t>Fabricação de Fôrma para Pilares, em Chapa de Madeira Compensada Resinada, E=17mm</t>
  </si>
  <si>
    <t>Fabricação de Fôrma para Vigas, em Chapa de Madeira Compensada Resinada, E=17mm</t>
  </si>
  <si>
    <t>Fabricação de Fôrma para Lajes, em Chapa de Madeira Compensada Resinada, E=17mm</t>
  </si>
  <si>
    <t>Manutenção/Reforma de Cubetas</t>
  </si>
  <si>
    <t>Supra</t>
  </si>
  <si>
    <t>Forma para Laje Contrapiso Térreo em Tábuas de Madeira Serrada 17mm 4x reaproveitamento</t>
  </si>
  <si>
    <t>Armação tela Q92 para ContraPiso Armado (corte e dobra em indústria)</t>
  </si>
  <si>
    <t>Lona Plastica para Contrapiso Armado</t>
  </si>
  <si>
    <t>Concreto Usinado FCK = 20MPa Bombeavel</t>
  </si>
  <si>
    <t>Concreto Usinado FCK = 45MPa Bombeavel</t>
  </si>
  <si>
    <t>Rateio do Custo Global</t>
  </si>
  <si>
    <t>Orçamento</t>
  </si>
  <si>
    <t>% Serviço</t>
  </si>
  <si>
    <t>% Acumulado</t>
  </si>
  <si>
    <t>Orçado</t>
  </si>
  <si>
    <t>Orçado Acum.</t>
  </si>
  <si>
    <t>Fundações</t>
  </si>
  <si>
    <t>Supraestrutura</t>
  </si>
  <si>
    <t xml:space="preserve">   1º PAVIMENTO - TÉRREO</t>
  </si>
  <si>
    <t xml:space="preserve">   2º PAVIMENTO - GARAGEM 01</t>
  </si>
  <si>
    <t xml:space="preserve">   3º PAVIMENTO - GARAGEM 02</t>
  </si>
  <si>
    <t xml:space="preserve">   4º PAVIMENTO - GARAGEM 03</t>
  </si>
  <si>
    <t>Alvenarias e Vedações</t>
  </si>
  <si>
    <t>Revestimentos de Argamassas (internos)</t>
  </si>
  <si>
    <t>Internos Parede</t>
  </si>
  <si>
    <t>Estucamento Parede</t>
  </si>
  <si>
    <t>Internos Teto Massa</t>
  </si>
  <si>
    <t>Internos Piso</t>
  </si>
  <si>
    <t>Revestimentos de Argamassas (Externos)</t>
  </si>
  <si>
    <t>Fachada  - Externos</t>
  </si>
  <si>
    <t>Coberturas (telhado)</t>
  </si>
  <si>
    <t>Revestimentos cerâmicos e porcelanatos</t>
  </si>
  <si>
    <t xml:space="preserve"> Internos Parede</t>
  </si>
  <si>
    <t xml:space="preserve"> Internos Piso</t>
  </si>
  <si>
    <t>Internos Rodapé</t>
  </si>
  <si>
    <t>Revestimentos de Acabamentos (Externos)</t>
  </si>
  <si>
    <t>Serviços complementares Entrega obra</t>
  </si>
  <si>
    <t>MAO DE OBRA PARA INSTALAÇÃO DE COBERTURA/CALHAS E RUFOS</t>
  </si>
  <si>
    <t>MAO DE OBRA PARA SERVIÇOS COMPLMENTARES E FINAIS DE OBRA</t>
  </si>
  <si>
    <t>Mão de Obra - Instalação de Canteiro</t>
  </si>
  <si>
    <t>Mao De Obra Instalacoes De Canteiro</t>
  </si>
  <si>
    <t xml:space="preserve">   1º PAVIMENTO - TÉRREO - Contrapiso Armado</t>
  </si>
  <si>
    <t xml:space="preserve">   5º PAVIMENTO -  GARAGEM 04</t>
  </si>
  <si>
    <t xml:space="preserve">   7º PAVIMENTO - TIPO1 X1</t>
  </si>
  <si>
    <t xml:space="preserve">   9º PAVIMENTO - TIPO3 X1</t>
  </si>
  <si>
    <t xml:space="preserve">   8º PAVIMENTO - TIPO2 X11</t>
  </si>
  <si>
    <t xml:space="preserve">   19º PAVIMENTO - TÉCNICO</t>
  </si>
  <si>
    <t xml:space="preserve">   19º PAVIMENTO - ROOFTOP</t>
  </si>
  <si>
    <t>Considerado Laje do Térreo</t>
  </si>
  <si>
    <t>Quantidade Estimado conforme índices Históricos - Considerado 2 Jogos</t>
  </si>
  <si>
    <t>Quantidade disponibilizada pelo projetista</t>
  </si>
  <si>
    <t>DADOS</t>
  </si>
  <si>
    <t>Titulo</t>
  </si>
  <si>
    <t>QUANTITATIVO</t>
  </si>
  <si>
    <t>Cliente</t>
  </si>
  <si>
    <t>H Empreendimentos</t>
  </si>
  <si>
    <t>Cidade</t>
  </si>
  <si>
    <t>ITAPEMA</t>
  </si>
  <si>
    <t>Endereço</t>
  </si>
  <si>
    <t/>
  </si>
  <si>
    <t>QUANTITATIVOS</t>
  </si>
  <si>
    <t>1.</t>
  </si>
  <si>
    <t>Arquitetura</t>
  </si>
  <si>
    <t>1.1.</t>
  </si>
  <si>
    <t>1.1.1</t>
  </si>
  <si>
    <t>BLOCO CERAMICO, 09 cm</t>
  </si>
  <si>
    <t>1.1.2</t>
  </si>
  <si>
    <t>BLOCO CERAMICO, 11,5 cm</t>
  </si>
  <si>
    <t>1.1.3</t>
  </si>
  <si>
    <t>BLOCO CERAMICO, 14 cm</t>
  </si>
  <si>
    <t>1.2.</t>
  </si>
  <si>
    <t>Alvenaria de vedação com bocos acf</t>
  </si>
  <si>
    <t>1.2.1</t>
  </si>
  <si>
    <t>BLOCO ANTI-CHAMAS, 12,5 cm</t>
  </si>
  <si>
    <t>1.3.</t>
  </si>
  <si>
    <t>Serviços complementares - cobertura</t>
  </si>
  <si>
    <t>1.3.1</t>
  </si>
  <si>
    <t xml:space="preserve">CALHA </t>
  </si>
  <si>
    <t>1.3.2</t>
  </si>
  <si>
    <t>RUFO - TELHADOS</t>
  </si>
  <si>
    <t>1.4.</t>
  </si>
  <si>
    <t>Serviços complementares para alvenaria</t>
  </si>
  <si>
    <t>1.4.1</t>
  </si>
  <si>
    <t>ENCUNHAMENTO</t>
  </si>
  <si>
    <t>1.4.2</t>
  </si>
  <si>
    <t xml:space="preserve">VERGA E CONTRAVERGA </t>
  </si>
  <si>
    <t>1.5.</t>
  </si>
  <si>
    <t>Acabamentos cerâmicos</t>
  </si>
  <si>
    <t>1.5.1</t>
  </si>
  <si>
    <t>REVESTIMENTO INTERNO, PAREDE - PORCELANATO, A. COMUM</t>
  </si>
  <si>
    <t>1.5.2</t>
  </si>
  <si>
    <t>REVESTIMENTO INTERNO, PAREDE - PORCELANATO, BANHEIRO</t>
  </si>
  <si>
    <t>1.5.3</t>
  </si>
  <si>
    <t>REVESTIMENTO INTERNO, PAREDE - PORCELANATO, HALL</t>
  </si>
  <si>
    <t>1.5.4</t>
  </si>
  <si>
    <t>REVESTIMENTO INTERNO, PAREDE - PORCELANATO, LIXEIRA/G.N</t>
  </si>
  <si>
    <t>1.6.</t>
  </si>
  <si>
    <t>Acabamentos especiais</t>
  </si>
  <si>
    <t>1.6.1</t>
  </si>
  <si>
    <t>REVESTIMENTO INTERNO, PAREDE - LADRILHO, LAVANDERIA</t>
  </si>
  <si>
    <t>1.6.2</t>
  </si>
  <si>
    <t>REVESTIMENTO INTERNO, PAREDE - PEDRA NATURAL, A. COMUM</t>
  </si>
  <si>
    <t>REVESTIMENTO INTERNO, PAREDE - REGULARIZAÇÃO, DUTO</t>
  </si>
  <si>
    <t>1.7.</t>
  </si>
  <si>
    <t>1.7.1</t>
  </si>
  <si>
    <t>PROTEÇAO MECANICA</t>
  </si>
  <si>
    <t>1.7.2</t>
  </si>
  <si>
    <t>REGULARIZAÇAO</t>
  </si>
  <si>
    <t>1.8.</t>
  </si>
  <si>
    <t>Impermeabilizaçao e tratamentos</t>
  </si>
  <si>
    <t>1.8.1</t>
  </si>
  <si>
    <t>IMPERMEABILIZAÇAO EM AREA DE SERVIÇO</t>
  </si>
  <si>
    <t>1.8.2</t>
  </si>
  <si>
    <t>IMPERMEABILIZAÇAO EM AREAS TECNICAS</t>
  </si>
  <si>
    <t>1.8.3</t>
  </si>
  <si>
    <t>IMPERMEABILIZAÇAO EM BANHEIRO</t>
  </si>
  <si>
    <t>1.8.4</t>
  </si>
  <si>
    <t>IMPERMEABILIZAÇAO EM BOX DE BANHEIRO</t>
  </si>
  <si>
    <t>1.8.5</t>
  </si>
  <si>
    <t>IMPERMEABILIZAÇAO EM CENTRAL DE GAS/LIXEIRA</t>
  </si>
  <si>
    <t>1.8.6</t>
  </si>
  <si>
    <t>IMPERMEABILIZAÇAO EM COZINHA</t>
  </si>
  <si>
    <t>1.8.7</t>
  </si>
  <si>
    <t>IMPERMEABILIZAÇAO EM ESQUADRIAS</t>
  </si>
  <si>
    <t>1.8.8</t>
  </si>
  <si>
    <t>IMPERMEABILIZAÇAO EM FLOREIRAS</t>
  </si>
  <si>
    <t>1.8.9</t>
  </si>
  <si>
    <t>IMPERMEABILIZAÇAO EM FOSSO ELEVADOR</t>
  </si>
  <si>
    <t>1.8.10</t>
  </si>
  <si>
    <t>IMPERMEABILIZAÇAO EM PISCINA</t>
  </si>
  <si>
    <t>1.8.11</t>
  </si>
  <si>
    <t>IMPERMEABILIZAÇAO EM RESERVATORIOS</t>
  </si>
  <si>
    <t>1.8.12</t>
  </si>
  <si>
    <t>IMPERMEABILIZAÇAO EM SACADA</t>
  </si>
  <si>
    <t>1.8.13</t>
  </si>
  <si>
    <t>IMPERMEABILIZAÇAO EM TAMPA DE RESERVATÓRIOS</t>
  </si>
  <si>
    <t>1.8.14</t>
  </si>
  <si>
    <t>IMPERMEABILIZAÇAO EM TERRAÇOS</t>
  </si>
  <si>
    <t>1.8.15</t>
  </si>
  <si>
    <t>IMPERMEABILIZAÇAO EM VIGAS BALDRAME</t>
  </si>
  <si>
    <t>1.9.</t>
  </si>
  <si>
    <t>Chapisco Interno</t>
  </si>
  <si>
    <t>1.9.1</t>
  </si>
  <si>
    <t>.CHAPISCO ARGAMASSADO INTERNO</t>
  </si>
  <si>
    <t>1.9.2</t>
  </si>
  <si>
    <t>.CHAPISCO ARGAMASSADO PARA ESTRUTURA INTERNO</t>
  </si>
  <si>
    <t>1.10.</t>
  </si>
  <si>
    <t>Acabamento de gesso em teto</t>
  </si>
  <si>
    <t>1.10.1</t>
  </si>
  <si>
    <t>FORRO GESSO CORRIDO</t>
  </si>
  <si>
    <t>1.11.</t>
  </si>
  <si>
    <t>Reboco Interno</t>
  </si>
  <si>
    <t>1.11.1</t>
  </si>
  <si>
    <t>.REBOCO ARGAMASSADO INTERNO</t>
  </si>
  <si>
    <t>1.12.</t>
  </si>
  <si>
    <t>Estucamento</t>
  </si>
  <si>
    <t>1.12.1</t>
  </si>
  <si>
    <t>.ESTUCAMENTO</t>
  </si>
  <si>
    <t>1.13.</t>
  </si>
  <si>
    <t>Acabamentos especiais em teto</t>
  </si>
  <si>
    <t>1.13.1</t>
  </si>
  <si>
    <t>GENÉRICO</t>
  </si>
  <si>
    <t>1.14.</t>
  </si>
  <si>
    <t>Peitoris</t>
  </si>
  <si>
    <t>1.14.1</t>
  </si>
  <si>
    <t>REVESTIMENTO - PEITORIL, PEDRA NATURAL</t>
  </si>
  <si>
    <t>1.15.</t>
  </si>
  <si>
    <t>Revestimento interno argamassado em teto</t>
  </si>
  <si>
    <t>1.15.1</t>
  </si>
  <si>
    <t>ESTUCAMENTO EM TETO</t>
  </si>
  <si>
    <t>ESTUCAMENTO EM TETO COM TEXTURA</t>
  </si>
  <si>
    <t>1.16.</t>
  </si>
  <si>
    <t>Acabamentos cimentados</t>
  </si>
  <si>
    <t>1.16.1</t>
  </si>
  <si>
    <t>REVESTIMENTO - PISO CONCRETO VASSOURADO</t>
  </si>
  <si>
    <t>1.17.</t>
  </si>
  <si>
    <t>1.17.1</t>
  </si>
  <si>
    <t>REVESTIMENTO - CERAMICA, LIXEIRA/GN</t>
  </si>
  <si>
    <t>1.17.2</t>
  </si>
  <si>
    <t>REVESTIMENTO - PORCELANATO, AREA COMUM EXTERNA</t>
  </si>
  <si>
    <t>1.17.3</t>
  </si>
  <si>
    <t>REVESTIMENTO - PORCELANATO, AREA COMUM INTERNA</t>
  </si>
  <si>
    <t>1.17.4</t>
  </si>
  <si>
    <t>REVESTIMENTO - PORCELANATO, AREA PRIVATIVA EXTERNA</t>
  </si>
  <si>
    <t>1.17.5</t>
  </si>
  <si>
    <t>REVESTIMENTO - PORCELANATO, AREA PRIVATIVA INTERNA</t>
  </si>
  <si>
    <t>1.17.6</t>
  </si>
  <si>
    <t>REVESTIMENTO - PORCELANATO, A. TECNICA</t>
  </si>
  <si>
    <t>1.17.7</t>
  </si>
  <si>
    <t>REVESTIMENTO - PORCELANATO, BANHEIRO</t>
  </si>
  <si>
    <t>1.17.8</t>
  </si>
  <si>
    <t>REVESTIMENTO - PORCELANATO, HALL INTERNO</t>
  </si>
  <si>
    <t>1.17.9</t>
  </si>
  <si>
    <t>REVESTIMENTO - PORCELANATO, MADEIRA</t>
  </si>
  <si>
    <t>1.17.10</t>
  </si>
  <si>
    <t>REVESTIMENTO - PORCELANATO, SALA COMERCIAL</t>
  </si>
  <si>
    <t>1.18.</t>
  </si>
  <si>
    <t>Acabamentos pedra em piso</t>
  </si>
  <si>
    <t>1.18.1</t>
  </si>
  <si>
    <t>REVESTIMENTO - PEDRA NATURAL, A. COMUM EXTERNA</t>
  </si>
  <si>
    <t>1.19.</t>
  </si>
  <si>
    <t>1.19.1</t>
  </si>
  <si>
    <t>REVESTIMENTO - BLOCO DE CONCRETO INTERTRAVADO</t>
  </si>
  <si>
    <t>1.19.2</t>
  </si>
  <si>
    <t>REVESTIMENTO - BLOCO PODOTATIL</t>
  </si>
  <si>
    <t>1.19.3</t>
  </si>
  <si>
    <t>REVESTIMENTO - EMBORRACHADO, AREA COMUM INTERNA</t>
  </si>
  <si>
    <t>1.19.4</t>
  </si>
  <si>
    <t>REVESTIMENTO - LADRILHO, PISCINA</t>
  </si>
  <si>
    <t>1.19.5</t>
  </si>
  <si>
    <t>REVESTIMENTO - LAJE</t>
  </si>
  <si>
    <t>REVESTIMENTO - PISO CONCRETO QUEIMADO</t>
  </si>
  <si>
    <t>REVESTIMENTO - VINILICO, AREA PRIVATIVA</t>
  </si>
  <si>
    <t>1.20.</t>
  </si>
  <si>
    <t>1.20.1</t>
  </si>
  <si>
    <t>CONTRA PISO 6cm</t>
  </si>
  <si>
    <t>1.20.2</t>
  </si>
  <si>
    <t>REVESTIMENTO - CONTRA PISO, 3 cm</t>
  </si>
  <si>
    <t>1.20.3</t>
  </si>
  <si>
    <t>REVESTIMENTO - CONTRA PISO, 5 cm</t>
  </si>
  <si>
    <t>1.20.4</t>
  </si>
  <si>
    <t>1.20.5</t>
  </si>
  <si>
    <t>REVESTIMENTO - CONTRA PISO ACUSTICO, 5.50 cm</t>
  </si>
  <si>
    <t>1.20.6</t>
  </si>
  <si>
    <t>REVESTIMENTO - CONTRA PISO ARMADO, 5 cm</t>
  </si>
  <si>
    <t>1.21.</t>
  </si>
  <si>
    <t>Regularização</t>
  </si>
  <si>
    <t>1.21.1</t>
  </si>
  <si>
    <t>REVESTIMENTO - REGULARIZAÇAO, 0,50 cm</t>
  </si>
  <si>
    <t>1.22.</t>
  </si>
  <si>
    <t>Rodapes</t>
  </si>
  <si>
    <t>1.22.1</t>
  </si>
  <si>
    <t>RODAPE EM MDF, 5 cm</t>
  </si>
  <si>
    <t>1.22.2</t>
  </si>
  <si>
    <t>RODAPE EM PEDRA NATURAL, 7 cm</t>
  </si>
  <si>
    <t>1.22.3</t>
  </si>
  <si>
    <t>RODAPE EM POLIESTIRENO, 10 cm</t>
  </si>
  <si>
    <t>1.22.4</t>
  </si>
  <si>
    <t>RODAPE EM POLIESTIRENO, 7 cm</t>
  </si>
  <si>
    <t>1.22.5</t>
  </si>
  <si>
    <t>RODAPE EM PORCELANATO, 10 cm</t>
  </si>
  <si>
    <t>1.22.6</t>
  </si>
  <si>
    <t>RODAPE EM PORCELANATO, 15 cm</t>
  </si>
  <si>
    <t>1.23.</t>
  </si>
  <si>
    <t>Soleira</t>
  </si>
  <si>
    <t>1.23.1</t>
  </si>
  <si>
    <t>REVESTIMENTO - SOLEIRA, PEDRA NATURAL</t>
  </si>
  <si>
    <t>1.24.</t>
  </si>
  <si>
    <t>1.24.1</t>
  </si>
  <si>
    <t>1.24.2</t>
  </si>
  <si>
    <t>REVESTIMENTO - PINTURA EPOXI, A. COMUM INTERNA</t>
  </si>
  <si>
    <t>1.24.3</t>
  </si>
  <si>
    <t>REVESTIMENTO - PINTURA RESINA, A. PRIVATIVA EXTERNA</t>
  </si>
  <si>
    <t>1.24.4</t>
  </si>
  <si>
    <t>REVESTIMENTO - PINTURA RESINA, A. TECNICA</t>
  </si>
  <si>
    <t>1.24.5</t>
  </si>
  <si>
    <t>REVESTIMENTO - PINTURA RESINA, DEMARCAÇAO DE VAGAS</t>
  </si>
  <si>
    <t>1.24.6</t>
  </si>
  <si>
    <t>REVESTIMENTO - PINTURA RESINA, ESCADA/ANTECAMERA</t>
  </si>
  <si>
    <t>1.24.8</t>
  </si>
  <si>
    <t>REVESTIMENTO - PINTURA RESINA, GARAGEM</t>
  </si>
  <si>
    <t>1.24.9</t>
  </si>
  <si>
    <t>REVESTIMENTO - PINTURA RESINA, LIXEIRA/G.N</t>
  </si>
  <si>
    <t>1.25.</t>
  </si>
  <si>
    <t>Sistemas de pintura em parede</t>
  </si>
  <si>
    <t>1.25.1</t>
  </si>
  <si>
    <t>REVESTIMENTO INTERNO, PAREDE - PINTURA, A. COMUM</t>
  </si>
  <si>
    <t>1.25.2</t>
  </si>
  <si>
    <t>REVESTIMENTO INTERNO, PAREDE - PINTURA, A. PRIVATIVA</t>
  </si>
  <si>
    <t>1.25.3</t>
  </si>
  <si>
    <t>REVESTIMENTO INTERNO, PAREDE - PINTURA, A. TECNICA</t>
  </si>
  <si>
    <t>1.25.4</t>
  </si>
  <si>
    <t>REVESTIMENTO INTERNO, PAREDE - PINTURA, DUTO</t>
  </si>
  <si>
    <t>1.25.5</t>
  </si>
  <si>
    <t>REVESTIMENTO INTERNO, PAREDE - PINTURA, FAIXA DE GARAGEM</t>
  </si>
  <si>
    <t>1.25.6</t>
  </si>
  <si>
    <t>REVESTIMENTO INTERNO, PAREDE - PINTURA, FOSSO</t>
  </si>
  <si>
    <t>1.25.7</t>
  </si>
  <si>
    <t>REVESTIMENTO INTERNO, PAREDE - PINTURA, HALL</t>
  </si>
  <si>
    <t>1.25.8</t>
  </si>
  <si>
    <t>REVESTIMENTO INTERNO, PAREDE - PINTURA, SALA COMERCIAL</t>
  </si>
  <si>
    <t>1.25.9</t>
  </si>
  <si>
    <t>REVESTIMENTO INTERNO, PAREDE - TEXTURA, A. COMUM</t>
  </si>
  <si>
    <t>1.25.10</t>
  </si>
  <si>
    <t>REVESTIMENTO INTERNO, PAREDE - TEXTURA, A. TECNICA</t>
  </si>
  <si>
    <t>1.25.11</t>
  </si>
  <si>
    <t>REVESTIMENTO INTERNO, PAREDE - TEXTURA, ESCADA/ANTECAMERA</t>
  </si>
  <si>
    <t>1.25.12</t>
  </si>
  <si>
    <t>REVESTIMENTO INTERNO, PAREDE - TEXTURA, GARAGEM</t>
  </si>
  <si>
    <t>1.25.13</t>
  </si>
  <si>
    <t>REVESTIMENTO INTERNO, PAREDE - TEXTURA, LIXEIRA/G.N</t>
  </si>
  <si>
    <t>1.26.</t>
  </si>
  <si>
    <t>Sistemas de pintura em teto</t>
  </si>
  <si>
    <t>1.26.1</t>
  </si>
  <si>
    <t>PINTURA EM TETO</t>
  </si>
  <si>
    <t>1.26.2</t>
  </si>
  <si>
    <t>TEXTURA EM TETO</t>
  </si>
  <si>
    <t>1.27.</t>
  </si>
  <si>
    <t>1.27.1</t>
  </si>
  <si>
    <t>ABERTURA PARA CHURRASQUEIRA, ALUMÍNIO, 60 x 60 cm</t>
  </si>
  <si>
    <t>1.27.2</t>
  </si>
  <si>
    <t xml:space="preserve">CONTRAMARCO </t>
  </si>
  <si>
    <t>1.27.3</t>
  </si>
  <si>
    <t>Fachada em esquadria de vidro fixo</t>
  </si>
  <si>
    <t>1.27.4</t>
  </si>
  <si>
    <t>GUARDA CORPO DE ALUMÍNIO, H=110 cm</t>
  </si>
  <si>
    <t>1.27.5</t>
  </si>
  <si>
    <t>GUARDA-CORPO, VIDRO, 110 cm</t>
  </si>
  <si>
    <t>1.27.6</t>
  </si>
  <si>
    <t>GUARDA-CORPO, VIDRO, 120cm</t>
  </si>
  <si>
    <t>1.27.7</t>
  </si>
  <si>
    <t>GUARDA-CORPO, VIDRO, 240cm</t>
  </si>
  <si>
    <t>1.27.8</t>
  </si>
  <si>
    <t>GUARDA-CORPO, VIDRO, altura a definir</t>
  </si>
  <si>
    <t>1.27.9</t>
  </si>
  <si>
    <t>J10 - JANELA DE CORRER, 4 FOLHAS, ALUMÍNIO E VIDRO, 300 x 120 cm</t>
  </si>
  <si>
    <t>1.27.10</t>
  </si>
  <si>
    <t>J11 - JANELA FIXA, 1 FOLHA, ALUMÍNIO E VIDRO, 60 x 213 cm</t>
  </si>
  <si>
    <t>1.27.11</t>
  </si>
  <si>
    <t>J12 - JANELA FIXA, 1 FOLHA, ALUMINIO VENEZIANA, 60 x 30 cm</t>
  </si>
  <si>
    <t>1.27.12</t>
  </si>
  <si>
    <t>J13 - JANELA FIXA, 1 FOLHA, ALUMÍNIO VENEZIANA, 60 x 120 cm</t>
  </si>
  <si>
    <t>1.27.13</t>
  </si>
  <si>
    <t>J1 - JANELA MAXIM-AIR, 1 FOLHA, ALUMINIO E VIDRO, 60 x 70 cm</t>
  </si>
  <si>
    <t>1.27.14</t>
  </si>
  <si>
    <t>J2 - JANELA MAXIM-AIR, 1 FOLHA, ALUMÍNIO E VIDRO, 80 x 70 cm</t>
  </si>
  <si>
    <t>1.27.15</t>
  </si>
  <si>
    <t>J3 - JANELA DE CORRER, 2 FOLHAS + PEITORIL FIXO, ALUMÍNIO E VIDRO, 150 x 120 cm</t>
  </si>
  <si>
    <t>1.27.16</t>
  </si>
  <si>
    <t>J4 - JANELA FIXA, 1 FOLHA, ALUMÍNIO E VIDRO, 80 x 80 cm</t>
  </si>
  <si>
    <t>1.27.17</t>
  </si>
  <si>
    <t>J5 - JANELA FIXA, 1 FOLHA, ALUMINIO VENEZIANA, 180 x 95 cm</t>
  </si>
  <si>
    <t>1.27.18</t>
  </si>
  <si>
    <t>J6 - JANELA FIXA, 1 FOLHA, ALUMINIO VENEZIANA, 150 x 100 cm</t>
  </si>
  <si>
    <t>1.27.19</t>
  </si>
  <si>
    <t>J7 - JANELA FIXA, 1 FOLHA, ALUMÍNIO VENEZIANA, 90 x 185 cm</t>
  </si>
  <si>
    <t>1.27.20</t>
  </si>
  <si>
    <t>J8 - JANELA DE CORRER, 2 FOLHAS + PEITORIL FIXO, ALUMÍNIO E VIDRO, 200 x 120 cm</t>
  </si>
  <si>
    <t>1.27.21</t>
  </si>
  <si>
    <t>J9 - JANELA DE CORRER, 4 FOLHAS, ALUMÍNIO E VIDRO, 240 x 120 cm</t>
  </si>
  <si>
    <t>1.27.22</t>
  </si>
  <si>
    <t>JANELA FIXA, 1 FOLHA, ALUMÍNIO E VIDRO, 50 x 213 cm</t>
  </si>
  <si>
    <t>1.27.23</t>
  </si>
  <si>
    <t>JANELA FIXA, 1 FOLHA, ALUMÍNIO E VIDRO, 60 x 213 cm</t>
  </si>
  <si>
    <t>1.27.24</t>
  </si>
  <si>
    <t>JANELA FIXA, 1 FOLHA, ALUMÍNIO VENEZIANA, 120 x 80 cm</t>
  </si>
  <si>
    <t>1.27.25</t>
  </si>
  <si>
    <t>P5 - PORTA DE ABRIR, 1 FOLHA, VIDRO E ALUMINIO, 80 x 210 cm</t>
  </si>
  <si>
    <t>1.27.26</t>
  </si>
  <si>
    <t>P6 - PORTA DE ABRIR, 1 FOLHA, ALUMINIO VENEZIANA, 60 x 210 cm</t>
  </si>
  <si>
    <t>1.27.27</t>
  </si>
  <si>
    <t>P7 - PORTAO BASCULANTE, 1 FOLHA, ALUMÍNIO, 400 x 230 cm</t>
  </si>
  <si>
    <t>1.27.28</t>
  </si>
  <si>
    <t>P8 - PORTA DE ABRIR, 2 FOLHAS, ALUMINIO VENEZIANA, 140 x 115 cm</t>
  </si>
  <si>
    <t>1.27.29</t>
  </si>
  <si>
    <t>PELE DE VIDRO, 116.75 x 316 cm</t>
  </si>
  <si>
    <t>1.27.30</t>
  </si>
  <si>
    <t>PELE DE VIDRO, 122 x 280 cm</t>
  </si>
  <si>
    <t>1.27.31</t>
  </si>
  <si>
    <t>PELE DE VIDRO, 150 x 206 cm</t>
  </si>
  <si>
    <t>1.27.32</t>
  </si>
  <si>
    <t>PELE DE VIDRO, 158.5 x 280 cm</t>
  </si>
  <si>
    <t>1.27.33</t>
  </si>
  <si>
    <t>PELE DE VIDRO, 246.5 x 316 cm</t>
  </si>
  <si>
    <t>1.27.34</t>
  </si>
  <si>
    <t>PELE DE VIDRO, 315 x 280 cm</t>
  </si>
  <si>
    <t>1.27.35</t>
  </si>
  <si>
    <t>PELE DE VIDRO, 593.05 x 280 cm</t>
  </si>
  <si>
    <t>1.27.36</t>
  </si>
  <si>
    <t>PELE DE VIDRO, 66 x 316 cm</t>
  </si>
  <si>
    <t>1.27.37</t>
  </si>
  <si>
    <t>PE - PORTA DE ABRIR, 1 FOLHA, VIDRO E ALUMINIO, 100 x 230 cm</t>
  </si>
  <si>
    <t>1.27.38</t>
  </si>
  <si>
    <t>PJ1 - PORTA DE CORRER, 4 FOLHAS, VIDRO E ALUMÍNIO, 200 x 230 cm</t>
  </si>
  <si>
    <t>1.27.39</t>
  </si>
  <si>
    <t>PJ2 - PORTA DE CORRER, 4 FOLHAS, VIDRO E ALUMINIO, 260 x 230 cm</t>
  </si>
  <si>
    <t>1.27.40</t>
  </si>
  <si>
    <t>PJ3 - PORTA DE CORRER, 4 FOLHAS, VIDRO E ALUMÍNIO, 360 x 230 cm</t>
  </si>
  <si>
    <t>1.27.41</t>
  </si>
  <si>
    <t>PJ4 - PORTA DE ABRIR, 2 FOLHAS, ALUMÍNIO VENEZIANA, 150 x 210 cm</t>
  </si>
  <si>
    <t>1.27.42</t>
  </si>
  <si>
    <t>PORTA DE ABRIR, 1 FOLHA + 2 LUZES LATERAIS, ALUMINIO E VIDRO, 526 x 316 cm</t>
  </si>
  <si>
    <t>1.27.43</t>
  </si>
  <si>
    <t>PORTA DE ABRIR, 1 FOLHA + 2 LUZES LATERAIS, ALUMINIO E VIDRO, 580 x 316 cm</t>
  </si>
  <si>
    <t>1.27.44</t>
  </si>
  <si>
    <t>PORTA DE ABRIR, 1 FOLHA + 2 LUZES LATERAIS, ALUMINIO E VIDRO, 647 x 316 cm</t>
  </si>
  <si>
    <t>1.27.45</t>
  </si>
  <si>
    <t>PORTA DE ABRIR, 1 FOLHA + 2 LUZES LATERAIS, ALUMINIO E VIDRO, 724 x 316 cm</t>
  </si>
  <si>
    <t>1.27.46</t>
  </si>
  <si>
    <t>PORTA DE ABRIR, 1 FOLHA + 2 LUZES LATERAIS, ALUMINIO E VIDRO, 830 x 316 cm</t>
  </si>
  <si>
    <t>1.28.</t>
  </si>
  <si>
    <t>1.28.1</t>
  </si>
  <si>
    <t>BRISE DE MADEIRA VERTICAL - 140 cm</t>
  </si>
  <si>
    <t>1.28.2</t>
  </si>
  <si>
    <t>BRISE DE MADEIRA VERTICAL - 156 cm</t>
  </si>
  <si>
    <t>1.28.3</t>
  </si>
  <si>
    <t>BRISE DE MADEIRA VERTICAL - 282 cm</t>
  </si>
  <si>
    <t>1.28.4</t>
  </si>
  <si>
    <t>BRISE DE MADEIRA VERTICAL - 291 cm</t>
  </si>
  <si>
    <t>1.28.5</t>
  </si>
  <si>
    <t>BRISE DE MADEIRA VERTICAL - 396 cm</t>
  </si>
  <si>
    <t>1.28.6</t>
  </si>
  <si>
    <t>BRISE DE MADEIRA VERTICAL - 406 cm</t>
  </si>
  <si>
    <t>1.28.7</t>
  </si>
  <si>
    <t>BRISE DE MADEIRA VERTICAL - 71 cm</t>
  </si>
  <si>
    <t>1.28.8</t>
  </si>
  <si>
    <t>BRISE DE MADEIRA VERTICAL - 96 cm</t>
  </si>
  <si>
    <t>1.28.9</t>
  </si>
  <si>
    <t>CORRIMÃO ESCADA_PAREDE - MADEIRA</t>
  </si>
  <si>
    <t>1.28.10</t>
  </si>
  <si>
    <t>P1 - PORTA DE ABRIR, 1 FOLHA, MADEIRA MACICA, 90 x 210 cm</t>
  </si>
  <si>
    <t>1.28.11</t>
  </si>
  <si>
    <t>P2 - PORTA DE ABRIR, 1 FOLHA, MADEIRA SEMI-OCA, 80 x 210 cm</t>
  </si>
  <si>
    <t>1.28.12</t>
  </si>
  <si>
    <t>P3 - PORTA DE ABRIR, 1 FOLHA, MADEIRA SEMI-OCA, 70 x 210 cm</t>
  </si>
  <si>
    <t>1.28.13</t>
  </si>
  <si>
    <t>PORTA DE CORRER, 1 FOLHA, MADEIRA, 80 x 210 cm</t>
  </si>
  <si>
    <t>1.29.</t>
  </si>
  <si>
    <t>1.29.1</t>
  </si>
  <si>
    <t>PCF-1 - PORTA DE ABRIR, 1 FOLHA, CORTA FOGO, 80 x 210 cm</t>
  </si>
  <si>
    <t>1.29.2</t>
  </si>
  <si>
    <t>PCF-2 - PORTA DE ABRIR, 1 FOLHA, CORTA FOGO, 90 x 210 cm</t>
  </si>
  <si>
    <t>1.29.3</t>
  </si>
  <si>
    <t>PCF-3 - PORTA DE ABRIR, 1 FOLHA, CORTA FOGO, 100 x 210 cm</t>
  </si>
  <si>
    <t>1.29.4</t>
  </si>
  <si>
    <t>PORTA ELEVADOR, 114 x 210 cm</t>
  </si>
  <si>
    <t>1.30.</t>
  </si>
  <si>
    <t>Chapisco externo</t>
  </si>
  <si>
    <t>1.30.1</t>
  </si>
  <si>
    <t>.CHAPISCO ARGAMASSADO EXTERNO</t>
  </si>
  <si>
    <t>1.30.2</t>
  </si>
  <si>
    <t>.CHAPISCO ARGAMASSADO PARA ESTRUTURA EXTERNO</t>
  </si>
  <si>
    <t>1.31.</t>
  </si>
  <si>
    <t>1.31.1</t>
  </si>
  <si>
    <t>REVESTIMENTO EXTERNO - PAREDE VERDE PARA FACHADA</t>
  </si>
  <si>
    <t>1.31.2</t>
  </si>
  <si>
    <t>REVESTIMENTO EXTERNO - PASTILHA PARA FACHADA</t>
  </si>
  <si>
    <t>1.31.3</t>
  </si>
  <si>
    <t>REVESTIMENTO EXTERNO - PEDRA NATURAL PARA FACHADA</t>
  </si>
  <si>
    <t>1.31.4</t>
  </si>
  <si>
    <t>REVESTIMENTO EXTERNO - PORCELANATO PARA FACHADA</t>
  </si>
  <si>
    <t>1.31.5</t>
  </si>
  <si>
    <t>REVESTIMENTO EXTERNO - PORCELANATO PEDRA NATURAL PARA FACHADA</t>
  </si>
  <si>
    <t>1.32.</t>
  </si>
  <si>
    <t>Reboco externo</t>
  </si>
  <si>
    <t>1.32.1</t>
  </si>
  <si>
    <t>.REBOCO ARGAMASSADO EXTERNO</t>
  </si>
  <si>
    <t>1.33.</t>
  </si>
  <si>
    <t>1.33.1</t>
  </si>
  <si>
    <t>REVESTIMENTO EXTERNO - PINTURA PARA FACHADA, DIVISA VIZINHO</t>
  </si>
  <si>
    <t>1.33.2</t>
  </si>
  <si>
    <t>REVESTIMENTO EXTERNO - TEXTURA PARA FACHADA, CIMENTO QUEIMADO</t>
  </si>
  <si>
    <t>1.33.3</t>
  </si>
  <si>
    <t>REVESTIMENTO EXTERNO - TEXTURA PARA FACHADA, COR MARROM</t>
  </si>
  <si>
    <t>1.33.4</t>
  </si>
  <si>
    <t>REVESTIMENTO EXTERNO - TEXTURA PARA FACHADA, COR PUXADO PARA BEGE</t>
  </si>
  <si>
    <t>1.33.5</t>
  </si>
  <si>
    <t>REVESTIMENTO EXTERNO - TEXTURA PARA FACHADA, COR PUXADO PARA BRONZE</t>
  </si>
  <si>
    <t>1.34.</t>
  </si>
  <si>
    <t>Calçadas e passeios</t>
  </si>
  <si>
    <t>1.34.1</t>
  </si>
  <si>
    <t>1.34.2</t>
  </si>
  <si>
    <t>1.35.</t>
  </si>
  <si>
    <t>1.35.1</t>
  </si>
  <si>
    <t>REVESTIMENTO - GRAMA</t>
  </si>
  <si>
    <t>REVESTIMENTO - CONTRA PISO, 6cm</t>
  </si>
  <si>
    <t>1.1.1.</t>
  </si>
  <si>
    <t>01_PAVTO TÉRREO</t>
  </si>
  <si>
    <t>1.1.1.1</t>
  </si>
  <si>
    <t>1.1.1.2</t>
  </si>
  <si>
    <t>1.1.1.3</t>
  </si>
  <si>
    <t>1.1.2.</t>
  </si>
  <si>
    <t>02_GARAGEM 01</t>
  </si>
  <si>
    <t>1.1.2.1</t>
  </si>
  <si>
    <t>1.1.2.2</t>
  </si>
  <si>
    <t>1.1.3.</t>
  </si>
  <si>
    <t>03_GARAGEM 02</t>
  </si>
  <si>
    <t>1.1.3.1</t>
  </si>
  <si>
    <t>1.1.3.2</t>
  </si>
  <si>
    <t>1.1.4.</t>
  </si>
  <si>
    <t>04_GARAGEM 03</t>
  </si>
  <si>
    <t>1.1.4.1</t>
  </si>
  <si>
    <t>1.1.4.2</t>
  </si>
  <si>
    <t>1.1.5.</t>
  </si>
  <si>
    <t>05_GARAGEM 04</t>
  </si>
  <si>
    <t>1.1.5.1</t>
  </si>
  <si>
    <t>1.1.6.</t>
  </si>
  <si>
    <t>06_PAVTO TIPO 01</t>
  </si>
  <si>
    <t>1.1.6.1</t>
  </si>
  <si>
    <t>1.1.6.2</t>
  </si>
  <si>
    <t>1.1.6.3</t>
  </si>
  <si>
    <t>1.1.7.</t>
  </si>
  <si>
    <t>07_PAVTO TIPO 02</t>
  </si>
  <si>
    <t>1.1.7.1</t>
  </si>
  <si>
    <t>1.1.7.2</t>
  </si>
  <si>
    <t>1.1.7.3</t>
  </si>
  <si>
    <t>1.1.8.</t>
  </si>
  <si>
    <t>08_PAVTO TIPO 02</t>
  </si>
  <si>
    <t>1.1.8.1</t>
  </si>
  <si>
    <t>1.1.8.2</t>
  </si>
  <si>
    <t>1.1.8.3</t>
  </si>
  <si>
    <t>1.1.9.</t>
  </si>
  <si>
    <t>09_PAVTO TIPO 02</t>
  </si>
  <si>
    <t>1.1.9.1</t>
  </si>
  <si>
    <t>1.1.9.2</t>
  </si>
  <si>
    <t>1.1.9.3</t>
  </si>
  <si>
    <t>1.1.10.</t>
  </si>
  <si>
    <t>10_PAVTO TIPO 02</t>
  </si>
  <si>
    <t>1.1.10.1</t>
  </si>
  <si>
    <t>1.1.10.2</t>
  </si>
  <si>
    <t>1.1.10.3</t>
  </si>
  <si>
    <t>1.1.11.</t>
  </si>
  <si>
    <t>11_PAVTO TIPO 02</t>
  </si>
  <si>
    <t>1.1.11.1</t>
  </si>
  <si>
    <t>1.1.11.2</t>
  </si>
  <si>
    <t>1.1.11.3</t>
  </si>
  <si>
    <t>1.1.12.</t>
  </si>
  <si>
    <t>12_PAVTO TIPO 02</t>
  </si>
  <si>
    <t>1.1.12.1</t>
  </si>
  <si>
    <t>1.1.12.2</t>
  </si>
  <si>
    <t>1.1.12.3</t>
  </si>
  <si>
    <t>1.1.13.</t>
  </si>
  <si>
    <t>13_PAVTO TIPO 02</t>
  </si>
  <si>
    <t>1.1.13.1</t>
  </si>
  <si>
    <t>1.1.13.2</t>
  </si>
  <si>
    <t>1.1.13.3</t>
  </si>
  <si>
    <t>1.1.14.</t>
  </si>
  <si>
    <t>14_PAVTO TIPO 02</t>
  </si>
  <si>
    <t>1.1.14.1</t>
  </si>
  <si>
    <t>1.1.14.2</t>
  </si>
  <si>
    <t>1.1.14.3</t>
  </si>
  <si>
    <t>1.1.15.</t>
  </si>
  <si>
    <t>15_PAVTO TIPO 02</t>
  </si>
  <si>
    <t>1.1.15.1</t>
  </si>
  <si>
    <t>1.1.15.2</t>
  </si>
  <si>
    <t>1.1.15.3</t>
  </si>
  <si>
    <t>1.1.16.</t>
  </si>
  <si>
    <t>16_PAVTO TIPO 02</t>
  </si>
  <si>
    <t>1.1.16.1</t>
  </si>
  <si>
    <t>1.1.16.2</t>
  </si>
  <si>
    <t>1.1.16.3</t>
  </si>
  <si>
    <t>1.1.17.</t>
  </si>
  <si>
    <t>17_PAVTO TIPO 02</t>
  </si>
  <si>
    <t>1.1.17.1</t>
  </si>
  <si>
    <t>1.1.17.2</t>
  </si>
  <si>
    <t>1.1.17.3</t>
  </si>
  <si>
    <t>1.1.18.</t>
  </si>
  <si>
    <t>18_PAVTO TIPO 02</t>
  </si>
  <si>
    <t>1.1.18.1</t>
  </si>
  <si>
    <t>1.1.18.2</t>
  </si>
  <si>
    <t>1.1.18.3</t>
  </si>
  <si>
    <t>1.1.19.</t>
  </si>
  <si>
    <t>19_PAVTO ROOFTOP</t>
  </si>
  <si>
    <t>1.1.19.1</t>
  </si>
  <si>
    <t>1.1.19.2</t>
  </si>
  <si>
    <t>1.1.20.</t>
  </si>
  <si>
    <t>20_COBERTURA</t>
  </si>
  <si>
    <t>1.1.20.1</t>
  </si>
  <si>
    <t>1.1.21.</t>
  </si>
  <si>
    <t>21_CASA DE MÁQUINAS</t>
  </si>
  <si>
    <t>1.1.21.1</t>
  </si>
  <si>
    <t>1.1.22.</t>
  </si>
  <si>
    <t>22_CAIXA D'ÁGUA</t>
  </si>
  <si>
    <t>1.1.22.1</t>
  </si>
  <si>
    <t>1.2.1.</t>
  </si>
  <si>
    <t>1.2.1.1</t>
  </si>
  <si>
    <t>1.2.2.</t>
  </si>
  <si>
    <t>1.2.2.1</t>
  </si>
  <si>
    <t>1.2.3.</t>
  </si>
  <si>
    <t>1.2.3.1</t>
  </si>
  <si>
    <t>1.2.4.</t>
  </si>
  <si>
    <t>1.2.4.1</t>
  </si>
  <si>
    <t>1.2.5.</t>
  </si>
  <si>
    <t>1.2.5.1</t>
  </si>
  <si>
    <t>1.2.6.</t>
  </si>
  <si>
    <t>1.2.6.1</t>
  </si>
  <si>
    <t>1.2.7.</t>
  </si>
  <si>
    <t>1.2.7.1</t>
  </si>
  <si>
    <t>1.2.8.</t>
  </si>
  <si>
    <t>1.2.8.1</t>
  </si>
  <si>
    <t>1.2.9.</t>
  </si>
  <si>
    <t>1.2.9.1</t>
  </si>
  <si>
    <t>1.2.10.</t>
  </si>
  <si>
    <t>1.2.10.1</t>
  </si>
  <si>
    <t>1.2.11.</t>
  </si>
  <si>
    <t>1.2.11.1</t>
  </si>
  <si>
    <t>1.2.12.</t>
  </si>
  <si>
    <t>1.2.12.1</t>
  </si>
  <si>
    <t>1.2.13.</t>
  </si>
  <si>
    <t>1.2.13.1</t>
  </si>
  <si>
    <t>1.2.14.</t>
  </si>
  <si>
    <t>1.2.14.1</t>
  </si>
  <si>
    <t>1.2.15.</t>
  </si>
  <si>
    <t>1.2.15.1</t>
  </si>
  <si>
    <t>1.2.16.</t>
  </si>
  <si>
    <t>1.2.16.1</t>
  </si>
  <si>
    <t>1.2.17.</t>
  </si>
  <si>
    <t>1.2.17.1</t>
  </si>
  <si>
    <t>1.2.18.</t>
  </si>
  <si>
    <t>1.2.18.1</t>
  </si>
  <si>
    <t>1.2.19.</t>
  </si>
  <si>
    <t>1.2.19.1</t>
  </si>
  <si>
    <t>1.2.20.</t>
  </si>
  <si>
    <t>1.2.20.1</t>
  </si>
  <si>
    <t>1.2.21.</t>
  </si>
  <si>
    <t>1.2.21.1</t>
  </si>
  <si>
    <t>1.3.1.</t>
  </si>
  <si>
    <t>1.3.1.1</t>
  </si>
  <si>
    <t>1.3.2.</t>
  </si>
  <si>
    <t>1.4.1.</t>
  </si>
  <si>
    <t>1.4.1.1</t>
  </si>
  <si>
    <t>1.4.1.2</t>
  </si>
  <si>
    <t>1.4.2.</t>
  </si>
  <si>
    <t>1.4.2.1</t>
  </si>
  <si>
    <t>1.4.2.2</t>
  </si>
  <si>
    <t>1.4.3.</t>
  </si>
  <si>
    <t>1.4.3.1</t>
  </si>
  <si>
    <t>1.4.3.2</t>
  </si>
  <si>
    <t>1.4.4.</t>
  </si>
  <si>
    <t>1.4.4.1</t>
  </si>
  <si>
    <t>1.4.4.2</t>
  </si>
  <si>
    <t>1.4.5.</t>
  </si>
  <si>
    <t>1.4.5.1</t>
  </si>
  <si>
    <t>1.4.5.2</t>
  </si>
  <si>
    <t>1.4.6.</t>
  </si>
  <si>
    <t>1.4.6.1</t>
  </si>
  <si>
    <t>1.4.6.2</t>
  </si>
  <si>
    <t>1.4.7.</t>
  </si>
  <si>
    <t>1.4.7.1</t>
  </si>
  <si>
    <t>1.4.7.2</t>
  </si>
  <si>
    <t>1.4.8.</t>
  </si>
  <si>
    <t>1.4.8.1</t>
  </si>
  <si>
    <t>1.4.8.2</t>
  </si>
  <si>
    <t>1.4.9.</t>
  </si>
  <si>
    <t>1.4.9.1</t>
  </si>
  <si>
    <t>1.4.9.2</t>
  </si>
  <si>
    <t>1.4.10.</t>
  </si>
  <si>
    <t>1.4.10.1</t>
  </si>
  <si>
    <t>1.4.10.2</t>
  </si>
  <si>
    <t>1.4.11.</t>
  </si>
  <si>
    <t>1.4.11.1</t>
  </si>
  <si>
    <t>1.4.11.2</t>
  </si>
  <si>
    <t>1.4.12.</t>
  </si>
  <si>
    <t>1.4.12.1</t>
  </si>
  <si>
    <t>1.4.12.2</t>
  </si>
  <si>
    <t>1.4.13.</t>
  </si>
  <si>
    <t>1.4.13.1</t>
  </si>
  <si>
    <t>1.4.13.2</t>
  </si>
  <si>
    <t>1.4.14.</t>
  </si>
  <si>
    <t>1.4.14.1</t>
  </si>
  <si>
    <t>1.4.14.2</t>
  </si>
  <si>
    <t>1.4.15.</t>
  </si>
  <si>
    <t>1.4.15.1</t>
  </si>
  <si>
    <t>1.4.15.2</t>
  </si>
  <si>
    <t>1.4.16.</t>
  </si>
  <si>
    <t>1.4.16.1</t>
  </si>
  <si>
    <t>1.4.16.2</t>
  </si>
  <si>
    <t>1.4.17.</t>
  </si>
  <si>
    <t>1.4.17.1</t>
  </si>
  <si>
    <t>1.4.17.2</t>
  </si>
  <si>
    <t>1.4.18.</t>
  </si>
  <si>
    <t>1.4.18.1</t>
  </si>
  <si>
    <t>1.4.18.2</t>
  </si>
  <si>
    <t>1.4.19.</t>
  </si>
  <si>
    <t>1.4.19.1</t>
  </si>
  <si>
    <t>1.4.19.2</t>
  </si>
  <si>
    <t>1.4.20.</t>
  </si>
  <si>
    <t>1.4.20.1</t>
  </si>
  <si>
    <t>1.4.20.2</t>
  </si>
  <si>
    <t>1.4.21.</t>
  </si>
  <si>
    <t>1.4.21.1</t>
  </si>
  <si>
    <t>1.4.22.</t>
  </si>
  <si>
    <t>1.4.22.1</t>
  </si>
  <si>
    <t>1.4.23.</t>
  </si>
  <si>
    <t>23_TAMPA CAIXA D'ÁGUA</t>
  </si>
  <si>
    <t>1.4.23.1</t>
  </si>
  <si>
    <t>1.5.1.</t>
  </si>
  <si>
    <t>1.5.1.1</t>
  </si>
  <si>
    <t>1.5.1.2</t>
  </si>
  <si>
    <t>1.5.1.3</t>
  </si>
  <si>
    <t>1.5.2.</t>
  </si>
  <si>
    <t>1.5.2.1</t>
  </si>
  <si>
    <t>1.5.3.</t>
  </si>
  <si>
    <t>1.5.3.1</t>
  </si>
  <si>
    <t>1.5.4.</t>
  </si>
  <si>
    <t>1.5.4.1</t>
  </si>
  <si>
    <t>1.5.5.</t>
  </si>
  <si>
    <t>1.5.5.1</t>
  </si>
  <si>
    <t>1.5.6.</t>
  </si>
  <si>
    <t>1.5.6.1</t>
  </si>
  <si>
    <t>1.5.7.</t>
  </si>
  <si>
    <t>1.5.7.1</t>
  </si>
  <si>
    <t>1.5.8.</t>
  </si>
  <si>
    <t>1.5.8.1</t>
  </si>
  <si>
    <t>1.5.9.</t>
  </si>
  <si>
    <t>1.5.9.1</t>
  </si>
  <si>
    <t>1.5.10.</t>
  </si>
  <si>
    <t>1.5.10.1</t>
  </si>
  <si>
    <t>1.5.11.</t>
  </si>
  <si>
    <t>1.5.11.1</t>
  </si>
  <si>
    <t>1.5.12.</t>
  </si>
  <si>
    <t>1.5.12.1</t>
  </si>
  <si>
    <t>1.5.13.</t>
  </si>
  <si>
    <t>1.5.13.1</t>
  </si>
  <si>
    <t>1.5.14.</t>
  </si>
  <si>
    <t>1.5.14.1</t>
  </si>
  <si>
    <t>1.5.15.</t>
  </si>
  <si>
    <t>1.5.15.1</t>
  </si>
  <si>
    <t>1.6.1.</t>
  </si>
  <si>
    <t>1.6.1.1</t>
  </si>
  <si>
    <t>1.6.2.</t>
  </si>
  <si>
    <t>1.6.2.1</t>
  </si>
  <si>
    <t>1.6.3.</t>
  </si>
  <si>
    <t>1.6.3.1</t>
  </si>
  <si>
    <t>1.6.4.</t>
  </si>
  <si>
    <t>1.6.4.1</t>
  </si>
  <si>
    <t>1.6.5.</t>
  </si>
  <si>
    <t>1.6.5.1</t>
  </si>
  <si>
    <t>1.6.6.</t>
  </si>
  <si>
    <t>1.6.6.1</t>
  </si>
  <si>
    <t>1.6.7.</t>
  </si>
  <si>
    <t>1.6.7.1</t>
  </si>
  <si>
    <t>1.6.8.</t>
  </si>
  <si>
    <t>1.6.8.1</t>
  </si>
  <si>
    <t>1.6.9.</t>
  </si>
  <si>
    <t>1.6.9.1</t>
  </si>
  <si>
    <t>1.6.10.</t>
  </si>
  <si>
    <t>1.6.10.1</t>
  </si>
  <si>
    <t>1.6.11.</t>
  </si>
  <si>
    <t>1.6.11.1</t>
  </si>
  <si>
    <t>1.6.12.</t>
  </si>
  <si>
    <t>1.6.12.1</t>
  </si>
  <si>
    <t>1.6.13.</t>
  </si>
  <si>
    <t>1.6.13.1</t>
  </si>
  <si>
    <t>1.6.14.</t>
  </si>
  <si>
    <t>1.6.14.1</t>
  </si>
  <si>
    <t>1.6.15.</t>
  </si>
  <si>
    <t>1.6.15.1</t>
  </si>
  <si>
    <t>1.6.16.</t>
  </si>
  <si>
    <t>1.6.16.1</t>
  </si>
  <si>
    <t>1.6.17.</t>
  </si>
  <si>
    <t>1.6.17.1</t>
  </si>
  <si>
    <t>1.6.18.</t>
  </si>
  <si>
    <t>1.6.18.1</t>
  </si>
  <si>
    <t>1.6.19.</t>
  </si>
  <si>
    <t>1.6.19.1</t>
  </si>
  <si>
    <t>1.6.19.2</t>
  </si>
  <si>
    <t>1.6.20.</t>
  </si>
  <si>
    <t>1.6.20.1</t>
  </si>
  <si>
    <t>1.6.21.</t>
  </si>
  <si>
    <t>1.6.21.1</t>
  </si>
  <si>
    <t>1.7.1.</t>
  </si>
  <si>
    <t>1.7.1.1</t>
  </si>
  <si>
    <t>1.7.1.2</t>
  </si>
  <si>
    <t>1.7.2.</t>
  </si>
  <si>
    <t>1.7.2.1</t>
  </si>
  <si>
    <t>1.7.2.2</t>
  </si>
  <si>
    <t>1.7.3.</t>
  </si>
  <si>
    <t>1.7.3.1</t>
  </si>
  <si>
    <t>1.7.3.2</t>
  </si>
  <si>
    <t>1.7.4.</t>
  </si>
  <si>
    <t>1.7.4.1</t>
  </si>
  <si>
    <t>1.7.4.2</t>
  </si>
  <si>
    <t>1.7.5.</t>
  </si>
  <si>
    <t>1.7.5.1</t>
  </si>
  <si>
    <t>1.7.5.2</t>
  </si>
  <si>
    <t>1.7.6.</t>
  </si>
  <si>
    <t>1.7.6.1</t>
  </si>
  <si>
    <t>1.7.6.2</t>
  </si>
  <si>
    <t>1.7.7.</t>
  </si>
  <si>
    <t>1.7.7.1</t>
  </si>
  <si>
    <t>1.7.7.2</t>
  </si>
  <si>
    <t>1.7.8.</t>
  </si>
  <si>
    <t>1.7.8.1</t>
  </si>
  <si>
    <t>1.7.8.2</t>
  </si>
  <si>
    <t>1.7.9.</t>
  </si>
  <si>
    <t>1.7.9.1</t>
  </si>
  <si>
    <t>1.7.9.2</t>
  </si>
  <si>
    <t>1.7.10.</t>
  </si>
  <si>
    <t>1.7.10.1</t>
  </si>
  <si>
    <t>1.7.10.2</t>
  </si>
  <si>
    <t>1.7.11.</t>
  </si>
  <si>
    <t>1.7.11.1</t>
  </si>
  <si>
    <t>1.7.11.2</t>
  </si>
  <si>
    <t>1.7.12.</t>
  </si>
  <si>
    <t>1.7.12.1</t>
  </si>
  <si>
    <t>1.7.12.2</t>
  </si>
  <si>
    <t>1.7.13.</t>
  </si>
  <si>
    <t>1.7.13.1</t>
  </si>
  <si>
    <t>1.7.13.2</t>
  </si>
  <si>
    <t>1.7.14.</t>
  </si>
  <si>
    <t>1.7.14.1</t>
  </si>
  <si>
    <t>1.7.14.2</t>
  </si>
  <si>
    <t>1.7.15.</t>
  </si>
  <si>
    <t>1.7.15.1</t>
  </si>
  <si>
    <t>1.7.15.2</t>
  </si>
  <si>
    <t>1.7.16.</t>
  </si>
  <si>
    <t>1.7.16.1</t>
  </si>
  <si>
    <t>1.7.16.2</t>
  </si>
  <si>
    <t>1.7.17.</t>
  </si>
  <si>
    <t>1.7.17.1</t>
  </si>
  <si>
    <t>1.8.1.</t>
  </si>
  <si>
    <t>1.8.1.1</t>
  </si>
  <si>
    <t>1.8.1.2</t>
  </si>
  <si>
    <t>1.8.1.3</t>
  </si>
  <si>
    <t>1.8.1.4</t>
  </si>
  <si>
    <t>1.8.1.5</t>
  </si>
  <si>
    <t>1.8.1.6</t>
  </si>
  <si>
    <t>1.8.1.7</t>
  </si>
  <si>
    <t>1.8.2.</t>
  </si>
  <si>
    <t>1.8.2.1</t>
  </si>
  <si>
    <t>1.8.3.</t>
  </si>
  <si>
    <t>1.8.3.1</t>
  </si>
  <si>
    <t>1.8.4.</t>
  </si>
  <si>
    <t>1.8.4.1</t>
  </si>
  <si>
    <t>1.8.5.</t>
  </si>
  <si>
    <t>1.8.5.1</t>
  </si>
  <si>
    <t>1.8.6.</t>
  </si>
  <si>
    <t>1.8.6.1</t>
  </si>
  <si>
    <t>1.8.6.2</t>
  </si>
  <si>
    <t>1.8.6.3</t>
  </si>
  <si>
    <t>1.8.6.4</t>
  </si>
  <si>
    <t>1.8.6.5</t>
  </si>
  <si>
    <t>1.8.6.6</t>
  </si>
  <si>
    <t>1.8.6.7</t>
  </si>
  <si>
    <t>1.8.6.8</t>
  </si>
  <si>
    <t>1.8.7.</t>
  </si>
  <si>
    <t>1.8.7.1</t>
  </si>
  <si>
    <t>1.8.7.2</t>
  </si>
  <si>
    <t>1.8.7.3</t>
  </si>
  <si>
    <t>1.8.7.4</t>
  </si>
  <si>
    <t>1.8.7.5</t>
  </si>
  <si>
    <t>1.8.7.6</t>
  </si>
  <si>
    <t>1.8.7.7</t>
  </si>
  <si>
    <t>1.8.7.8</t>
  </si>
  <si>
    <t>1.8.8.</t>
  </si>
  <si>
    <t>1.8.8.1</t>
  </si>
  <si>
    <t>1.8.8.2</t>
  </si>
  <si>
    <t>1.8.8.3</t>
  </si>
  <si>
    <t>1.8.8.4</t>
  </si>
  <si>
    <t>1.8.8.5</t>
  </si>
  <si>
    <t>1.8.8.6</t>
  </si>
  <si>
    <t>1.8.8.7</t>
  </si>
  <si>
    <t>1.8.8.8</t>
  </si>
  <si>
    <t>1.8.9.</t>
  </si>
  <si>
    <t>1.8.9.1</t>
  </si>
  <si>
    <t>1.8.9.2</t>
  </si>
  <si>
    <t>1.8.9.3</t>
  </si>
  <si>
    <t>1.8.9.4</t>
  </si>
  <si>
    <t>1.8.9.5</t>
  </si>
  <si>
    <t>1.8.9.6</t>
  </si>
  <si>
    <t>1.8.9.7</t>
  </si>
  <si>
    <t>1.8.9.8</t>
  </si>
  <si>
    <t>1.8.10.</t>
  </si>
  <si>
    <t>1.8.10.1</t>
  </si>
  <si>
    <t>1.8.10.2</t>
  </si>
  <si>
    <t>1.8.10.3</t>
  </si>
  <si>
    <t>1.8.10.4</t>
  </si>
  <si>
    <t>1.8.10.5</t>
  </si>
  <si>
    <t>1.8.10.6</t>
  </si>
  <si>
    <t>1.8.10.7</t>
  </si>
  <si>
    <t>1.8.10.8</t>
  </si>
  <si>
    <t>1.8.11.</t>
  </si>
  <si>
    <t>1.8.11.1</t>
  </si>
  <si>
    <t>1.8.11.2</t>
  </si>
  <si>
    <t>1.8.11.3</t>
  </si>
  <si>
    <t>1.8.11.4</t>
  </si>
  <si>
    <t>1.8.11.5</t>
  </si>
  <si>
    <t>1.8.11.6</t>
  </si>
  <si>
    <t>1.8.11.7</t>
  </si>
  <si>
    <t>1.8.11.8</t>
  </si>
  <si>
    <t>1.8.12.</t>
  </si>
  <si>
    <t>1.8.12.1</t>
  </si>
  <si>
    <t>1.8.12.2</t>
  </si>
  <si>
    <t>1.8.12.3</t>
  </si>
  <si>
    <t>1.8.12.4</t>
  </si>
  <si>
    <t>1.8.12.5</t>
  </si>
  <si>
    <t>1.8.12.6</t>
  </si>
  <si>
    <t>1.8.12.7</t>
  </si>
  <si>
    <t>1.8.12.8</t>
  </si>
  <si>
    <t>1.8.13.</t>
  </si>
  <si>
    <t>1.8.13.1</t>
  </si>
  <si>
    <t>1.8.13.2</t>
  </si>
  <si>
    <t>1.8.13.3</t>
  </si>
  <si>
    <t>1.8.13.4</t>
  </si>
  <si>
    <t>1.8.13.5</t>
  </si>
  <si>
    <t>1.8.13.6</t>
  </si>
  <si>
    <t>1.8.13.7</t>
  </si>
  <si>
    <t>1.8.13.8</t>
  </si>
  <si>
    <t>1.8.14.</t>
  </si>
  <si>
    <t>1.8.14.1</t>
  </si>
  <si>
    <t>1.8.14.2</t>
  </si>
  <si>
    <t>1.8.14.3</t>
  </si>
  <si>
    <t>1.8.14.4</t>
  </si>
  <si>
    <t>1.8.14.5</t>
  </si>
  <si>
    <t>1.8.14.6</t>
  </si>
  <si>
    <t>1.8.14.7</t>
  </si>
  <si>
    <t>1.8.14.8</t>
  </si>
  <si>
    <t>1.8.15.</t>
  </si>
  <si>
    <t>1.8.15.1</t>
  </si>
  <si>
    <t>1.8.15.2</t>
  </si>
  <si>
    <t>1.8.15.3</t>
  </si>
  <si>
    <t>1.8.15.4</t>
  </si>
  <si>
    <t>1.8.15.5</t>
  </si>
  <si>
    <t>1.8.15.6</t>
  </si>
  <si>
    <t>1.8.15.7</t>
  </si>
  <si>
    <t>1.8.15.8</t>
  </si>
  <si>
    <t>1.8.16.</t>
  </si>
  <si>
    <t>1.8.16.1</t>
  </si>
  <si>
    <t>1.8.16.2</t>
  </si>
  <si>
    <t>1.8.16.3</t>
  </si>
  <si>
    <t>1.8.16.4</t>
  </si>
  <si>
    <t>1.8.16.5</t>
  </si>
  <si>
    <t>1.8.16.6</t>
  </si>
  <si>
    <t>1.8.16.7</t>
  </si>
  <si>
    <t>1.8.16.8</t>
  </si>
  <si>
    <t>1.8.17.</t>
  </si>
  <si>
    <t>1.8.17.1</t>
  </si>
  <si>
    <t>1.8.17.2</t>
  </si>
  <si>
    <t>1.8.17.3</t>
  </si>
  <si>
    <t>1.8.17.4</t>
  </si>
  <si>
    <t>1.8.17.5</t>
  </si>
  <si>
    <t>1.8.17.6</t>
  </si>
  <si>
    <t>1.8.17.7</t>
  </si>
  <si>
    <t>1.8.17.8</t>
  </si>
  <si>
    <t>1.8.18.</t>
  </si>
  <si>
    <t>1.8.18.1</t>
  </si>
  <si>
    <t>1.8.18.2</t>
  </si>
  <si>
    <t>1.8.18.3</t>
  </si>
  <si>
    <t>1.8.18.4</t>
  </si>
  <si>
    <t>1.8.18.5</t>
  </si>
  <si>
    <t>1.8.18.6</t>
  </si>
  <si>
    <t>1.8.18.7</t>
  </si>
  <si>
    <t>1.8.18.8</t>
  </si>
  <si>
    <t>1.8.19.</t>
  </si>
  <si>
    <t>1.8.19.1</t>
  </si>
  <si>
    <t>1.8.19.2</t>
  </si>
  <si>
    <t>1.8.19.3</t>
  </si>
  <si>
    <t>1.8.19.4</t>
  </si>
  <si>
    <t>1.8.19.5</t>
  </si>
  <si>
    <t>1.8.19.6</t>
  </si>
  <si>
    <t>1.8.19.7</t>
  </si>
  <si>
    <t>1.8.19.8</t>
  </si>
  <si>
    <t>1.8.20.</t>
  </si>
  <si>
    <t>1.8.20.1</t>
  </si>
  <si>
    <t>1.8.20.2</t>
  </si>
  <si>
    <t>1.8.21.</t>
  </si>
  <si>
    <t>1.8.21.1</t>
  </si>
  <si>
    <t>1.8.21.2</t>
  </si>
  <si>
    <t>1.8.22.</t>
  </si>
  <si>
    <t>1.8.22.1</t>
  </si>
  <si>
    <t>1.9.1.</t>
  </si>
  <si>
    <t>1.9.1.1</t>
  </si>
  <si>
    <t>1.9.1.2</t>
  </si>
  <si>
    <t>1.9.2.</t>
  </si>
  <si>
    <t>1.9.2.1</t>
  </si>
  <si>
    <t>1.9.2.2</t>
  </si>
  <si>
    <t>1.9.3.</t>
  </si>
  <si>
    <t>1.9.3.1</t>
  </si>
  <si>
    <t>1.9.3.2</t>
  </si>
  <si>
    <t>1.9.4.</t>
  </si>
  <si>
    <t>1.9.4.1</t>
  </si>
  <si>
    <t>1.9.4.2</t>
  </si>
  <si>
    <t>1.9.5.</t>
  </si>
  <si>
    <t>1.9.5.1</t>
  </si>
  <si>
    <t>1.9.5.2</t>
  </si>
  <si>
    <t>1.9.6.</t>
  </si>
  <si>
    <t>1.9.6.1</t>
  </si>
  <si>
    <t>1.9.6.2</t>
  </si>
  <si>
    <t>1.9.7.</t>
  </si>
  <si>
    <t>1.9.7.1</t>
  </si>
  <si>
    <t>1.9.7.2</t>
  </si>
  <si>
    <t>1.9.8.</t>
  </si>
  <si>
    <t>1.9.8.1</t>
  </si>
  <si>
    <t>1.9.8.2</t>
  </si>
  <si>
    <t>1.9.9.</t>
  </si>
  <si>
    <t>1.9.9.1</t>
  </si>
  <si>
    <t>1.9.9.2</t>
  </si>
  <si>
    <t>1.9.10.</t>
  </si>
  <si>
    <t>1.9.10.1</t>
  </si>
  <si>
    <t>1.9.10.2</t>
  </si>
  <si>
    <t>1.9.11.</t>
  </si>
  <si>
    <t>1.9.11.1</t>
  </si>
  <si>
    <t>1.9.11.2</t>
  </si>
  <si>
    <t>1.9.12.</t>
  </si>
  <si>
    <t>1.9.12.1</t>
  </si>
  <si>
    <t>1.9.12.2</t>
  </si>
  <si>
    <t>1.9.13.</t>
  </si>
  <si>
    <t>1.9.13.1</t>
  </si>
  <si>
    <t>1.9.13.2</t>
  </si>
  <si>
    <t>1.9.14.</t>
  </si>
  <si>
    <t>1.9.14.1</t>
  </si>
  <si>
    <t>1.9.14.2</t>
  </si>
  <si>
    <t>1.9.15.</t>
  </si>
  <si>
    <t>1.9.15.1</t>
  </si>
  <si>
    <t>1.9.15.2</t>
  </si>
  <si>
    <t>1.9.16.</t>
  </si>
  <si>
    <t>1.9.16.1</t>
  </si>
  <si>
    <t>1.9.16.2</t>
  </si>
  <si>
    <t>1.9.17.</t>
  </si>
  <si>
    <t>1.9.17.1</t>
  </si>
  <si>
    <t>1.9.17.2</t>
  </si>
  <si>
    <t>1.9.18.</t>
  </si>
  <si>
    <t>1.9.18.1</t>
  </si>
  <si>
    <t>1.9.18.2</t>
  </si>
  <si>
    <t>1.9.19.</t>
  </si>
  <si>
    <t>1.9.19.1</t>
  </si>
  <si>
    <t>1.9.19.2</t>
  </si>
  <si>
    <t>1.9.20.</t>
  </si>
  <si>
    <t>1.9.20.1</t>
  </si>
  <si>
    <t>1.9.20.2</t>
  </si>
  <si>
    <t>1.9.21.</t>
  </si>
  <si>
    <t>1.9.21.1</t>
  </si>
  <si>
    <t>1.9.21.2</t>
  </si>
  <si>
    <t>1.9.22.</t>
  </si>
  <si>
    <t>1.9.22.1</t>
  </si>
  <si>
    <t>1.9.22.2</t>
  </si>
  <si>
    <t>1.10.1.</t>
  </si>
  <si>
    <t>1.10.1.1</t>
  </si>
  <si>
    <t>1.10.2.</t>
  </si>
  <si>
    <t>1.10.2.1</t>
  </si>
  <si>
    <t>1.10.3.</t>
  </si>
  <si>
    <t>1.10.3.1</t>
  </si>
  <si>
    <t>1.10.4.</t>
  </si>
  <si>
    <t>1.10.4.1</t>
  </si>
  <si>
    <t>1.10.5.</t>
  </si>
  <si>
    <t>1.10.5.1</t>
  </si>
  <si>
    <t>1.10.6.</t>
  </si>
  <si>
    <t>1.10.6.1</t>
  </si>
  <si>
    <t>1.10.7.</t>
  </si>
  <si>
    <t>1.10.7.1</t>
  </si>
  <si>
    <t>1.10.8.</t>
  </si>
  <si>
    <t>1.10.8.1</t>
  </si>
  <si>
    <t>1.10.9.</t>
  </si>
  <si>
    <t>1.10.9.1</t>
  </si>
  <si>
    <t>1.10.10.</t>
  </si>
  <si>
    <t>1.10.10.1</t>
  </si>
  <si>
    <t>1.10.11.</t>
  </si>
  <si>
    <t>1.10.11.1</t>
  </si>
  <si>
    <t>1.10.12.</t>
  </si>
  <si>
    <t>1.10.12.1</t>
  </si>
  <si>
    <t>1.10.13.</t>
  </si>
  <si>
    <t>1.10.13.1</t>
  </si>
  <si>
    <t>1.10.14.</t>
  </si>
  <si>
    <t>1.10.14.1</t>
  </si>
  <si>
    <t>1.10.15.</t>
  </si>
  <si>
    <t>1.10.15.1</t>
  </si>
  <si>
    <t>1.10.16.</t>
  </si>
  <si>
    <t>1.10.16.1</t>
  </si>
  <si>
    <t>1.10.17.</t>
  </si>
  <si>
    <t>1.10.17.1</t>
  </si>
  <si>
    <t>1.10.18.</t>
  </si>
  <si>
    <t>1.10.18.1</t>
  </si>
  <si>
    <t>1.10.19.</t>
  </si>
  <si>
    <t>1.10.19.1</t>
  </si>
  <si>
    <t>1.11.1.</t>
  </si>
  <si>
    <t>1.11.1.1</t>
  </si>
  <si>
    <t>1.11.2.</t>
  </si>
  <si>
    <t>1.11.2.1</t>
  </si>
  <si>
    <t>1.11.3.</t>
  </si>
  <si>
    <t>1.11.3.1</t>
  </si>
  <si>
    <t>1.11.4.</t>
  </si>
  <si>
    <t>1.11.4.1</t>
  </si>
  <si>
    <t>1.11.5.</t>
  </si>
  <si>
    <t>1.11.5.1</t>
  </si>
  <si>
    <t>1.11.6.</t>
  </si>
  <si>
    <t>1.11.6.1</t>
  </si>
  <si>
    <t>1.11.7.</t>
  </si>
  <si>
    <t>1.11.7.1</t>
  </si>
  <si>
    <t>1.11.8.</t>
  </si>
  <si>
    <t>1.11.8.1</t>
  </si>
  <si>
    <t>1.11.9.</t>
  </si>
  <si>
    <t>1.11.9.1</t>
  </si>
  <si>
    <t>1.11.10.</t>
  </si>
  <si>
    <t>1.11.10.1</t>
  </si>
  <si>
    <t>1.11.11.</t>
  </si>
  <si>
    <t>1.11.11.1</t>
  </si>
  <si>
    <t>1.11.12.</t>
  </si>
  <si>
    <t>1.11.12.1</t>
  </si>
  <si>
    <t>1.11.13.</t>
  </si>
  <si>
    <t>1.11.13.1</t>
  </si>
  <si>
    <t>1.11.14.</t>
  </si>
  <si>
    <t>1.11.14.1</t>
  </si>
  <si>
    <t>1.11.15.</t>
  </si>
  <si>
    <t>1.11.15.1</t>
  </si>
  <si>
    <t>1.11.16.</t>
  </si>
  <si>
    <t>1.11.16.1</t>
  </si>
  <si>
    <t>1.11.17.</t>
  </si>
  <si>
    <t>1.11.17.1</t>
  </si>
  <si>
    <t>1.11.18.</t>
  </si>
  <si>
    <t>1.11.18.1</t>
  </si>
  <si>
    <t>1.11.19.</t>
  </si>
  <si>
    <t>1.11.19.1</t>
  </si>
  <si>
    <t>1.11.20.</t>
  </si>
  <si>
    <t>1.11.20.1</t>
  </si>
  <si>
    <t>1.11.21.</t>
  </si>
  <si>
    <t>1.11.21.1</t>
  </si>
  <si>
    <t>1.11.22.</t>
  </si>
  <si>
    <t>1.11.22.1</t>
  </si>
  <si>
    <t>1.12.1.</t>
  </si>
  <si>
    <t>1.12.1.1</t>
  </si>
  <si>
    <t>1.12.2.</t>
  </si>
  <si>
    <t>1.12.2.1</t>
  </si>
  <si>
    <t>1.12.3.</t>
  </si>
  <si>
    <t>1.12.3.1</t>
  </si>
  <si>
    <t>1.12.4.</t>
  </si>
  <si>
    <t>1.12.4.1</t>
  </si>
  <si>
    <t>1.12.5.</t>
  </si>
  <si>
    <t>1.12.5.1</t>
  </si>
  <si>
    <t>1.12.6.</t>
  </si>
  <si>
    <t>1.12.6.1</t>
  </si>
  <si>
    <t>1.12.7.</t>
  </si>
  <si>
    <t>1.12.7.1</t>
  </si>
  <si>
    <t>1.12.8.</t>
  </si>
  <si>
    <t>1.12.8.1</t>
  </si>
  <si>
    <t>1.12.9.</t>
  </si>
  <si>
    <t>1.12.9.1</t>
  </si>
  <si>
    <t>1.12.10.</t>
  </si>
  <si>
    <t>1.12.10.1</t>
  </si>
  <si>
    <t>1.12.11.</t>
  </si>
  <si>
    <t>1.12.11.1</t>
  </si>
  <si>
    <t>1.12.12.</t>
  </si>
  <si>
    <t>1.12.12.1</t>
  </si>
  <si>
    <t>1.12.13.</t>
  </si>
  <si>
    <t>1.12.13.1</t>
  </si>
  <si>
    <t>1.12.14.</t>
  </si>
  <si>
    <t>1.12.14.1</t>
  </si>
  <si>
    <t>1.12.15.</t>
  </si>
  <si>
    <t>1.12.15.1</t>
  </si>
  <si>
    <t>1.12.16.</t>
  </si>
  <si>
    <t>1.12.16.1</t>
  </si>
  <si>
    <t>1.12.17.</t>
  </si>
  <si>
    <t>1.12.17.1</t>
  </si>
  <si>
    <t>1.12.18.</t>
  </si>
  <si>
    <t>1.12.18.1</t>
  </si>
  <si>
    <t>1.12.19.</t>
  </si>
  <si>
    <t>1.12.19.1</t>
  </si>
  <si>
    <t>1.12.20.</t>
  </si>
  <si>
    <t>1.12.20.1</t>
  </si>
  <si>
    <t>1.12.21.</t>
  </si>
  <si>
    <t>1.12.21.1</t>
  </si>
  <si>
    <t>1.13.1.</t>
  </si>
  <si>
    <t>1.13.1.1</t>
  </si>
  <si>
    <t>1.13.2.</t>
  </si>
  <si>
    <t>1.13.2.1</t>
  </si>
  <si>
    <t>1.13.3.</t>
  </si>
  <si>
    <t>1.13.3.1</t>
  </si>
  <si>
    <t>1.13.4.</t>
  </si>
  <si>
    <t>1.13.4.1</t>
  </si>
  <si>
    <t>1.14.1.</t>
  </si>
  <si>
    <t>1.14.1.1</t>
  </si>
  <si>
    <t>1.14.2.</t>
  </si>
  <si>
    <t>1.14.2.1</t>
  </si>
  <si>
    <t>1.14.3.</t>
  </si>
  <si>
    <t>1.14.3.1</t>
  </si>
  <si>
    <t>1.14.4.</t>
  </si>
  <si>
    <t>1.14.4.1</t>
  </si>
  <si>
    <t>1.14.5.</t>
  </si>
  <si>
    <t>1.14.5.1</t>
  </si>
  <si>
    <t>1.14.6.</t>
  </si>
  <si>
    <t>1.14.6.1</t>
  </si>
  <si>
    <t>1.14.7.</t>
  </si>
  <si>
    <t>1.14.7.1</t>
  </si>
  <si>
    <t>1.14.8.</t>
  </si>
  <si>
    <t>1.14.8.1</t>
  </si>
  <si>
    <t>1.14.9.</t>
  </si>
  <si>
    <t>1.14.9.1</t>
  </si>
  <si>
    <t>1.14.10.</t>
  </si>
  <si>
    <t>1.14.10.1</t>
  </si>
  <si>
    <t>1.14.11.</t>
  </si>
  <si>
    <t>1.14.11.1</t>
  </si>
  <si>
    <t>1.14.12.</t>
  </si>
  <si>
    <t>1.14.12.1</t>
  </si>
  <si>
    <t>1.14.13.</t>
  </si>
  <si>
    <t>1.14.13.1</t>
  </si>
  <si>
    <t>1.14.14.</t>
  </si>
  <si>
    <t>1.14.14.1</t>
  </si>
  <si>
    <t>1.14.15.</t>
  </si>
  <si>
    <t>1.14.15.1</t>
  </si>
  <si>
    <t>1.14.16.</t>
  </si>
  <si>
    <t>1.14.16.1</t>
  </si>
  <si>
    <t>1.14.17.</t>
  </si>
  <si>
    <t>1.14.17.1</t>
  </si>
  <si>
    <t>1.14.18.</t>
  </si>
  <si>
    <t>1.14.18.1</t>
  </si>
  <si>
    <t>1.14.19.</t>
  </si>
  <si>
    <t>1.14.19.1</t>
  </si>
  <si>
    <t>1.15.1.</t>
  </si>
  <si>
    <t>1.15.1.1</t>
  </si>
  <si>
    <t>1.15.2.</t>
  </si>
  <si>
    <t>1.15.2.1</t>
  </si>
  <si>
    <t>1.15.3.</t>
  </si>
  <si>
    <t>1.15.3.1</t>
  </si>
  <si>
    <t>1.15.4.</t>
  </si>
  <si>
    <t>1.15.4.1</t>
  </si>
  <si>
    <t>1.15.5.</t>
  </si>
  <si>
    <t>1.15.5.1</t>
  </si>
  <si>
    <t>1.15.6.</t>
  </si>
  <si>
    <t>1.15.6.1</t>
  </si>
  <si>
    <t>1.15.7.</t>
  </si>
  <si>
    <t>1.15.7.1</t>
  </si>
  <si>
    <t>1.15.8.</t>
  </si>
  <si>
    <t>1.15.8.1</t>
  </si>
  <si>
    <t>1.15.9.</t>
  </si>
  <si>
    <t>1.15.9.1</t>
  </si>
  <si>
    <t>1.15.10.</t>
  </si>
  <si>
    <t>1.15.10.1</t>
  </si>
  <si>
    <t>1.15.11.</t>
  </si>
  <si>
    <t>1.15.11.1</t>
  </si>
  <si>
    <t>1.15.12.</t>
  </si>
  <si>
    <t>1.15.12.1</t>
  </si>
  <si>
    <t>1.15.13.</t>
  </si>
  <si>
    <t>1.15.13.1</t>
  </si>
  <si>
    <t>1.15.14.</t>
  </si>
  <si>
    <t>1.15.14.1</t>
  </si>
  <si>
    <t>1.15.15.</t>
  </si>
  <si>
    <t>1.15.15.1</t>
  </si>
  <si>
    <t>1.15.16.</t>
  </si>
  <si>
    <t>1.15.16.1</t>
  </si>
  <si>
    <t>1.15.17.</t>
  </si>
  <si>
    <t>1.15.17.1</t>
  </si>
  <si>
    <t>1.15.18.</t>
  </si>
  <si>
    <t>1.15.18.1</t>
  </si>
  <si>
    <t>1.15.19.</t>
  </si>
  <si>
    <t>1.15.19.1</t>
  </si>
  <si>
    <t>1.15.20.</t>
  </si>
  <si>
    <t>1.15.20.1</t>
  </si>
  <si>
    <t>1.15.21.</t>
  </si>
  <si>
    <t>1.15.21.1</t>
  </si>
  <si>
    <t>1.15.22.</t>
  </si>
  <si>
    <t>1.15.22.1</t>
  </si>
  <si>
    <t>1.16.1.</t>
  </si>
  <si>
    <t>1.16.1.1</t>
  </si>
  <si>
    <t>1.17.1.</t>
  </si>
  <si>
    <t>1.17.1.1</t>
  </si>
  <si>
    <t>1.17.1.2</t>
  </si>
  <si>
    <t>1.17.1.3</t>
  </si>
  <si>
    <t>1.17.1.4</t>
  </si>
  <si>
    <t>1.17.1.5</t>
  </si>
  <si>
    <t>1.17.1.6</t>
  </si>
  <si>
    <t>1.17.2.</t>
  </si>
  <si>
    <t>1.17.2.1</t>
  </si>
  <si>
    <t>1.17.3.</t>
  </si>
  <si>
    <t>1.17.3.1</t>
  </si>
  <si>
    <t>1.17.3.2</t>
  </si>
  <si>
    <t>1.17.3.3</t>
  </si>
  <si>
    <t>1.17.3.4</t>
  </si>
  <si>
    <t>1.17.4.</t>
  </si>
  <si>
    <t>1.17.4.1</t>
  </si>
  <si>
    <t>1.17.4.2</t>
  </si>
  <si>
    <t>1.17.4.3</t>
  </si>
  <si>
    <t>1.17.4.4</t>
  </si>
  <si>
    <t>1.17.5.</t>
  </si>
  <si>
    <t>1.17.5.1</t>
  </si>
  <si>
    <t>1.17.5.2</t>
  </si>
  <si>
    <t>1.17.5.3</t>
  </si>
  <si>
    <t>1.17.5.4</t>
  </si>
  <si>
    <t>1.17.6.</t>
  </si>
  <si>
    <t>1.17.6.1</t>
  </si>
  <si>
    <t>1.17.6.2</t>
  </si>
  <si>
    <t>1.17.6.3</t>
  </si>
  <si>
    <t>1.17.6.4</t>
  </si>
  <si>
    <t>1.17.7.</t>
  </si>
  <si>
    <t>1.17.7.1</t>
  </si>
  <si>
    <t>1.17.7.2</t>
  </si>
  <si>
    <t>1.17.7.3</t>
  </si>
  <si>
    <t>1.17.7.4</t>
  </si>
  <si>
    <t>1.17.8.</t>
  </si>
  <si>
    <t>1.17.8.1</t>
  </si>
  <si>
    <t>1.17.8.2</t>
  </si>
  <si>
    <t>1.17.8.3</t>
  </si>
  <si>
    <t>1.17.8.4</t>
  </si>
  <si>
    <t>1.17.9.</t>
  </si>
  <si>
    <t>1.17.9.1</t>
  </si>
  <si>
    <t>1.17.9.2</t>
  </si>
  <si>
    <t>1.17.9.3</t>
  </si>
  <si>
    <t>1.17.9.4</t>
  </si>
  <si>
    <t>1.17.10.</t>
  </si>
  <si>
    <t>1.17.10.1</t>
  </si>
  <si>
    <t>1.17.10.2</t>
  </si>
  <si>
    <t>1.17.10.3</t>
  </si>
  <si>
    <t>1.17.11.</t>
  </si>
  <si>
    <t>1.17.11.1</t>
  </si>
  <si>
    <t>1.17.11.2</t>
  </si>
  <si>
    <t>1.17.11.3</t>
  </si>
  <si>
    <t>1.17.11.4</t>
  </si>
  <si>
    <t>1.17.11.5</t>
  </si>
  <si>
    <t>1.17.12.</t>
  </si>
  <si>
    <t>1.17.12.1</t>
  </si>
  <si>
    <t>1.17.12.2</t>
  </si>
  <si>
    <t>1.17.12.3</t>
  </si>
  <si>
    <t>1.17.13.</t>
  </si>
  <si>
    <t>1.17.13.1</t>
  </si>
  <si>
    <t>1.17.13.2</t>
  </si>
  <si>
    <t>1.17.13.3</t>
  </si>
  <si>
    <t>1.17.13.4</t>
  </si>
  <si>
    <t>1.17.13.5</t>
  </si>
  <si>
    <t>1.17.14.</t>
  </si>
  <si>
    <t>1.17.14.1</t>
  </si>
  <si>
    <t>1.17.14.2</t>
  </si>
  <si>
    <t>1.17.14.3</t>
  </si>
  <si>
    <t>1.17.15.</t>
  </si>
  <si>
    <t>1.17.15.1</t>
  </si>
  <si>
    <t>1.17.15.2</t>
  </si>
  <si>
    <t>1.17.15.3</t>
  </si>
  <si>
    <t>1.17.15.4</t>
  </si>
  <si>
    <t>1.17.16.</t>
  </si>
  <si>
    <t>1.17.16.1</t>
  </si>
  <si>
    <t>1.17.16.2</t>
  </si>
  <si>
    <t>1.17.16.3</t>
  </si>
  <si>
    <t>1.17.16.4</t>
  </si>
  <si>
    <t>1.18.1.</t>
  </si>
  <si>
    <t>1.18.1.1</t>
  </si>
  <si>
    <t>1.19.1.</t>
  </si>
  <si>
    <t>1.19.1.1</t>
  </si>
  <si>
    <t>1.19.1.2</t>
  </si>
  <si>
    <t>1.19.1.3</t>
  </si>
  <si>
    <t>1.19.2.</t>
  </si>
  <si>
    <t>1.19.2.1</t>
  </si>
  <si>
    <t>1.19.3.</t>
  </si>
  <si>
    <t>1.19.3.1</t>
  </si>
  <si>
    <t>1.19.4.</t>
  </si>
  <si>
    <t>1.19.4.1</t>
  </si>
  <si>
    <t>1.19.5.</t>
  </si>
  <si>
    <t>1.19.5.1</t>
  </si>
  <si>
    <t>1.19.6.</t>
  </si>
  <si>
    <t>1.19.6.1</t>
  </si>
  <si>
    <t>1.19.7.</t>
  </si>
  <si>
    <t>1.19.7.1</t>
  </si>
  <si>
    <t>1.19.8.</t>
  </si>
  <si>
    <t>1.19.8.1</t>
  </si>
  <si>
    <t>1.19.9.</t>
  </si>
  <si>
    <t>1.19.9.1</t>
  </si>
  <si>
    <t>1.19.10.</t>
  </si>
  <si>
    <t>1.19.10.1</t>
  </si>
  <si>
    <t>1.19.11.</t>
  </si>
  <si>
    <t>1.19.11.1</t>
  </si>
  <si>
    <t>1.19.12.</t>
  </si>
  <si>
    <t>1.19.12.1</t>
  </si>
  <si>
    <t>1.19.13.</t>
  </si>
  <si>
    <t>1.19.13.1</t>
  </si>
  <si>
    <t>1.19.14.</t>
  </si>
  <si>
    <t>1.19.14.1</t>
  </si>
  <si>
    <t>1.19.15.</t>
  </si>
  <si>
    <t>1.19.15.1</t>
  </si>
  <si>
    <t>1.20.1.</t>
  </si>
  <si>
    <t>1.20.1.1</t>
  </si>
  <si>
    <t>1.20.1.2</t>
  </si>
  <si>
    <t>1.20.1.3</t>
  </si>
  <si>
    <t>1.20.1.4</t>
  </si>
  <si>
    <t>1.20.1.5</t>
  </si>
  <si>
    <t>1.20.2.</t>
  </si>
  <si>
    <t>1.20.2.1</t>
  </si>
  <si>
    <t>1.20.2.2</t>
  </si>
  <si>
    <t>1.20.3.</t>
  </si>
  <si>
    <t>1.20.3.1</t>
  </si>
  <si>
    <t>1.20.3.2</t>
  </si>
  <si>
    <t>1.20.4.</t>
  </si>
  <si>
    <t>1.20.4.1</t>
  </si>
  <si>
    <t>1.20.4.2</t>
  </si>
  <si>
    <t>1.20.5.</t>
  </si>
  <si>
    <t>1.20.5.1</t>
  </si>
  <si>
    <t>1.20.6.</t>
  </si>
  <si>
    <t>1.20.6.1</t>
  </si>
  <si>
    <t>1.20.6.2</t>
  </si>
  <si>
    <t>1.20.6.3</t>
  </si>
  <si>
    <t>1.20.6.4</t>
  </si>
  <si>
    <t>1.20.6.5</t>
  </si>
  <si>
    <t>1.20.7.</t>
  </si>
  <si>
    <t>1.20.7.1</t>
  </si>
  <si>
    <t>1.20.7.2</t>
  </si>
  <si>
    <t>1.20.7.3</t>
  </si>
  <si>
    <t>1.20.7.4</t>
  </si>
  <si>
    <t>1.20.8.</t>
  </si>
  <si>
    <t>1.20.8.1</t>
  </si>
  <si>
    <t>1.20.8.2</t>
  </si>
  <si>
    <t>1.20.8.3</t>
  </si>
  <si>
    <t>1.20.8.4</t>
  </si>
  <si>
    <t>1.20.9.</t>
  </si>
  <si>
    <t>1.20.9.1</t>
  </si>
  <si>
    <t>1.20.9.2</t>
  </si>
  <si>
    <t>1.20.9.3</t>
  </si>
  <si>
    <t>1.20.9.4</t>
  </si>
  <si>
    <t>1.20.9.5</t>
  </si>
  <si>
    <t>1.20.10.</t>
  </si>
  <si>
    <t>1.20.10.1</t>
  </si>
  <si>
    <t>1.20.10.2</t>
  </si>
  <si>
    <t>1.20.10.3</t>
  </si>
  <si>
    <t>1.20.10.4</t>
  </si>
  <si>
    <t>1.20.11.</t>
  </si>
  <si>
    <t>1.20.11.1</t>
  </si>
  <si>
    <t>1.20.11.2</t>
  </si>
  <si>
    <t>1.20.11.3</t>
  </si>
  <si>
    <t>1.20.11.4</t>
  </si>
  <si>
    <t>1.20.11.5</t>
  </si>
  <si>
    <t>1.20.12.</t>
  </si>
  <si>
    <t>1.20.12.1</t>
  </si>
  <si>
    <t>1.20.12.2</t>
  </si>
  <si>
    <t>1.20.12.3</t>
  </si>
  <si>
    <t>1.20.12.4</t>
  </si>
  <si>
    <t>1.20.13.</t>
  </si>
  <si>
    <t>1.20.13.1</t>
  </si>
  <si>
    <t>1.20.13.2</t>
  </si>
  <si>
    <t>1.20.13.3</t>
  </si>
  <si>
    <t>1.20.13.4</t>
  </si>
  <si>
    <t>1.20.14.</t>
  </si>
  <si>
    <t>1.20.14.1</t>
  </si>
  <si>
    <t>1.20.14.2</t>
  </si>
  <si>
    <t>1.20.14.3</t>
  </si>
  <si>
    <t>1.20.14.4</t>
  </si>
  <si>
    <t>1.20.14.5</t>
  </si>
  <si>
    <t>1.20.15.</t>
  </si>
  <si>
    <t>1.20.15.1</t>
  </si>
  <si>
    <t>1.20.15.2</t>
  </si>
  <si>
    <t>1.20.15.3</t>
  </si>
  <si>
    <t>1.20.15.4</t>
  </si>
  <si>
    <t>1.20.16.</t>
  </si>
  <si>
    <t>1.20.16.1</t>
  </si>
  <si>
    <t>1.20.16.2</t>
  </si>
  <si>
    <t>1.20.16.3</t>
  </si>
  <si>
    <t>1.20.16.4</t>
  </si>
  <si>
    <t>1.20.16.5</t>
  </si>
  <si>
    <t>1.20.17.</t>
  </si>
  <si>
    <t>1.20.17.1</t>
  </si>
  <si>
    <t>1.20.17.2</t>
  </si>
  <si>
    <t>1.20.17.3</t>
  </si>
  <si>
    <t>1.20.17.4</t>
  </si>
  <si>
    <t>1.20.18.</t>
  </si>
  <si>
    <t>1.20.18.1</t>
  </si>
  <si>
    <t>1.20.18.2</t>
  </si>
  <si>
    <t>1.20.18.3</t>
  </si>
  <si>
    <t>1.20.18.4</t>
  </si>
  <si>
    <t>1.20.19.</t>
  </si>
  <si>
    <t>1.20.19.1</t>
  </si>
  <si>
    <t>1.20.19.2</t>
  </si>
  <si>
    <t>1.20.19.3</t>
  </si>
  <si>
    <t>1.20.19.4</t>
  </si>
  <si>
    <t>1.20.19.5</t>
  </si>
  <si>
    <t>1.20.20.</t>
  </si>
  <si>
    <t>1.20.20.1</t>
  </si>
  <si>
    <t>1.20.20.2</t>
  </si>
  <si>
    <t>1.20.20.3</t>
  </si>
  <si>
    <t>1.20.21.</t>
  </si>
  <si>
    <t>1.20.21.1</t>
  </si>
  <si>
    <t>1.21.1.</t>
  </si>
  <si>
    <t>1.21.1.1</t>
  </si>
  <si>
    <t>1.21.2.</t>
  </si>
  <si>
    <t>1.21.2.1</t>
  </si>
  <si>
    <t>1.21.3.</t>
  </si>
  <si>
    <t>1.21.3.1</t>
  </si>
  <si>
    <t>1.21.4.</t>
  </si>
  <si>
    <t>1.21.4.1</t>
  </si>
  <si>
    <t>1.21.5.</t>
  </si>
  <si>
    <t>1.21.5.1</t>
  </si>
  <si>
    <t>1.21.6.</t>
  </si>
  <si>
    <t>1.21.6.1</t>
  </si>
  <si>
    <t>1.21.7.</t>
  </si>
  <si>
    <t>1.21.7.1</t>
  </si>
  <si>
    <t>1.21.8.</t>
  </si>
  <si>
    <t>1.21.8.1</t>
  </si>
  <si>
    <t>1.21.9.</t>
  </si>
  <si>
    <t>1.21.9.1</t>
  </si>
  <si>
    <t>1.21.10.</t>
  </si>
  <si>
    <t>1.21.10.1</t>
  </si>
  <si>
    <t>1.21.11.</t>
  </si>
  <si>
    <t>1.21.11.1</t>
  </si>
  <si>
    <t>1.21.12.</t>
  </si>
  <si>
    <t>1.21.12.1</t>
  </si>
  <si>
    <t>1.21.13.</t>
  </si>
  <si>
    <t>1.21.13.1</t>
  </si>
  <si>
    <t>1.22.1.</t>
  </si>
  <si>
    <t>1.22.1.1</t>
  </si>
  <si>
    <t>1.22.1.2</t>
  </si>
  <si>
    <t>1.22.1.3</t>
  </si>
  <si>
    <t>1.22.1.4</t>
  </si>
  <si>
    <t>1.22.2.</t>
  </si>
  <si>
    <t>1.22.2.1</t>
  </si>
  <si>
    <t>1.22.2.2</t>
  </si>
  <si>
    <t>1.22.2.3</t>
  </si>
  <si>
    <t>1.22.3.</t>
  </si>
  <si>
    <t>1.22.3.1</t>
  </si>
  <si>
    <t>1.22.3.2</t>
  </si>
  <si>
    <t>1.22.3.3</t>
  </si>
  <si>
    <t>1.22.4.</t>
  </si>
  <si>
    <t>1.22.4.1</t>
  </si>
  <si>
    <t>1.22.4.2</t>
  </si>
  <si>
    <t>1.22.4.3</t>
  </si>
  <si>
    <t>1.22.5.</t>
  </si>
  <si>
    <t>1.22.5.1</t>
  </si>
  <si>
    <t>1.22.5.2</t>
  </si>
  <si>
    <t>1.22.5.3</t>
  </si>
  <si>
    <t>1.22.6.</t>
  </si>
  <si>
    <t>1.22.6.1</t>
  </si>
  <si>
    <t>1.22.6.2</t>
  </si>
  <si>
    <t>1.22.6.3</t>
  </si>
  <si>
    <t>1.22.7.</t>
  </si>
  <si>
    <t>1.22.7.1</t>
  </si>
  <si>
    <t>1.22.7.2</t>
  </si>
  <si>
    <t>1.22.7.3</t>
  </si>
  <si>
    <t>1.22.8.</t>
  </si>
  <si>
    <t>1.22.8.1</t>
  </si>
  <si>
    <t>1.22.8.2</t>
  </si>
  <si>
    <t>1.22.8.3</t>
  </si>
  <si>
    <t>1.22.9.</t>
  </si>
  <si>
    <t>1.22.9.1</t>
  </si>
  <si>
    <t>1.22.9.2</t>
  </si>
  <si>
    <t>1.22.9.3</t>
  </si>
  <si>
    <t>1.22.10.</t>
  </si>
  <si>
    <t>1.22.10.1</t>
  </si>
  <si>
    <t>1.22.10.2</t>
  </si>
  <si>
    <t>1.22.10.3</t>
  </si>
  <si>
    <t>1.22.11.</t>
  </si>
  <si>
    <t>1.22.11.1</t>
  </si>
  <si>
    <t>1.22.11.2</t>
  </si>
  <si>
    <t>1.22.11.3</t>
  </si>
  <si>
    <t>1.22.12.</t>
  </si>
  <si>
    <t>1.22.12.1</t>
  </si>
  <si>
    <t>1.22.12.2</t>
  </si>
  <si>
    <t>1.22.12.3</t>
  </si>
  <si>
    <t>1.22.13.</t>
  </si>
  <si>
    <t>1.22.13.1</t>
  </si>
  <si>
    <t>1.22.13.2</t>
  </si>
  <si>
    <t>1.22.13.3</t>
  </si>
  <si>
    <t>1.22.14.</t>
  </si>
  <si>
    <t>1.22.14.1</t>
  </si>
  <si>
    <t>1.22.14.2</t>
  </si>
  <si>
    <t>1.22.14.3</t>
  </si>
  <si>
    <t>1.22.15.</t>
  </si>
  <si>
    <t>1.22.15.1</t>
  </si>
  <si>
    <t>1.22.15.2</t>
  </si>
  <si>
    <t>1.22.15.3</t>
  </si>
  <si>
    <t>1.23.1.</t>
  </si>
  <si>
    <t>1.23.1.1</t>
  </si>
  <si>
    <t>1.23.2.</t>
  </si>
  <si>
    <t>1.23.2.1</t>
  </si>
  <si>
    <t>1.23.3.</t>
  </si>
  <si>
    <t>1.23.3.1</t>
  </si>
  <si>
    <t>1.23.4.</t>
  </si>
  <si>
    <t>1.23.4.1</t>
  </si>
  <si>
    <t>1.23.5.</t>
  </si>
  <si>
    <t>1.23.5.1</t>
  </si>
  <si>
    <t>1.23.6.</t>
  </si>
  <si>
    <t>1.23.6.1</t>
  </si>
  <si>
    <t>1.23.7.</t>
  </si>
  <si>
    <t>1.23.7.1</t>
  </si>
  <si>
    <t>1.23.8.</t>
  </si>
  <si>
    <t>1.23.8.1</t>
  </si>
  <si>
    <t>1.23.9.</t>
  </si>
  <si>
    <t>1.23.9.1</t>
  </si>
  <si>
    <t>1.23.10.</t>
  </si>
  <si>
    <t>1.23.10.1</t>
  </si>
  <si>
    <t>1.23.11.</t>
  </si>
  <si>
    <t>1.23.11.1</t>
  </si>
  <si>
    <t>1.23.12.</t>
  </si>
  <si>
    <t>1.23.12.1</t>
  </si>
  <si>
    <t>1.23.13.</t>
  </si>
  <si>
    <t>1.23.13.1</t>
  </si>
  <si>
    <t>1.23.14.</t>
  </si>
  <si>
    <t>1.23.14.1</t>
  </si>
  <si>
    <t>1.23.15.</t>
  </si>
  <si>
    <t>1.23.15.1</t>
  </si>
  <si>
    <t>1.23.16.</t>
  </si>
  <si>
    <t>1.23.16.1</t>
  </si>
  <si>
    <t>1.23.17.</t>
  </si>
  <si>
    <t>1.23.17.1</t>
  </si>
  <si>
    <t>1.23.18.</t>
  </si>
  <si>
    <t>1.23.18.1</t>
  </si>
  <si>
    <t>1.23.19.</t>
  </si>
  <si>
    <t>1.23.19.1</t>
  </si>
  <si>
    <t>1.24.1.</t>
  </si>
  <si>
    <t>1.24.1.1</t>
  </si>
  <si>
    <t>1.24.1.2</t>
  </si>
  <si>
    <t>1.24.1.3</t>
  </si>
  <si>
    <t>1.24.1.4</t>
  </si>
  <si>
    <t>1.24.1.5</t>
  </si>
  <si>
    <t>1.24.1.6</t>
  </si>
  <si>
    <t>1.24.2.</t>
  </si>
  <si>
    <t>1.24.2.1</t>
  </si>
  <si>
    <t>1.24.2.2</t>
  </si>
  <si>
    <t>1.24.2.3</t>
  </si>
  <si>
    <t>1.24.3.</t>
  </si>
  <si>
    <t>1.24.3.1</t>
  </si>
  <si>
    <t>1.24.3.2</t>
  </si>
  <si>
    <t>1.24.3.4</t>
  </si>
  <si>
    <t>1.24.4.</t>
  </si>
  <si>
    <t>1.24.4.1</t>
  </si>
  <si>
    <t>1.24.4.2</t>
  </si>
  <si>
    <t>1.24.4.4</t>
  </si>
  <si>
    <t>1.24.5.</t>
  </si>
  <si>
    <t>1.24.5.1</t>
  </si>
  <si>
    <t>1.24.5.2</t>
  </si>
  <si>
    <t>1.24.5.3</t>
  </si>
  <si>
    <t>1.24.6.</t>
  </si>
  <si>
    <t>1.24.6.1</t>
  </si>
  <si>
    <t>1.24.6.2</t>
  </si>
  <si>
    <t>1.24.7.</t>
  </si>
  <si>
    <t>1.24.7.1</t>
  </si>
  <si>
    <t>1.24.7.2</t>
  </si>
  <si>
    <t>1.24.8.</t>
  </si>
  <si>
    <t>1.24.8.1</t>
  </si>
  <si>
    <t>1.24.8.2</t>
  </si>
  <si>
    <t>1.24.9.</t>
  </si>
  <si>
    <t>1.24.9.1</t>
  </si>
  <si>
    <t>1.24.9.2</t>
  </si>
  <si>
    <t>1.24.10.</t>
  </si>
  <si>
    <t>1.24.10.1</t>
  </si>
  <si>
    <t>1.24.10.2</t>
  </si>
  <si>
    <t>1.24.11.</t>
  </si>
  <si>
    <t>1.24.11.1</t>
  </si>
  <si>
    <t>1.24.11.2</t>
  </si>
  <si>
    <t>1.24.12.</t>
  </si>
  <si>
    <t>1.24.12.1</t>
  </si>
  <si>
    <t>1.24.12.2</t>
  </si>
  <si>
    <t>1.24.13.</t>
  </si>
  <si>
    <t>1.24.13.1</t>
  </si>
  <si>
    <t>1.24.13.2</t>
  </si>
  <si>
    <t>1.24.14.</t>
  </si>
  <si>
    <t>1.24.14.1</t>
  </si>
  <si>
    <t>1.24.14.2</t>
  </si>
  <si>
    <t>1.24.15.</t>
  </si>
  <si>
    <t>1.24.15.1</t>
  </si>
  <si>
    <t>1.24.15.2</t>
  </si>
  <si>
    <t>1.24.16.</t>
  </si>
  <si>
    <t>1.24.16.1</t>
  </si>
  <si>
    <t>1.24.16.2</t>
  </si>
  <si>
    <t>1.24.17.</t>
  </si>
  <si>
    <t>1.24.17.1</t>
  </si>
  <si>
    <t>1.24.17.2</t>
  </si>
  <si>
    <t>1.24.18.</t>
  </si>
  <si>
    <t>1.24.18.1</t>
  </si>
  <si>
    <t>1.24.18.2</t>
  </si>
  <si>
    <t>1.24.19.</t>
  </si>
  <si>
    <t>1.24.19.1</t>
  </si>
  <si>
    <t>1.24.19.2</t>
  </si>
  <si>
    <t>1.24.20.</t>
  </si>
  <si>
    <t>1.24.20.1</t>
  </si>
  <si>
    <t>1.24.20.2</t>
  </si>
  <si>
    <t>1.25.1.</t>
  </si>
  <si>
    <t>1.25.1.1</t>
  </si>
  <si>
    <t>1.25.1.2</t>
  </si>
  <si>
    <t>1.25.1.3</t>
  </si>
  <si>
    <t>1.25.1.4</t>
  </si>
  <si>
    <t>1.25.1.5</t>
  </si>
  <si>
    <t>1.25.1.6</t>
  </si>
  <si>
    <t>1.25.1.7</t>
  </si>
  <si>
    <t>1.25.1.8</t>
  </si>
  <si>
    <t>1.25.1.9</t>
  </si>
  <si>
    <t>1.25.2.</t>
  </si>
  <si>
    <t>1.25.2.1</t>
  </si>
  <si>
    <t>1.25.2.2</t>
  </si>
  <si>
    <t>1.25.2.3</t>
  </si>
  <si>
    <t>1.25.2.4</t>
  </si>
  <si>
    <t>1.25.2.5</t>
  </si>
  <si>
    <t>1.25.2.6</t>
  </si>
  <si>
    <t>1.25.3.</t>
  </si>
  <si>
    <t>1.25.3.1</t>
  </si>
  <si>
    <t>1.25.3.2</t>
  </si>
  <si>
    <t>1.25.3.3</t>
  </si>
  <si>
    <t>1.25.3.4</t>
  </si>
  <si>
    <t>1.25.3.5</t>
  </si>
  <si>
    <t>1.25.4.</t>
  </si>
  <si>
    <t>1.25.4.1</t>
  </si>
  <si>
    <t>1.25.4.2</t>
  </si>
  <si>
    <t>1.25.4.3</t>
  </si>
  <si>
    <t>1.25.4.4</t>
  </si>
  <si>
    <t>1.25.4.5</t>
  </si>
  <si>
    <t>1.25.5.</t>
  </si>
  <si>
    <t>1.25.5.1</t>
  </si>
  <si>
    <t>1.25.5.2</t>
  </si>
  <si>
    <t>1.25.5.3</t>
  </si>
  <si>
    <t>1.25.5.4</t>
  </si>
  <si>
    <t>1.25.5.5</t>
  </si>
  <si>
    <t>1.25.6.</t>
  </si>
  <si>
    <t>1.25.6.1</t>
  </si>
  <si>
    <t>1.25.6.2</t>
  </si>
  <si>
    <t>1.25.6.3</t>
  </si>
  <si>
    <t>1.25.6.4</t>
  </si>
  <si>
    <t>1.25.6.5</t>
  </si>
  <si>
    <t>1.25.7.</t>
  </si>
  <si>
    <t>1.25.7.1</t>
  </si>
  <si>
    <t>1.25.7.2</t>
  </si>
  <si>
    <t>1.25.7.3</t>
  </si>
  <si>
    <t>1.25.7.4</t>
  </si>
  <si>
    <t>1.25.7.5</t>
  </si>
  <si>
    <t>1.25.8.</t>
  </si>
  <si>
    <t>1.25.8.1</t>
  </si>
  <si>
    <t>1.25.8.2</t>
  </si>
  <si>
    <t>1.25.8.3</t>
  </si>
  <si>
    <t>1.25.8.4</t>
  </si>
  <si>
    <t>1.25.8.5</t>
  </si>
  <si>
    <t>1.25.9.</t>
  </si>
  <si>
    <t>1.25.9.1</t>
  </si>
  <si>
    <t>1.25.9.2</t>
  </si>
  <si>
    <t>1.25.9.3</t>
  </si>
  <si>
    <t>1.25.9.4</t>
  </si>
  <si>
    <t>1.25.9.5</t>
  </si>
  <si>
    <t>1.25.9.6</t>
  </si>
  <si>
    <t>1.25.10.</t>
  </si>
  <si>
    <t>1.25.10.1</t>
  </si>
  <si>
    <t>1.25.10.2</t>
  </si>
  <si>
    <t>1.25.10.3</t>
  </si>
  <si>
    <t>1.25.10.4</t>
  </si>
  <si>
    <t>1.25.10.5</t>
  </si>
  <si>
    <t>1.25.11.</t>
  </si>
  <si>
    <t>1.25.11.1</t>
  </si>
  <si>
    <t>1.25.11.2</t>
  </si>
  <si>
    <t>1.25.11.3</t>
  </si>
  <si>
    <t>1.25.11.4</t>
  </si>
  <si>
    <t>1.25.11.5</t>
  </si>
  <si>
    <t>1.25.11.6</t>
  </si>
  <si>
    <t>1.25.12.</t>
  </si>
  <si>
    <t>1.25.12.1</t>
  </si>
  <si>
    <t>1.25.12.2</t>
  </si>
  <si>
    <t>1.25.12.3</t>
  </si>
  <si>
    <t>1.25.12.4</t>
  </si>
  <si>
    <t>1.25.12.5</t>
  </si>
  <si>
    <t>1.25.13.</t>
  </si>
  <si>
    <t>1.25.13.1</t>
  </si>
  <si>
    <t>1.25.13.2</t>
  </si>
  <si>
    <t>1.25.13.3</t>
  </si>
  <si>
    <t>1.25.13.4</t>
  </si>
  <si>
    <t>1.25.13.5</t>
  </si>
  <si>
    <t>1.25.13.6</t>
  </si>
  <si>
    <t>1.25.14.</t>
  </si>
  <si>
    <t>1.25.14.1</t>
  </si>
  <si>
    <t>1.25.14.2</t>
  </si>
  <si>
    <t>1.25.14.3</t>
  </si>
  <si>
    <t>1.25.14.4</t>
  </si>
  <si>
    <t>1.25.14.5</t>
  </si>
  <si>
    <t>1.25.15.</t>
  </si>
  <si>
    <t>1.25.15.1</t>
  </si>
  <si>
    <t>1.25.15.2</t>
  </si>
  <si>
    <t>1.25.15.3</t>
  </si>
  <si>
    <t>1.25.15.4</t>
  </si>
  <si>
    <t>1.25.15.5</t>
  </si>
  <si>
    <t>1.25.15.6</t>
  </si>
  <si>
    <t>1.25.16.</t>
  </si>
  <si>
    <t>1.25.16.1</t>
  </si>
  <si>
    <t>1.25.16.2</t>
  </si>
  <si>
    <t>1.25.16.3</t>
  </si>
  <si>
    <t>1.25.16.4</t>
  </si>
  <si>
    <t>1.25.16.5</t>
  </si>
  <si>
    <t>1.25.17.</t>
  </si>
  <si>
    <t>1.25.17.1</t>
  </si>
  <si>
    <t>1.25.17.2</t>
  </si>
  <si>
    <t>1.25.17.3</t>
  </si>
  <si>
    <t>1.25.17.4</t>
  </si>
  <si>
    <t>1.25.17.5</t>
  </si>
  <si>
    <t>1.25.17.6</t>
  </si>
  <si>
    <t>1.25.18.</t>
  </si>
  <si>
    <t>1.25.18.1</t>
  </si>
  <si>
    <t>1.25.18.2</t>
  </si>
  <si>
    <t>1.25.18.3</t>
  </si>
  <si>
    <t>1.25.18.4</t>
  </si>
  <si>
    <t>1.25.18.5</t>
  </si>
  <si>
    <t>1.25.19.</t>
  </si>
  <si>
    <t>1.25.19.1</t>
  </si>
  <si>
    <t>1.25.19.2</t>
  </si>
  <si>
    <t>1.25.19.3</t>
  </si>
  <si>
    <t>1.25.19.4</t>
  </si>
  <si>
    <t>1.25.19.5</t>
  </si>
  <si>
    <t>1.25.19.6</t>
  </si>
  <si>
    <t>1.25.20.</t>
  </si>
  <si>
    <t>1.25.20.1</t>
  </si>
  <si>
    <t>1.25.20.2</t>
  </si>
  <si>
    <t>1.25.20.3</t>
  </si>
  <si>
    <t>1.25.20.4</t>
  </si>
  <si>
    <t>1.25.21.</t>
  </si>
  <si>
    <t>1.25.21.1</t>
  </si>
  <si>
    <t>1.25.21.2</t>
  </si>
  <si>
    <t>1.25.22.</t>
  </si>
  <si>
    <t>1.25.22.1</t>
  </si>
  <si>
    <t>1.25.22.2</t>
  </si>
  <si>
    <t>1.25.22.3</t>
  </si>
  <si>
    <t>1.26.1.</t>
  </si>
  <si>
    <t>1.26.1.1</t>
  </si>
  <si>
    <t>1.26.1.2</t>
  </si>
  <si>
    <t>1.26.2.</t>
  </si>
  <si>
    <t>1.26.2.1</t>
  </si>
  <si>
    <t>1.26.2.2</t>
  </si>
  <si>
    <t>1.26.3.</t>
  </si>
  <si>
    <t>1.26.3.1</t>
  </si>
  <si>
    <t>1.26.3.2</t>
  </si>
  <si>
    <t>1.26.4.</t>
  </si>
  <si>
    <t>1.26.4.1</t>
  </si>
  <si>
    <t>1.26.4.2</t>
  </si>
  <si>
    <t>1.26.5.</t>
  </si>
  <si>
    <t>1.26.5.1</t>
  </si>
  <si>
    <t>1.26.5.2</t>
  </si>
  <si>
    <t>1.26.6.</t>
  </si>
  <si>
    <t>1.26.6.1</t>
  </si>
  <si>
    <t>1.26.6.2</t>
  </si>
  <si>
    <t>1.26.7.</t>
  </si>
  <si>
    <t>1.26.7.1</t>
  </si>
  <si>
    <t>1.26.7.2</t>
  </si>
  <si>
    <t>1.26.8.</t>
  </si>
  <si>
    <t>1.26.8.1</t>
  </si>
  <si>
    <t>1.26.8.2</t>
  </si>
  <si>
    <t>1.26.9.</t>
  </si>
  <si>
    <t>1.26.9.1</t>
  </si>
  <si>
    <t>1.26.9.2</t>
  </si>
  <si>
    <t>1.26.10.</t>
  </si>
  <si>
    <t>1.26.10.1</t>
  </si>
  <si>
    <t>1.26.10.2</t>
  </si>
  <si>
    <t>1.26.11.</t>
  </si>
  <si>
    <t>1.26.11.1</t>
  </si>
  <si>
    <t>1.26.11.2</t>
  </si>
  <si>
    <t>1.26.12.</t>
  </si>
  <si>
    <t>1.26.12.1</t>
  </si>
  <si>
    <t>1.26.12.2</t>
  </si>
  <si>
    <t>1.26.13.</t>
  </si>
  <si>
    <t>1.26.13.1</t>
  </si>
  <si>
    <t>1.26.13.2</t>
  </si>
  <si>
    <t>1.26.14.</t>
  </si>
  <si>
    <t>1.26.14.1</t>
  </si>
  <si>
    <t>1.26.14.2</t>
  </si>
  <si>
    <t>1.26.15.</t>
  </si>
  <si>
    <t>1.26.15.1</t>
  </si>
  <si>
    <t>1.26.15.2</t>
  </si>
  <si>
    <t>1.26.16.</t>
  </si>
  <si>
    <t>1.26.16.1</t>
  </si>
  <si>
    <t>1.26.16.2</t>
  </si>
  <si>
    <t>1.26.17.</t>
  </si>
  <si>
    <t>1.26.17.1</t>
  </si>
  <si>
    <t>1.26.17.2</t>
  </si>
  <si>
    <t>1.26.18.</t>
  </si>
  <si>
    <t>1.26.18.1</t>
  </si>
  <si>
    <t>1.26.18.2</t>
  </si>
  <si>
    <t>1.26.19.</t>
  </si>
  <si>
    <t>1.26.19.1</t>
  </si>
  <si>
    <t>1.26.19.2</t>
  </si>
  <si>
    <t>1.26.20.</t>
  </si>
  <si>
    <t>1.26.20.1</t>
  </si>
  <si>
    <t>1.26.21.</t>
  </si>
  <si>
    <t>1.26.21.1</t>
  </si>
  <si>
    <t>1.27.1.</t>
  </si>
  <si>
    <t>1.27.1.1</t>
  </si>
  <si>
    <t>1.27.1.2</t>
  </si>
  <si>
    <t>1.27.1.3</t>
  </si>
  <si>
    <t>1.27.1.4</t>
  </si>
  <si>
    <t>1.27.1.5</t>
  </si>
  <si>
    <t>1.27.1.6</t>
  </si>
  <si>
    <t>1.27.1.7</t>
  </si>
  <si>
    <t>1.27.1.8</t>
  </si>
  <si>
    <t>1.27.1.9</t>
  </si>
  <si>
    <t>1.27.1.10</t>
  </si>
  <si>
    <t>1.27.1.11</t>
  </si>
  <si>
    <t>1.27.1.12</t>
  </si>
  <si>
    <t>1.27.1.13</t>
  </si>
  <si>
    <t>1.27.1.14</t>
  </si>
  <si>
    <t>1.27.1.15</t>
  </si>
  <si>
    <t>1.27.1.16</t>
  </si>
  <si>
    <t>1.27.1.17</t>
  </si>
  <si>
    <t>1.27.1.18</t>
  </si>
  <si>
    <t>1.27.1.19</t>
  </si>
  <si>
    <t>1.27.1.20</t>
  </si>
  <si>
    <t>1.27.1.21</t>
  </si>
  <si>
    <t>1.27.1.22</t>
  </si>
  <si>
    <t>1.27.1.23</t>
  </si>
  <si>
    <t>1.27.1.24</t>
  </si>
  <si>
    <t>1.27.1.25</t>
  </si>
  <si>
    <t>1.27.1.26</t>
  </si>
  <si>
    <t>1.27.1.27</t>
  </si>
  <si>
    <t>1.27.2.</t>
  </si>
  <si>
    <t>1.27.2.1</t>
  </si>
  <si>
    <t>1.27.2.2</t>
  </si>
  <si>
    <t>1.27.2.3</t>
  </si>
  <si>
    <t>1.27.2.4</t>
  </si>
  <si>
    <t>1.27.2.5</t>
  </si>
  <si>
    <t>1.27.3.</t>
  </si>
  <si>
    <t>1.27.3.1</t>
  </si>
  <si>
    <t>1.27.3.2</t>
  </si>
  <si>
    <t>1.27.3.3</t>
  </si>
  <si>
    <t>1.27.3.4</t>
  </si>
  <si>
    <t>1.27.3.5</t>
  </si>
  <si>
    <t>1.27.4.</t>
  </si>
  <si>
    <t>1.27.4.1</t>
  </si>
  <si>
    <t>1.27.4.2</t>
  </si>
  <si>
    <t>1.27.4.3</t>
  </si>
  <si>
    <t>1.27.4.4</t>
  </si>
  <si>
    <t>1.27.4.5</t>
  </si>
  <si>
    <t>1.27.5.</t>
  </si>
  <si>
    <t>1.27.5.1</t>
  </si>
  <si>
    <t>1.27.5.2</t>
  </si>
  <si>
    <t>1.27.5.3</t>
  </si>
  <si>
    <t>1.27.5.4</t>
  </si>
  <si>
    <t>1.27.5.5</t>
  </si>
  <si>
    <t>1.27.6.</t>
  </si>
  <si>
    <t>1.27.6.1</t>
  </si>
  <si>
    <t>1.27.6.2</t>
  </si>
  <si>
    <t>1.27.6.3</t>
  </si>
  <si>
    <t>1.27.6.4</t>
  </si>
  <si>
    <t>1.27.6.5</t>
  </si>
  <si>
    <t>1.27.6.6</t>
  </si>
  <si>
    <t>1.27.6.7</t>
  </si>
  <si>
    <t>1.27.6.8</t>
  </si>
  <si>
    <t>1.27.6.9</t>
  </si>
  <si>
    <t>1.27.6.10</t>
  </si>
  <si>
    <t>1.27.6.11</t>
  </si>
  <si>
    <t>1.27.6.12</t>
  </si>
  <si>
    <t>1.27.6.13</t>
  </si>
  <si>
    <t>1.27.6.14</t>
  </si>
  <si>
    <t>1.27.6.15</t>
  </si>
  <si>
    <t>1.27.7.</t>
  </si>
  <si>
    <t>1.27.7.1</t>
  </si>
  <si>
    <t>1.27.7.2</t>
  </si>
  <si>
    <t>1.27.7.3</t>
  </si>
  <si>
    <t>1.27.7.4</t>
  </si>
  <si>
    <t>1.27.7.5</t>
  </si>
  <si>
    <t>1.27.7.6</t>
  </si>
  <si>
    <t>1.27.7.7</t>
  </si>
  <si>
    <t>1.27.7.8</t>
  </si>
  <si>
    <t>1.27.7.9</t>
  </si>
  <si>
    <t>1.27.7.10</t>
  </si>
  <si>
    <t>1.27.7.11</t>
  </si>
  <si>
    <t>1.27.7.12</t>
  </si>
  <si>
    <t>1.27.7.13</t>
  </si>
  <si>
    <t>1.27.7.14</t>
  </si>
  <si>
    <t>1.27.7.15</t>
  </si>
  <si>
    <t>1.27.8.</t>
  </si>
  <si>
    <t>1.27.8.1</t>
  </si>
  <si>
    <t>1.27.8.2</t>
  </si>
  <si>
    <t>1.27.8.3</t>
  </si>
  <si>
    <t>1.27.8.4</t>
  </si>
  <si>
    <t>1.27.8.5</t>
  </si>
  <si>
    <t>1.27.8.6</t>
  </si>
  <si>
    <t>1.27.8.7</t>
  </si>
  <si>
    <t>1.27.8.8</t>
  </si>
  <si>
    <t>1.27.8.9</t>
  </si>
  <si>
    <t>1.27.8.10</t>
  </si>
  <si>
    <t>1.27.8.11</t>
  </si>
  <si>
    <t>1.27.8.12</t>
  </si>
  <si>
    <t>1.27.8.13</t>
  </si>
  <si>
    <t>1.27.8.14</t>
  </si>
  <si>
    <t>1.27.8.15</t>
  </si>
  <si>
    <t>1.27.9.</t>
  </si>
  <si>
    <t>1.27.9.1</t>
  </si>
  <si>
    <t>1.27.9.2</t>
  </si>
  <si>
    <t>1.27.9.3</t>
  </si>
  <si>
    <t>1.27.9.4</t>
  </si>
  <si>
    <t>1.27.9.5</t>
  </si>
  <si>
    <t>1.27.9.6</t>
  </si>
  <si>
    <t>1.27.9.7</t>
  </si>
  <si>
    <t>1.27.9.8</t>
  </si>
  <si>
    <t>1.27.9.9</t>
  </si>
  <si>
    <t>1.27.9.10</t>
  </si>
  <si>
    <t>1.27.9.11</t>
  </si>
  <si>
    <t>1.27.9.12</t>
  </si>
  <si>
    <t>1.27.9.13</t>
  </si>
  <si>
    <t>1.27.9.14</t>
  </si>
  <si>
    <t>1.27.9.15</t>
  </si>
  <si>
    <t>1.27.10.</t>
  </si>
  <si>
    <t>1.27.10.1</t>
  </si>
  <si>
    <t>1.27.10.2</t>
  </si>
  <si>
    <t>1.27.10.3</t>
  </si>
  <si>
    <t>1.27.10.4</t>
  </si>
  <si>
    <t>1.27.10.5</t>
  </si>
  <si>
    <t>1.27.10.6</t>
  </si>
  <si>
    <t>1.27.10.7</t>
  </si>
  <si>
    <t>1.27.10.8</t>
  </si>
  <si>
    <t>1.27.10.9</t>
  </si>
  <si>
    <t>1.27.10.10</t>
  </si>
  <si>
    <t>1.27.10.11</t>
  </si>
  <si>
    <t>1.27.10.12</t>
  </si>
  <si>
    <t>1.27.10.13</t>
  </si>
  <si>
    <t>1.27.10.14</t>
  </si>
  <si>
    <t>1.27.10.15</t>
  </si>
  <si>
    <t>1.27.11.</t>
  </si>
  <si>
    <t>1.27.11.1</t>
  </si>
  <si>
    <t>1.27.11.2</t>
  </si>
  <si>
    <t>1.27.11.3</t>
  </si>
  <si>
    <t>1.27.11.4</t>
  </si>
  <si>
    <t>1.27.11.5</t>
  </si>
  <si>
    <t>1.27.11.6</t>
  </si>
  <si>
    <t>1.27.11.7</t>
  </si>
  <si>
    <t>1.27.11.8</t>
  </si>
  <si>
    <t>1.27.11.9</t>
  </si>
  <si>
    <t>1.27.11.10</t>
  </si>
  <si>
    <t>1.27.11.11</t>
  </si>
  <si>
    <t>1.27.11.12</t>
  </si>
  <si>
    <t>1.27.11.13</t>
  </si>
  <si>
    <t>1.27.11.14</t>
  </si>
  <si>
    <t>1.27.11.15</t>
  </si>
  <si>
    <t>1.27.11.16</t>
  </si>
  <si>
    <t>1.27.12.</t>
  </si>
  <si>
    <t>1.27.12.1</t>
  </si>
  <si>
    <t>1.27.12.2</t>
  </si>
  <si>
    <t>1.27.12.3</t>
  </si>
  <si>
    <t>1.27.12.4</t>
  </si>
  <si>
    <t>1.27.12.5</t>
  </si>
  <si>
    <t>1.27.12.6</t>
  </si>
  <si>
    <t>1.27.12.7</t>
  </si>
  <si>
    <t>1.27.12.8</t>
  </si>
  <si>
    <t>1.27.12.9</t>
  </si>
  <si>
    <t>1.27.12.10</t>
  </si>
  <si>
    <t>1.27.12.11</t>
  </si>
  <si>
    <t>1.27.12.12</t>
  </si>
  <si>
    <t>1.27.12.13</t>
  </si>
  <si>
    <t>1.27.12.14</t>
  </si>
  <si>
    <t>1.27.12.15</t>
  </si>
  <si>
    <t>1.27.13.</t>
  </si>
  <si>
    <t>1.27.13.1</t>
  </si>
  <si>
    <t>1.27.13.2</t>
  </si>
  <si>
    <t>1.27.13.3</t>
  </si>
  <si>
    <t>1.27.13.4</t>
  </si>
  <si>
    <t>1.27.13.5</t>
  </si>
  <si>
    <t>1.27.13.6</t>
  </si>
  <si>
    <t>1.27.13.7</t>
  </si>
  <si>
    <t>1.27.13.8</t>
  </si>
  <si>
    <t>1.27.13.9</t>
  </si>
  <si>
    <t>1.27.13.10</t>
  </si>
  <si>
    <t>1.27.13.11</t>
  </si>
  <si>
    <t>1.27.13.12</t>
  </si>
  <si>
    <t>1.27.13.13</t>
  </si>
  <si>
    <t>1.27.13.14</t>
  </si>
  <si>
    <t>1.27.13.15</t>
  </si>
  <si>
    <t>1.27.14.</t>
  </si>
  <si>
    <t>1.27.14.1</t>
  </si>
  <si>
    <t>1.27.14.2</t>
  </si>
  <si>
    <t>1.27.14.3</t>
  </si>
  <si>
    <t>1.27.14.4</t>
  </si>
  <si>
    <t>1.27.14.5</t>
  </si>
  <si>
    <t>1.27.14.6</t>
  </si>
  <si>
    <t>1.27.14.7</t>
  </si>
  <si>
    <t>1.27.14.8</t>
  </si>
  <si>
    <t>1.27.14.9</t>
  </si>
  <si>
    <t>1.27.14.10</t>
  </si>
  <si>
    <t>1.27.14.11</t>
  </si>
  <si>
    <t>1.27.14.12</t>
  </si>
  <si>
    <t>1.27.14.13</t>
  </si>
  <si>
    <t>1.27.14.14</t>
  </si>
  <si>
    <t>1.27.14.15</t>
  </si>
  <si>
    <t>1.27.15.</t>
  </si>
  <si>
    <t>1.27.15.1</t>
  </si>
  <si>
    <t>1.27.15.2</t>
  </si>
  <si>
    <t>1.27.15.3</t>
  </si>
  <si>
    <t>1.27.15.4</t>
  </si>
  <si>
    <t>1.27.15.5</t>
  </si>
  <si>
    <t>1.27.15.6</t>
  </si>
  <si>
    <t>1.27.15.7</t>
  </si>
  <si>
    <t>1.27.15.8</t>
  </si>
  <si>
    <t>1.27.15.9</t>
  </si>
  <si>
    <t>1.27.15.10</t>
  </si>
  <si>
    <t>1.27.15.11</t>
  </si>
  <si>
    <t>1.27.15.12</t>
  </si>
  <si>
    <t>1.27.15.13</t>
  </si>
  <si>
    <t>1.27.15.14</t>
  </si>
  <si>
    <t>1.27.15.15</t>
  </si>
  <si>
    <t>1.27.16.</t>
  </si>
  <si>
    <t>1.27.16.1</t>
  </si>
  <si>
    <t>1.27.16.2</t>
  </si>
  <si>
    <t>1.27.16.3</t>
  </si>
  <si>
    <t>1.27.16.4</t>
  </si>
  <si>
    <t>1.27.16.5</t>
  </si>
  <si>
    <t>1.27.16.6</t>
  </si>
  <si>
    <t>1.27.16.7</t>
  </si>
  <si>
    <t>1.27.16.8</t>
  </si>
  <si>
    <t>1.27.16.9</t>
  </si>
  <si>
    <t>1.27.16.10</t>
  </si>
  <si>
    <t>1.27.16.11</t>
  </si>
  <si>
    <t>1.27.16.12</t>
  </si>
  <si>
    <t>1.27.16.13</t>
  </si>
  <si>
    <t>1.27.16.14</t>
  </si>
  <si>
    <t>1.27.16.15</t>
  </si>
  <si>
    <t>1.27.17.</t>
  </si>
  <si>
    <t>1.27.17.1</t>
  </si>
  <si>
    <t>1.27.17.2</t>
  </si>
  <si>
    <t>1.27.17.3</t>
  </si>
  <si>
    <t>1.27.17.4</t>
  </si>
  <si>
    <t>1.27.17.5</t>
  </si>
  <si>
    <t>1.27.17.6</t>
  </si>
  <si>
    <t>1.27.17.7</t>
  </si>
  <si>
    <t>1.27.17.8</t>
  </si>
  <si>
    <t>1.27.17.9</t>
  </si>
  <si>
    <t>1.27.17.10</t>
  </si>
  <si>
    <t>1.27.17.11</t>
  </si>
  <si>
    <t>1.27.17.12</t>
  </si>
  <si>
    <t>1.27.17.13</t>
  </si>
  <si>
    <t>1.27.17.14</t>
  </si>
  <si>
    <t>1.27.17.15</t>
  </si>
  <si>
    <t>1.27.18.</t>
  </si>
  <si>
    <t>1.27.18.1</t>
  </si>
  <si>
    <t>1.27.18.2</t>
  </si>
  <si>
    <t>1.27.18.3</t>
  </si>
  <si>
    <t>1.27.18.4</t>
  </si>
  <si>
    <t>1.27.18.5</t>
  </si>
  <si>
    <t>1.27.18.6</t>
  </si>
  <si>
    <t>1.27.18.7</t>
  </si>
  <si>
    <t>1.27.18.8</t>
  </si>
  <si>
    <t>1.27.18.9</t>
  </si>
  <si>
    <t>1.27.18.10</t>
  </si>
  <si>
    <t>1.27.18.11</t>
  </si>
  <si>
    <t>1.27.18.12</t>
  </si>
  <si>
    <t>1.27.18.13</t>
  </si>
  <si>
    <t>1.27.18.14</t>
  </si>
  <si>
    <t>1.27.18.15</t>
  </si>
  <si>
    <t>1.27.19.</t>
  </si>
  <si>
    <t>1.27.19.1</t>
  </si>
  <si>
    <t>1.27.19.2</t>
  </si>
  <si>
    <t>1.27.19.3</t>
  </si>
  <si>
    <t>1.27.19.4</t>
  </si>
  <si>
    <t>1.27.19.5</t>
  </si>
  <si>
    <t>1.27.19.6</t>
  </si>
  <si>
    <t>1.27.19.7</t>
  </si>
  <si>
    <t>1.27.19.8</t>
  </si>
  <si>
    <t>1.27.19.9</t>
  </si>
  <si>
    <t>1.27.19.10</t>
  </si>
  <si>
    <t>1.27.19.11</t>
  </si>
  <si>
    <t>1.27.20.</t>
  </si>
  <si>
    <t>1.27.20.1</t>
  </si>
  <si>
    <t>1.27.20.2</t>
  </si>
  <si>
    <t>1.27.20.3</t>
  </si>
  <si>
    <t>1.28.1.</t>
  </si>
  <si>
    <t>1.28.1.1</t>
  </si>
  <si>
    <t>1.28.1.2</t>
  </si>
  <si>
    <t>1.28.1.3</t>
  </si>
  <si>
    <t>1.28.1.4</t>
  </si>
  <si>
    <t>1.28.1.5</t>
  </si>
  <si>
    <t>1.28.1.6</t>
  </si>
  <si>
    <t>1.28.1.7</t>
  </si>
  <si>
    <t>1.28.1.8</t>
  </si>
  <si>
    <t>1.28.2.</t>
  </si>
  <si>
    <t>1.28.2.1</t>
  </si>
  <si>
    <t>1.28.3.</t>
  </si>
  <si>
    <t>1.28.3.1</t>
  </si>
  <si>
    <t>1.28.4.</t>
  </si>
  <si>
    <t>1.28.4.1</t>
  </si>
  <si>
    <t>1.28.5.</t>
  </si>
  <si>
    <t>1.28.5.1</t>
  </si>
  <si>
    <t>1.28.5.2</t>
  </si>
  <si>
    <t>1.28.5.3</t>
  </si>
  <si>
    <t>1.28.5.4</t>
  </si>
  <si>
    <t>1.28.5.5</t>
  </si>
  <si>
    <t>1.28.6.</t>
  </si>
  <si>
    <t>1.28.6.1</t>
  </si>
  <si>
    <t>1.28.6.2</t>
  </si>
  <si>
    <t>1.28.6.3</t>
  </si>
  <si>
    <t>1.28.6.4</t>
  </si>
  <si>
    <t>1.28.6.5</t>
  </si>
  <si>
    <t>1.28.7.</t>
  </si>
  <si>
    <t>1.28.7.1</t>
  </si>
  <si>
    <t>1.28.7.2</t>
  </si>
  <si>
    <t>1.28.7.3</t>
  </si>
  <si>
    <t>1.28.7.4</t>
  </si>
  <si>
    <t>1.28.7.5</t>
  </si>
  <si>
    <t>1.28.8.</t>
  </si>
  <si>
    <t>1.28.8.1</t>
  </si>
  <si>
    <t>1.28.8.2</t>
  </si>
  <si>
    <t>1.28.8.3</t>
  </si>
  <si>
    <t>1.28.8.4</t>
  </si>
  <si>
    <t>1.28.8.5</t>
  </si>
  <si>
    <t>1.28.9.</t>
  </si>
  <si>
    <t>1.28.9.1</t>
  </si>
  <si>
    <t>1.28.9.2</t>
  </si>
  <si>
    <t>1.28.9.3</t>
  </si>
  <si>
    <t>1.28.9.4</t>
  </si>
  <si>
    <t>1.28.9.5</t>
  </si>
  <si>
    <t>1.28.10.</t>
  </si>
  <si>
    <t>1.28.10.1</t>
  </si>
  <si>
    <t>1.28.10.2</t>
  </si>
  <si>
    <t>1.28.10.3</t>
  </si>
  <si>
    <t>1.28.10.4</t>
  </si>
  <si>
    <t>1.28.10.5</t>
  </si>
  <si>
    <t>1.28.11.</t>
  </si>
  <si>
    <t>1.28.11.1</t>
  </si>
  <si>
    <t>1.28.11.2</t>
  </si>
  <si>
    <t>1.28.11.3</t>
  </si>
  <si>
    <t>1.28.11.4</t>
  </si>
  <si>
    <t>1.28.11.5</t>
  </si>
  <si>
    <t>1.28.12.</t>
  </si>
  <si>
    <t>1.28.12.1</t>
  </si>
  <si>
    <t>1.28.12.2</t>
  </si>
  <si>
    <t>1.28.12.3</t>
  </si>
  <si>
    <t>1.28.12.4</t>
  </si>
  <si>
    <t>1.28.12.5</t>
  </si>
  <si>
    <t>1.28.13.</t>
  </si>
  <si>
    <t>1.28.13.1</t>
  </si>
  <si>
    <t>1.28.13.2</t>
  </si>
  <si>
    <t>1.28.13.3</t>
  </si>
  <si>
    <t>1.28.13.4</t>
  </si>
  <si>
    <t>1.28.13.5</t>
  </si>
  <si>
    <t>1.28.14.</t>
  </si>
  <si>
    <t>1.28.14.1</t>
  </si>
  <si>
    <t>1.28.14.2</t>
  </si>
  <si>
    <t>1.28.14.3</t>
  </si>
  <si>
    <t>1.28.14.4</t>
  </si>
  <si>
    <t>1.28.14.5</t>
  </si>
  <si>
    <t>1.28.15.</t>
  </si>
  <si>
    <t>1.28.15.1</t>
  </si>
  <si>
    <t>1.28.15.2</t>
  </si>
  <si>
    <t>1.28.15.3</t>
  </si>
  <si>
    <t>1.28.15.4</t>
  </si>
  <si>
    <t>1.28.15.5</t>
  </si>
  <si>
    <t>1.28.16.</t>
  </si>
  <si>
    <t>1.28.16.1</t>
  </si>
  <si>
    <t>1.28.16.2</t>
  </si>
  <si>
    <t>1.28.16.3</t>
  </si>
  <si>
    <t>1.28.16.4</t>
  </si>
  <si>
    <t>1.28.16.5</t>
  </si>
  <si>
    <t>1.28.17.</t>
  </si>
  <si>
    <t>1.28.17.1</t>
  </si>
  <si>
    <t>1.28.17.2</t>
  </si>
  <si>
    <t>1.28.17.3</t>
  </si>
  <si>
    <t>1.28.17.4</t>
  </si>
  <si>
    <t>1.28.17.5</t>
  </si>
  <si>
    <t>1.28.18.</t>
  </si>
  <si>
    <t>1.28.18.1</t>
  </si>
  <si>
    <t>1.28.18.2</t>
  </si>
  <si>
    <t>1.28.18.3</t>
  </si>
  <si>
    <t>1.28.18.4</t>
  </si>
  <si>
    <t>1.28.18.5</t>
  </si>
  <si>
    <t>1.28.18.6</t>
  </si>
  <si>
    <t>1.28.18.7</t>
  </si>
  <si>
    <t>1.28.19.</t>
  </si>
  <si>
    <t>1.28.19.1</t>
  </si>
  <si>
    <t>1.29.1.</t>
  </si>
  <si>
    <t>1.29.1.1</t>
  </si>
  <si>
    <t>1.29.1.2</t>
  </si>
  <si>
    <t>1.29.1.3</t>
  </si>
  <si>
    <t>1.29.2.</t>
  </si>
  <si>
    <t>1.29.2.1</t>
  </si>
  <si>
    <t>1.29.2.2</t>
  </si>
  <si>
    <t>1.29.2.3</t>
  </si>
  <si>
    <t>1.29.3.</t>
  </si>
  <si>
    <t>1.29.3.1</t>
  </si>
  <si>
    <t>1.29.3.2</t>
  </si>
  <si>
    <t>1.29.4.</t>
  </si>
  <si>
    <t>1.29.4.1</t>
  </si>
  <si>
    <t>1.29.4.2</t>
  </si>
  <si>
    <t>1.29.5.</t>
  </si>
  <si>
    <t>1.29.5.1</t>
  </si>
  <si>
    <t>1.29.5.2</t>
  </si>
  <si>
    <t>1.29.6.</t>
  </si>
  <si>
    <t>1.29.6.1</t>
  </si>
  <si>
    <t>1.29.6.2</t>
  </si>
  <si>
    <t>1.29.7.</t>
  </si>
  <si>
    <t>1.29.7.1</t>
  </si>
  <si>
    <t>1.29.7.2</t>
  </si>
  <si>
    <t>1.29.8.</t>
  </si>
  <si>
    <t>1.29.8.1</t>
  </si>
  <si>
    <t>1.29.8.2</t>
  </si>
  <si>
    <t>1.29.9.</t>
  </si>
  <si>
    <t>1.29.9.1</t>
  </si>
  <si>
    <t>1.29.9.2</t>
  </si>
  <si>
    <t>1.29.10.</t>
  </si>
  <si>
    <t>1.29.10.1</t>
  </si>
  <si>
    <t>1.29.10.2</t>
  </si>
  <si>
    <t>1.29.11.</t>
  </si>
  <si>
    <t>1.29.11.1</t>
  </si>
  <si>
    <t>1.29.11.2</t>
  </si>
  <si>
    <t>1.29.12.</t>
  </si>
  <si>
    <t>1.29.12.1</t>
  </si>
  <si>
    <t>1.29.12.2</t>
  </si>
  <si>
    <t>1.29.13.</t>
  </si>
  <si>
    <t>1.29.13.1</t>
  </si>
  <si>
    <t>1.29.13.2</t>
  </si>
  <si>
    <t>1.29.14.</t>
  </si>
  <si>
    <t>1.29.14.1</t>
  </si>
  <si>
    <t>1.29.14.2</t>
  </si>
  <si>
    <t>1.29.15.</t>
  </si>
  <si>
    <t>1.29.15.1</t>
  </si>
  <si>
    <t>1.29.15.2</t>
  </si>
  <si>
    <t>1.29.16.</t>
  </si>
  <si>
    <t>1.29.16.1</t>
  </si>
  <si>
    <t>1.29.16.2</t>
  </si>
  <si>
    <t>1.29.17.</t>
  </si>
  <si>
    <t>1.29.17.1</t>
  </si>
  <si>
    <t>1.29.17.2</t>
  </si>
  <si>
    <t>1.29.18.</t>
  </si>
  <si>
    <t>1.29.18.1</t>
  </si>
  <si>
    <t>1.29.18.2</t>
  </si>
  <si>
    <t>1.29.19.</t>
  </si>
  <si>
    <t>1.29.19.1</t>
  </si>
  <si>
    <t>1.29.19.2</t>
  </si>
  <si>
    <t>1.29.20.</t>
  </si>
  <si>
    <t>1.29.20.1</t>
  </si>
  <si>
    <t>1.29.20.2</t>
  </si>
  <si>
    <t>1.30.1.</t>
  </si>
  <si>
    <t>1.30.1.1</t>
  </si>
  <si>
    <t>1.30.1.2</t>
  </si>
  <si>
    <t>1.30.2.</t>
  </si>
  <si>
    <t>1.30.2.1</t>
  </si>
  <si>
    <t>1.30.2.2</t>
  </si>
  <si>
    <t>1.30.3.</t>
  </si>
  <si>
    <t>1.30.3.1</t>
  </si>
  <si>
    <t>1.30.3.2</t>
  </si>
  <si>
    <t>1.30.4.</t>
  </si>
  <si>
    <t>1.30.4.1</t>
  </si>
  <si>
    <t>1.30.4.2</t>
  </si>
  <si>
    <t>1.30.5.</t>
  </si>
  <si>
    <t>1.30.5.1</t>
  </si>
  <si>
    <t>1.30.5.2</t>
  </si>
  <si>
    <t>1.30.6.</t>
  </si>
  <si>
    <t>1.30.6.1</t>
  </si>
  <si>
    <t>1.30.6.2</t>
  </si>
  <si>
    <t>1.30.7.</t>
  </si>
  <si>
    <t>1.30.7.1</t>
  </si>
  <si>
    <t>1.30.7.2</t>
  </si>
  <si>
    <t>1.30.8.</t>
  </si>
  <si>
    <t>1.30.8.1</t>
  </si>
  <si>
    <t>1.30.8.2</t>
  </si>
  <si>
    <t>1.30.9.</t>
  </si>
  <si>
    <t>1.30.9.1</t>
  </si>
  <si>
    <t>1.30.9.2</t>
  </si>
  <si>
    <t>1.30.10.</t>
  </si>
  <si>
    <t>1.30.10.1</t>
  </si>
  <si>
    <t>1.30.10.2</t>
  </si>
  <si>
    <t>1.30.11.</t>
  </si>
  <si>
    <t>1.30.11.1</t>
  </si>
  <si>
    <t>1.30.11.2</t>
  </si>
  <si>
    <t>1.30.12.</t>
  </si>
  <si>
    <t>1.30.12.1</t>
  </si>
  <si>
    <t>1.30.12.2</t>
  </si>
  <si>
    <t>1.30.13.</t>
  </si>
  <si>
    <t>1.30.13.1</t>
  </si>
  <si>
    <t>1.30.13.2</t>
  </si>
  <si>
    <t>1.30.14.</t>
  </si>
  <si>
    <t>1.30.14.1</t>
  </si>
  <si>
    <t>1.30.14.2</t>
  </si>
  <si>
    <t>1.30.15.</t>
  </si>
  <si>
    <t>1.30.15.1</t>
  </si>
  <si>
    <t>1.30.15.2</t>
  </si>
  <si>
    <t>1.30.16.</t>
  </si>
  <si>
    <t>1.30.16.1</t>
  </si>
  <si>
    <t>1.30.16.2</t>
  </si>
  <si>
    <t>1.30.17.</t>
  </si>
  <si>
    <t>1.30.17.1</t>
  </si>
  <si>
    <t>1.30.17.2</t>
  </si>
  <si>
    <t>1.30.18.</t>
  </si>
  <si>
    <t>1.30.18.1</t>
  </si>
  <si>
    <t>1.30.18.2</t>
  </si>
  <si>
    <t>1.30.19.</t>
  </si>
  <si>
    <t>1.30.19.1</t>
  </si>
  <si>
    <t>1.30.19.2</t>
  </si>
  <si>
    <t>1.30.20.</t>
  </si>
  <si>
    <t>1.30.20.1</t>
  </si>
  <si>
    <t>1.30.21.</t>
  </si>
  <si>
    <t>1.30.21.1</t>
  </si>
  <si>
    <t>1.30.22.</t>
  </si>
  <si>
    <t>1.30.22.1</t>
  </si>
  <si>
    <t>1.31.1.</t>
  </si>
  <si>
    <t>1.31.1.1</t>
  </si>
  <si>
    <t>1.31.2.</t>
  </si>
  <si>
    <t>1.31.2.1</t>
  </si>
  <si>
    <t>1.31.3.</t>
  </si>
  <si>
    <t>1.31.3.1</t>
  </si>
  <si>
    <t>1.31.4.</t>
  </si>
  <si>
    <t>1.31.4.1</t>
  </si>
  <si>
    <t>1.31.5.</t>
  </si>
  <si>
    <t>1.31.5.1</t>
  </si>
  <si>
    <t>1.31.5.2</t>
  </si>
  <si>
    <t>1.31.6.</t>
  </si>
  <si>
    <t>1.31.6.1</t>
  </si>
  <si>
    <t>1.31.7.</t>
  </si>
  <si>
    <t>1.31.7.1</t>
  </si>
  <si>
    <t>1.31.8.</t>
  </si>
  <si>
    <t>1.31.8.1</t>
  </si>
  <si>
    <t>1.31.9.</t>
  </si>
  <si>
    <t>1.31.9.1</t>
  </si>
  <si>
    <t>1.31.9.2</t>
  </si>
  <si>
    <t>1.31.10.</t>
  </si>
  <si>
    <t>1.31.10.1</t>
  </si>
  <si>
    <t>1.31.11.</t>
  </si>
  <si>
    <t>1.31.11.1</t>
  </si>
  <si>
    <t>1.31.12.</t>
  </si>
  <si>
    <t>1.31.12.1</t>
  </si>
  <si>
    <t>1.32.1.</t>
  </si>
  <si>
    <t>1.32.1.1</t>
  </si>
  <si>
    <t>1.32.2.</t>
  </si>
  <si>
    <t>1.32.2.1</t>
  </si>
  <si>
    <t>1.32.3.</t>
  </si>
  <si>
    <t>1.32.3.1</t>
  </si>
  <si>
    <t>1.32.4.</t>
  </si>
  <si>
    <t>1.32.4.1</t>
  </si>
  <si>
    <t>1.32.5.</t>
  </si>
  <si>
    <t>1.32.5.1</t>
  </si>
  <si>
    <t>1.32.6.</t>
  </si>
  <si>
    <t>1.32.6.1</t>
  </si>
  <si>
    <t>1.32.7.</t>
  </si>
  <si>
    <t>1.32.7.1</t>
  </si>
  <si>
    <t>1.32.8.</t>
  </si>
  <si>
    <t>1.32.8.1</t>
  </si>
  <si>
    <t>1.32.9.</t>
  </si>
  <si>
    <t>1.32.9.1</t>
  </si>
  <si>
    <t>1.32.10.</t>
  </si>
  <si>
    <t>1.32.10.1</t>
  </si>
  <si>
    <t>1.32.11.</t>
  </si>
  <si>
    <t>1.32.11.1</t>
  </si>
  <si>
    <t>1.32.12.</t>
  </si>
  <si>
    <t>1.32.12.1</t>
  </si>
  <si>
    <t>1.32.13.</t>
  </si>
  <si>
    <t>1.32.13.1</t>
  </si>
  <si>
    <t>1.32.14.</t>
  </si>
  <si>
    <t>1.32.14.1</t>
  </si>
  <si>
    <t>1.32.15.</t>
  </si>
  <si>
    <t>1.32.15.1</t>
  </si>
  <si>
    <t>1.32.16.</t>
  </si>
  <si>
    <t>1.32.16.1</t>
  </si>
  <si>
    <t>1.32.17.</t>
  </si>
  <si>
    <t>1.32.17.1</t>
  </si>
  <si>
    <t>1.32.18.</t>
  </si>
  <si>
    <t>1.32.18.1</t>
  </si>
  <si>
    <t>1.32.19.</t>
  </si>
  <si>
    <t>1.32.19.1</t>
  </si>
  <si>
    <t>1.32.20.</t>
  </si>
  <si>
    <t>1.32.20.1</t>
  </si>
  <si>
    <t>1.32.21.</t>
  </si>
  <si>
    <t>1.32.21.1</t>
  </si>
  <si>
    <t>1.32.22.</t>
  </si>
  <si>
    <t>1.32.22.1</t>
  </si>
  <si>
    <t>1.33.1.</t>
  </si>
  <si>
    <t>1.33.1.1</t>
  </si>
  <si>
    <t>1.33.1.2</t>
  </si>
  <si>
    <t>1.33.1.3</t>
  </si>
  <si>
    <t>1.33.1.4</t>
  </si>
  <si>
    <t>1.33.2.</t>
  </si>
  <si>
    <t>1.33.2.1</t>
  </si>
  <si>
    <t>1.33.2.2</t>
  </si>
  <si>
    <t>1.33.2.3</t>
  </si>
  <si>
    <t>1.33.3.</t>
  </si>
  <si>
    <t>1.33.3.1</t>
  </si>
  <si>
    <t>1.33.3.2</t>
  </si>
  <si>
    <t>1.33.3.3</t>
  </si>
  <si>
    <t>1.33.4.</t>
  </si>
  <si>
    <t>1.33.4.1</t>
  </si>
  <si>
    <t>1.33.4.2</t>
  </si>
  <si>
    <t>1.33.4.3</t>
  </si>
  <si>
    <t>1.33.5.</t>
  </si>
  <si>
    <t>1.33.5.1</t>
  </si>
  <si>
    <t>1.33.5.2</t>
  </si>
  <si>
    <t>1.33.5.3</t>
  </si>
  <si>
    <t>1.33.6.</t>
  </si>
  <si>
    <t>1.33.6.1</t>
  </si>
  <si>
    <t>1.33.6.2</t>
  </si>
  <si>
    <t>1.33.7.</t>
  </si>
  <si>
    <t>1.33.7.1</t>
  </si>
  <si>
    <t>1.33.7.2</t>
  </si>
  <si>
    <t>1.33.8.</t>
  </si>
  <si>
    <t>1.33.8.1</t>
  </si>
  <si>
    <t>1.33.8.2</t>
  </si>
  <si>
    <t>1.33.9.</t>
  </si>
  <si>
    <t>1.33.9.1</t>
  </si>
  <si>
    <t>1.33.9.2</t>
  </si>
  <si>
    <t>1.33.10.</t>
  </si>
  <si>
    <t>1.33.10.1</t>
  </si>
  <si>
    <t>1.33.10.2</t>
  </si>
  <si>
    <t>1.33.11.</t>
  </si>
  <si>
    <t>1.33.11.1</t>
  </si>
  <si>
    <t>1.33.11.2</t>
  </si>
  <si>
    <t>1.33.12.</t>
  </si>
  <si>
    <t>1.33.12.1</t>
  </si>
  <si>
    <t>1.33.12.2</t>
  </si>
  <si>
    <t>1.33.13.</t>
  </si>
  <si>
    <t>1.33.13.1</t>
  </si>
  <si>
    <t>1.33.13.2</t>
  </si>
  <si>
    <t>1.33.14.</t>
  </si>
  <si>
    <t>1.33.14.1</t>
  </si>
  <si>
    <t>1.33.14.2</t>
  </si>
  <si>
    <t>1.33.15.</t>
  </si>
  <si>
    <t>1.33.15.1</t>
  </si>
  <si>
    <t>1.33.15.2</t>
  </si>
  <si>
    <t>1.33.16.</t>
  </si>
  <si>
    <t>1.33.16.1</t>
  </si>
  <si>
    <t>1.33.16.2</t>
  </si>
  <si>
    <t>1.33.17.</t>
  </si>
  <si>
    <t>1.33.17.1</t>
  </si>
  <si>
    <t>1.33.17.2</t>
  </si>
  <si>
    <t>1.33.18.</t>
  </si>
  <si>
    <t>1.33.18.1</t>
  </si>
  <si>
    <t>1.33.18.2</t>
  </si>
  <si>
    <t>1.33.19.</t>
  </si>
  <si>
    <t>1.33.19.1</t>
  </si>
  <si>
    <t>1.33.19.2</t>
  </si>
  <si>
    <t>1.34.1.</t>
  </si>
  <si>
    <t>1.34.1.1</t>
  </si>
  <si>
    <t>1.34.1.2</t>
  </si>
  <si>
    <t>1.35.1.</t>
  </si>
  <si>
    <t>1.35.1.1</t>
  </si>
  <si>
    <t>1.35.2.</t>
  </si>
  <si>
    <t>1.35.2.1</t>
  </si>
  <si>
    <t>1.35.3.</t>
  </si>
  <si>
    <t>1.35.3.1</t>
  </si>
  <si>
    <t>1.35.4.</t>
  </si>
  <si>
    <t>1.35.4.1</t>
  </si>
  <si>
    <t>1.35.5.</t>
  </si>
  <si>
    <t>1.35.5.1</t>
  </si>
  <si>
    <t>1.35.6.</t>
  </si>
  <si>
    <t>1.35.6.1</t>
  </si>
  <si>
    <t>1.35.7.</t>
  </si>
  <si>
    <t>1.35.7.1</t>
  </si>
  <si>
    <t>1.35.8.</t>
  </si>
  <si>
    <t>1.35.8.1</t>
  </si>
  <si>
    <t>1.35.9.</t>
  </si>
  <si>
    <t>1.35.9.1</t>
  </si>
  <si>
    <t>1.35.10.</t>
  </si>
  <si>
    <t>1.35.10.1</t>
  </si>
  <si>
    <t>1.35.11.</t>
  </si>
  <si>
    <t>1.35.11.1</t>
  </si>
  <si>
    <t>1.35.12.</t>
  </si>
  <si>
    <t>1.35.12.1</t>
  </si>
  <si>
    <t>1.35.13.</t>
  </si>
  <si>
    <t>1.35.13.1</t>
  </si>
  <si>
    <t>1.35.14.</t>
  </si>
  <si>
    <t>1.35.14.1</t>
  </si>
  <si>
    <t>1.35.15.</t>
  </si>
  <si>
    <t>1.35.15.1</t>
  </si>
  <si>
    <t>Alvenaria com blocos silico calcarios de 12,5x30x60cm (espessura 15cm) com argamassa industrializada de assentamento</t>
  </si>
  <si>
    <t xml:space="preserve">Mão de obra para assentamento de blocos de Refratário </t>
  </si>
  <si>
    <t>Alvenaria de vedacao de blocos de Refratários com argamassa refratária de assentamento</t>
  </si>
  <si>
    <t>Condiderado o Levantado pela Aba Fundação Rasa</t>
  </si>
  <si>
    <t xml:space="preserve">Revestimento  Especiais </t>
  </si>
  <si>
    <t>Revestimento em Pastilhas Cerâmicas Paredes Interna, 6 x 24cm com Junta de 3mm</t>
  </si>
  <si>
    <t>Revestimento de Pedras Naturais em Paredes</t>
  </si>
  <si>
    <t>Mão de obra para assentamento de Pedras Naturais em parede</t>
  </si>
  <si>
    <t>Alveanria</t>
  </si>
  <si>
    <t xml:space="preserve">   7º PAVIMENTO - TIPO2 X11</t>
  </si>
  <si>
    <t xml:space="preserve">   6º PAVIMENTO - TIPO1 X1</t>
  </si>
  <si>
    <t xml:space="preserve">   19º PAVIMENTO - TIPO3 X1</t>
  </si>
  <si>
    <t xml:space="preserve">   20º PAVIMENTO - ROOFTOP</t>
  </si>
  <si>
    <t xml:space="preserve">   21º PAVIMENTO - TÉCNICO</t>
  </si>
  <si>
    <t>Refratário</t>
  </si>
  <si>
    <t>Forro de gesso mineral - Material e Mão de Obra</t>
  </si>
  <si>
    <t>Forro de madeira - Material e Mão de Obra</t>
  </si>
  <si>
    <t>Mão de Obra para Execução de Argamassado em Teto</t>
  </si>
  <si>
    <t>REVESTIMENTO INTERNO, PAREDE - PORCELANATO</t>
  </si>
  <si>
    <t>REVESTIMENTO INTERNO, PAREDE - PEDRA NATURAL</t>
  </si>
  <si>
    <t>Internos Peitoril</t>
  </si>
  <si>
    <t xml:space="preserve"> Internos Soleira</t>
  </si>
  <si>
    <t>Utilizado o levantado na Fundação Rasa pelo projeto estrutural</t>
  </si>
  <si>
    <t>Contrapiso comum em argamassa estabilizada, nao aderido, espessura 3cm</t>
  </si>
  <si>
    <t>Contrapiso comum em argamassa estabilizada, nao aderido, espessura 6cm</t>
  </si>
  <si>
    <t>Contrapiso comum em argamassa estabilizada, nao aderido, espessura 5,5cm</t>
  </si>
  <si>
    <t xml:space="preserve">Acústica para Contrapiso </t>
  </si>
  <si>
    <t>Mão de obra execução de contrapiso comum e Acústico</t>
  </si>
  <si>
    <t>ESQUADRIAS DE ALUMÍNIO</t>
  </si>
  <si>
    <t>ESQUADRIAS DE MADEIRA</t>
  </si>
  <si>
    <t>ESQUADRIAS DE METAL</t>
  </si>
  <si>
    <t>SERVIÇOS COMPLEMENTARES EXTERNOS</t>
  </si>
  <si>
    <t>Escoramento de fôrmas para Lajes com escoras de Madeira incluindo travamento, 4 utilizações.</t>
  </si>
  <si>
    <t xml:space="preserve">Regularização de Piso 0,50 cm </t>
  </si>
  <si>
    <t>1.5.5</t>
  </si>
  <si>
    <t>1.5.1.4</t>
  </si>
  <si>
    <t>1.5.15.2</t>
  </si>
  <si>
    <t>REVESTIMENTO INTERNO, PAREDE - LADRILHO</t>
  </si>
  <si>
    <t>Mão de obra execução regularização de Piso</t>
  </si>
  <si>
    <t>Acabamentos cerâmicos e Porcelanato em piso</t>
  </si>
  <si>
    <t xml:space="preserve">Piso concreto Vassourado </t>
  </si>
  <si>
    <t>Mão de obra para assentamento de Pastilhas em Piscina</t>
  </si>
  <si>
    <t>Rodapé de MDF h=5cm</t>
  </si>
  <si>
    <t>Rodapé de Pedra Natural h=5cm</t>
  </si>
  <si>
    <t>Rodapé de porcelanato h=15cm</t>
  </si>
  <si>
    <t>Rodapé de poliestireno h=7cm</t>
  </si>
  <si>
    <t>Revestimento de piso vinilico, nas áreas privativas - Material e Mão de Obra</t>
  </si>
  <si>
    <t>Revestimento emborrachado piso interno (Academia)- Material e Mão de Obra</t>
  </si>
  <si>
    <t>Mão de obra de rodapé MDF</t>
  </si>
  <si>
    <t>Mão de obra de rodapé Pedra Natural</t>
  </si>
  <si>
    <t xml:space="preserve">Piso </t>
  </si>
  <si>
    <t>Revestimento Piso em Pedra Natural</t>
  </si>
  <si>
    <t>Mão de obra para assentamento de Pedras Naturais em piso</t>
  </si>
  <si>
    <t xml:space="preserve">Piso concreto Queimado </t>
  </si>
  <si>
    <t>Mão de obra execução Piso Vassourado</t>
  </si>
  <si>
    <t>Mão de obra execução Piso Queimado</t>
  </si>
  <si>
    <t>Pintura Piso</t>
  </si>
  <si>
    <t>Pintura Parede</t>
  </si>
  <si>
    <t>Pintura Teto</t>
  </si>
  <si>
    <t>Argamassado Fachada</t>
  </si>
  <si>
    <t>Pintura fachada</t>
  </si>
  <si>
    <t>Textura Fachada</t>
  </si>
  <si>
    <t>Pintura em Resina para demarcação de vagas em piso, 1 demão</t>
  </si>
  <si>
    <t>Pintura em Resina em Piso, Aplicação Manual, 2 Demãos</t>
  </si>
  <si>
    <t>Pintura em Epóxi em Piso, Aplicação Manual, 2 Demãos</t>
  </si>
  <si>
    <t>Mão de obra para Pintura em Resina para demarcação de vagas em parede, 1 demão</t>
  </si>
  <si>
    <t>Mão de obra para aplicação de pintura resina, aplicação em piso, 2 demãos</t>
  </si>
  <si>
    <t xml:space="preserve">Calçadada/passeio em Podotátil </t>
  </si>
  <si>
    <t xml:space="preserve">Mão de obra para execução de Podotátil </t>
  </si>
  <si>
    <t xml:space="preserve">Revestimento em Pastilhas Cerâmicas Para Piscinas , 14,5 x 14,5cm com Junta de 2mm </t>
  </si>
  <si>
    <t xml:space="preserve">Revestimento em Pastilhas Cerâmicas Para Piscinas , 14,5 x 14,5cm com Junta de 3mm </t>
  </si>
  <si>
    <t xml:space="preserve">Revestimento em Pastilhas Cerâmicas Para Fachada com Junta de 3mm </t>
  </si>
  <si>
    <t>Revestimento em Porcelanato amadeirado, rejunte cimentício, aplicação em Fachada</t>
  </si>
  <si>
    <t>Revestimento em Pedra Natural Aplicado em Fachadas</t>
  </si>
  <si>
    <t>Mão de obra para aplicação de Pintura em paredes externas - 2 demãos</t>
  </si>
  <si>
    <t>Mão de obra para aplicação de Pastilhas em paredes externas</t>
  </si>
  <si>
    <t>Mão de obra para aplicação de Porcelanato em paredes externas</t>
  </si>
  <si>
    <t>Mão de obra para aplicação de Pedra Natural em paredes externas</t>
  </si>
  <si>
    <t>Acabamentos para Parede Verde em Fachadas - Material e mão de obra</t>
  </si>
  <si>
    <t>Fachada  - Externos - Cerâmico</t>
  </si>
  <si>
    <t>Fachada  - Externos - Porcelanato</t>
  </si>
  <si>
    <t>Fachada  - Externos - Pedras</t>
  </si>
  <si>
    <t>Vem Junto com Elevador</t>
  </si>
  <si>
    <t>Brise de Madeira (m)</t>
  </si>
  <si>
    <t>Ducha higienica</t>
  </si>
  <si>
    <t>Acabamento de Registro Pressão</t>
  </si>
  <si>
    <t>Guarda Corpo de vidro e aluminio h=240cm</t>
  </si>
  <si>
    <t>Porta de madeira de abrir Semi Oca - 70x210cm (kit completo) - fixação com espuma expansiva</t>
  </si>
  <si>
    <t>Porta de madeira de abrir Maciça - 90x210cm (kit completo) - fixação com espuma expansiva</t>
  </si>
  <si>
    <t>Porta de madeira de abrir Semi Oca - 80x210cm (kit completo) - fixação com espuma expansiva</t>
  </si>
  <si>
    <t>Porta de madeira de correr - 80x210cm (kit completo) - fixação com espuma expansiva</t>
  </si>
  <si>
    <t>Brise de madeira</t>
  </si>
  <si>
    <t>Brise de madeira nas Fachadas</t>
  </si>
  <si>
    <t>Custo do Item</t>
  </si>
  <si>
    <t>Custo Total</t>
  </si>
  <si>
    <t>Acessórios de Banheiro/Lavabo</t>
  </si>
  <si>
    <t>Cuba Pia Cozinha - Lazer</t>
  </si>
  <si>
    <t>Acabamento de Registro Comum</t>
  </si>
  <si>
    <t>Está nas composições</t>
  </si>
  <si>
    <t xml:space="preserve">Louças </t>
  </si>
  <si>
    <t>Estrutura e trama para cobertura</t>
  </si>
  <si>
    <t>Telhamento para cobertura</t>
  </si>
  <si>
    <t>Serviços complementares</t>
  </si>
  <si>
    <t>Coberturas especiais</t>
  </si>
  <si>
    <t>1.3.3</t>
  </si>
  <si>
    <t>1.3.4</t>
  </si>
  <si>
    <t>Telhado básico:CLARABOIA</t>
  </si>
  <si>
    <t>Telhado básico:TELHADO EM FIBROCIMENTO 8mm</t>
  </si>
  <si>
    <t>Telhamento para cobertura em Fribrocimento</t>
  </si>
  <si>
    <t>Estrutura e trama para cobertura em madeira</t>
  </si>
  <si>
    <t>Calha em alumínio</t>
  </si>
  <si>
    <t>Rufo em alumínio</t>
  </si>
  <si>
    <t xml:space="preserve">Claraboia em vidro laminado </t>
  </si>
  <si>
    <t>Finalizado</t>
  </si>
  <si>
    <t xml:space="preserve">Espelho </t>
  </si>
  <si>
    <t>Bike Share</t>
  </si>
  <si>
    <t>Estação de Carregamento de Bike Elétrica, Carregador EV</t>
  </si>
  <si>
    <t>Suporte de parede para bicicletas, gancho vertical, resistente suporta até 30 kg</t>
  </si>
  <si>
    <t>Divisória Aramada decoração</t>
  </si>
  <si>
    <t>Lavanderia</t>
  </si>
  <si>
    <t>Acessórios de decoração</t>
  </si>
  <si>
    <t>WashTower™ AI DD™ Máquina que Lava e Seca 17kg, 220V - Aço Escovado</t>
  </si>
  <si>
    <t>Fliperama Multijogos</t>
  </si>
  <si>
    <t>Bancada Tanque</t>
  </si>
  <si>
    <t>Smart Market</t>
  </si>
  <si>
    <t>Geladeira Expositora mercadorias</t>
  </si>
  <si>
    <t>Delivery</t>
  </si>
  <si>
    <t>Hall Principal</t>
  </si>
  <si>
    <t>Pranchário</t>
  </si>
  <si>
    <t>Suporte de para Pranchas</t>
  </si>
  <si>
    <t>Coworking</t>
  </si>
  <si>
    <t>Sofá Ilha Com Encosto </t>
  </si>
  <si>
    <t xml:space="preserve">Mesa Dupla P/ 4 Pessoas. E Divisória </t>
  </si>
  <si>
    <t>Mesa para escritório 3 pessoas</t>
  </si>
  <si>
    <t>Sofá 2 Ligares</t>
  </si>
  <si>
    <t>Mesa individual para Notbook</t>
  </si>
  <si>
    <t>Balanço de teto 1 Lugar</t>
  </si>
  <si>
    <t>Estrutura de Ferro para decoração paisagistica</t>
  </si>
  <si>
    <t>Pub</t>
  </si>
  <si>
    <t xml:space="preserve">Pendente Luminaria de trilho para teto </t>
  </si>
  <si>
    <t>Linha Taças em Cristal Sommelier para Água, Vinho e Espumante (18 Taças)</t>
  </si>
  <si>
    <t>Composição De Parede Decoração Artesanatos Cestas De Palha</t>
  </si>
  <si>
    <t>Suporte Para Vaso Em Madeira + Vaso Redondo Sala Escritório</t>
  </si>
  <si>
    <t>Sofá De Canto Boreal Base De Ferro Esquerdo</t>
  </si>
  <si>
    <t>Kit Puff's tamanhos variádos</t>
  </si>
  <si>
    <t>Espreguissadeira para SPA</t>
  </si>
  <si>
    <t xml:space="preserve">SPA e Sala de Massagem </t>
  </si>
  <si>
    <t>Cama de Massagem Oasis Estrutura de Madeira com Regulagem de Altura</t>
  </si>
  <si>
    <t>Espreguiçadeira em Madeira Reclinável com 4 Posições</t>
  </si>
  <si>
    <t>Linha Completa Sommelier (18 Taças + 12 Copos)</t>
  </si>
  <si>
    <t>Bar Molhado / Estar</t>
  </si>
  <si>
    <t>Cadeira Paramétrica</t>
  </si>
  <si>
    <t>Quadro Decorativo 1 Tela: Obra Abstrata Moderna e Sofisticada</t>
  </si>
  <si>
    <t>Para esquadrias</t>
  </si>
  <si>
    <t>ETE</t>
  </si>
  <si>
    <t>Esquadrias</t>
  </si>
  <si>
    <t>Sense - House</t>
  </si>
  <si>
    <t xml:space="preserve">Lago di Garda </t>
  </si>
  <si>
    <t>Espreguiçadeira Alumínio Em Corda Náutica Piscina</t>
  </si>
  <si>
    <t>Almofada Para Espreguicadeira Branca h=6cm</t>
  </si>
  <si>
    <t>Espaço Campeiro</t>
  </si>
  <si>
    <t>Cooktop por Indução 2 Bocas Touch Screen</t>
  </si>
  <si>
    <t xml:space="preserve">Cadeiras estofadas </t>
  </si>
  <si>
    <t>Mesa de Jantar Roma Retangular Base Madeira Maciça Design Contemporâneo</t>
  </si>
  <si>
    <t>Praça</t>
  </si>
  <si>
    <t>Chaise Long Em Madeira E Tecido Acqua Block</t>
  </si>
  <si>
    <t>Estofamento para bancos</t>
  </si>
  <si>
    <t>Poltrona área externa</t>
  </si>
  <si>
    <t>Mesa de Centro área externa</t>
  </si>
  <si>
    <t>Lareira a Alcool Modelo: Ecoflama - EC-1000 - 100cm</t>
  </si>
  <si>
    <t>Cadeira Elevador De Acessibilidade Para Piscina Everest Maro Marol</t>
  </si>
  <si>
    <t>Banco de concreto - Forma</t>
  </si>
  <si>
    <t>Banco de concreto - Concreto</t>
  </si>
  <si>
    <t>Banco de concreto - Aço</t>
  </si>
  <si>
    <t>Fonte de água</t>
  </si>
  <si>
    <t>Escultura Fonte de Água</t>
  </si>
  <si>
    <t>Mão de Obra para execução artefatos de concreto</t>
  </si>
  <si>
    <t>Bancos de Concreto</t>
  </si>
  <si>
    <t>Tipo1</t>
  </si>
  <si>
    <t>Aço</t>
  </si>
  <si>
    <t>Assento</t>
  </si>
  <si>
    <t>Base</t>
  </si>
  <si>
    <t>área</t>
  </si>
  <si>
    <t>perímetro</t>
  </si>
  <si>
    <t>Altura</t>
  </si>
  <si>
    <t>Tipo2</t>
  </si>
  <si>
    <t>Tipo3</t>
  </si>
  <si>
    <t>Tipo4</t>
  </si>
  <si>
    <t>Textura Acrílica aplicação em tetos, 1 demão</t>
  </si>
  <si>
    <t>Chapisco convencional com adesivo sintético de alto desempenho aplicados em alvenaria, aplicação convencional.</t>
  </si>
  <si>
    <t>Chapisco aplicado em estruturas de concreto, de argamassa ACIII, com desempenadeira dentada</t>
  </si>
  <si>
    <t>Massa unica para reboco interno em argamassa estabilizada, espessura de 2,5cm, com execução de taliscas</t>
  </si>
  <si>
    <t>Mão de obra coberturas</t>
  </si>
  <si>
    <t>Acabamentos Elétricos e telecomunicações</t>
  </si>
  <si>
    <t>Acabamentos</t>
  </si>
  <si>
    <t>Eletrodutos e caixas</t>
  </si>
  <si>
    <t>Instalações de esgoto e pluviais - Tubulações</t>
  </si>
  <si>
    <t>Instalações de esgoto e pluviais - Conecções</t>
  </si>
  <si>
    <t>Sistema de Tratamento de Efluentes - Lodo Ativado</t>
  </si>
  <si>
    <t>Infraestrutura para Carro Elétrico</t>
  </si>
  <si>
    <t>Equipamentos para sistema de Reuso</t>
  </si>
  <si>
    <t>Equipamentos para Lazer</t>
  </si>
  <si>
    <t>Equipamentos de Sauna</t>
  </si>
  <si>
    <t>Equipamentos de SPA</t>
  </si>
  <si>
    <t>Equipamentos de Espelho d'água</t>
  </si>
  <si>
    <t>Moldura de Alumínio em Fachadas</t>
  </si>
  <si>
    <t>Brise de Alumínio</t>
  </si>
  <si>
    <t>Brise de Alumínio - Decoração Fachada</t>
  </si>
  <si>
    <t>MOLDURA EPS</t>
  </si>
  <si>
    <t>MOLDURA PERFIL DE ALUMÍNIO</t>
  </si>
  <si>
    <t>1.31.6</t>
  </si>
  <si>
    <t>1.31.7</t>
  </si>
  <si>
    <t>Moldura em EPS para Fachada</t>
  </si>
  <si>
    <t>CAIXA DE PASSAGEM TELEFONE, ALÚMINIO DE EMBUTIR - (120x120x20cm) *FUNDO DE MADEIRA</t>
  </si>
  <si>
    <t>pç</t>
  </si>
  <si>
    <t>▪ CAIXA DE PASSAGENS</t>
  </si>
  <si>
    <t>CAIXA DE PASSAGEM TELEFONE, ALÚMINIO DE EMBUTIR - (80x80x20cm) *FUNDO DE MADEIRA</t>
  </si>
  <si>
    <t>CAIXA DE PASSAGEM TELEFONE, ALÚMINIO DE EMBUTIR - (20x20x12cm) *FUNDO DE MADEIRA</t>
  </si>
  <si>
    <t>CAIXA DE PASSAGEM TELEFONE, PVC DE EMBUTIR - (40x40x12cm) *FUNDO COLMEIA</t>
  </si>
  <si>
    <t>CAIXA DE PASSAGEM TELEFONE, ALÚMINIO DE EMBUTIR - (40x40x12cm) *FUNDO DE MADEIRA</t>
  </si>
  <si>
    <t>CAIXA DE PASSAGEM TELEFONE, ALÚMINIO DE EMBUTIR - (40x40x20cm) *FUNDO DE MADEIRA</t>
  </si>
  <si>
    <t>CAIXA DE PASSAGEM ELÉTRICA, ALÚMINIO DE EMBUTIR - (100x40x20cm)</t>
  </si>
  <si>
    <t>CAIXA DE PASSAGEM ELÉTRICA, ALÚMINIO DE EMBUTIR - (30x20x12cm)</t>
  </si>
  <si>
    <t>ABRAÇADEIRA DE NYLON (8x380mm) (EMBALAGEM C/ 100UNI)</t>
  </si>
  <si>
    <t>▪ QUADRO DE MEDIÇÃO + COMPONENTES</t>
  </si>
  <si>
    <t>ABRAÇADEIRA DE NYLON (4,5x300mm) (EMBALAGEM C/ 100UNI)</t>
  </si>
  <si>
    <t>FITA TERMO-CONTRÁTIL 15mm VERDE</t>
  </si>
  <si>
    <t>FITA TERMO-CONTRÁTIL 15mm AZUL</t>
  </si>
  <si>
    <t>FITA TERMO-CONTRÁTIL 15mm VERMELHA</t>
  </si>
  <si>
    <t>FITA TERMO-CONTRÁTIL 15mm BRANCA</t>
  </si>
  <si>
    <t xml:space="preserve">FITA TERMO-CONTRÁTIL 15mm PRETA  </t>
  </si>
  <si>
    <t>FITA TERMO-CONTRÁTIL 30mm VERDE</t>
  </si>
  <si>
    <t>FITA TERMO-CONTRÁTIL 30mm AZUL</t>
  </si>
  <si>
    <t>FITA TERMO-CONTRÁTIL 30mm VERMELHA</t>
  </si>
  <si>
    <t>FITA TERMO-CONTRÁTIL 30mm BRANCA</t>
  </si>
  <si>
    <t xml:space="preserve">FITA TERMO-CONTRÁTIL 30mm PRETA  </t>
  </si>
  <si>
    <t>TERMINAL PRÉ ISOLADO TIPO TUBO (ILHÓS) - 10mm²</t>
  </si>
  <si>
    <t xml:space="preserve">TERMINAL TIPO PINO MACIÇO A COMPRESÃO CURTO - 10mm² </t>
  </si>
  <si>
    <t>TERMINAL TIPO OLHAL MACIÇO A COMPRESÃO - 10mm²</t>
  </si>
  <si>
    <t>TERMINAL TIPO OLHAL MACIÇO A COMPRESÃO - 16mm²</t>
  </si>
  <si>
    <t>TERMINAL TIPO OLHAL MACIÇO A COMPRESÃO - 25mm²</t>
  </si>
  <si>
    <t>TERMINAL TIPO OLHAL MACIÇO A COMPRESÃO - 50mm²</t>
  </si>
  <si>
    <t>TERMINAL TIPO OLHAL MACIÇO A COMPRESÃO - 70mm²</t>
  </si>
  <si>
    <t>TERMINAL TIPO OLHAL MACIÇO A COMPRESÃO - 95mm²</t>
  </si>
  <si>
    <t>TERMINAL TIPO OLHAL MACIÇO A COMPRESÃO - 185mm²</t>
  </si>
  <si>
    <t>SCHNAIDER</t>
  </si>
  <si>
    <t>DPS 275V (40kA) - CLASSE I</t>
  </si>
  <si>
    <t>DISJUNTOR DIN TRIFÁSICO 40A (CURVA C) 6kA</t>
  </si>
  <si>
    <t>DISJUNTOR DIN BIFÁSICO 50A (CURVA C) 6kA</t>
  </si>
  <si>
    <t>DISJUNTOR DIN TRIFÁSICO 63A (CURVA C) 6kA</t>
  </si>
  <si>
    <t>GERAL - COND.</t>
  </si>
  <si>
    <t>DISJUNTOR TRIFÁSICO 125A - CAIXA MOLDADA</t>
  </si>
  <si>
    <t>GERAL - QM 04</t>
  </si>
  <si>
    <t>DISJUNTOR TRIFÁSICO 175A - CAIXA MOLDADA</t>
  </si>
  <si>
    <t>GERAL - QM 03</t>
  </si>
  <si>
    <t>GERAL - QM 02</t>
  </si>
  <si>
    <t>GERAL - QM 01</t>
  </si>
  <si>
    <t>GERAL - QGBT</t>
  </si>
  <si>
    <t>DISJUNTOR TRIFÁSICO 450A - CAIXA MOLDADA</t>
  </si>
  <si>
    <t>"MONTADO"  -   - (VER PJTO P/ FABRICAÇÃO)</t>
  </si>
  <si>
    <t>CAIXA CONCENTRADORA - P/ MEDIÇÃO LOCAL</t>
  </si>
  <si>
    <t>BEP</t>
  </si>
  <si>
    <t>QGBT - QUADRO GERAL DE BAIXA TENSÃO (100x120cm)</t>
  </si>
  <si>
    <t>"MONTADO"  -  - (VER PJTO P/ FABRICAÇÃO)</t>
  </si>
  <si>
    <t>QUADRO DE MEDIÇÃO P/ 12 MEDIDORES + TELEMEDIÇÃO</t>
  </si>
  <si>
    <t>QUADRO DE MEDIÇÃO P/ 24 MEDIDORES + TELEMEDIÇÃO</t>
  </si>
  <si>
    <t>QUADRO DE MEDIÇÃO P/ 30 MEDIDORES + TELEMEDIÇÃO</t>
  </si>
  <si>
    <t>SIEMENS - SIMBOX XP</t>
  </si>
  <si>
    <t>QUADRO EM PVC P/ 12 DISJUNTORES DIN (EMBUTIR)</t>
  </si>
  <si>
    <t>▪ QUADROS ELÉTRICOS</t>
  </si>
  <si>
    <t>QUADRO EM PVC P/ 24 DISJUNTORES DIN (EMBUTIR)</t>
  </si>
  <si>
    <t>QUADRO EM PVC P/ 36 DISJUNTORES DIN (EMBUTIR)</t>
  </si>
  <si>
    <t>QUADRO EM PVC P/ 54 DISJUNTORES DIN (EMBUTIR)</t>
  </si>
  <si>
    <t>QUADRO EM ALÚMINO P/ 100 DISJUNTORES DIN (EMBUTIR) - BARRAMENTO ESPINHA DE PEIXE, ISOLADO  - PARA DISJUNTOR GERAL  DE 125A</t>
  </si>
  <si>
    <t>▪ COMPONENTES P/ MONTAGEM DOS QUADROS ELÉTRICOS</t>
  </si>
  <si>
    <t>BARRAMENTO TERRA (12 MÓDULOS)</t>
  </si>
  <si>
    <t>BARRAMENTO NEUTRO (12 MÓDULOS)</t>
  </si>
  <si>
    <t>PACOTE C/ 10 UNIDADES</t>
  </si>
  <si>
    <t>CAPA ISOLADORA LATERAL P/ BARRAMENTO PENTE TRIPOLAR</t>
  </si>
  <si>
    <t>CAPA ISOLADORA LATERAL P/ BARRAMENTO PENTE BIPOLAR</t>
  </si>
  <si>
    <t>CAPA ISOLADORA LATERAL P/ BARRAMENTO PENTE MONOPOLAR</t>
  </si>
  <si>
    <t xml:space="preserve">FIXADOR AUTO ADESIVO P/ ABRAÇADEIRA DE NAYLON </t>
  </si>
  <si>
    <t>BARRAMENTO PENTE MONOPOLAR (12 POLOS) 80A</t>
  </si>
  <si>
    <t>BARRAMENTO PENTE BIPOLAR (57 POLOS) 80A</t>
  </si>
  <si>
    <t>BARRAMENTO PENTE TRIPOLAR (57 POLOS) 80A</t>
  </si>
  <si>
    <t xml:space="preserve">ISOLADOR DE POLOS P/ BARRAMENTO PENTE </t>
  </si>
  <si>
    <t>TERMINAL PRÉ ISOLADO TIPO TUBO ( ILHÓS) - 1,5mm²</t>
  </si>
  <si>
    <t>TERMINAL PRÉ ISOLADO TIPO TUBO ( ILHÓS) - 2,5mm²</t>
  </si>
  <si>
    <t>TERMINAL PRÉ ISOLADO TIPO TUBO ( ILHÓS) - 4mm²</t>
  </si>
  <si>
    <t>TERMINAL PRÉ ISOLADO TIPO TUBO ( ILHÓS) - 6mm²</t>
  </si>
  <si>
    <t>TERMINAL PRÉ ISOLADO TIPO TUBO ( ILHÓS) - 10mm²</t>
  </si>
  <si>
    <t>TERMINAL PRÉ ISOLADO TIPO TUBO ( ILHÓS) - 16mm²</t>
  </si>
  <si>
    <t>CONTATOR 10A</t>
  </si>
  <si>
    <t>TIMER DIGITAL P/ TRILHO DIN</t>
  </si>
  <si>
    <t>DISPOSITIVO DR 40A (30mA) BIPOLAR</t>
  </si>
  <si>
    <t>DISPOSITIVO DR 40A (30mA) TETRAPOLAR</t>
  </si>
  <si>
    <t>DISPOSITIVO DR 63A (30mA) TETRAPOLAR</t>
  </si>
  <si>
    <t>DPS 275V (20kA)</t>
  </si>
  <si>
    <t>DISJUNTOR DIN MONOFÁSICO 6A (CURVA C) 3kA</t>
  </si>
  <si>
    <t>DISJUNTOR DIN MONOFÁSICO 10A (CURVA C) 3kA</t>
  </si>
  <si>
    <t>DISJUNTOR DIN MONOFÁSICO 16A (CURVA C) 3kA</t>
  </si>
  <si>
    <t>DISJUNTOR DIN MONOFÁSICO 20A (CURVA C) 3kA</t>
  </si>
  <si>
    <t>DISJUNTOR DIN MONOFÁSICO 25A (CURVA C) 3kA</t>
  </si>
  <si>
    <t>DISJUNTOR DIN MONOFÁSICO 32A (CURVA C) 3kA</t>
  </si>
  <si>
    <t>DISJUNTOR DIN MONOFÁSICO 32A (CURVA B) 3kA</t>
  </si>
  <si>
    <t>DISJUNTOR DIN BIFÁSICO 50A (CURVA C) 3kA</t>
  </si>
  <si>
    <t>DISJUNTOR DIN TRIFÁSICO 32A (CURVA C) 3kA</t>
  </si>
  <si>
    <t>DISJUNTOR DIN TRIFÁSICO 20A (CURVA C) 3kA</t>
  </si>
  <si>
    <t>DISJUNTOR DIN TRIFÁSICO 40A (CURVA C) 3kA</t>
  </si>
  <si>
    <t>DISJUNTOR DIN TRIFÁSICO 63A (CURVA C) 3kA</t>
  </si>
  <si>
    <t>WEG / APEG</t>
  </si>
  <si>
    <t>GUARDA DE PROTEÇÃO</t>
  </si>
  <si>
    <t>*ACABAMENTOS DIVERSOS</t>
  </si>
  <si>
    <t>WEG / AP30-222</t>
  </si>
  <si>
    <t>PLAQUETA PLÁSTICA</t>
  </si>
  <si>
    <t xml:space="preserve">P/ Botão - WEG / CSW-BESG </t>
  </si>
  <si>
    <t>BLOCO DE CONTATO SIMPLES - 1NF</t>
  </si>
  <si>
    <t xml:space="preserve">WEG / CSW-BESG </t>
  </si>
  <si>
    <t>BOTÃO COM TRAVA (IP66)</t>
  </si>
  <si>
    <t xml:space="preserve">WEG / PBW-1Y </t>
  </si>
  <si>
    <t>CAIXA PLÁSTICA PBW (IP66)</t>
  </si>
  <si>
    <t>ABRAÇADEIRA DE NYLON (4,5x300mm) (EMBALAGEM C/ 100UNI.)</t>
  </si>
  <si>
    <t xml:space="preserve">FITA ISOLANTE ANTI-CHAMA 20m </t>
  </si>
  <si>
    <t xml:space="preserve">CONECTOR TORSÃO 3mm² </t>
  </si>
  <si>
    <t>CONECTOR DE DERIVAÇÃO 2,5mm²  PRÉ ISOLADO</t>
  </si>
  <si>
    <t>CONECTOR DE DERIVAÇÃO 4mm²  PRÉ ISOLADO</t>
  </si>
  <si>
    <t>LUMINÁRIA ARANDELA TIPO TARTARUGA (BRANCA) COM LÂMPADA</t>
  </si>
  <si>
    <t>TERMINAL PRÉ ISOLADO TIPO PINO - 6mm²</t>
  </si>
  <si>
    <t>CONECTOR DE PORCELANA TIPO SINDAL (32A - 3 PÓLOS)</t>
  </si>
  <si>
    <t>BOCAL DE PORCELANA BASE GRANDE (CHURRASQUEIRA)</t>
  </si>
  <si>
    <t>LE GRAND | AQUATIC</t>
  </si>
  <si>
    <t>CONJ. (4X2)" - 01 TOMADA (2P+T - 10A) EXTERNA</t>
  </si>
  <si>
    <t>SENSOR DE PRESENÇA C/ FOTOCÉLULA (FRONTAL) SOBREPOR</t>
  </si>
  <si>
    <t>ECP ou SOPRANO</t>
  </si>
  <si>
    <t>SENSOR DE PRESENÇA C/ FOTOCÉLULA (TETO) SOBREPOR</t>
  </si>
  <si>
    <t>SENSOR DE PRESENÇA C/ FOTOCÉLULA (TETO) EMBUTIR</t>
  </si>
  <si>
    <t>CEMAR</t>
  </si>
  <si>
    <t>QUADRO DE COMANDO EM PVC (500X400x150mm)</t>
  </si>
  <si>
    <t>*TUBULAÇÕES POÇO ELEVADOR</t>
  </si>
  <si>
    <t>CANALETA PVC ABERTA (50x50mm)</t>
  </si>
  <si>
    <t xml:space="preserve">TRILHO DIN GALVANIZADO PERFURADO </t>
  </si>
  <si>
    <t>cm</t>
  </si>
  <si>
    <t>TERMINAL PRÉ ISOLADO TIPO OLHAL - 10mm²</t>
  </si>
  <si>
    <t>DISPOSITIVO DR 25A (30mA) BIPOLAR</t>
  </si>
  <si>
    <t>DISJUNTOR DIN MONOFÁSICO 16A (CURVA C)</t>
  </si>
  <si>
    <t>DISJUNTOR DIN TRIFÁSICO 25A (CURVA C)</t>
  </si>
  <si>
    <t>CHAVE SECCIONADORA TRIFÁSICA + FUSIVEL NHO - 25A</t>
  </si>
  <si>
    <t>3M</t>
  </si>
  <si>
    <t>FITA ISOLANTE ANTI-CHAMA 20 METROS</t>
  </si>
  <si>
    <t>RCM ou SIL</t>
  </si>
  <si>
    <t>CABO 1,5mm² FLEXÍVEL (750V) AMARELO</t>
  </si>
  <si>
    <t>CABO 1,5mm² FLEXÍVEL (750V) CINZA</t>
  </si>
  <si>
    <t>CABO 1,5mm² FLEXÍVEL (750V) AZUL</t>
  </si>
  <si>
    <t>CABO 1,5mm² FLEXÍVEL (750V) PRETO</t>
  </si>
  <si>
    <t>CABO 2,5mm² FLEXÍVEL (750V) VERDE</t>
  </si>
  <si>
    <t>CABO 2,5mm² FLEXÍVEL (750V) AZUL</t>
  </si>
  <si>
    <t>CABO 2,5mm² FLEXÍVEL (750V) VERMELHO</t>
  </si>
  <si>
    <t>CABO 4mm² FLEXÍVEL (750V) VERDE</t>
  </si>
  <si>
    <t>CABO 4mm² FLEXÍVEL (750V) AZUL</t>
  </si>
  <si>
    <t>CABO 4mm² FLEXÍVEL (750V) VERMELHO</t>
  </si>
  <si>
    <t>CABO 10mm² FLEXÍVEL (750V) VERDE</t>
  </si>
  <si>
    <t>CABO 10mm² FLEXÍVEL (750V) AZUL</t>
  </si>
  <si>
    <t>CABO 10mm² FLEXÍVEL (750V) VERMELHO</t>
  </si>
  <si>
    <t>CABO 10mm² FLEXÍVEL (750V) BRANCO</t>
  </si>
  <si>
    <t>CABO 10mm² FLEXÍVEL (750V) PRETO</t>
  </si>
  <si>
    <t>CONECTOR DE DERIVAÇÃO 1,5mm² -  2,5mm² PRÉ ISOLADO</t>
  </si>
  <si>
    <t>BUCHA PLÁSTICA (6mm²)</t>
  </si>
  <si>
    <t>un.</t>
  </si>
  <si>
    <t>WETZEL</t>
  </si>
  <si>
    <t>LUVA P/ ELETRODUTO 1" (LINHA BRANCA)</t>
  </si>
  <si>
    <t>TAMPA P/ 01 TOMADA  -   3/4" (LINHA BRANCA)</t>
  </si>
  <si>
    <t xml:space="preserve">TOMADA (2P+T - 10A) P/ FIXAR CAIXA DE DERIVAÇÃO - 3/4" WETZEL </t>
  </si>
  <si>
    <t>TAMPA P/ 01 TOMADA + 01 INTERRUPTOR PARALELO - 3/4" (LINHA BRANCA)</t>
  </si>
  <si>
    <t xml:space="preserve">INT. PARALELO + TOM. (2P+T - 10A) P/ FIXAR CAIXA DE DERI. -  3/4" WETZEL </t>
  </si>
  <si>
    <t>LUMINÁRIA TIPO TARTARUGA (BRANCA) COM LÂMPADA 13W FRIA</t>
  </si>
  <si>
    <t>PARAFUSO PHILIPS (30X3mm²) CABEÇA DE TROMBETA</t>
  </si>
  <si>
    <t>COTOVELO 90°  P/ ELETRODUTO 3/4" (LINHA BRANCA)</t>
  </si>
  <si>
    <t xml:space="preserve">TAMPA CEGA P/ CAIXA DE DERIVAÇÃO 3/4" (LINHA BRANCA) </t>
  </si>
  <si>
    <t>ADAPTADOR P/ ELETRODUTO 3/4" (LINHA BRANCA)</t>
  </si>
  <si>
    <t>CAIXA DE DERIVAÇÃO 3/4" (LINHA BRANCA)</t>
  </si>
  <si>
    <t xml:space="preserve">ELETRODUTO EM PVC CLASSE LEVE  3/4"  (LINHA BRANCA) </t>
  </si>
  <si>
    <t>ABRAÇADEIRA PLASTICA 3/4" (LINHA BRANCA)</t>
  </si>
  <si>
    <t>CONECTOR DUPLO PARA HASTE TERRA |CABO 95mm² COBRE NU</t>
  </si>
  <si>
    <t xml:space="preserve">*TUBULAÇÕES DE ENTRADA DE ENERGIA </t>
  </si>
  <si>
    <t>HASTE TERRA 240cm</t>
  </si>
  <si>
    <t>PRESILHA TIPO FIVELA P/ CINTA DE INOX</t>
  </si>
  <si>
    <t>CINTA EM INOX</t>
  </si>
  <si>
    <t>PARAFUSO COM PORCA E 02 ARRUELAS ¼ X 1” DE LATÃO</t>
  </si>
  <si>
    <t>CONECTOR SPLIT-BOULT  25mm² -  ESTANHADO</t>
  </si>
  <si>
    <t>CABO 25mm² COBRE NU - MOLE</t>
  </si>
  <si>
    <t>CABO 95mm² COBRE NU - MOLE</t>
  </si>
  <si>
    <t>PADRÃO TELESC</t>
  </si>
  <si>
    <t>TAMPA DE FERRO FUNDIDO (900x700mm) - 125kN (TELESC)</t>
  </si>
  <si>
    <t>PADRÃO CELESC</t>
  </si>
  <si>
    <t>TAMPA DE FERRO FUNDIDO (900x700mm) - 400kN (CELESC)</t>
  </si>
  <si>
    <t>FAIXA (PERIGO - CABOS ELÉTRICOS) NÃO ADESIVA</t>
  </si>
  <si>
    <t>KANAFLEX ou SIMILAR</t>
  </si>
  <si>
    <t xml:space="preserve">ELETRODUTO FLEXÍVEL PEAD -  3” ø, PRETO REFORÇADO </t>
  </si>
  <si>
    <t xml:space="preserve">ELETRODUTO FLEXÍVEL PEAD -  4” ø, CINZA REFORÇADO </t>
  </si>
  <si>
    <t>CABEÇOTE  EM ALUMINIO P/ ELETRODUTO  4"</t>
  </si>
  <si>
    <t xml:space="preserve">LUVA P/ ELETRODUTO  GALVANIZADO  4" </t>
  </si>
  <si>
    <t xml:space="preserve">CURVA  LONGA 90° P/ ELETRODUTO GALVANIZADO  4" </t>
  </si>
  <si>
    <t xml:space="preserve">ELETRODUTO GALVANIZADO  4" (BARRA 6m) </t>
  </si>
  <si>
    <t>FITA ISOLANTE ANTI-CHAMA 20m</t>
  </si>
  <si>
    <t xml:space="preserve">CINTA GALVANIZADA PERFURADA </t>
  </si>
  <si>
    <t>PARAFUSO ABAULADO C/ TRAVA - CABEÇA LENTILHA (1/4")</t>
  </si>
  <si>
    <t>ARUELA LISA - GALVANIZADA (1/4")</t>
  </si>
  <si>
    <t>PORCA - GALVANIZADA (1/4")</t>
  </si>
  <si>
    <t>KIT PARABOLT - CHUMBADOR CONE C/ JAQUETA (1/4")</t>
  </si>
  <si>
    <t>BARRA ROSCADA  1/4" (TIRANTE DE AÇO) - (BARRA DE 3m)</t>
  </si>
  <si>
    <t>PERFILADO GALVANIZADO (19x38mm) PERFURADO (BARRA DE 6m)</t>
  </si>
  <si>
    <t xml:space="preserve">EMENDA INTERNA GALVANIZADA (TIPO U) PERFURADA - CHAPA #18 (150X300mm) </t>
  </si>
  <si>
    <t xml:space="preserve">EMENDA INTERNA GALVANIZADA (TIPO U) PERFURADA - CHAPA #18 (150X500mm) </t>
  </si>
  <si>
    <t xml:space="preserve">CURVA HORIZONTAL 90° GALVANIZADA (TIPO U) PERFURADA - CHAPA #18 (150X300mm) </t>
  </si>
  <si>
    <t xml:space="preserve">CURVA HORIZONTAL 90° GALVANIZADA (TIPO U) PERFURADA - CHAPA #18 (150X500mm) </t>
  </si>
  <si>
    <t xml:space="preserve">CURVA HORIZONTAL 45° GALVANIZADA (TIPO U) PERFURADA - CHAPA #18 (150X300mm) </t>
  </si>
  <si>
    <t xml:space="preserve">CURVA HORIZONTAL 45° GALVANIZADA (TIPO U) PERFURADA - CHAPA #18 (150X500mm) </t>
  </si>
  <si>
    <t>ELETROCALHA GALVANIZADA (TIPO U) PERFURADA - CHAPA #18 (150x300x3000mm), (AxLxC)</t>
  </si>
  <si>
    <t>ELETROCALHA GALVANIZADA (TIPO U) PERFURADA - CHAPA #18 (150x500x3000mm), (AxLxC)</t>
  </si>
  <si>
    <t>BUCHA EM ALUMINIO 1 "</t>
  </si>
  <si>
    <t>BOX RETO EM ALUMINIO 1"</t>
  </si>
  <si>
    <t>BUCHA EM ALUMINIO 1 1/4"</t>
  </si>
  <si>
    <t>BOX RETO EM ALUMINIO 1 1/4"</t>
  </si>
  <si>
    <t>BUCHA EM ALUMINIO 2"</t>
  </si>
  <si>
    <t>BOX RETO EM ALUMINIO 2"</t>
  </si>
  <si>
    <t>BUCHA EM ALUMINIO 3"</t>
  </si>
  <si>
    <t>BOX RETO EM ALUMINIO 3"</t>
  </si>
  <si>
    <t>BUCHA EM ALUMINIO 4"</t>
  </si>
  <si>
    <t>BOX RETO EM ALUMINIO 4"</t>
  </si>
  <si>
    <t xml:space="preserve">LUVA P/ ELETRODUTO RIGIDO 2"  PVC </t>
  </si>
  <si>
    <t xml:space="preserve">LUVA P/ ELETRODUTO RIGIDO 3"  PVC </t>
  </si>
  <si>
    <t xml:space="preserve">LUVA P/ ELETRODUTO RIGIDO 4"  PVC </t>
  </si>
  <si>
    <t xml:space="preserve">CURVA 90° P/ ELETRODUTO RIGIDO 2"  PVC </t>
  </si>
  <si>
    <t xml:space="preserve">CURVA 90° P/ ELETRODUTO RIGIDO 3"  PVC </t>
  </si>
  <si>
    <t xml:space="preserve">CURVA 90° P/ ELETRODUTO RIGIDO 4"  PVC </t>
  </si>
  <si>
    <t xml:space="preserve"> ELETRODUTO RIGIDO 2"  PVC (BARRA 3m)</t>
  </si>
  <si>
    <t xml:space="preserve"> ELETRODUTO RIGIDO 3"  PVC (BARRA 3m)</t>
  </si>
  <si>
    <t xml:space="preserve"> ELETRODUTO RIGIDO 4"  PVC (BARRA 3m)</t>
  </si>
  <si>
    <t>TIGRE</t>
  </si>
  <si>
    <t>ELETRODUTO CORRUGADO   1“ ø ROLO DE 25M</t>
  </si>
  <si>
    <t xml:space="preserve">*TUBULAÇÕES DE PRUMADAS </t>
  </si>
  <si>
    <t>ARAME GALVANIZADO Nº 18 ROLO COM 1 kg</t>
  </si>
  <si>
    <t>CINTA GALVANIZADA PERFURADA</t>
  </si>
  <si>
    <t>PARAFUSO PHILIPS + BUCHA PLÁSTICA (8mm²)</t>
  </si>
  <si>
    <t>LUVA  P/  ELETRODUTO RÍGIDO PVC 2"</t>
  </si>
  <si>
    <t xml:space="preserve">LUVA  P/  ELETRODUTO RÍGIDO PVC 1" </t>
  </si>
  <si>
    <t>CURVA  90° P/  ELETRODUTO RÍGIDO PVC  2"</t>
  </si>
  <si>
    <t>CURVA  90° P/  ELETRODUTO RÍGIDO PVC  1"</t>
  </si>
  <si>
    <t xml:space="preserve">ELETRODUTO RÍGIDO PVC  2" (BARRA 3m) </t>
  </si>
  <si>
    <t xml:space="preserve">ELETRODUTO RÍGIDO PVC  1" (BARRA 3m) </t>
  </si>
  <si>
    <t>ELETRODUTO CORRUGADO TIPO PEAD, CINZA REFORÇADO COM GUIA DE ARAME, 2” - ROLO DE 100 METROS</t>
  </si>
  <si>
    <t>ELETRODUTO CORRUGADO TIPO PEAD, CINZA REFORÇADO COM GUIA DE ARAME, 1 1/4” - ROLO DE 100 METROS</t>
  </si>
  <si>
    <t xml:space="preserve">*TUBULAÇÕES DE PAREDE </t>
  </si>
  <si>
    <t>ABRAÇADEIRA DE NYLON PRETA (5x390mm)  EMBALAGEM C/ 100uni</t>
  </si>
  <si>
    <t>ELETRODUTO CORRUGADO   ¾ “ ø ROLO DE 50M</t>
  </si>
  <si>
    <t>CAIXA 4X2" DE EMBUTIR P/ PISO</t>
  </si>
  <si>
    <t>CAIXA 4X2" DE EMBUTIR GAVANIZADA</t>
  </si>
  <si>
    <t>TRAMONTINA</t>
  </si>
  <si>
    <t>CAIXA 4X4" EM PVC DE EMBUTIR (AMARELA)  ANTI-CHAMA</t>
  </si>
  <si>
    <t>CAIXA 4X2" EM PVC DE EMBUTIR (AMARELA)  ANTI-CHAMA</t>
  </si>
  <si>
    <t>CANAFLEX</t>
  </si>
  <si>
    <t>ELETRODUTO FLEXÍVEL PEAD - , 1 1/4”ø CINZA REFORÇADO, COM GUIA DE ARAME GALVANIZADO , ROLO COM 100 M</t>
  </si>
  <si>
    <t xml:space="preserve">*TUBULAÇÕES DE LAJE </t>
  </si>
  <si>
    <t xml:space="preserve">TIGRE| AMARELA </t>
  </si>
  <si>
    <t>CAIXA OCTOGONAL  DE PVC, COM FURAÇÃO DE ¾” - FUNDO MÓVEL</t>
  </si>
  <si>
    <t>FISCHER</t>
  </si>
  <si>
    <t>ELETRODUTO PLANO FLEXÍVEL 1 “ø  ROLO DE 100M</t>
  </si>
  <si>
    <t>ELETRODUTO PLANO FLEXÍVEL   ¾ “ ø ROLO DE 100M</t>
  </si>
  <si>
    <t>▪ ENFIAÇÕES PRUMADAS + ENTRADA DE ENERGIA</t>
  </si>
  <si>
    <t>COR FIO</t>
  </si>
  <si>
    <t>CABO 95mm² FLEXÍVEL (1kV) EPR 90°C VERDE</t>
  </si>
  <si>
    <t>CABO 35mm² FLEXÍVEL (1kV) EPR 90°C VERDE</t>
  </si>
  <si>
    <t>CABO 70mm² FLEXÍVEL (1kV) EPR 90°C AZUL</t>
  </si>
  <si>
    <t>CABO 70mm² FLEXÍVEL (1kV) EPR 90°C PRETO</t>
  </si>
  <si>
    <t>CABO 70mm² FLEXÍVEL (1kV) EPR 90°C BRANCO</t>
  </si>
  <si>
    <t>CABO 70mm² FLEXÍVEL (1kV) EPR 90°C VERMELHO</t>
  </si>
  <si>
    <t>CABO 185mm² FLEXÍVEL (1kV) EPR 90°C AZUL</t>
  </si>
  <si>
    <t>CABO 185mm² FLEXÍVEL (1kV) EPR 90°C PRETO</t>
  </si>
  <si>
    <t>CABO 185mm² FLEXÍVEL (1kV) EPR 90°C BRANCO</t>
  </si>
  <si>
    <t>CABO 185mm² FLEXÍVEL (1kV) EPR 90°C VERMELHO</t>
  </si>
  <si>
    <t>CABO 25mm² FLEXÍVEL (1kV) EPR 90°C VERDE</t>
  </si>
  <si>
    <t>CABO 50mm² FLEXÍVEL (1kV) EPR 90°C AZUL</t>
  </si>
  <si>
    <t>CABO 50mm² FLEXÍVEL (1kV) EPR 90°C PRETO</t>
  </si>
  <si>
    <t>CABO 50mm² FLEXÍVEL (1kV) EPR 90°C BRANCO</t>
  </si>
  <si>
    <t>CABO 50mm² FLEXÍVEL (1kV) EPR 90°C VERMELHO</t>
  </si>
  <si>
    <t>RCM ou COR FIO</t>
  </si>
  <si>
    <t>CABO 16mm² FLEXÍVEL (750V) VERDE</t>
  </si>
  <si>
    <t>CABO 25mm² FLEXÍVEL (750V) AZUL</t>
  </si>
  <si>
    <t>CABO 25mm² FLEXÍVEL (750V) PRETO</t>
  </si>
  <si>
    <t xml:space="preserve">CABO 25mm² FLEXÍVEL (750V) BRANCO </t>
  </si>
  <si>
    <t>CABO 25mm² FLEXÍVEL (750V) VERMELHO</t>
  </si>
  <si>
    <t xml:space="preserve">CABO 10mm² FLEXÍVEL (750V) BRANCO </t>
  </si>
  <si>
    <t>▪ ENFIAÇÕES ILUMINAÇÃO DE EMERGÊNCIA -24/12Vcc</t>
  </si>
  <si>
    <t>CABO 4mm² FLEXÍVEL (750V)PRETO</t>
  </si>
  <si>
    <t>CABO 2.5mm² FLEXÍVEL (750V) VERMELHO</t>
  </si>
  <si>
    <t>CABO 2.5mm² FLEXÍVEL (750V)PRETO</t>
  </si>
  <si>
    <t>CABO 1.5mm² FLEXÍVEL (750V) VERMELHO</t>
  </si>
  <si>
    <t>CABO 1.5mm² FLEXÍVEL (750V)PRETO</t>
  </si>
  <si>
    <t>▪ ENFIAÇÕES HALL APTOS, ESCADARIA E CASA DE MÁQUINAS</t>
  </si>
  <si>
    <t>CABO 6mm² FLEXÍVEL (750V) VERDE</t>
  </si>
  <si>
    <t>CABO 6mm² FLEXÍVEL (750V) AZUL</t>
  </si>
  <si>
    <t>CABO 6mm² FLEXÍVEL (750V) VERMELHO</t>
  </si>
  <si>
    <t>CABO 1.5mm² FLEXÍVEL (750V) BRANCO</t>
  </si>
  <si>
    <t>CABO 1.5mm² FLEXÍVEL (750V) CINZA</t>
  </si>
  <si>
    <t>CABO 1.5mm² FLEXÍVEL (750V) AMARELO</t>
  </si>
  <si>
    <t>CABO 1.5mm² FLEXÍVEL (750V) VERDE</t>
  </si>
  <si>
    <t>CABO 1.5mm² FLEXÍVEL (750V) AZUL</t>
  </si>
  <si>
    <t>CABO 1.5mm² FLEXÍVEL (750V) PRETO</t>
  </si>
  <si>
    <t>CABO 2.5mm² FLEXÍVEL (750V) VERDE</t>
  </si>
  <si>
    <t>CABO 2.5mm² FLEXÍVEL (750V) AZUL</t>
  </si>
  <si>
    <t>▪ ENFIAÇÕES HALL DE ENTRADA, SALAS COMERCIAIS</t>
  </si>
  <si>
    <t>▪ ENFIAÇÕES LAZER 01 E 02</t>
  </si>
  <si>
    <t>▪ ENFIAÇÕES GARAGENS (GTÉRREO, G1, G2 E G3)</t>
  </si>
  <si>
    <t>▪ ENFIAÇÕES APARTAMENTOS</t>
  </si>
  <si>
    <t>CABO 1.5mm² FLEXIVEL (750V), ISOLAÇÃO EM SILICONE 300°C, BRANCO</t>
  </si>
  <si>
    <t>CABO 1.5mm² FLEXIVEL (750V), ISOLAÇÃO EM SILICONE 300°C, AZUL</t>
  </si>
  <si>
    <t>CABO 6mm² FLEXÍVEL (750V) VERDE-AMARELO</t>
  </si>
  <si>
    <t>CABO 4mm² FLEXÍVEL (750V) VERDE-AMARELO</t>
  </si>
  <si>
    <t>SIEMENS - VIVACE</t>
  </si>
  <si>
    <t xml:space="preserve">MÓDULO CEGO (EMBALAGEM C/ 01UNIDADE) </t>
  </si>
  <si>
    <t>▪ ACABAMENTOS TELECOMUNICAÇÕES</t>
  </si>
  <si>
    <t>TOMADA DE COMUNICAÇÃO - TELEFÔNICA (RJ11)</t>
  </si>
  <si>
    <t>TOMADA DE COMUNICAÇÃO - INFORMÁTICA (RJ45)</t>
  </si>
  <si>
    <t>TOMADA DE COMUNICAÇÃO - P/ CABO COAXIAL TERMINAL</t>
  </si>
  <si>
    <t>PLACA 4X4" |06 MÓDULOS</t>
  </si>
  <si>
    <t>PLACA 4X2" |03 MÓDULOS</t>
  </si>
  <si>
    <t>SUPORTE PARA MÓDULOS 4X4" |06 MÓDULOS</t>
  </si>
  <si>
    <t>SUPORTE PARA MÓDULOS 4X2" |03 MÓDULOS</t>
  </si>
  <si>
    <t>▪ ACABAMENTOS ELÉTRICOS</t>
  </si>
  <si>
    <t xml:space="preserve">MODULO PULSADOR C/ LUZ - LED </t>
  </si>
  <si>
    <t xml:space="preserve">MODULO PULSADOR | SIMBOLO CAMPANHIA </t>
  </si>
  <si>
    <t>MÓDULO CIGARRA ELETROMECÂNICA</t>
  </si>
  <si>
    <t>MÓDULO INTERRUPTOR PARALELO</t>
  </si>
  <si>
    <t xml:space="preserve">MÓDULO INTERRUPTOR SIMPLES </t>
  </si>
  <si>
    <t xml:space="preserve">MÓDULO TOMADA (2P+T - 10A) </t>
  </si>
  <si>
    <t>CUSTO TOTAL</t>
  </si>
  <si>
    <t>CUSTO UNITÁRIO</t>
  </si>
  <si>
    <t>MARCA / REFERÊNCIA</t>
  </si>
  <si>
    <t>PRODUTO</t>
  </si>
  <si>
    <t>UNID.</t>
  </si>
  <si>
    <t>QUANT.</t>
  </si>
  <si>
    <t>32x32x32mm</t>
  </si>
  <si>
    <t>Tê Normal, PPR Termofusão - Tigre</t>
  </si>
  <si>
    <t>05 - CONEXÕES - HIDRÁULICA AQ,,,</t>
  </si>
  <si>
    <t>32 x 25 x 32mm</t>
  </si>
  <si>
    <t>25 x 25 x 25mm</t>
  </si>
  <si>
    <t>32mm</t>
  </si>
  <si>
    <t>Joelho 90º, PPR Termofusão - Tigre</t>
  </si>
  <si>
    <t>25mm</t>
  </si>
  <si>
    <t xml:space="preserve"> 32mm x 1''</t>
  </si>
  <si>
    <t>Joelho 90º com Rosca Fêmea, PPR Termofusão - Tigre</t>
  </si>
  <si>
    <t>25mm x 3/4''</t>
  </si>
  <si>
    <t>25mm x 1/2''</t>
  </si>
  <si>
    <t>Joelho 45º, PPR Termofusão - Tigre</t>
  </si>
  <si>
    <t>Curva de Transposição, PPR Termofusão - Tigre</t>
  </si>
  <si>
    <t>Curva 90º, PPR Termofusão - Tigre</t>
  </si>
  <si>
    <t>32mm x 1'</t>
  </si>
  <si>
    <t>Conector Macho, PPR Termofusão - Tigre</t>
  </si>
  <si>
    <t>32 x 25mm</t>
  </si>
  <si>
    <t>Bucha de Redução, PPR Termofusão - Tigre</t>
  </si>
  <si>
    <t>25 x 20mm</t>
  </si>
  <si>
    <t>Ø32</t>
  </si>
  <si>
    <t>Tubo PPR rígido, cor verde, classe de pressão PN 20 - Tigre</t>
  </si>
  <si>
    <t>03 - CONEXÕES - HIDRÁULICA AF SOLDÁVEL</t>
  </si>
  <si>
    <t>Ø25</t>
  </si>
  <si>
    <t>110mm</t>
  </si>
  <si>
    <t>União Soldável, PVC Marrom, Água Fria - Tigre</t>
  </si>
  <si>
    <t>60x32mm</t>
  </si>
  <si>
    <t>Tê Soldável, PVC Marrom, Água Fria - Tigre</t>
  </si>
  <si>
    <t>75x60mm</t>
  </si>
  <si>
    <t>60x25mm</t>
  </si>
  <si>
    <t>50x25mm</t>
  </si>
  <si>
    <t>40x32mm</t>
  </si>
  <si>
    <t>40x25mm</t>
  </si>
  <si>
    <t>32x25mm</t>
  </si>
  <si>
    <t>85mm</t>
  </si>
  <si>
    <t>75mm</t>
  </si>
  <si>
    <t>60mm</t>
  </si>
  <si>
    <t>40mm</t>
  </si>
  <si>
    <t>Joelho 90º Soldável, PVC Marrom, Água Fria - Tigre</t>
  </si>
  <si>
    <t>50mm</t>
  </si>
  <si>
    <t>Joelho 90º Soldável com Bucha de Latão, PVC Marrom, Água Fria - Tigre</t>
  </si>
  <si>
    <t>Joelho 45º Soldável 20mm, PVC Marrom, Água Fria - TIGRE</t>
  </si>
  <si>
    <t>Joelho 45º Soldável 20mm, PVC Marrom, Água Fria - TIGRE,</t>
  </si>
  <si>
    <t>Curva de Transposição Soldável, PVC Marrom, Água Fria - Tigre</t>
  </si>
  <si>
    <t>Curva 90º Soldável, PVC Marrom, Água Fria - Tigre</t>
  </si>
  <si>
    <t>60 x 32mm</t>
  </si>
  <si>
    <t>Bucha de Redução Soldável Curta, PVC Marrom, Água Fria - Tigre</t>
  </si>
  <si>
    <t>110x 85mm</t>
  </si>
  <si>
    <t>85 x 75mm</t>
  </si>
  <si>
    <t>40 x 32mm</t>
  </si>
  <si>
    <t>2.1/2''</t>
  </si>
  <si>
    <t>Nípel Roscável, PVC Branco, Água Fria - Tigre</t>
  </si>
  <si>
    <t>02 - CONEXÕES - HIDRÁULICA AF ROSCÁVEL</t>
  </si>
  <si>
    <t>1/2"</t>
  </si>
  <si>
    <t>Joelho 90º Roscável com Bucha de Latão, PVC Branco, Água Fria - Tigre</t>
  </si>
  <si>
    <t>3/4'' x 1/2''</t>
  </si>
  <si>
    <t>3/4"</t>
  </si>
  <si>
    <t>Ø110</t>
  </si>
  <si>
    <t>Tubo PVC rígido, cor marrom, linha soldável - Tigre</t>
  </si>
  <si>
    <t>01 - TUBULAÇÕES - HIDRÁULICA AF</t>
  </si>
  <si>
    <t>Ø85</t>
  </si>
  <si>
    <t>Ø75</t>
  </si>
  <si>
    <t>Ø60</t>
  </si>
  <si>
    <t>Ø50</t>
  </si>
  <si>
    <t>Ø40</t>
  </si>
  <si>
    <t>100 x 100mm</t>
  </si>
  <si>
    <t>Tê, Esgoto SN - Tigre</t>
  </si>
  <si>
    <t>03 - CONEXÕES - ESGOTO E PLUVIAL</t>
  </si>
  <si>
    <t>75 x 50mm</t>
  </si>
  <si>
    <t>50 x 50mm</t>
  </si>
  <si>
    <t>100 x 50mm</t>
  </si>
  <si>
    <t>Tê , Esgoto SR - Tigre</t>
  </si>
  <si>
    <t>100mm</t>
  </si>
  <si>
    <t>Terminal de Ventilação, Esgoto SN - Tigre</t>
  </si>
  <si>
    <t>Produto Inexistente</t>
  </si>
  <si>
    <t>150mm</t>
  </si>
  <si>
    <t>Luva Simples - Esgoto SR - Tigre</t>
  </si>
  <si>
    <t>Luva Simples - Esgoto SN - Tigre</t>
  </si>
  <si>
    <t>Luva de Correr, Esgoto SN - Tigre</t>
  </si>
  <si>
    <t>150 x 150mm</t>
  </si>
  <si>
    <t>Junção Simples, Esgoto SR - Tigre</t>
  </si>
  <si>
    <t>150 x 100mm</t>
  </si>
  <si>
    <t>100 x 75mm</t>
  </si>
  <si>
    <t>150x 100mm</t>
  </si>
  <si>
    <t>Junção Simples, Esgoto SN - Tigre</t>
  </si>
  <si>
    <t>75 x 75mm</t>
  </si>
  <si>
    <t>Joelho 90º com Anel, Esgoto SN - Tigre</t>
  </si>
  <si>
    <t>Joelho 90º - Esgoto SR - Tigre</t>
  </si>
  <si>
    <t>Joelho 90º - Esgoto SN - Tigre</t>
  </si>
  <si>
    <t>Joelho 45º para Pé de Coluna, Esgoto SR - Tigre</t>
  </si>
  <si>
    <t>Joelho 45º - Esgoto SR - Tigre</t>
  </si>
  <si>
    <t>Joelho 45º - Esgoto SN - Tigre</t>
  </si>
  <si>
    <t>Curva 90º Curta, Esgoto SN - Tigre</t>
  </si>
  <si>
    <t>Curva 45º Longa, Esgoto SN - Tigre</t>
  </si>
  <si>
    <t>Cap, Esgoto SR - Tigre</t>
  </si>
  <si>
    <t>Cap, Esgoto SN - Tigre</t>
  </si>
  <si>
    <t>Bucha de Redução Longa, Esgoto SR - Tigre</t>
  </si>
  <si>
    <t>Bucha de Redução Longa, Esgoto SN - Tigre</t>
  </si>
  <si>
    <t>50 x 40mm</t>
  </si>
  <si>
    <t>Ø150</t>
  </si>
  <si>
    <t xml:space="preserve">Tubo PVC rígido, cor bege pérola, linha Esgoto SR </t>
  </si>
  <si>
    <t>02 - TUBULAÇÕES - REFORÇADA - ESGOTO E PLUVIAL</t>
  </si>
  <si>
    <t>Ø100</t>
  </si>
  <si>
    <t>Ø200</t>
  </si>
  <si>
    <t xml:space="preserve">Tubo PVC rígido, cor branca, linha Esgoto SN </t>
  </si>
  <si>
    <t>01 - TUBULAÇÕES - NORMAL - ESGOTO E PLUVIAL</t>
  </si>
  <si>
    <t>Impermeabilização de fundação</t>
  </si>
  <si>
    <t>Regularização de superfície para impermeabilização / Central de gás / lixeira</t>
  </si>
  <si>
    <t>Proteção mecânica de superfície com argamassa de cimento e areia, traço 1:3 E=5cm / Piscinas e Sacadas</t>
  </si>
  <si>
    <t>INSTALAÇÕES PREVENTIVAS</t>
  </si>
  <si>
    <t>Hidrantes</t>
  </si>
  <si>
    <t>Sistema de Sprinkler</t>
  </si>
  <si>
    <t xml:space="preserve">Sinalização de emergência e extintores </t>
  </si>
  <si>
    <t>Central de Alarmes</t>
  </si>
  <si>
    <t>Sistema de bombas</t>
  </si>
  <si>
    <t>Mão de obra Hidrantes</t>
  </si>
  <si>
    <t>Mão de Obra - Sprinkler</t>
  </si>
  <si>
    <t>Mão de Obra - Sinalização de emergência e extintores</t>
  </si>
  <si>
    <t>Mão de Obra - Sistemas de Central de Alarme</t>
  </si>
  <si>
    <t>INSTALAÇÕES DE GÁS</t>
  </si>
  <si>
    <t>INSTALAÇÕES DE COMUNICAÇÕES</t>
  </si>
  <si>
    <t>Medidores</t>
  </si>
  <si>
    <t>Central de Gás</t>
  </si>
  <si>
    <t>Rede Primária</t>
  </si>
  <si>
    <t>Rede Secundária</t>
  </si>
  <si>
    <t>Sistema de Comunicações</t>
  </si>
  <si>
    <t>Automações</t>
  </si>
  <si>
    <t>Sistema de Reuso</t>
  </si>
  <si>
    <t>Instalações De Gás</t>
  </si>
  <si>
    <t>OBRA</t>
  </si>
  <si>
    <t>Revestimento em Porcelanato amadeirado 19x117cm para Piso, rejunte cimentício, aplicação em áreas comuns internas</t>
  </si>
  <si>
    <t>Serviços Técnicos</t>
  </si>
  <si>
    <t>Equipamento de ar condicionado</t>
  </si>
  <si>
    <t>Verba complementar - Instalações de água fria</t>
  </si>
  <si>
    <t>Verba complementar - Instalações de água quente</t>
  </si>
  <si>
    <t>Verba complementar - Esgoto e pluviais</t>
  </si>
  <si>
    <t>*Cliente Só entrega Louças nas áreas Privativas</t>
  </si>
  <si>
    <t>Tela soldada para ligacao emboço/estrutura - últimos três pavimentos</t>
  </si>
  <si>
    <t>Junta de movimentação em emboço - primeiros dois pavimentos</t>
  </si>
  <si>
    <t>1.15.2</t>
  </si>
  <si>
    <t>Estucamento em teto</t>
  </si>
  <si>
    <t>Sinalização de Obra</t>
  </si>
  <si>
    <t>Aba Bases</t>
  </si>
  <si>
    <t>Revestimento em Cerâmicas Paredes Interna, 60x 60cm com Junta de 3mm</t>
  </si>
  <si>
    <t>Corrimão Inox (m)</t>
  </si>
  <si>
    <t>Guarda Corpo de aluminio h=110cm</t>
  </si>
  <si>
    <t>Sistemas de Geradores</t>
  </si>
  <si>
    <t>Alterado para compor o preço de 137,00/m2, como solicitado pelo cliente</t>
  </si>
  <si>
    <t>Alterado para 76mil conforme informado cliente</t>
  </si>
  <si>
    <t>Cotação Dalcomad, recebido do cliente.</t>
  </si>
  <si>
    <t>Revestimento de cerâmico retificado em Paredes, Placa 60,5 x 60,5cm com Junta de 2mm</t>
  </si>
  <si>
    <t>Alterado para revestimento cerâmico retificado custo 29,90/m2 + 9kg de argamassa/m2 + espaçador e 0,5kg de rejunte</t>
  </si>
  <si>
    <t>Alterado para cotação do cliente</t>
  </si>
  <si>
    <t>Custos com fundação Profunda</t>
  </si>
  <si>
    <t>Custo incorrido informado pelo cliente</t>
  </si>
  <si>
    <t>Armação para fundandação</t>
  </si>
  <si>
    <t>Concreto Usinado para fundação</t>
  </si>
  <si>
    <t xml:space="preserve">Movimentação de terra	</t>
  </si>
  <si>
    <t>Movimentação de Terra + Aterramentos</t>
  </si>
  <si>
    <t>Custo empreiteiro rateado</t>
  </si>
  <si>
    <t>Impermeabilização De Superfície Com Manta Asfáltica, Uma Camada, Inclusive Aplicação De Primer Asfáltico</t>
  </si>
  <si>
    <t>Impermeabilização de Esquadrias</t>
  </si>
  <si>
    <t>Impermeabilização com manta liquida em peitoris</t>
  </si>
  <si>
    <t>Impermeabilização de banheiro, cozinha, sacada, áreas técnicas, serviço e lazer</t>
  </si>
  <si>
    <t>Impermeabilização De Superfície Com Argamassa Polimérica / Membrana Acrílica, 3 Demãos</t>
  </si>
  <si>
    <t>Impermeabilização de Cisternas</t>
  </si>
  <si>
    <t>Impermeabilização de Piscina, Terraços</t>
  </si>
  <si>
    <t>Impermeabilização de Floreiras</t>
  </si>
  <si>
    <t>Impermeabilização de Fosso Elevador</t>
  </si>
  <si>
    <t>Impermeabilização de Reservatórios</t>
  </si>
  <si>
    <t>Mão de obra impermeabilização com manta liquida em peitoris</t>
  </si>
  <si>
    <t>Custo terceirizado</t>
  </si>
  <si>
    <t>Revestimento de Piso Porcelanato Polido, Placa 60x60cm</t>
  </si>
  <si>
    <t>Alterado para 60x60, com rejunte, espaçador e argamassa. Áreas de conforme o extração do visus.</t>
  </si>
  <si>
    <t>Custo atualizado com cotação recente.</t>
  </si>
  <si>
    <t>Exaustor Mecanico para banheiros enclausurados</t>
  </si>
  <si>
    <t>Gerenciamento Administrativo</t>
  </si>
  <si>
    <t>00_GENERICA_PAREDE EXTERNA - DET. ARQUITETONICO EPS 30 cm</t>
  </si>
  <si>
    <t>00_GENERICA_PAREDE EXTERNA - DET. ARQUITETONICO EPS 50 cm</t>
  </si>
  <si>
    <t>Moldura em EPS para Fachada 0,30cm</t>
  </si>
  <si>
    <t>Moldura em EPS para Fachada 0,50cm</t>
  </si>
  <si>
    <t>MOLDURA PERFIL DE ALUMINIO</t>
  </si>
  <si>
    <t>1.31.2.2</t>
  </si>
  <si>
    <t>1.31.3.2</t>
  </si>
  <si>
    <t>1.31.4.2</t>
  </si>
  <si>
    <t>1.31.5.3</t>
  </si>
  <si>
    <t>1.31.5.4</t>
  </si>
  <si>
    <t>1.31.5.5</t>
  </si>
  <si>
    <t>MOLDURA DE EPS</t>
  </si>
  <si>
    <t>1.31.7.2</t>
  </si>
  <si>
    <t>1.31.8.2</t>
  </si>
  <si>
    <t>1.31.10.2</t>
  </si>
  <si>
    <t>1.31.11.2</t>
  </si>
  <si>
    <t>1.31.11.3</t>
  </si>
  <si>
    <t>1.31.12.2</t>
  </si>
  <si>
    <t>1.31.12.3</t>
  </si>
  <si>
    <t>1.31.13.1</t>
  </si>
  <si>
    <t>1.31.13.2</t>
  </si>
  <si>
    <t>1.31.13.3</t>
  </si>
  <si>
    <t>1.31.14.</t>
  </si>
  <si>
    <t>1.31.14.1</t>
  </si>
  <si>
    <t>1.31.14.2</t>
  </si>
  <si>
    <t>1.31.15.</t>
  </si>
  <si>
    <t>1.31.15.1</t>
  </si>
  <si>
    <t>1.31.15.2</t>
  </si>
  <si>
    <t>1.31.16.</t>
  </si>
  <si>
    <t>1.31.16.1</t>
  </si>
  <si>
    <t>1.31.16.2</t>
  </si>
  <si>
    <t>1.31.17.</t>
  </si>
  <si>
    <t>1.31.17.1</t>
  </si>
  <si>
    <t>1.31.17.2</t>
  </si>
  <si>
    <t>1.31.18.</t>
  </si>
  <si>
    <t>1.31.18.1</t>
  </si>
  <si>
    <t>1.31.18.2</t>
  </si>
  <si>
    <t>1.31.19.1</t>
  </si>
  <si>
    <t>1.31.19.2</t>
  </si>
  <si>
    <t>1.31.19.3</t>
  </si>
  <si>
    <t>1.31.19.4</t>
  </si>
  <si>
    <t>*Chapisco com ACIII</t>
  </si>
  <si>
    <t>*Chapisco aplicado com desempenadeira dentada</t>
  </si>
  <si>
    <t>R03</t>
  </si>
  <si>
    <t>R03 - Valquiria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</si>
</sst>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R$&quot;\ * #,##0.00_-;\-&quot;R$&quot;\ * #,##0.00_-;_-&quot;R$&quot;\ * &quot;-&quot;??_-;_-@_-"/>
    <numFmt numFmtId="43" formatCode="_-* #,##0.00_-;\-* #,##0.00_-;_-* &quot;-&quot;??_-;_-@_-"/>
    <numFmt numFmtId="164" formatCode="_-* #,##0.00_-;\-* #,##0.00_-;_-* &quot;-&quot;??_-;_-@"/>
    <numFmt numFmtId="165" formatCode="_-&quot;R$&quot;\ * #,##0.00_-;\-&quot;R$&quot;\ * #,##0.00_-;_-&quot;R$&quot;\ * &quot;-&quot;??_-;_-@"/>
    <numFmt numFmtId="166" formatCode="_(* #,##0.00_);_(* \(#,##0.00\);_(* &quot;-&quot;??_);_(@_)"/>
    <numFmt numFmtId="167" formatCode="dd/mm/yy;@"/>
    <numFmt numFmtId="168" formatCode="_(* #,##0.0000_);_(* \(#,##0.0000\);_(* &quot;-&quot;??_);_(@_)"/>
    <numFmt numFmtId="169" formatCode="#,##0.0000"/>
    <numFmt numFmtId="170" formatCode="_(&quot;R$&quot;* #,##0.00_);_(&quot;R$&quot;* \(#,##0.00\);_(&quot;R$&quot;* &quot;-&quot;??_);_(@_)"/>
    <numFmt numFmtId="171" formatCode="[$-416]mmm\-yy;@"/>
    <numFmt numFmtId="172" formatCode="0#"/>
    <numFmt numFmtId="173" formatCode="00#"/>
    <numFmt numFmtId="174" formatCode="0.0"/>
    <numFmt numFmtId="175" formatCode="_-* #,##0_-;\-* #,##0_-;_-* &quot;-&quot;??_-;_-@_-"/>
    <numFmt numFmtId="176" formatCode="_-* #,##0.0_-;\-* #,##0.0_-;_-* &quot;-&quot;??_-;_-@_-"/>
    <numFmt numFmtId="177" formatCode="#,##0.0"/>
    <numFmt numFmtId="178" formatCode="_(* #,##0_);_(* \(#,##0\);_(* &quot;-&quot;??_);_(@_)"/>
    <numFmt numFmtId="179" formatCode="0.0000%"/>
    <numFmt numFmtId="180" formatCode="_(* #,##0.000000_);_(* \(#,##0.000000\);_(* &quot;-&quot;??_);_(@_)"/>
    <numFmt numFmtId="181" formatCode="#,##0.00000"/>
  </numFmts>
  <fonts count="1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121212"/>
      <name val="Poppins"/>
    </font>
    <font>
      <sz val="10"/>
      <color rgb="FF121212"/>
      <name val="Poppins"/>
    </font>
    <font>
      <sz val="11"/>
      <color theme="1"/>
      <name val="Poppins"/>
    </font>
    <font>
      <sz val="11"/>
      <name val="Calibri"/>
      <family val="2"/>
    </font>
    <font>
      <sz val="11"/>
      <color rgb="FF121212"/>
      <name val="Poppins"/>
    </font>
    <font>
      <sz val="8"/>
      <color rgb="FF121212"/>
      <name val="Poppins"/>
    </font>
    <font>
      <b/>
      <sz val="8"/>
      <color theme="0"/>
      <name val="Poppins"/>
    </font>
    <font>
      <sz val="8"/>
      <color theme="1"/>
      <name val="Poppins"/>
    </font>
    <font>
      <sz val="11"/>
      <color theme="1"/>
      <name val="Calibri"/>
      <family val="2"/>
    </font>
    <font>
      <sz val="11"/>
      <color theme="1"/>
      <name val="Calibri"/>
      <family val="2"/>
      <scheme val="minor"/>
    </font>
    <font>
      <b/>
      <sz val="8"/>
      <color rgb="FF121212"/>
      <name val="Poppins"/>
    </font>
    <font>
      <b/>
      <sz val="11"/>
      <color theme="1"/>
      <name val="Calibri"/>
      <family val="2"/>
    </font>
    <font>
      <sz val="8"/>
      <name val="Calibri"/>
      <family val="2"/>
      <scheme val="minor"/>
    </font>
    <font>
      <sz val="12"/>
      <name val="Calibri"/>
      <family val="2"/>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name val="Arial"/>
      <family val="2"/>
    </font>
    <font>
      <sz val="14"/>
      <name val="Arial"/>
      <family val="2"/>
    </font>
    <font>
      <b/>
      <sz val="8"/>
      <name val="Arial"/>
      <family val="2"/>
    </font>
    <font>
      <sz val="8"/>
      <name val="Arial"/>
      <family val="2"/>
    </font>
    <font>
      <sz val="9.5"/>
      <name val="Calibri"/>
      <family val="2"/>
      <scheme val="minor"/>
    </font>
    <font>
      <b/>
      <sz val="9"/>
      <name val="Calibri"/>
      <family val="2"/>
      <scheme val="minor"/>
    </font>
    <font>
      <sz val="9"/>
      <name val="Calibri"/>
      <family val="2"/>
      <scheme val="minor"/>
    </font>
    <font>
      <b/>
      <sz val="9.5"/>
      <name val="Calibri"/>
      <family val="2"/>
      <scheme val="minor"/>
    </font>
    <font>
      <sz val="10"/>
      <name val="Calibri"/>
      <family val="2"/>
      <scheme val="minor"/>
    </font>
    <font>
      <b/>
      <sz val="10"/>
      <color theme="0"/>
      <name val="Calibri"/>
      <family val="2"/>
      <scheme val="minor"/>
    </font>
    <font>
      <b/>
      <sz val="8"/>
      <color theme="0"/>
      <name val="Calibri"/>
      <family val="2"/>
      <scheme val="minor"/>
    </font>
    <font>
      <b/>
      <sz val="9"/>
      <color theme="0"/>
      <name val="Calibri"/>
      <family val="2"/>
      <scheme val="minor"/>
    </font>
    <font>
      <b/>
      <sz val="8"/>
      <name val="Calibri"/>
      <family val="2"/>
      <scheme val="minor"/>
    </font>
    <font>
      <b/>
      <sz val="10"/>
      <color theme="0"/>
      <name val="Arial"/>
      <family val="2"/>
    </font>
    <font>
      <b/>
      <sz val="12"/>
      <color theme="0"/>
      <name val="Arial"/>
      <family val="2"/>
    </font>
    <font>
      <b/>
      <sz val="12"/>
      <color indexed="8"/>
      <name val="Arial"/>
      <family val="2"/>
    </font>
    <font>
      <sz val="10"/>
      <color indexed="8"/>
      <name val="MS Sans Serif"/>
    </font>
    <font>
      <sz val="9"/>
      <color indexed="81"/>
      <name val="Segoe UI"/>
      <family val="2"/>
    </font>
    <font>
      <b/>
      <sz val="9"/>
      <color indexed="81"/>
      <name val="Segoe UI"/>
      <family val="2"/>
    </font>
    <font>
      <b/>
      <sz val="14"/>
      <color theme="0"/>
      <name val="Calibri"/>
      <family val="2"/>
      <scheme val="minor"/>
    </font>
    <font>
      <b/>
      <sz val="8"/>
      <color rgb="FFFF0000"/>
      <name val="Poppins"/>
    </font>
    <font>
      <sz val="8"/>
      <name val="Poppins"/>
    </font>
    <font>
      <sz val="1"/>
      <color theme="1"/>
      <name val="Calibri"/>
      <family val="2"/>
      <scheme val="minor"/>
    </font>
    <font>
      <sz val="8"/>
      <color theme="1"/>
      <name val="Calibri"/>
      <family val="2"/>
      <scheme val="minor"/>
    </font>
    <font>
      <sz val="10"/>
      <color theme="8" tint="-0.499984740745262"/>
      <name val="Calibri"/>
      <family val="2"/>
      <scheme val="minor"/>
    </font>
    <font>
      <b/>
      <sz val="10"/>
      <name val="Calibri"/>
      <family val="2"/>
      <scheme val="minor"/>
    </font>
    <font>
      <b/>
      <sz val="10"/>
      <color theme="8" tint="-0.499984740745262"/>
      <name val="Calibri"/>
      <family val="2"/>
      <scheme val="minor"/>
    </font>
    <font>
      <sz val="8"/>
      <color rgb="FF121212"/>
      <name val="Calibri"/>
      <family val="2"/>
      <scheme val="minor"/>
    </font>
    <font>
      <i/>
      <sz val="8"/>
      <color rgb="FF121212"/>
      <name val="Calibri"/>
      <family val="2"/>
      <scheme val="minor"/>
    </font>
    <font>
      <b/>
      <sz val="15"/>
      <color theme="0"/>
      <name val="Poppins"/>
    </font>
    <font>
      <sz val="12"/>
      <color theme="1"/>
      <name val="Arial"/>
      <family val="2"/>
    </font>
    <font>
      <sz val="10"/>
      <color theme="1"/>
      <name val="Arial"/>
      <family val="2"/>
    </font>
    <font>
      <sz val="1"/>
      <color theme="1"/>
      <name val="Arial"/>
      <family val="2"/>
    </font>
    <font>
      <sz val="12"/>
      <name val="Arial"/>
      <family val="2"/>
    </font>
    <font>
      <sz val="14"/>
      <color rgb="FF121212"/>
      <name val="Poppins"/>
    </font>
    <font>
      <b/>
      <sz val="14"/>
      <color rgb="FF121212"/>
      <name val="Poppins"/>
    </font>
    <font>
      <b/>
      <sz val="18"/>
      <color theme="0"/>
      <name val="Poppins"/>
    </font>
    <font>
      <u/>
      <sz val="11"/>
      <color theme="10"/>
      <name val="Calibri"/>
      <family val="2"/>
      <scheme val="minor"/>
    </font>
    <font>
      <sz val="11"/>
      <color theme="1"/>
      <name val="Arial Narrow"/>
      <family val="2"/>
    </font>
    <font>
      <sz val="10"/>
      <color theme="1"/>
      <name val="Roboto"/>
    </font>
    <font>
      <sz val="5"/>
      <color theme="1"/>
      <name val="Arial Narrow"/>
      <family val="2"/>
    </font>
    <font>
      <b/>
      <sz val="5"/>
      <color theme="1"/>
      <name val="Roboto"/>
    </font>
    <font>
      <sz val="5"/>
      <color theme="1"/>
      <name val="Roboto"/>
    </font>
    <font>
      <b/>
      <sz val="5"/>
      <color rgb="FF121212"/>
      <name val="Roboto"/>
    </font>
    <font>
      <b/>
      <sz val="10"/>
      <color theme="1"/>
      <name val="Arial"/>
      <family val="2"/>
    </font>
    <font>
      <b/>
      <sz val="10"/>
      <name val="Arial"/>
      <family val="2"/>
    </font>
    <font>
      <u/>
      <sz val="10"/>
      <color theme="10"/>
      <name val="Arial"/>
      <family val="2"/>
    </font>
    <font>
      <sz val="8"/>
      <color rgb="FFFF0000"/>
      <name val="Poppins"/>
    </font>
    <font>
      <sz val="8"/>
      <color theme="0" tint="-0.249977111117893"/>
      <name val="Arial"/>
      <family val="2"/>
    </font>
    <font>
      <sz val="9.5"/>
      <color theme="0" tint="-0.249977111117893"/>
      <name val="Calibri"/>
      <family val="2"/>
      <scheme val="minor"/>
    </font>
    <font>
      <sz val="8"/>
      <color theme="0" tint="-0.499984740745262"/>
      <name val="Calibri"/>
      <family val="2"/>
      <scheme val="minor"/>
    </font>
    <font>
      <sz val="8"/>
      <color theme="0" tint="-0.499984740745262"/>
      <name val="Arial"/>
      <family val="2"/>
    </font>
    <font>
      <sz val="8"/>
      <color rgb="FFFF0000"/>
      <name val="Calibri"/>
      <family val="2"/>
      <scheme val="minor"/>
    </font>
    <font>
      <sz val="8"/>
      <color rgb="FF000000"/>
      <name val="Calibri"/>
      <family val="2"/>
      <scheme val="minor"/>
    </font>
    <font>
      <b/>
      <sz val="11"/>
      <color rgb="FFFF0000"/>
      <name val="Calibri"/>
      <family val="2"/>
      <scheme val="minor"/>
    </font>
    <font>
      <b/>
      <sz val="12"/>
      <color theme="4" tint="-0.249977111117893"/>
      <name val="Calibri"/>
      <family val="2"/>
      <scheme val="minor"/>
    </font>
    <font>
      <b/>
      <sz val="10"/>
      <color theme="1"/>
      <name val="Calibri"/>
      <family val="2"/>
      <scheme val="minor"/>
    </font>
    <font>
      <sz val="11"/>
      <color theme="1"/>
      <name val="Symbol"/>
      <family val="1"/>
      <charset val="2"/>
    </font>
    <font>
      <sz val="10"/>
      <color theme="1"/>
      <name val="Calibri"/>
      <family val="2"/>
      <scheme val="minor"/>
    </font>
    <font>
      <sz val="10"/>
      <color theme="1"/>
      <name val="Symbol"/>
      <family val="1"/>
      <charset val="2"/>
    </font>
    <font>
      <sz val="10"/>
      <color rgb="FF000000"/>
      <name val="Calibri"/>
      <family val="2"/>
    </font>
    <font>
      <sz val="10"/>
      <color theme="1"/>
      <name val="Calibri"/>
      <family val="2"/>
    </font>
    <font>
      <sz val="8"/>
      <name val="Trebuchet MS"/>
      <family val="2"/>
    </font>
    <font>
      <sz val="10"/>
      <name val="Arial"/>
      <family val="2"/>
    </font>
    <font>
      <sz val="10"/>
      <name val="MS Sans Serif"/>
      <family val="2"/>
    </font>
    <font>
      <b/>
      <sz val="8"/>
      <color theme="0"/>
      <name val="Arial"/>
      <family val="2"/>
    </font>
    <font>
      <b/>
      <sz val="9"/>
      <color rgb="FFD23200"/>
      <name val="Calibri"/>
      <family val="2"/>
      <scheme val="minor"/>
    </font>
    <font>
      <sz val="9"/>
      <color rgb="FFFF0000"/>
      <name val="Calibri"/>
      <family val="2"/>
      <scheme val="minor"/>
    </font>
    <font>
      <sz val="9"/>
      <color rgb="FF0000FF"/>
      <name val="Calibri"/>
      <family val="2"/>
      <scheme val="minor"/>
    </font>
    <font>
      <b/>
      <sz val="9"/>
      <color indexed="12"/>
      <name val="Calibri"/>
      <family val="2"/>
      <scheme val="minor"/>
    </font>
    <font>
      <sz val="9"/>
      <color indexed="12"/>
      <name val="Calibri"/>
      <family val="2"/>
      <scheme val="minor"/>
    </font>
    <font>
      <b/>
      <sz val="12"/>
      <color theme="0"/>
      <name val="Calibri"/>
      <family val="2"/>
      <scheme val="minor"/>
    </font>
    <font>
      <sz val="9"/>
      <color theme="0"/>
      <name val="Calibri"/>
      <family val="2"/>
      <scheme val="minor"/>
    </font>
    <font>
      <sz val="10"/>
      <color theme="0"/>
      <name val="Calibri"/>
      <family val="2"/>
      <scheme val="minor"/>
    </font>
    <font>
      <b/>
      <sz val="9"/>
      <name val="Arial"/>
      <family val="2"/>
    </font>
    <font>
      <b/>
      <sz val="9"/>
      <color rgb="FFC00000"/>
      <name val="Calibri"/>
      <family val="2"/>
      <scheme val="minor"/>
    </font>
    <font>
      <sz val="8"/>
      <color indexed="12"/>
      <name val="Arial"/>
      <family val="2"/>
    </font>
    <font>
      <sz val="8"/>
      <color theme="0"/>
      <name val="Calibri"/>
      <family val="2"/>
      <scheme val="minor"/>
    </font>
    <font>
      <sz val="8"/>
      <color indexed="81"/>
      <name val="Tahoma"/>
      <family val="2"/>
    </font>
    <font>
      <sz val="8"/>
      <name val="Calibri"/>
      <family val="2"/>
      <scheme val="minor"/>
    </font>
    <font>
      <sz val="10"/>
      <color rgb="FF1A1A1A"/>
      <name val="Dosis"/>
    </font>
    <font>
      <sz val="10"/>
      <color theme="0"/>
      <name val="Arial"/>
      <family val="2"/>
    </font>
    <font>
      <sz val="14"/>
      <color theme="1"/>
      <name val="Arial"/>
      <family val="2"/>
    </font>
    <font>
      <b/>
      <sz val="11"/>
      <color theme="0"/>
      <name val="Calibri"/>
      <family val="2"/>
      <scheme val="minor"/>
    </font>
    <font>
      <sz val="11"/>
      <color theme="1"/>
      <name val="Calibri"/>
      <family val="2"/>
      <scheme val="minor"/>
    </font>
  </fonts>
  <fills count="42">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255AE5"/>
        <bgColor rgb="FF255AE5"/>
      </patternFill>
    </fill>
    <fill>
      <patternFill patternType="solid">
        <fgColor rgb="FFFFFF00"/>
        <bgColor rgb="FFFFFF00"/>
      </patternFill>
    </fill>
    <fill>
      <patternFill patternType="solid">
        <fgColor rgb="FFA5A5A5"/>
        <bgColor rgb="FFA5A5A5"/>
      </patternFill>
    </fill>
    <fill>
      <patternFill patternType="solid">
        <fgColor rgb="FF7F7F7F"/>
        <bgColor rgb="FF7F7F7F"/>
      </patternFill>
    </fill>
    <fill>
      <patternFill patternType="solid">
        <fgColor rgb="FFBFBFBF"/>
        <bgColor rgb="FFBFBFBF"/>
      </patternFill>
    </fill>
    <fill>
      <patternFill patternType="solid">
        <fgColor rgb="FF3F3F3F"/>
        <bgColor rgb="FF3F3F3F"/>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rgb="FF1851D6"/>
        <bgColor indexed="64"/>
      </patternFill>
    </fill>
    <fill>
      <patternFill patternType="solid">
        <fgColor rgb="FF29292F"/>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tint="-0.14999847407452621"/>
        <bgColor theme="0"/>
      </patternFill>
    </fill>
    <fill>
      <patternFill patternType="solid">
        <fgColor theme="0"/>
        <bgColor rgb="FFDCDCDC"/>
      </patternFill>
    </fill>
    <fill>
      <patternFill patternType="solid">
        <fgColor theme="0" tint="-9.9978637043366805E-2"/>
        <bgColor theme="0"/>
      </patternFill>
    </fill>
    <fill>
      <patternFill patternType="solid">
        <fgColor rgb="FF3F3F3F"/>
        <bgColor indexed="64"/>
      </patternFill>
    </fill>
    <fill>
      <patternFill patternType="solid">
        <fgColor rgb="FF121212"/>
        <bgColor indexed="64"/>
      </patternFill>
    </fill>
    <fill>
      <patternFill patternType="solid">
        <fgColor theme="1"/>
        <bgColor rgb="FFFC3400"/>
      </patternFill>
    </fill>
    <fill>
      <patternFill patternType="solid">
        <fgColor rgb="FFFFFF00"/>
        <bgColor indexed="64"/>
      </patternFill>
    </fill>
    <fill>
      <patternFill patternType="mediumGray">
        <fgColor indexed="9"/>
        <bgColor indexed="22"/>
      </patternFill>
    </fill>
    <fill>
      <patternFill patternType="solid">
        <fgColor indexed="9"/>
        <bgColor indexed="64"/>
      </patternFill>
    </fill>
    <fill>
      <patternFill patternType="solid">
        <fgColor rgb="FF29292F"/>
        <bgColor rgb="FF3F3F3F"/>
      </patternFill>
    </fill>
    <fill>
      <patternFill patternType="solid">
        <fgColor rgb="FF29292F"/>
        <bgColor rgb="FFA6A6A6"/>
      </patternFill>
    </fill>
    <fill>
      <patternFill patternType="solid">
        <fgColor theme="0" tint="-0.14999847407452621"/>
        <bgColor indexed="9"/>
      </patternFill>
    </fill>
    <fill>
      <patternFill patternType="solid">
        <fgColor indexed="9"/>
        <bgColor indexed="26"/>
      </patternFill>
    </fill>
    <fill>
      <patternFill patternType="solid">
        <fgColor theme="2" tint="-0.249977111117893"/>
        <bgColor indexed="64"/>
      </patternFill>
    </fill>
    <fill>
      <patternFill patternType="solid">
        <fgColor rgb="FF800080"/>
        <bgColor indexed="64"/>
      </patternFill>
    </fill>
    <fill>
      <patternFill patternType="solid">
        <fgColor rgb="FF571078"/>
        <bgColor indexed="64"/>
      </patternFill>
    </fill>
    <fill>
      <patternFill patternType="solid">
        <fgColor rgb="FFA077B5"/>
        <bgColor indexed="64"/>
      </patternFill>
    </fill>
    <fill>
      <patternFill patternType="solid">
        <fgColor rgb="FFF6F4F6"/>
        <bgColor indexed="64"/>
      </patternFill>
    </fill>
    <fill>
      <patternFill patternType="solid">
        <fgColor rgb="FF989DD0"/>
        <bgColor indexed="64"/>
      </patternFill>
    </fill>
    <fill>
      <patternFill patternType="solid">
        <fgColor rgb="FFFF0000"/>
        <bgColor indexed="64"/>
      </patternFill>
    </fill>
    <fill>
      <patternFill patternType="solid">
        <fgColor theme="4" tint="-0.249977111117893"/>
        <bgColor indexed="64"/>
      </patternFill>
    </fill>
    <fill>
      <patternFill patternType="solid">
        <fgColor theme="1"/>
        <bgColor indexed="64"/>
      </patternFill>
    </fill>
    <fill>
      <patternFill patternType="solid">
        <fgColor rgb="FF00B0F0"/>
        <bgColor indexed="64"/>
      </patternFill>
    </fill>
  </fills>
  <borders count="285">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diagonal/>
    </border>
    <border>
      <left/>
      <right style="medium">
        <color rgb="FF000000"/>
      </right>
      <top style="thin">
        <color rgb="FF000000"/>
      </top>
      <bottom style="thin">
        <color rgb="FF000000"/>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hair">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rgb="FF000000"/>
      </right>
      <top style="hair">
        <color rgb="FF000000"/>
      </top>
      <bottom style="hair">
        <color rgb="FF000000"/>
      </bottom>
      <diagonal/>
    </border>
    <border>
      <left style="medium">
        <color indexed="64"/>
      </left>
      <right style="thin">
        <color rgb="FF000000"/>
      </right>
      <top style="hair">
        <color rgb="FF000000"/>
      </top>
      <bottom style="hair">
        <color rgb="FF000000"/>
      </bottom>
      <diagonal/>
    </border>
    <border>
      <left style="thin">
        <color rgb="FF000000"/>
      </left>
      <right style="medium">
        <color indexed="64"/>
      </right>
      <top style="hair">
        <color rgb="FF000000"/>
      </top>
      <bottom style="hair">
        <color rgb="FF000000"/>
      </bottom>
      <diagonal/>
    </border>
    <border>
      <left style="medium">
        <color indexed="64"/>
      </left>
      <right/>
      <top style="medium">
        <color indexed="64"/>
      </top>
      <bottom style="thin">
        <color rgb="FF000000"/>
      </bottom>
      <diagonal/>
    </border>
    <border>
      <left style="medium">
        <color indexed="64"/>
      </left>
      <right/>
      <top style="hair">
        <color rgb="FF000000"/>
      </top>
      <bottom style="hair">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hair">
        <color rgb="FF000000"/>
      </top>
      <bottom/>
      <diagonal/>
    </border>
    <border>
      <left style="thin">
        <color rgb="FF000000"/>
      </left>
      <right style="medium">
        <color indexed="64"/>
      </right>
      <top/>
      <bottom style="hair">
        <color rgb="FF000000"/>
      </bottom>
      <diagonal/>
    </border>
    <border>
      <left style="thin">
        <color indexed="64"/>
      </left>
      <right/>
      <top/>
      <bottom/>
      <diagonal/>
    </border>
    <border>
      <left style="thin">
        <color indexed="64"/>
      </left>
      <right/>
      <top style="hair">
        <color indexed="64"/>
      </top>
      <bottom style="hair">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medium">
        <color indexed="64"/>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rgb="FF000000"/>
      </right>
      <top style="hair">
        <color rgb="FF000000"/>
      </top>
      <bottom style="medium">
        <color indexed="64"/>
      </bottom>
      <diagonal/>
    </border>
    <border>
      <left style="thin">
        <color rgb="FF000000"/>
      </left>
      <right style="medium">
        <color indexed="64"/>
      </right>
      <top style="hair">
        <color rgb="FF000000"/>
      </top>
      <bottom style="medium">
        <color indexed="64"/>
      </bottom>
      <diagonal/>
    </border>
    <border>
      <left style="thin">
        <color rgb="FF29292F"/>
      </left>
      <right/>
      <top/>
      <bottom/>
      <diagonal/>
    </border>
    <border>
      <left/>
      <right style="thin">
        <color rgb="FF29292F"/>
      </right>
      <top/>
      <bottom/>
      <diagonal/>
    </border>
    <border>
      <left style="thin">
        <color rgb="FF29292F"/>
      </left>
      <right/>
      <top style="thin">
        <color rgb="FF29292F"/>
      </top>
      <bottom style="thin">
        <color rgb="FF29292F"/>
      </bottom>
      <diagonal/>
    </border>
    <border>
      <left/>
      <right/>
      <top style="thin">
        <color rgb="FF29292F"/>
      </top>
      <bottom style="thin">
        <color rgb="FF29292F"/>
      </bottom>
      <diagonal/>
    </border>
    <border>
      <left style="thin">
        <color rgb="FF29292F"/>
      </left>
      <right/>
      <top style="thin">
        <color rgb="FF29292F"/>
      </top>
      <bottom/>
      <diagonal/>
    </border>
    <border>
      <left/>
      <right style="thin">
        <color rgb="FF29292F"/>
      </right>
      <top style="thin">
        <color rgb="FF29292F"/>
      </top>
      <bottom/>
      <diagonal/>
    </border>
    <border>
      <left/>
      <right/>
      <top style="thin">
        <color rgb="FF29292F"/>
      </top>
      <bottom style="thin">
        <color indexed="64"/>
      </bottom>
      <diagonal/>
    </border>
    <border>
      <left style="thin">
        <color rgb="FF29292F"/>
      </left>
      <right/>
      <top/>
      <bottom style="thin">
        <color rgb="FF29292F"/>
      </bottom>
      <diagonal/>
    </border>
    <border>
      <left/>
      <right style="thin">
        <color rgb="FF29292F"/>
      </right>
      <top/>
      <bottom style="thin">
        <color rgb="FF29292F"/>
      </bottom>
      <diagonal/>
    </border>
    <border>
      <left/>
      <right/>
      <top/>
      <bottom style="thin">
        <color rgb="FF29292F"/>
      </bottom>
      <diagonal/>
    </border>
    <border>
      <left/>
      <right/>
      <top style="thin">
        <color rgb="FF29292F"/>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rgb="FF000000"/>
      </bottom>
      <diagonal/>
    </border>
    <border>
      <left style="thin">
        <color indexed="64"/>
      </left>
      <right/>
      <top/>
      <bottom style="hair">
        <color rgb="FF000000"/>
      </bottom>
      <diagonal/>
    </border>
    <border>
      <left/>
      <right style="thin">
        <color indexed="64"/>
      </right>
      <top/>
      <bottom style="hair">
        <color rgb="FF000000"/>
      </bottom>
      <diagonal/>
    </border>
    <border>
      <left style="thin">
        <color indexed="64"/>
      </left>
      <right/>
      <top style="hair">
        <color rgb="FF000000"/>
      </top>
      <bottom style="hair">
        <color rgb="FF000000"/>
      </bottom>
      <diagonal/>
    </border>
    <border>
      <left style="thin">
        <color rgb="FF000000"/>
      </left>
      <right/>
      <top style="hair">
        <color rgb="FF000000"/>
      </top>
      <bottom style="medium">
        <color indexed="64"/>
      </bottom>
      <diagonal/>
    </border>
    <border>
      <left/>
      <right style="thin">
        <color rgb="FF000000"/>
      </right>
      <top style="hair">
        <color rgb="FF000000"/>
      </top>
      <bottom style="medium">
        <color indexed="64"/>
      </bottom>
      <diagonal/>
    </border>
    <border>
      <left style="thin">
        <color rgb="FF646464"/>
      </left>
      <right style="thin">
        <color rgb="FF646464"/>
      </right>
      <top style="hair">
        <color rgb="FF000000"/>
      </top>
      <bottom style="hair">
        <color rgb="FF000000"/>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double">
        <color indexed="64"/>
      </bottom>
      <diagonal/>
    </border>
    <border>
      <left/>
      <right/>
      <top style="medium">
        <color rgb="FF000000"/>
      </top>
      <bottom style="double">
        <color indexed="64"/>
      </bottom>
      <diagonal/>
    </border>
    <border>
      <left/>
      <right style="thin">
        <color rgb="FF000000"/>
      </right>
      <top style="medium">
        <color rgb="FF000000"/>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top style="medium">
        <color indexed="64"/>
      </top>
      <bottom style="thin">
        <color indexed="64"/>
      </bottom>
      <diagonal/>
    </border>
    <border>
      <left style="medium">
        <color indexed="64"/>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double">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hair">
        <color auto="1"/>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diagonal/>
    </border>
    <border>
      <left/>
      <right style="medium">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medium">
        <color indexed="64"/>
      </right>
      <top/>
      <bottom style="hair">
        <color indexed="64"/>
      </bottom>
      <diagonal/>
    </border>
    <border>
      <left style="thin">
        <color indexed="64"/>
      </left>
      <right/>
      <top style="hair">
        <color indexed="64"/>
      </top>
      <bottom/>
      <diagonal/>
    </border>
    <border>
      <left style="thin">
        <color indexed="64"/>
      </left>
      <right/>
      <top style="hair">
        <color indexed="64"/>
      </top>
      <bottom style="medium">
        <color indexed="64"/>
      </bottom>
      <diagonal/>
    </border>
    <border>
      <left style="thin">
        <color indexed="64"/>
      </left>
      <right style="medium">
        <color indexed="64"/>
      </right>
      <top/>
      <bottom style="medium">
        <color indexed="64"/>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rgb="FF29292F"/>
      </left>
      <right style="thin">
        <color rgb="FF29292F"/>
      </right>
      <top style="thin">
        <color rgb="FF29292F"/>
      </top>
      <bottom/>
      <diagonal/>
    </border>
    <border>
      <left style="thin">
        <color rgb="FF29292F"/>
      </left>
      <right style="thin">
        <color rgb="FF29292F"/>
      </right>
      <top/>
      <bottom/>
      <diagonal/>
    </border>
    <border>
      <left style="thin">
        <color rgb="FF29292F"/>
      </left>
      <right style="thin">
        <color rgb="FF29292F"/>
      </right>
      <top/>
      <bottom style="thin">
        <color rgb="FF29292F"/>
      </bottom>
      <diagonal/>
    </border>
    <border>
      <left style="hair">
        <color indexed="64"/>
      </left>
      <right/>
      <top style="hair">
        <color indexed="64"/>
      </top>
      <bottom style="hair">
        <color indexed="64"/>
      </bottom>
      <diagonal/>
    </border>
    <border>
      <left style="hair">
        <color indexed="64"/>
      </left>
      <right/>
      <top style="double">
        <color indexed="64"/>
      </top>
      <bottom style="double">
        <color indexed="64"/>
      </bottom>
      <diagonal/>
    </border>
    <border>
      <left/>
      <right/>
      <top style="double">
        <color indexed="64"/>
      </top>
      <bottom style="double">
        <color indexed="64"/>
      </bottom>
      <diagonal/>
    </border>
    <border>
      <left/>
      <right style="hair">
        <color indexed="64"/>
      </right>
      <top style="double">
        <color indexed="64"/>
      </top>
      <bottom style="double">
        <color indexed="64"/>
      </bottom>
      <diagonal/>
    </border>
    <border>
      <left/>
      <right/>
      <top style="double">
        <color indexed="64"/>
      </top>
      <bottom/>
      <diagonal/>
    </border>
    <border>
      <left style="thin">
        <color indexed="64"/>
      </left>
      <right/>
      <top style="thin">
        <color rgb="FF29292F"/>
      </top>
      <bottom/>
      <diagonal/>
    </border>
    <border>
      <left/>
      <right style="thin">
        <color indexed="64"/>
      </right>
      <top/>
      <bottom style="thin">
        <color theme="0" tint="-0.499984740745262"/>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style="thin">
        <color theme="0" tint="-0.499984740745262"/>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right style="thin">
        <color theme="0" tint="-0.499984740745262"/>
      </right>
      <top style="double">
        <color indexed="64"/>
      </top>
      <bottom style="double">
        <color indexed="64"/>
      </bottom>
      <diagonal/>
    </border>
    <border>
      <left style="thin">
        <color rgb="FF000000"/>
      </left>
      <right style="thin">
        <color rgb="FF000000"/>
      </right>
      <top style="thin">
        <color rgb="FF000000"/>
      </top>
      <bottom/>
      <diagonal/>
    </border>
    <border>
      <left style="hair">
        <color indexed="64"/>
      </left>
      <right/>
      <top style="thin">
        <color indexed="64"/>
      </top>
      <bottom style="hair">
        <color indexed="64"/>
      </bottom>
      <diagonal/>
    </border>
    <border>
      <left/>
      <right/>
      <top/>
      <bottom style="hair">
        <color indexed="64"/>
      </bottom>
      <diagonal/>
    </border>
    <border>
      <left/>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style="thin">
        <color indexed="64"/>
      </left>
      <right style="thin">
        <color indexed="64"/>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1" tint="0.499984740745262"/>
      </right>
      <top style="double">
        <color indexed="64"/>
      </top>
      <bottom style="double">
        <color indexed="64"/>
      </bottom>
      <diagonal/>
    </border>
    <border>
      <left style="thin">
        <color rgb="FF000000"/>
      </left>
      <right/>
      <top style="thin">
        <color indexed="64"/>
      </top>
      <bottom/>
      <diagonal/>
    </border>
    <border>
      <left/>
      <right style="thin">
        <color indexed="64"/>
      </right>
      <top style="thin">
        <color rgb="FF29292F"/>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2" tint="-9.9978637043366805E-2"/>
      </left>
      <right/>
      <top/>
      <bottom/>
      <diagonal/>
    </border>
    <border>
      <left/>
      <right style="thin">
        <color theme="2" tint="-9.9978637043366805E-2"/>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dotted">
        <color indexed="64"/>
      </left>
      <right style="thin">
        <color indexed="64"/>
      </right>
      <top style="dotted">
        <color indexed="64"/>
      </top>
      <bottom style="hair">
        <color indexed="64"/>
      </bottom>
      <diagonal/>
    </border>
    <border>
      <left style="dotted">
        <color indexed="64"/>
      </left>
      <right style="dotted">
        <color indexed="64"/>
      </right>
      <top style="dotted">
        <color indexed="64"/>
      </top>
      <bottom style="hair">
        <color indexed="64"/>
      </bottom>
      <diagonal/>
    </border>
    <border>
      <left style="thin">
        <color indexed="64"/>
      </left>
      <right style="dotted">
        <color indexed="64"/>
      </right>
      <top style="dotted">
        <color indexed="64"/>
      </top>
      <bottom style="hair">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thin">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bottom style="dotted">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thin">
        <color indexed="64"/>
      </left>
      <right style="hair">
        <color indexed="64"/>
      </right>
      <top style="thin">
        <color indexed="64"/>
      </top>
      <bottom/>
      <diagonal/>
    </border>
    <border>
      <left style="dotted">
        <color indexed="64"/>
      </left>
      <right style="thin">
        <color indexed="64"/>
      </right>
      <top/>
      <bottom style="thin">
        <color indexed="64"/>
      </bottom>
      <diagonal/>
    </border>
    <border>
      <left style="medium">
        <color indexed="64"/>
      </left>
      <right style="thin">
        <color rgb="FF646464"/>
      </right>
      <top style="hair">
        <color rgb="FF000000"/>
      </top>
      <bottom style="hair">
        <color rgb="FF000000"/>
      </bottom>
      <diagonal/>
    </border>
    <border>
      <left style="thin">
        <color rgb="FF646464"/>
      </left>
      <right style="medium">
        <color indexed="64"/>
      </right>
      <top style="hair">
        <color rgb="FF000000"/>
      </top>
      <bottom style="hair">
        <color rgb="FF000000"/>
      </bottom>
      <diagonal/>
    </border>
  </borders>
  <cellStyleXfs count="75">
    <xf numFmtId="0" fontId="0" fillId="0" borderId="0"/>
    <xf numFmtId="43" fontId="25" fillId="0" borderId="0" applyFont="0" applyFill="0" applyBorder="0" applyAlignment="0" applyProtection="0"/>
    <xf numFmtId="0" fontId="26" fillId="0" borderId="11"/>
    <xf numFmtId="44" fontId="10" fillId="0" borderId="11" applyFont="0" applyFill="0" applyBorder="0" applyAlignment="0" applyProtection="0"/>
    <xf numFmtId="0" fontId="9" fillId="0" borderId="11"/>
    <xf numFmtId="44" fontId="9" fillId="0" borderId="11" applyFont="0" applyFill="0" applyBorder="0" applyAlignment="0" applyProtection="0"/>
    <xf numFmtId="0" fontId="28" fillId="0" borderId="11" applyNumberFormat="0" applyFont="0" applyFill="0" applyBorder="0" applyAlignment="0" applyProtection="0"/>
    <xf numFmtId="0" fontId="32" fillId="0" borderId="11"/>
    <xf numFmtId="166" fontId="28" fillId="0" borderId="11" applyFont="0" applyFill="0" applyBorder="0" applyAlignment="0" applyProtection="0"/>
    <xf numFmtId="166" fontId="32" fillId="0" borderId="11" applyFont="0" applyFill="0" applyBorder="0" applyAlignment="0" applyProtection="0"/>
    <xf numFmtId="0" fontId="8" fillId="0" borderId="11"/>
    <xf numFmtId="0" fontId="28" fillId="0" borderId="11"/>
    <xf numFmtId="166" fontId="8" fillId="0" borderId="11" applyFont="0" applyFill="0" applyBorder="0" applyAlignment="0" applyProtection="0"/>
    <xf numFmtId="166" fontId="44" fillId="0" borderId="11" applyFont="0" applyFill="0" applyBorder="0" applyAlignment="0" applyProtection="0"/>
    <xf numFmtId="44" fontId="45" fillId="0" borderId="11" applyFont="0" applyFill="0" applyBorder="0" applyAlignment="0" applyProtection="0"/>
    <xf numFmtId="166" fontId="28" fillId="0" borderId="11" applyFont="0" applyFill="0" applyBorder="0" applyAlignment="0" applyProtection="0"/>
    <xf numFmtId="0" fontId="7" fillId="0" borderId="11"/>
    <xf numFmtId="43" fontId="7" fillId="0" borderId="11" applyFont="0" applyFill="0" applyBorder="0" applyAlignment="0" applyProtection="0"/>
    <xf numFmtId="44" fontId="7" fillId="0" borderId="11" applyFont="0" applyFill="0" applyBorder="0" applyAlignment="0" applyProtection="0"/>
    <xf numFmtId="43" fontId="6" fillId="0" borderId="11" applyFont="0" applyFill="0" applyBorder="0" applyAlignment="0" applyProtection="0"/>
    <xf numFmtId="0" fontId="6" fillId="0" borderId="11"/>
    <xf numFmtId="0" fontId="5" fillId="0" borderId="11"/>
    <xf numFmtId="43" fontId="5" fillId="0" borderId="11" applyFont="0" applyFill="0" applyBorder="0" applyAlignment="0" applyProtection="0"/>
    <xf numFmtId="0" fontId="5" fillId="0" borderId="11"/>
    <xf numFmtId="43" fontId="5" fillId="0" borderId="11" applyFont="0" applyFill="0" applyBorder="0" applyAlignment="0" applyProtection="0"/>
    <xf numFmtId="44" fontId="5" fillId="0" borderId="11" applyFont="0" applyFill="0" applyBorder="0" applyAlignment="0" applyProtection="0"/>
    <xf numFmtId="166" fontId="32" fillId="0" borderId="11" applyFont="0" applyFill="0" applyBorder="0" applyAlignment="0" applyProtection="0"/>
    <xf numFmtId="0" fontId="28" fillId="0" borderId="11" applyNumberFormat="0" applyFont="0" applyFill="0" applyBorder="0" applyAlignment="0" applyProtection="0"/>
    <xf numFmtId="170" fontId="28" fillId="0" borderId="11" applyFont="0" applyFill="0" applyBorder="0" applyAlignment="0" applyProtection="0"/>
    <xf numFmtId="0" fontId="4" fillId="0" borderId="11"/>
    <xf numFmtId="0" fontId="4" fillId="0" borderId="11"/>
    <xf numFmtId="43" fontId="4" fillId="0" borderId="11" applyFont="0" applyFill="0" applyBorder="0" applyAlignment="0" applyProtection="0"/>
    <xf numFmtId="0" fontId="4" fillId="0" borderId="11"/>
    <xf numFmtId="43" fontId="4" fillId="0" borderId="11" applyFont="0" applyFill="0" applyBorder="0" applyAlignment="0" applyProtection="0"/>
    <xf numFmtId="44" fontId="4" fillId="0" borderId="11" applyFont="0" applyFill="0" applyBorder="0" applyAlignment="0" applyProtection="0"/>
    <xf numFmtId="0" fontId="4" fillId="0" borderId="11"/>
    <xf numFmtId="43" fontId="4" fillId="0" borderId="11" applyFont="0" applyFill="0" applyBorder="0" applyAlignment="0" applyProtection="0"/>
    <xf numFmtId="0" fontId="4" fillId="0" borderId="11"/>
    <xf numFmtId="44" fontId="4" fillId="0" borderId="11" applyFont="0" applyFill="0" applyBorder="0" applyAlignment="0" applyProtection="0"/>
    <xf numFmtId="43" fontId="4" fillId="0" borderId="11" applyFont="0" applyFill="0" applyBorder="0" applyAlignment="0" applyProtection="0"/>
    <xf numFmtId="0" fontId="4" fillId="0" borderId="11"/>
    <xf numFmtId="44" fontId="4" fillId="0" borderId="11" applyFont="0" applyFill="0" applyBorder="0" applyAlignment="0" applyProtection="0"/>
    <xf numFmtId="44" fontId="4" fillId="0" borderId="11" applyFont="0" applyFill="0" applyBorder="0" applyAlignment="0" applyProtection="0"/>
    <xf numFmtId="0" fontId="4" fillId="0" borderId="11"/>
    <xf numFmtId="43" fontId="4" fillId="0" borderId="11" applyFont="0" applyFill="0" applyBorder="0" applyAlignment="0" applyProtection="0"/>
    <xf numFmtId="0" fontId="4" fillId="0" borderId="11"/>
    <xf numFmtId="43" fontId="4" fillId="0" borderId="11" applyFont="0" applyFill="0" applyBorder="0" applyAlignment="0" applyProtection="0"/>
    <xf numFmtId="0" fontId="4" fillId="0" borderId="11"/>
    <xf numFmtId="0" fontId="4" fillId="0" borderId="11"/>
    <xf numFmtId="43" fontId="4" fillId="0" borderId="11" applyFont="0" applyFill="0" applyBorder="0" applyAlignment="0" applyProtection="0"/>
    <xf numFmtId="43" fontId="4" fillId="0" borderId="11" applyFont="0" applyFill="0" applyBorder="0" applyAlignment="0" applyProtection="0"/>
    <xf numFmtId="0" fontId="66" fillId="0" borderId="11" applyNumberFormat="0" applyFill="0" applyBorder="0" applyAlignment="0" applyProtection="0"/>
    <xf numFmtId="0" fontId="75" fillId="0" borderId="11" applyNumberFormat="0" applyFill="0" applyBorder="0" applyAlignment="0" applyProtection="0"/>
    <xf numFmtId="166" fontId="28" fillId="0" borderId="11" applyNumberFormat="0" applyFont="0" applyFill="0" applyBorder="0" applyAlignment="0" applyProtection="0"/>
    <xf numFmtId="44" fontId="28" fillId="0" borderId="11" applyFont="0" applyFill="0" applyBorder="0" applyAlignment="0" applyProtection="0"/>
    <xf numFmtId="0" fontId="3" fillId="0" borderId="11"/>
    <xf numFmtId="43" fontId="3" fillId="0" borderId="11" applyFont="0" applyFill="0" applyBorder="0" applyAlignment="0" applyProtection="0"/>
    <xf numFmtId="0" fontId="91" fillId="0" borderId="11"/>
    <xf numFmtId="166" fontId="91" fillId="0" borderId="11" applyFont="0" applyFill="0" applyBorder="0" applyAlignment="0" applyProtection="0"/>
    <xf numFmtId="0" fontId="92" fillId="0" borderId="11" applyNumberFormat="0" applyFont="0" applyFill="0" applyBorder="0" applyAlignment="0" applyProtection="0"/>
    <xf numFmtId="0" fontId="28" fillId="0" borderId="11"/>
    <xf numFmtId="166" fontId="91" fillId="0" borderId="11" applyFont="0" applyFill="0" applyBorder="0" applyAlignment="0" applyProtection="0"/>
    <xf numFmtId="9" fontId="91" fillId="0" borderId="11" applyFont="0" applyFill="0" applyBorder="0" applyAlignment="0" applyProtection="0"/>
    <xf numFmtId="0" fontId="93" fillId="0" borderId="11"/>
    <xf numFmtId="0" fontId="28" fillId="0" borderId="11"/>
    <xf numFmtId="43" fontId="2" fillId="0" borderId="11" applyFont="0" applyFill="0" applyBorder="0" applyAlignment="0" applyProtection="0"/>
    <xf numFmtId="0" fontId="28" fillId="0" borderId="11"/>
    <xf numFmtId="0" fontId="28" fillId="0" borderId="11"/>
    <xf numFmtId="166" fontId="91" fillId="0" borderId="11" applyFont="0" applyFill="0" applyBorder="0" applyAlignment="0" applyProtection="0"/>
    <xf numFmtId="0" fontId="91" fillId="0" borderId="11"/>
    <xf numFmtId="9" fontId="28" fillId="0" borderId="11" applyFont="0" applyFill="0" applyBorder="0" applyAlignment="0" applyProtection="0"/>
    <xf numFmtId="9" fontId="28" fillId="0" borderId="11"/>
    <xf numFmtId="0" fontId="1" fillId="0" borderId="11"/>
    <xf numFmtId="43" fontId="1" fillId="0" borderId="11" applyFont="0" applyFill="0" applyBorder="0" applyAlignment="0" applyProtection="0"/>
    <xf numFmtId="9" fontId="113" fillId="0" borderId="0" applyFont="0" applyFill="0" applyBorder="0" applyAlignment="0" applyProtection="0"/>
  </cellStyleXfs>
  <cellXfs count="1187">
    <xf numFmtId="0" fontId="0" fillId="0" borderId="0" xfId="0"/>
    <xf numFmtId="0" fontId="11" fillId="2" borderId="1" xfId="0" applyFont="1" applyFill="1" applyBorder="1" applyAlignment="1">
      <alignment vertical="center" wrapText="1"/>
    </xf>
    <xf numFmtId="0" fontId="12" fillId="3" borderId="2" xfId="0" applyFont="1" applyFill="1" applyBorder="1" applyAlignment="1">
      <alignment horizontal="left" vertical="center" wrapText="1"/>
    </xf>
    <xf numFmtId="0" fontId="12" fillId="3" borderId="3" xfId="0" applyFont="1" applyFill="1" applyBorder="1" applyAlignment="1">
      <alignment horizontal="center" vertical="center" wrapText="1"/>
    </xf>
    <xf numFmtId="164" fontId="12" fillId="3" borderId="3" xfId="0" applyNumberFormat="1" applyFont="1" applyFill="1" applyBorder="1" applyAlignment="1">
      <alignment horizontal="left" vertical="center" wrapText="1"/>
    </xf>
    <xf numFmtId="0" fontId="13" fillId="3" borderId="4" xfId="0" applyFont="1" applyFill="1" applyBorder="1"/>
    <xf numFmtId="0" fontId="11" fillId="2" borderId="5" xfId="0" applyFont="1" applyFill="1" applyBorder="1" applyAlignment="1">
      <alignment vertical="center" wrapText="1"/>
    </xf>
    <xf numFmtId="0" fontId="12" fillId="3" borderId="6" xfId="0" applyFont="1" applyFill="1" applyBorder="1" applyAlignment="1">
      <alignment horizontal="left" vertical="center" wrapText="1"/>
    </xf>
    <xf numFmtId="0" fontId="12" fillId="3" borderId="7" xfId="0" applyFont="1" applyFill="1" applyBorder="1" applyAlignment="1">
      <alignment horizontal="center" vertical="center" wrapText="1"/>
    </xf>
    <xf numFmtId="164" fontId="12" fillId="3" borderId="7" xfId="0" applyNumberFormat="1" applyFont="1" applyFill="1" applyBorder="1" applyAlignment="1">
      <alignment horizontal="left" vertical="center" wrapText="1"/>
    </xf>
    <xf numFmtId="0" fontId="13" fillId="3" borderId="8" xfId="0" applyFont="1" applyFill="1" applyBorder="1"/>
    <xf numFmtId="0" fontId="15" fillId="3" borderId="12" xfId="0" applyFont="1" applyFill="1" applyBorder="1"/>
    <xf numFmtId="0" fontId="16" fillId="3" borderId="10" xfId="0" applyFont="1" applyFill="1" applyBorder="1"/>
    <xf numFmtId="0" fontId="17" fillId="4" borderId="1" xfId="0" applyFont="1" applyFill="1" applyBorder="1" applyAlignment="1">
      <alignment horizontal="center" vertical="center"/>
    </xf>
    <xf numFmtId="0" fontId="17" fillId="4" borderId="13" xfId="0" applyFont="1" applyFill="1" applyBorder="1" applyAlignment="1">
      <alignment horizontal="center" vertical="center" wrapText="1"/>
    </xf>
    <xf numFmtId="164" fontId="17" fillId="4" borderId="14" xfId="0" applyNumberFormat="1" applyFont="1" applyFill="1" applyBorder="1" applyAlignment="1">
      <alignment horizontal="center" vertical="center" wrapText="1"/>
    </xf>
    <xf numFmtId="0" fontId="16" fillId="3" borderId="15" xfId="0" applyFont="1" applyFill="1" applyBorder="1" applyAlignment="1">
      <alignment vertical="center" wrapText="1"/>
    </xf>
    <xf numFmtId="164" fontId="16" fillId="3" borderId="16" xfId="0" applyNumberFormat="1" applyFont="1" applyFill="1" applyBorder="1" applyAlignment="1">
      <alignment horizontal="center" vertical="center" wrapText="1"/>
    </xf>
    <xf numFmtId="164" fontId="16" fillId="3" borderId="17" xfId="0" applyNumberFormat="1" applyFont="1" applyFill="1" applyBorder="1" applyAlignment="1">
      <alignment vertical="center" wrapText="1"/>
    </xf>
    <xf numFmtId="0" fontId="16" fillId="3" borderId="18" xfId="0" applyFont="1" applyFill="1" applyBorder="1" applyAlignment="1">
      <alignment vertical="center" wrapText="1"/>
    </xf>
    <xf numFmtId="164" fontId="16" fillId="3" borderId="19" xfId="0" applyNumberFormat="1" applyFont="1" applyFill="1" applyBorder="1" applyAlignment="1">
      <alignment horizontal="center" vertical="center" wrapText="1"/>
    </xf>
    <xf numFmtId="164" fontId="16" fillId="3" borderId="20" xfId="0" applyNumberFormat="1" applyFont="1" applyFill="1" applyBorder="1" applyAlignment="1">
      <alignment vertical="center" wrapText="1"/>
    </xf>
    <xf numFmtId="164" fontId="18" fillId="3" borderId="20" xfId="0" applyNumberFormat="1" applyFont="1" applyFill="1" applyBorder="1" applyAlignment="1">
      <alignment vertical="center" wrapText="1"/>
    </xf>
    <xf numFmtId="0" fontId="16" fillId="3" borderId="21" xfId="0" applyFont="1" applyFill="1" applyBorder="1" applyAlignment="1">
      <alignment vertical="center" wrapText="1"/>
    </xf>
    <xf numFmtId="0" fontId="15" fillId="3" borderId="22" xfId="0" applyFont="1" applyFill="1" applyBorder="1"/>
    <xf numFmtId="0" fontId="15" fillId="3" borderId="23" xfId="0" applyFont="1" applyFill="1" applyBorder="1" applyAlignment="1">
      <alignment horizontal="center"/>
    </xf>
    <xf numFmtId="164" fontId="15" fillId="3" borderId="23" xfId="0" applyNumberFormat="1" applyFont="1" applyFill="1" applyBorder="1" applyAlignment="1">
      <alignment horizontal="center"/>
    </xf>
    <xf numFmtId="0" fontId="15" fillId="3" borderId="24" xfId="0" applyFont="1" applyFill="1" applyBorder="1"/>
    <xf numFmtId="0" fontId="16" fillId="3" borderId="3" xfId="0" applyFont="1" applyFill="1" applyBorder="1" applyAlignment="1">
      <alignment horizontal="center" vertical="center" wrapText="1"/>
    </xf>
    <xf numFmtId="164" fontId="19" fillId="0" borderId="0" xfId="0" applyNumberFormat="1" applyFont="1"/>
    <xf numFmtId="0" fontId="16" fillId="3" borderId="7" xfId="0" applyFont="1" applyFill="1" applyBorder="1" applyAlignment="1">
      <alignment horizontal="center" vertical="center" wrapText="1"/>
    </xf>
    <xf numFmtId="0" fontId="16" fillId="3" borderId="11" xfId="0" applyFont="1" applyFill="1" applyBorder="1" applyAlignment="1">
      <alignment horizontal="center" vertical="center" wrapText="1"/>
    </xf>
    <xf numFmtId="0" fontId="20" fillId="0" borderId="0" xfId="0" applyFont="1"/>
    <xf numFmtId="0" fontId="16" fillId="3" borderId="25" xfId="0" applyFont="1" applyFill="1" applyBorder="1"/>
    <xf numFmtId="0" fontId="15" fillId="3" borderId="26" xfId="0" applyFont="1" applyFill="1" applyBorder="1" applyAlignment="1">
      <alignment horizontal="center"/>
    </xf>
    <xf numFmtId="164" fontId="15" fillId="3" borderId="26" xfId="0" applyNumberFormat="1" applyFont="1" applyFill="1" applyBorder="1" applyAlignment="1">
      <alignment horizontal="center"/>
    </xf>
    <xf numFmtId="0" fontId="16" fillId="3" borderId="26" xfId="0" applyFont="1" applyFill="1" applyBorder="1" applyAlignment="1">
      <alignment horizontal="center"/>
    </xf>
    <xf numFmtId="0" fontId="15" fillId="3" borderId="27" xfId="0" applyFont="1" applyFill="1" applyBorder="1"/>
    <xf numFmtId="0" fontId="19" fillId="5" borderId="11" xfId="0" applyFont="1" applyFill="1" applyBorder="1"/>
    <xf numFmtId="164" fontId="19" fillId="5" borderId="11" xfId="0" applyNumberFormat="1" applyFont="1" applyFill="1" applyBorder="1"/>
    <xf numFmtId="0" fontId="15" fillId="3" borderId="11" xfId="0" applyFont="1" applyFill="1" applyBorder="1" applyAlignment="1">
      <alignment horizontal="center"/>
    </xf>
    <xf numFmtId="164" fontId="15" fillId="3" borderId="11" xfId="0" applyNumberFormat="1" applyFont="1" applyFill="1" applyBorder="1" applyAlignment="1">
      <alignment horizontal="center"/>
    </xf>
    <xf numFmtId="0" fontId="16" fillId="3" borderId="11" xfId="0" applyFont="1" applyFill="1" applyBorder="1" applyAlignment="1">
      <alignment horizontal="center"/>
    </xf>
    <xf numFmtId="164" fontId="16" fillId="3" borderId="17" xfId="0" applyNumberFormat="1" applyFont="1" applyFill="1" applyBorder="1" applyAlignment="1">
      <alignment horizontal="center" vertical="center" wrapText="1"/>
    </xf>
    <xf numFmtId="0" fontId="16" fillId="3" borderId="28" xfId="0" applyFont="1" applyFill="1" applyBorder="1" applyAlignment="1">
      <alignment vertical="center" wrapText="1"/>
    </xf>
    <xf numFmtId="164" fontId="16" fillId="3" borderId="29" xfId="0" applyNumberFormat="1" applyFont="1" applyFill="1" applyBorder="1" applyAlignment="1">
      <alignment horizontal="center" vertical="center" wrapText="1"/>
    </xf>
    <xf numFmtId="164" fontId="16" fillId="6" borderId="30" xfId="0" applyNumberFormat="1" applyFont="1" applyFill="1" applyBorder="1" applyAlignment="1">
      <alignment horizontal="center" vertical="center" wrapText="1"/>
    </xf>
    <xf numFmtId="0" fontId="21" fillId="3" borderId="15" xfId="0" applyFont="1" applyFill="1" applyBorder="1" applyAlignment="1">
      <alignment vertical="center" wrapText="1"/>
    </xf>
    <xf numFmtId="164" fontId="21" fillId="3" borderId="16" xfId="0" applyNumberFormat="1" applyFont="1" applyFill="1" applyBorder="1" applyAlignment="1">
      <alignment horizontal="center" vertical="center" wrapText="1"/>
    </xf>
    <xf numFmtId="164" fontId="21" fillId="3" borderId="17" xfId="0" applyNumberFormat="1" applyFont="1" applyFill="1" applyBorder="1" applyAlignment="1">
      <alignment horizontal="center" vertical="center" wrapText="1"/>
    </xf>
    <xf numFmtId="0" fontId="21" fillId="3" borderId="28" xfId="0" applyFont="1" applyFill="1" applyBorder="1" applyAlignment="1">
      <alignment vertical="center" wrapText="1"/>
    </xf>
    <xf numFmtId="164" fontId="21" fillId="3" borderId="29" xfId="0" applyNumberFormat="1" applyFont="1" applyFill="1" applyBorder="1" applyAlignment="1">
      <alignment horizontal="center" vertical="center" wrapText="1"/>
    </xf>
    <xf numFmtId="164" fontId="21" fillId="3" borderId="30" xfId="0" applyNumberFormat="1" applyFont="1" applyFill="1" applyBorder="1" applyAlignment="1">
      <alignment horizontal="center" vertical="center" wrapText="1"/>
    </xf>
    <xf numFmtId="164" fontId="22" fillId="0" borderId="0" xfId="0" applyNumberFormat="1" applyFont="1"/>
    <xf numFmtId="0" fontId="16" fillId="3" borderId="31" xfId="0" applyFont="1" applyFill="1" applyBorder="1" applyAlignment="1">
      <alignment vertical="center" wrapText="1"/>
    </xf>
    <xf numFmtId="164" fontId="16" fillId="3" borderId="32" xfId="0" applyNumberFormat="1" applyFont="1" applyFill="1" applyBorder="1" applyAlignment="1">
      <alignment horizontal="center" vertical="center" wrapText="1"/>
    </xf>
    <xf numFmtId="164" fontId="16" fillId="3" borderId="33" xfId="0" applyNumberFormat="1" applyFont="1" applyFill="1" applyBorder="1" applyAlignment="1">
      <alignment horizontal="center" vertical="center" wrapText="1"/>
    </xf>
    <xf numFmtId="0" fontId="16" fillId="3" borderId="11" xfId="0" applyFont="1" applyFill="1" applyBorder="1"/>
    <xf numFmtId="164" fontId="16" fillId="3" borderId="20" xfId="0" applyNumberFormat="1" applyFont="1" applyFill="1" applyBorder="1" applyAlignment="1">
      <alignment horizontal="center" vertical="center" wrapText="1"/>
    </xf>
    <xf numFmtId="0" fontId="15" fillId="3" borderId="10" xfId="0" applyFont="1" applyFill="1" applyBorder="1"/>
    <xf numFmtId="165" fontId="16" fillId="3" borderId="33" xfId="0" applyNumberFormat="1" applyFont="1" applyFill="1" applyBorder="1" applyAlignment="1">
      <alignment horizontal="center" vertical="center" wrapText="1"/>
    </xf>
    <xf numFmtId="0" fontId="19" fillId="3" borderId="10" xfId="0" applyFont="1" applyFill="1" applyBorder="1"/>
    <xf numFmtId="0" fontId="19" fillId="3" borderId="12" xfId="0" applyFont="1" applyFill="1" applyBorder="1"/>
    <xf numFmtId="0" fontId="16" fillId="3" borderId="34" xfId="0" applyFont="1" applyFill="1" applyBorder="1" applyAlignment="1">
      <alignment vertical="center" wrapText="1"/>
    </xf>
    <xf numFmtId="164" fontId="16" fillId="3" borderId="35" xfId="0" applyNumberFormat="1" applyFont="1" applyFill="1" applyBorder="1" applyAlignment="1">
      <alignment horizontal="center" vertical="center" wrapText="1"/>
    </xf>
    <xf numFmtId="164" fontId="16" fillId="3" borderId="36" xfId="0" applyNumberFormat="1" applyFont="1" applyFill="1" applyBorder="1" applyAlignment="1">
      <alignment horizontal="center" vertical="center" wrapText="1"/>
    </xf>
    <xf numFmtId="0" fontId="19" fillId="3" borderId="11" xfId="0" applyFont="1" applyFill="1" applyBorder="1"/>
    <xf numFmtId="0" fontId="17" fillId="4" borderId="14" xfId="0" applyFont="1" applyFill="1" applyBorder="1" applyAlignment="1">
      <alignment horizontal="center" vertical="center" wrapText="1"/>
    </xf>
    <xf numFmtId="164" fontId="17" fillId="7" borderId="40" xfId="0" applyNumberFormat="1" applyFont="1" applyFill="1" applyBorder="1" applyAlignment="1">
      <alignment horizontal="center" vertical="center" wrapText="1"/>
    </xf>
    <xf numFmtId="0" fontId="16" fillId="3" borderId="41" xfId="0" applyFont="1" applyFill="1" applyBorder="1" applyAlignment="1">
      <alignment vertical="center" wrapText="1"/>
    </xf>
    <xf numFmtId="164" fontId="16" fillId="3" borderId="42" xfId="0" applyNumberFormat="1" applyFont="1" applyFill="1" applyBorder="1" applyAlignment="1">
      <alignment horizontal="center" vertical="center" wrapText="1"/>
    </xf>
    <xf numFmtId="164" fontId="16" fillId="3" borderId="43" xfId="0" applyNumberFormat="1" applyFont="1" applyFill="1" applyBorder="1" applyAlignment="1">
      <alignment horizontal="center" vertical="center" wrapText="1"/>
    </xf>
    <xf numFmtId="0" fontId="19" fillId="0" borderId="44" xfId="0" applyFont="1" applyBorder="1"/>
    <xf numFmtId="0" fontId="19" fillId="0" borderId="45" xfId="0" applyFont="1" applyBorder="1"/>
    <xf numFmtId="0" fontId="19" fillId="3" borderId="22" xfId="0" applyFont="1" applyFill="1" applyBorder="1"/>
    <xf numFmtId="0" fontId="19" fillId="3" borderId="23" xfId="0" applyFont="1" applyFill="1" applyBorder="1"/>
    <xf numFmtId="0" fontId="19" fillId="3" borderId="24" xfId="0" applyFont="1" applyFill="1" applyBorder="1"/>
    <xf numFmtId="0" fontId="17" fillId="9" borderId="48" xfId="0" applyFont="1" applyFill="1" applyBorder="1" applyAlignment="1">
      <alignment vertical="center" wrapText="1"/>
    </xf>
    <xf numFmtId="164" fontId="17" fillId="9" borderId="49" xfId="0" applyNumberFormat="1" applyFont="1" applyFill="1" applyBorder="1" applyAlignment="1">
      <alignment horizontal="center" vertical="center" wrapText="1"/>
    </xf>
    <xf numFmtId="164" fontId="16" fillId="3" borderId="30" xfId="0" applyNumberFormat="1" applyFont="1" applyFill="1" applyBorder="1" applyAlignment="1">
      <alignment vertical="center" wrapText="1"/>
    </xf>
    <xf numFmtId="0" fontId="17" fillId="9" borderId="5" xfId="0" applyFont="1" applyFill="1" applyBorder="1" applyAlignment="1">
      <alignment vertical="center" wrapText="1"/>
    </xf>
    <xf numFmtId="164" fontId="17" fillId="9" borderId="46" xfId="0" applyNumberFormat="1" applyFont="1" applyFill="1" applyBorder="1" applyAlignment="1">
      <alignment horizontal="center" vertical="center" wrapText="1"/>
    </xf>
    <xf numFmtId="164" fontId="17" fillId="9" borderId="50" xfId="0" applyNumberFormat="1" applyFont="1" applyFill="1" applyBorder="1" applyAlignment="1">
      <alignment vertical="center" wrapText="1"/>
    </xf>
    <xf numFmtId="164" fontId="16" fillId="3" borderId="11" xfId="0" applyNumberFormat="1" applyFont="1" applyFill="1" applyBorder="1" applyAlignment="1">
      <alignment horizontal="center"/>
    </xf>
    <xf numFmtId="0" fontId="16" fillId="3" borderId="12" xfId="0" applyFont="1" applyFill="1" applyBorder="1"/>
    <xf numFmtId="0" fontId="17" fillId="4" borderId="51" xfId="0" applyFont="1" applyFill="1" applyBorder="1" applyAlignment="1">
      <alignment horizontal="center" vertical="center"/>
    </xf>
    <xf numFmtId="0" fontId="17" fillId="4" borderId="52" xfId="0" applyFont="1" applyFill="1" applyBorder="1" applyAlignment="1">
      <alignment horizontal="center" vertical="center" wrapText="1"/>
    </xf>
    <xf numFmtId="164" fontId="17" fillId="4" borderId="53" xfId="0" applyNumberFormat="1" applyFont="1" applyFill="1" applyBorder="1" applyAlignment="1">
      <alignment horizontal="center" vertical="center" wrapText="1"/>
    </xf>
    <xf numFmtId="0" fontId="17" fillId="9" borderId="28" xfId="0" applyFont="1" applyFill="1" applyBorder="1" applyAlignment="1">
      <alignment vertical="center" wrapText="1"/>
    </xf>
    <xf numFmtId="164" fontId="17" fillId="9" borderId="29" xfId="0" applyNumberFormat="1" applyFont="1" applyFill="1" applyBorder="1" applyAlignment="1">
      <alignment horizontal="center" vertical="center" wrapText="1"/>
    </xf>
    <xf numFmtId="164" fontId="17" fillId="9" borderId="30" xfId="0" applyNumberFormat="1" applyFont="1" applyFill="1" applyBorder="1" applyAlignment="1">
      <alignment vertical="center" wrapText="1"/>
    </xf>
    <xf numFmtId="0" fontId="16" fillId="3" borderId="23" xfId="0" applyFont="1" applyFill="1" applyBorder="1" applyAlignment="1">
      <alignment horizontal="center"/>
    </xf>
    <xf numFmtId="44" fontId="16" fillId="3" borderId="11" xfId="0" applyNumberFormat="1" applyFont="1" applyFill="1" applyBorder="1"/>
    <xf numFmtId="0" fontId="15" fillId="3" borderId="44" xfId="0" applyFont="1" applyFill="1" applyBorder="1"/>
    <xf numFmtId="0" fontId="15" fillId="3" borderId="45" xfId="0" applyFont="1" applyFill="1" applyBorder="1"/>
    <xf numFmtId="0" fontId="28" fillId="0" borderId="11" xfId="6" applyNumberFormat="1" applyFont="1" applyFill="1" applyBorder="1" applyAlignment="1"/>
    <xf numFmtId="49" fontId="28" fillId="0" borderId="87" xfId="6" applyNumberFormat="1" applyFont="1" applyBorder="1"/>
    <xf numFmtId="0" fontId="28" fillId="0" borderId="87" xfId="6" applyFont="1" applyBorder="1"/>
    <xf numFmtId="0" fontId="28" fillId="0" borderId="87" xfId="6" applyFont="1" applyBorder="1" applyAlignment="1">
      <alignment horizontal="center" vertical="center"/>
    </xf>
    <xf numFmtId="0" fontId="28" fillId="0" borderId="87" xfId="6" applyFont="1" applyBorder="1" applyAlignment="1">
      <alignment horizontal="right"/>
    </xf>
    <xf numFmtId="0" fontId="28" fillId="0" borderId="11" xfId="6" applyFont="1" applyBorder="1" applyAlignment="1">
      <alignment horizontal="center"/>
    </xf>
    <xf numFmtId="0" fontId="28" fillId="0" borderId="11" xfId="6" applyNumberFormat="1" applyFont="1" applyFill="1" applyBorder="1" applyAlignment="1">
      <alignment vertical="center"/>
    </xf>
    <xf numFmtId="0" fontId="28" fillId="0" borderId="86" xfId="6" applyNumberFormat="1" applyFont="1" applyFill="1" applyBorder="1" applyAlignment="1">
      <alignment vertical="center"/>
    </xf>
    <xf numFmtId="0" fontId="28" fillId="0" borderId="81" xfId="6" applyNumberFormat="1" applyFont="1" applyFill="1" applyBorder="1" applyAlignment="1">
      <alignment vertical="center"/>
    </xf>
    <xf numFmtId="0" fontId="29" fillId="0" borderId="81" xfId="6" applyFont="1" applyBorder="1" applyAlignment="1">
      <alignment vertical="center"/>
    </xf>
    <xf numFmtId="0" fontId="29" fillId="0" borderId="81" xfId="6" applyFont="1" applyBorder="1" applyAlignment="1">
      <alignment horizontal="right" vertical="center"/>
    </xf>
    <xf numFmtId="0" fontId="30" fillId="0" borderId="81" xfId="6" applyFont="1" applyBorder="1" applyAlignment="1">
      <alignment horizontal="center" vertical="center"/>
    </xf>
    <xf numFmtId="0" fontId="28" fillId="0" borderId="82" xfId="6" applyNumberFormat="1" applyFont="1" applyFill="1" applyBorder="1" applyAlignment="1">
      <alignment vertical="center"/>
    </xf>
    <xf numFmtId="0" fontId="28" fillId="0" borderId="85" xfId="6" applyNumberFormat="1" applyFont="1" applyFill="1" applyBorder="1" applyAlignment="1">
      <alignment vertical="center"/>
    </xf>
    <xf numFmtId="0" fontId="28" fillId="0" borderId="83" xfId="6" applyNumberFormat="1" applyFont="1" applyFill="1" applyBorder="1" applyAlignment="1">
      <alignment vertical="center"/>
    </xf>
    <xf numFmtId="0" fontId="29" fillId="0" borderId="83" xfId="6" applyFont="1" applyBorder="1" applyAlignment="1">
      <alignment vertical="center"/>
    </xf>
    <xf numFmtId="0" fontId="29" fillId="0" borderId="83" xfId="6" applyFont="1" applyBorder="1" applyAlignment="1">
      <alignment horizontal="right" vertical="center"/>
    </xf>
    <xf numFmtId="0" fontId="30" fillId="0" borderId="83" xfId="6" applyFont="1" applyBorder="1" applyAlignment="1">
      <alignment horizontal="center" vertical="center"/>
    </xf>
    <xf numFmtId="0" fontId="28" fillId="0" borderId="84" xfId="6" applyNumberFormat="1" applyFont="1" applyFill="1" applyBorder="1" applyAlignment="1">
      <alignment vertical="center"/>
    </xf>
    <xf numFmtId="0" fontId="33" fillId="0" borderId="11" xfId="7" applyFont="1"/>
    <xf numFmtId="0" fontId="34" fillId="0" borderId="79" xfId="7" applyFont="1" applyBorder="1" applyAlignment="1">
      <alignment vertical="center"/>
    </xf>
    <xf numFmtId="0" fontId="35" fillId="0" borderId="11" xfId="7" applyFont="1" applyAlignment="1">
      <alignment vertical="center"/>
    </xf>
    <xf numFmtId="0" fontId="34" fillId="0" borderId="11" xfId="7" applyFont="1" applyAlignment="1">
      <alignment vertical="center"/>
    </xf>
    <xf numFmtId="167" fontId="34" fillId="0" borderId="88" xfId="8" quotePrefix="1" applyNumberFormat="1" applyFont="1" applyFill="1" applyBorder="1" applyAlignment="1">
      <alignment horizontal="left" vertical="center"/>
    </xf>
    <xf numFmtId="0" fontId="33" fillId="0" borderId="11" xfId="7" applyFont="1" applyAlignment="1">
      <alignment vertical="center"/>
    </xf>
    <xf numFmtId="167" fontId="34" fillId="0" borderId="79" xfId="8" quotePrefix="1" applyNumberFormat="1" applyFont="1" applyFill="1" applyBorder="1" applyAlignment="1">
      <alignment horizontal="left" vertical="center"/>
    </xf>
    <xf numFmtId="17" fontId="35" fillId="0" borderId="11" xfId="7" applyNumberFormat="1" applyFont="1" applyAlignment="1">
      <alignment horizontal="left" vertical="center"/>
    </xf>
    <xf numFmtId="17" fontId="33" fillId="0" borderId="11" xfId="7" applyNumberFormat="1" applyFont="1" applyAlignment="1">
      <alignment horizontal="left" vertical="center"/>
    </xf>
    <xf numFmtId="17" fontId="35" fillId="0" borderId="11" xfId="7" applyNumberFormat="1" applyFont="1" applyAlignment="1">
      <alignment vertical="center"/>
    </xf>
    <xf numFmtId="167" fontId="35" fillId="0" borderId="88" xfId="8" quotePrefix="1" applyNumberFormat="1" applyFont="1" applyFill="1" applyBorder="1" applyAlignment="1">
      <alignment horizontal="left" vertical="center"/>
    </xf>
    <xf numFmtId="0" fontId="23" fillId="0" borderId="11" xfId="6" applyNumberFormat="1" applyFont="1" applyFill="1" applyBorder="1" applyAlignment="1">
      <alignment vertical="center"/>
    </xf>
    <xf numFmtId="0" fontId="37" fillId="0" borderId="11" xfId="6" applyNumberFormat="1" applyFont="1" applyFill="1" applyBorder="1" applyAlignment="1">
      <alignment vertical="center"/>
    </xf>
    <xf numFmtId="49" fontId="39" fillId="15" borderId="61" xfId="6" applyNumberFormat="1" applyFont="1" applyFill="1" applyBorder="1" applyAlignment="1">
      <alignment horizontal="center" vertical="center" wrapText="1"/>
    </xf>
    <xf numFmtId="49" fontId="40" fillId="15" borderId="61" xfId="6" applyNumberFormat="1" applyFont="1" applyFill="1" applyBorder="1" applyAlignment="1">
      <alignment horizontal="center" vertical="center" wrapText="1"/>
    </xf>
    <xf numFmtId="2" fontId="40" fillId="15" borderId="86" xfId="6" applyNumberFormat="1" applyFont="1" applyFill="1" applyBorder="1" applyAlignment="1">
      <alignment horizontal="center" vertical="center" wrapText="1"/>
    </xf>
    <xf numFmtId="0" fontId="32" fillId="0" borderId="11" xfId="6" applyNumberFormat="1" applyFont="1" applyFill="1" applyBorder="1" applyAlignment="1">
      <alignment vertical="center"/>
    </xf>
    <xf numFmtId="49" fontId="32" fillId="0" borderId="11" xfId="6" applyNumberFormat="1" applyFont="1" applyFill="1" applyBorder="1" applyAlignment="1">
      <alignment vertical="center"/>
    </xf>
    <xf numFmtId="0" fontId="32" fillId="0" borderId="11" xfId="6" applyNumberFormat="1" applyFont="1" applyFill="1" applyBorder="1" applyAlignment="1">
      <alignment horizontal="center" vertical="center"/>
    </xf>
    <xf numFmtId="0" fontId="31" fillId="0" borderId="11" xfId="6" applyNumberFormat="1" applyFont="1" applyFill="1" applyBorder="1" applyAlignment="1">
      <alignment horizontal="center" vertical="center"/>
    </xf>
    <xf numFmtId="164" fontId="16" fillId="3" borderId="33" xfId="0" applyNumberFormat="1" applyFont="1" applyFill="1" applyBorder="1" applyAlignment="1">
      <alignment vertical="center" wrapText="1"/>
    </xf>
    <xf numFmtId="0" fontId="16" fillId="3" borderId="11" xfId="0" applyFont="1" applyFill="1" applyBorder="1" applyAlignment="1">
      <alignment horizontal="left"/>
    </xf>
    <xf numFmtId="0" fontId="15" fillId="3" borderId="12" xfId="0" applyFont="1" applyFill="1" applyBorder="1" applyAlignment="1">
      <alignment horizontal="left"/>
    </xf>
    <xf numFmtId="0" fontId="16" fillId="3" borderId="26" xfId="0" applyFont="1" applyFill="1" applyBorder="1" applyAlignment="1">
      <alignment horizontal="left"/>
    </xf>
    <xf numFmtId="0" fontId="15" fillId="3" borderId="27" xfId="0" applyFont="1" applyFill="1" applyBorder="1" applyAlignment="1">
      <alignment horizontal="left"/>
    </xf>
    <xf numFmtId="0" fontId="19" fillId="3" borderId="44" xfId="0" applyFont="1" applyFill="1" applyBorder="1"/>
    <xf numFmtId="0" fontId="19" fillId="3" borderId="45" xfId="0" applyFont="1" applyFill="1" applyBorder="1"/>
    <xf numFmtId="0" fontId="16" fillId="3" borderId="56" xfId="0" applyFont="1" applyFill="1" applyBorder="1" applyAlignment="1">
      <alignment horizontal="center"/>
    </xf>
    <xf numFmtId="164" fontId="16" fillId="19" borderId="32" xfId="0" applyNumberFormat="1" applyFont="1" applyFill="1" applyBorder="1" applyAlignment="1">
      <alignment horizontal="center" vertical="center" wrapText="1"/>
    </xf>
    <xf numFmtId="0" fontId="19" fillId="0" borderId="11" xfId="0" applyFont="1" applyBorder="1"/>
    <xf numFmtId="0" fontId="17" fillId="0" borderId="11" xfId="0" applyFont="1" applyBorder="1" applyAlignment="1">
      <alignment horizontal="center" vertical="center" wrapText="1"/>
    </xf>
    <xf numFmtId="164" fontId="17" fillId="0" borderId="11" xfId="0" applyNumberFormat="1" applyFont="1" applyBorder="1" applyAlignment="1">
      <alignment horizontal="center" vertical="center" wrapText="1"/>
    </xf>
    <xf numFmtId="0" fontId="0" fillId="0" borderId="11" xfId="0" applyBorder="1"/>
    <xf numFmtId="0" fontId="20" fillId="0" borderId="11" xfId="0" applyFont="1" applyBorder="1"/>
    <xf numFmtId="164" fontId="19" fillId="0" borderId="11" xfId="0" applyNumberFormat="1" applyFont="1" applyBorder="1"/>
    <xf numFmtId="0" fontId="17" fillId="4" borderId="65" xfId="0" applyFont="1" applyFill="1" applyBorder="1" applyAlignment="1">
      <alignment horizontal="center" vertical="center"/>
    </xf>
    <xf numFmtId="0" fontId="17" fillId="4" borderId="100" xfId="0" applyFont="1" applyFill="1" applyBorder="1" applyAlignment="1">
      <alignment horizontal="center" vertical="center" wrapText="1"/>
    </xf>
    <xf numFmtId="0" fontId="17" fillId="4" borderId="66" xfId="0" applyFont="1" applyFill="1" applyBorder="1" applyAlignment="1">
      <alignment horizontal="center" vertical="center" wrapText="1"/>
    </xf>
    <xf numFmtId="0" fontId="16" fillId="3" borderId="101" xfId="0" applyFont="1" applyFill="1" applyBorder="1" applyAlignment="1">
      <alignment vertical="center"/>
    </xf>
    <xf numFmtId="164" fontId="16" fillId="19" borderId="78" xfId="0" applyNumberFormat="1" applyFont="1" applyFill="1" applyBorder="1" applyAlignment="1">
      <alignment horizontal="center" vertical="center" wrapText="1"/>
    </xf>
    <xf numFmtId="0" fontId="16" fillId="3" borderId="70" xfId="0" applyFont="1" applyFill="1" applyBorder="1" applyAlignment="1">
      <alignment vertical="center"/>
    </xf>
    <xf numFmtId="0" fontId="16" fillId="3" borderId="77" xfId="0" applyFont="1" applyFill="1" applyBorder="1" applyAlignment="1">
      <alignment vertical="center"/>
    </xf>
    <xf numFmtId="164" fontId="17" fillId="7" borderId="105" xfId="0" applyNumberFormat="1" applyFont="1" applyFill="1" applyBorder="1" applyAlignment="1">
      <alignment horizontal="center" vertical="center" wrapText="1"/>
    </xf>
    <xf numFmtId="0" fontId="49" fillId="0" borderId="11" xfId="0" applyFont="1" applyBorder="1" applyAlignment="1">
      <alignment horizontal="center" vertical="center" wrapText="1"/>
    </xf>
    <xf numFmtId="0" fontId="50" fillId="0" borderId="11" xfId="0" applyFont="1" applyBorder="1" applyAlignment="1">
      <alignment horizontal="center" vertical="center" wrapText="1"/>
    </xf>
    <xf numFmtId="43" fontId="0" fillId="0" borderId="0" xfId="0" applyNumberFormat="1"/>
    <xf numFmtId="0" fontId="54" fillId="0" borderId="115" xfId="7" applyFont="1" applyBorder="1" applyAlignment="1">
      <alignment vertical="center"/>
    </xf>
    <xf numFmtId="0" fontId="37" fillId="0" borderId="116" xfId="7" applyFont="1" applyBorder="1" applyAlignment="1">
      <alignment vertical="center"/>
    </xf>
    <xf numFmtId="0" fontId="53" fillId="0" borderId="117" xfId="7" applyFont="1" applyBorder="1" applyAlignment="1">
      <alignment vertical="center"/>
    </xf>
    <xf numFmtId="0" fontId="53" fillId="0" borderId="118" xfId="7" applyFont="1" applyBorder="1" applyAlignment="1">
      <alignment vertical="center"/>
    </xf>
    <xf numFmtId="0" fontId="55" fillId="0" borderId="11" xfId="7" applyFont="1" applyAlignment="1">
      <alignment vertical="center"/>
    </xf>
    <xf numFmtId="0" fontId="37" fillId="0" borderId="11" xfId="7" applyFont="1" applyAlignment="1">
      <alignment vertical="center"/>
    </xf>
    <xf numFmtId="167" fontId="33" fillId="0" borderId="119" xfId="8" quotePrefix="1" applyNumberFormat="1" applyFont="1" applyFill="1" applyBorder="1" applyAlignment="1">
      <alignment horizontal="left" vertical="center"/>
    </xf>
    <xf numFmtId="0" fontId="37" fillId="0" borderId="113" xfId="7" applyFont="1" applyBorder="1" applyAlignment="1">
      <alignment vertical="center"/>
    </xf>
    <xf numFmtId="0" fontId="37" fillId="0" borderId="114" xfId="7" applyFont="1" applyBorder="1" applyAlignment="1">
      <alignment vertical="center"/>
    </xf>
    <xf numFmtId="0" fontId="37" fillId="0" borderId="122" xfId="7" applyFont="1" applyBorder="1" applyAlignment="1">
      <alignment vertical="center"/>
    </xf>
    <xf numFmtId="169" fontId="37" fillId="0" borderId="120" xfId="26" applyNumberFormat="1" applyFont="1" applyBorder="1" applyAlignment="1">
      <alignment horizontal="left" vertical="center"/>
    </xf>
    <xf numFmtId="14" fontId="37" fillId="0" borderId="121" xfId="7" applyNumberFormat="1" applyFont="1" applyBorder="1" applyAlignment="1">
      <alignment horizontal="left" vertical="center"/>
    </xf>
    <xf numFmtId="0" fontId="35" fillId="0" borderId="11" xfId="7" applyFont="1"/>
    <xf numFmtId="0" fontId="37" fillId="0" borderId="11" xfId="27" applyNumberFormat="1" applyFont="1" applyFill="1" applyBorder="1" applyAlignment="1"/>
    <xf numFmtId="0" fontId="39" fillId="4" borderId="72" xfId="27" applyFont="1" applyFill="1" applyBorder="1" applyAlignment="1">
      <alignment horizontal="center" vertical="center"/>
    </xf>
    <xf numFmtId="164" fontId="39" fillId="4" borderId="126" xfId="27" applyNumberFormat="1" applyFont="1" applyFill="1" applyBorder="1" applyAlignment="1">
      <alignment horizontal="center" vertical="center" wrapText="1"/>
    </xf>
    <xf numFmtId="0" fontId="56" fillId="3" borderId="73" xfId="27" applyFont="1" applyFill="1" applyBorder="1" applyAlignment="1">
      <alignment vertical="center" wrapText="1"/>
    </xf>
    <xf numFmtId="164" fontId="56" fillId="3" borderId="71" xfId="27" applyNumberFormat="1" applyFont="1" applyFill="1" applyBorder="1" applyAlignment="1">
      <alignment vertical="center" wrapText="1"/>
    </xf>
    <xf numFmtId="0" fontId="56" fillId="3" borderId="70" xfId="27" applyFont="1" applyFill="1" applyBorder="1" applyAlignment="1">
      <alignment vertical="center" wrapText="1"/>
    </xf>
    <xf numFmtId="0" fontId="28" fillId="0" borderId="11" xfId="27" applyNumberFormat="1" applyFont="1" applyFill="1" applyBorder="1" applyAlignment="1"/>
    <xf numFmtId="0" fontId="57" fillId="3" borderId="70" xfId="27" applyFont="1" applyFill="1" applyBorder="1" applyAlignment="1">
      <alignment horizontal="right" vertical="center" wrapText="1"/>
    </xf>
    <xf numFmtId="164" fontId="52" fillId="3" borderId="71" xfId="27" applyNumberFormat="1" applyFont="1" applyFill="1" applyBorder="1" applyAlignment="1">
      <alignment vertical="center" wrapText="1"/>
    </xf>
    <xf numFmtId="164" fontId="56" fillId="3" borderId="112" xfId="27" applyNumberFormat="1" applyFont="1" applyFill="1" applyBorder="1" applyAlignment="1">
      <alignment vertical="center" wrapText="1"/>
    </xf>
    <xf numFmtId="170" fontId="23" fillId="3" borderId="132" xfId="28" applyFont="1" applyFill="1" applyBorder="1" applyAlignment="1">
      <alignment horizontal="center" vertical="center"/>
    </xf>
    <xf numFmtId="10" fontId="52" fillId="3" borderId="132" xfId="27" applyNumberFormat="1" applyFont="1" applyFill="1" applyBorder="1" applyAlignment="1">
      <alignment horizontal="center" vertical="center"/>
    </xf>
    <xf numFmtId="170" fontId="23" fillId="21" borderId="132" xfId="28" applyFont="1" applyFill="1" applyBorder="1" applyAlignment="1">
      <alignment horizontal="center" vertical="center"/>
    </xf>
    <xf numFmtId="10" fontId="52" fillId="21" borderId="132" xfId="27" applyNumberFormat="1" applyFont="1" applyFill="1" applyBorder="1" applyAlignment="1">
      <alignment horizontal="center" vertical="center"/>
    </xf>
    <xf numFmtId="170" fontId="39" fillId="4" borderId="76" xfId="28" applyFont="1" applyFill="1" applyBorder="1" applyAlignment="1">
      <alignment horizontal="center" vertical="center"/>
    </xf>
    <xf numFmtId="9" fontId="39" fillId="4" borderId="76" xfId="27" applyNumberFormat="1" applyFont="1" applyFill="1" applyBorder="1" applyAlignment="1">
      <alignment horizontal="center" vertical="center"/>
    </xf>
    <xf numFmtId="44" fontId="37" fillId="0" borderId="11" xfId="27" applyNumberFormat="1" applyFont="1" applyFill="1" applyBorder="1" applyAlignment="1"/>
    <xf numFmtId="0" fontId="37" fillId="0" borderId="95" xfId="27" applyNumberFormat="1" applyFont="1" applyFill="1" applyBorder="1" applyAlignment="1"/>
    <xf numFmtId="0" fontId="37" fillId="0" borderId="96" xfId="27" applyNumberFormat="1" applyFont="1" applyFill="1" applyBorder="1" applyAlignment="1"/>
    <xf numFmtId="44" fontId="37" fillId="0" borderId="95" xfId="27" applyNumberFormat="1" applyFont="1" applyFill="1" applyBorder="1" applyAlignment="1"/>
    <xf numFmtId="0" fontId="37" fillId="0" borderId="74" xfId="27" applyNumberFormat="1" applyFont="1" applyFill="1" applyBorder="1" applyAlignment="1"/>
    <xf numFmtId="0" fontId="37" fillId="0" borderId="135" xfId="27" applyNumberFormat="1" applyFont="1" applyFill="1" applyBorder="1" applyAlignment="1"/>
    <xf numFmtId="0" fontId="37" fillId="0" borderId="75" xfId="27" applyNumberFormat="1" applyFont="1" applyFill="1" applyBorder="1" applyAlignment="1"/>
    <xf numFmtId="0" fontId="13" fillId="3" borderId="137" xfId="0" applyFont="1" applyFill="1" applyBorder="1"/>
    <xf numFmtId="0" fontId="13" fillId="3" borderId="45" xfId="0" applyFont="1" applyFill="1" applyBorder="1"/>
    <xf numFmtId="0" fontId="16" fillId="3" borderId="138" xfId="0" applyFont="1" applyFill="1" applyBorder="1" applyAlignment="1">
      <alignment horizontal="center" vertical="center" wrapText="1"/>
    </xf>
    <xf numFmtId="0" fontId="16" fillId="3" borderId="44"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16" fillId="3" borderId="95" xfId="0" applyFont="1" applyFill="1" applyBorder="1" applyAlignment="1">
      <alignment horizontal="center"/>
    </xf>
    <xf numFmtId="0" fontId="16" fillId="3" borderId="96" xfId="0" applyFont="1" applyFill="1" applyBorder="1" applyAlignment="1">
      <alignment horizontal="center"/>
    </xf>
    <xf numFmtId="0" fontId="16" fillId="3" borderId="74" xfId="0" applyFont="1" applyFill="1" applyBorder="1" applyAlignment="1">
      <alignment horizontal="center"/>
    </xf>
    <xf numFmtId="0" fontId="16" fillId="3" borderId="75" xfId="0" applyFont="1" applyFill="1" applyBorder="1" applyAlignment="1">
      <alignment horizontal="center"/>
    </xf>
    <xf numFmtId="0" fontId="57" fillId="3" borderId="111" xfId="27" applyFont="1" applyFill="1" applyBorder="1" applyAlignment="1">
      <alignment horizontal="right" vertical="center" wrapText="1"/>
    </xf>
    <xf numFmtId="0" fontId="56" fillId="3" borderId="70" xfId="27" applyFont="1" applyFill="1" applyBorder="1" applyAlignment="1">
      <alignment horizontal="left" vertical="center" wrapText="1"/>
    </xf>
    <xf numFmtId="43" fontId="17" fillId="22" borderId="142" xfId="24" applyFont="1" applyFill="1" applyBorder="1" applyAlignment="1">
      <alignment vertical="center" wrapText="1"/>
    </xf>
    <xf numFmtId="0" fontId="50" fillId="12" borderId="144" xfId="29" applyFont="1" applyFill="1" applyBorder="1" applyAlignment="1">
      <alignment vertical="center" wrapText="1"/>
    </xf>
    <xf numFmtId="43" fontId="50" fillId="12" borderId="91" xfId="24" applyFont="1" applyFill="1" applyBorder="1" applyAlignment="1">
      <alignment horizontal="center" vertical="center" wrapText="1"/>
    </xf>
    <xf numFmtId="43" fontId="50" fillId="0" borderId="93" xfId="24" applyFont="1" applyFill="1" applyBorder="1" applyAlignment="1">
      <alignment vertical="center" wrapText="1"/>
    </xf>
    <xf numFmtId="0" fontId="17" fillId="22" borderId="145" xfId="29" applyFont="1" applyFill="1" applyBorder="1" applyAlignment="1">
      <alignment vertical="center" wrapText="1"/>
    </xf>
    <xf numFmtId="43" fontId="17" fillId="22" borderId="61" xfId="24" applyFont="1" applyFill="1" applyBorder="1" applyAlignment="1">
      <alignment horizontal="center" vertical="center" wrapText="1"/>
    </xf>
    <xf numFmtId="43" fontId="17" fillId="22" borderId="146" xfId="24" applyFont="1" applyFill="1" applyBorder="1" applyAlignment="1">
      <alignment vertical="center" wrapText="1"/>
    </xf>
    <xf numFmtId="0" fontId="56" fillId="12" borderId="144" xfId="43" applyFont="1" applyFill="1" applyBorder="1" applyAlignment="1">
      <alignment vertical="center" wrapText="1"/>
    </xf>
    <xf numFmtId="43" fontId="56" fillId="12" borderId="91" xfId="44" applyFont="1" applyFill="1" applyBorder="1" applyAlignment="1">
      <alignment horizontal="center" vertical="center" wrapText="1"/>
    </xf>
    <xf numFmtId="43" fontId="56" fillId="12" borderId="93" xfId="44" applyFont="1" applyFill="1" applyBorder="1" applyAlignment="1">
      <alignment vertical="center" wrapText="1"/>
    </xf>
    <xf numFmtId="0" fontId="56" fillId="12" borderId="147" xfId="43" applyFont="1" applyFill="1" applyBorder="1" applyAlignment="1">
      <alignment vertical="center" wrapText="1"/>
    </xf>
    <xf numFmtId="43" fontId="56" fillId="12" borderId="97" xfId="44" applyFont="1" applyFill="1" applyBorder="1" applyAlignment="1">
      <alignment horizontal="center" vertical="center" wrapText="1"/>
    </xf>
    <xf numFmtId="43" fontId="56" fillId="12" borderId="148" xfId="44" applyFont="1" applyFill="1" applyBorder="1" applyAlignment="1">
      <alignment vertical="center" wrapText="1"/>
    </xf>
    <xf numFmtId="0" fontId="39" fillId="22" borderId="68" xfId="43" applyFont="1" applyFill="1" applyBorder="1" applyAlignment="1">
      <alignment vertical="center" wrapText="1"/>
    </xf>
    <xf numFmtId="43" fontId="39" fillId="22" borderId="76" xfId="44" applyFont="1" applyFill="1" applyBorder="1" applyAlignment="1">
      <alignment horizontal="center" vertical="center" wrapText="1"/>
    </xf>
    <xf numFmtId="43" fontId="39" fillId="22" borderId="67" xfId="44" applyFont="1" applyFill="1" applyBorder="1" applyAlignment="1">
      <alignment vertical="center" wrapText="1"/>
    </xf>
    <xf numFmtId="0" fontId="60" fillId="0" borderId="11" xfId="45" applyFont="1"/>
    <xf numFmtId="166" fontId="60" fillId="0" borderId="11" xfId="8" applyFont="1"/>
    <xf numFmtId="0" fontId="4" fillId="0" borderId="11" xfId="45"/>
    <xf numFmtId="0" fontId="61" fillId="0" borderId="11" xfId="45" applyFont="1"/>
    <xf numFmtId="0" fontId="59" fillId="0" borderId="11" xfId="45" applyFont="1"/>
    <xf numFmtId="0" fontId="59" fillId="11" borderId="68" xfId="45" applyFont="1" applyFill="1" applyBorder="1" applyAlignment="1">
      <alignment horizontal="center" vertical="center" wrapText="1"/>
    </xf>
    <xf numFmtId="0" fontId="59" fillId="11" borderId="76" xfId="45" applyFont="1" applyFill="1" applyBorder="1" applyAlignment="1">
      <alignment horizontal="center" vertical="center" wrapText="1"/>
    </xf>
    <xf numFmtId="0" fontId="59" fillId="11" borderId="67" xfId="45" applyFont="1" applyFill="1" applyBorder="1" applyAlignment="1">
      <alignment horizontal="center" vertical="center" wrapText="1"/>
    </xf>
    <xf numFmtId="0" fontId="24" fillId="0" borderId="150" xfId="45" applyFont="1" applyBorder="1" applyAlignment="1">
      <alignment horizontal="center"/>
    </xf>
    <xf numFmtId="0" fontId="62" fillId="0" borderId="151" xfId="45" applyFont="1" applyBorder="1" applyAlignment="1">
      <alignment horizontal="center" vertical="center"/>
    </xf>
    <xf numFmtId="0" fontId="62" fillId="0" borderId="152" xfId="45" applyFont="1" applyBorder="1" applyAlignment="1">
      <alignment horizontal="center" vertical="center"/>
    </xf>
    <xf numFmtId="0" fontId="24" fillId="0" borderId="153" xfId="45" applyFont="1" applyBorder="1"/>
    <xf numFmtId="0" fontId="59" fillId="0" borderId="151" xfId="45" applyFont="1" applyBorder="1" applyAlignment="1">
      <alignment vertical="center"/>
    </xf>
    <xf numFmtId="0" fontId="59" fillId="0" borderId="154" xfId="45" applyFont="1" applyBorder="1" applyAlignment="1">
      <alignment horizontal="center"/>
    </xf>
    <xf numFmtId="166" fontId="59" fillId="0" borderId="154" xfId="8" applyFont="1" applyBorder="1" applyAlignment="1">
      <alignment horizontal="center"/>
    </xf>
    <xf numFmtId="0" fontId="62" fillId="0" borderId="153" xfId="45" applyFont="1" applyBorder="1" applyAlignment="1">
      <alignment horizontal="center" vertical="center"/>
    </xf>
    <xf numFmtId="0" fontId="62" fillId="0" borderId="154" xfId="45" applyFont="1" applyBorder="1" applyAlignment="1">
      <alignment horizontal="center" vertical="center"/>
    </xf>
    <xf numFmtId="0" fontId="62" fillId="0" borderId="155" xfId="45" applyFont="1" applyBorder="1" applyAlignment="1">
      <alignment horizontal="center" vertical="center"/>
    </xf>
    <xf numFmtId="0" fontId="24" fillId="0" borderId="150" xfId="45" applyFont="1" applyBorder="1"/>
    <xf numFmtId="0" fontId="59" fillId="0" borderId="151" xfId="45" applyFont="1" applyBorder="1" applyAlignment="1">
      <alignment horizontal="center"/>
    </xf>
    <xf numFmtId="166" fontId="59" fillId="0" borderId="151" xfId="8" applyFont="1" applyBorder="1" applyAlignment="1">
      <alignment horizontal="center"/>
    </xf>
    <xf numFmtId="0" fontId="24" fillId="0" borderId="156" xfId="45" applyFont="1" applyBorder="1"/>
    <xf numFmtId="0" fontId="59" fillId="0" borderId="157" xfId="45" applyFont="1" applyBorder="1" applyAlignment="1">
      <alignment horizontal="left" vertical="center"/>
    </xf>
    <xf numFmtId="0" fontId="59" fillId="0" borderId="157" xfId="45" applyFont="1" applyBorder="1" applyAlignment="1">
      <alignment horizontal="center"/>
    </xf>
    <xf numFmtId="166" fontId="59" fillId="0" borderId="157" xfId="8" applyFont="1" applyBorder="1" applyAlignment="1">
      <alignment horizontal="center"/>
    </xf>
    <xf numFmtId="0" fontId="24" fillId="0" borderId="156" xfId="45" applyFont="1" applyBorder="1" applyAlignment="1">
      <alignment horizontal="center"/>
    </xf>
    <xf numFmtId="0" fontId="62" fillId="0" borderId="157" xfId="45" applyFont="1" applyBorder="1" applyAlignment="1">
      <alignment horizontal="center" vertical="center"/>
    </xf>
    <xf numFmtId="0" fontId="62" fillId="0" borderId="158" xfId="45" applyFont="1" applyBorder="1" applyAlignment="1">
      <alignment horizontal="center" vertical="center"/>
    </xf>
    <xf numFmtId="166" fontId="59" fillId="11" borderId="151" xfId="8" applyFont="1" applyFill="1" applyBorder="1" applyAlignment="1">
      <alignment horizontal="center"/>
    </xf>
    <xf numFmtId="0" fontId="24" fillId="0" borderId="159" xfId="45" applyFont="1" applyBorder="1"/>
    <xf numFmtId="0" fontId="59" fillId="0" borderId="160" xfId="45" applyFont="1" applyBorder="1" applyAlignment="1">
      <alignment vertical="center"/>
    </xf>
    <xf numFmtId="0" fontId="59" fillId="0" borderId="160" xfId="45" applyFont="1" applyBorder="1" applyAlignment="1">
      <alignment horizontal="center"/>
    </xf>
    <xf numFmtId="166" fontId="59" fillId="0" borderId="160" xfId="8" applyFont="1" applyBorder="1" applyAlignment="1">
      <alignment horizontal="center"/>
    </xf>
    <xf numFmtId="166" fontId="59" fillId="11" borderId="160" xfId="8" applyFont="1" applyFill="1" applyBorder="1" applyAlignment="1">
      <alignment horizontal="center"/>
    </xf>
    <xf numFmtId="0" fontId="24" fillId="0" borderId="159" xfId="45" applyFont="1" applyBorder="1" applyAlignment="1">
      <alignment horizontal="center"/>
    </xf>
    <xf numFmtId="0" fontId="62" fillId="0" borderId="160" xfId="45" applyFont="1" applyBorder="1" applyAlignment="1">
      <alignment horizontal="center" vertical="center"/>
    </xf>
    <xf numFmtId="0" fontId="62" fillId="0" borderId="161" xfId="45" applyFont="1" applyBorder="1" applyAlignment="1">
      <alignment horizontal="center" vertical="center"/>
    </xf>
    <xf numFmtId="166" fontId="59" fillId="11" borderId="157" xfId="8" applyFont="1" applyFill="1" applyBorder="1" applyAlignment="1">
      <alignment horizontal="center"/>
    </xf>
    <xf numFmtId="0" fontId="24" fillId="0" borderId="162" xfId="45" applyFont="1" applyBorder="1"/>
    <xf numFmtId="0" fontId="59" fillId="0" borderId="163" xfId="45" applyFont="1" applyBorder="1" applyAlignment="1">
      <alignment vertical="center"/>
    </xf>
    <xf numFmtId="0" fontId="59" fillId="0" borderId="163" xfId="45" applyFont="1" applyBorder="1" applyAlignment="1">
      <alignment horizontal="center"/>
    </xf>
    <xf numFmtId="166" fontId="59" fillId="0" borderId="163" xfId="8" applyFont="1" applyBorder="1" applyAlignment="1">
      <alignment horizontal="center"/>
    </xf>
    <xf numFmtId="0" fontId="59" fillId="0" borderId="157" xfId="45" applyFont="1" applyBorder="1" applyAlignment="1">
      <alignment vertical="center"/>
    </xf>
    <xf numFmtId="0" fontId="59" fillId="0" borderId="154" xfId="45" applyFont="1" applyBorder="1" applyAlignment="1">
      <alignment vertical="center"/>
    </xf>
    <xf numFmtId="166" fontId="4" fillId="0" borderId="11" xfId="8" applyFont="1"/>
    <xf numFmtId="0" fontId="24" fillId="0" borderId="165" xfId="45" applyFont="1" applyBorder="1"/>
    <xf numFmtId="0" fontId="59" fillId="0" borderId="166" xfId="45" applyFont="1" applyBorder="1" applyAlignment="1">
      <alignment horizontal="left" vertical="center"/>
    </xf>
    <xf numFmtId="0" fontId="59" fillId="0" borderId="166" xfId="45" applyFont="1" applyBorder="1" applyAlignment="1">
      <alignment horizontal="center"/>
    </xf>
    <xf numFmtId="166" fontId="59" fillId="0" borderId="166" xfId="8" applyFont="1" applyBorder="1" applyAlignment="1">
      <alignment horizontal="center"/>
    </xf>
    <xf numFmtId="166" fontId="59" fillId="11" borderId="166" xfId="8" applyFont="1" applyFill="1" applyBorder="1" applyAlignment="1">
      <alignment horizontal="center"/>
    </xf>
    <xf numFmtId="0" fontId="24" fillId="0" borderId="165" xfId="45" applyFont="1" applyBorder="1" applyAlignment="1">
      <alignment horizontal="center"/>
    </xf>
    <xf numFmtId="0" fontId="62" fillId="0" borderId="166" xfId="45" applyFont="1" applyBorder="1" applyAlignment="1">
      <alignment horizontal="center" vertical="center"/>
    </xf>
    <xf numFmtId="0" fontId="62" fillId="0" borderId="167" xfId="45" applyFont="1" applyBorder="1" applyAlignment="1">
      <alignment horizontal="center" vertical="center"/>
    </xf>
    <xf numFmtId="2" fontId="60" fillId="0" borderId="11" xfId="45" applyNumberFormat="1" applyFont="1"/>
    <xf numFmtId="2" fontId="61" fillId="0" borderId="11" xfId="45" applyNumberFormat="1" applyFont="1"/>
    <xf numFmtId="0" fontId="28" fillId="0" borderId="11" xfId="11"/>
    <xf numFmtId="0" fontId="51" fillId="0" borderId="11" xfId="45" applyFont="1"/>
    <xf numFmtId="166" fontId="51" fillId="0" borderId="11" xfId="8" applyFont="1"/>
    <xf numFmtId="0" fontId="13" fillId="3" borderId="138" xfId="0" applyFont="1" applyFill="1" applyBorder="1"/>
    <xf numFmtId="0" fontId="13" fillId="3" borderId="136" xfId="0" applyFont="1" applyFill="1" applyBorder="1"/>
    <xf numFmtId="0" fontId="13" fillId="3" borderId="44" xfId="0" applyFont="1" applyFill="1" applyBorder="1"/>
    <xf numFmtId="0" fontId="13" fillId="3" borderId="11" xfId="0" applyFont="1" applyFill="1" applyBorder="1"/>
    <xf numFmtId="0" fontId="63" fillId="3" borderId="2" xfId="0" applyFont="1" applyFill="1" applyBorder="1" applyAlignment="1">
      <alignment horizontal="left" vertical="center" wrapText="1"/>
    </xf>
    <xf numFmtId="0" fontId="63" fillId="3" borderId="6" xfId="0" applyFont="1" applyFill="1" applyBorder="1" applyAlignment="1">
      <alignment horizontal="left" vertical="center" wrapText="1"/>
    </xf>
    <xf numFmtId="0" fontId="64" fillId="2" borderId="1" xfId="0" applyFont="1" applyFill="1" applyBorder="1" applyAlignment="1">
      <alignment vertical="center" wrapText="1"/>
    </xf>
    <xf numFmtId="0" fontId="64" fillId="2" borderId="5" xfId="0" applyFont="1" applyFill="1" applyBorder="1" applyAlignment="1">
      <alignment vertical="center" wrapText="1"/>
    </xf>
    <xf numFmtId="43" fontId="59" fillId="10" borderId="155" xfId="46" applyFont="1" applyFill="1" applyBorder="1" applyAlignment="1">
      <alignment horizontal="center"/>
    </xf>
    <xf numFmtId="43" fontId="59" fillId="10" borderId="152" xfId="46" applyFont="1" applyFill="1" applyBorder="1" applyAlignment="1">
      <alignment horizontal="center"/>
    </xf>
    <xf numFmtId="43" fontId="59" fillId="10" borderId="161" xfId="46" applyFont="1" applyFill="1" applyBorder="1" applyAlignment="1">
      <alignment horizontal="center"/>
    </xf>
    <xf numFmtId="43" fontId="59" fillId="10" borderId="158" xfId="46" applyFont="1" applyFill="1" applyBorder="1" applyAlignment="1">
      <alignment horizontal="center"/>
    </xf>
    <xf numFmtId="0" fontId="24" fillId="10" borderId="150" xfId="45" applyFont="1" applyFill="1" applyBorder="1" applyAlignment="1">
      <alignment horizontal="center"/>
    </xf>
    <xf numFmtId="0" fontId="62" fillId="10" borderId="151" xfId="45" applyFont="1" applyFill="1" applyBorder="1" applyAlignment="1">
      <alignment horizontal="center" vertical="center"/>
    </xf>
    <xf numFmtId="0" fontId="62" fillId="10" borderId="152" xfId="45" applyFont="1" applyFill="1" applyBorder="1" applyAlignment="1">
      <alignment horizontal="center" vertical="center"/>
    </xf>
    <xf numFmtId="43" fontId="59" fillId="10" borderId="167" xfId="46" applyFont="1" applyFill="1" applyBorder="1" applyAlignment="1">
      <alignment horizontal="center"/>
    </xf>
    <xf numFmtId="168" fontId="60" fillId="0" borderId="11" xfId="8" applyNumberFormat="1" applyFont="1"/>
    <xf numFmtId="0" fontId="65" fillId="4" borderId="139" xfId="0" applyFont="1" applyFill="1" applyBorder="1" applyAlignment="1">
      <alignment vertical="center"/>
    </xf>
    <xf numFmtId="0" fontId="65" fillId="4" borderId="140" xfId="0" applyFont="1" applyFill="1" applyBorder="1" applyAlignment="1">
      <alignment vertical="center"/>
    </xf>
    <xf numFmtId="0" fontId="65" fillId="4" borderId="141" xfId="0" applyFont="1" applyFill="1" applyBorder="1" applyAlignment="1">
      <alignment vertical="center"/>
    </xf>
    <xf numFmtId="0" fontId="24" fillId="13" borderId="150" xfId="45" applyFont="1" applyFill="1" applyBorder="1" applyAlignment="1">
      <alignment horizontal="center"/>
    </xf>
    <xf numFmtId="0" fontId="62" fillId="13" borderId="151" xfId="45" applyFont="1" applyFill="1" applyBorder="1" applyAlignment="1">
      <alignment horizontal="center" vertical="center"/>
    </xf>
    <xf numFmtId="0" fontId="62" fillId="13" borderId="152" xfId="45" applyFont="1" applyFill="1" applyBorder="1" applyAlignment="1">
      <alignment horizontal="center" vertical="center"/>
    </xf>
    <xf numFmtId="0" fontId="68" fillId="0" borderId="11" xfId="48" applyFont="1" applyAlignment="1">
      <alignment vertical="center" wrapText="1"/>
    </xf>
    <xf numFmtId="0" fontId="68" fillId="0" borderId="11" xfId="48" applyFont="1" applyAlignment="1">
      <alignment vertical="center"/>
    </xf>
    <xf numFmtId="0" fontId="69" fillId="3" borderId="11" xfId="47" applyFont="1" applyFill="1"/>
    <xf numFmtId="0" fontId="70" fillId="0" borderId="11" xfId="48" applyFont="1" applyAlignment="1">
      <alignment horizontal="left" vertical="center"/>
    </xf>
    <xf numFmtId="0" fontId="70" fillId="0" borderId="11" xfId="48" applyFont="1" applyAlignment="1">
      <alignment horizontal="center" vertical="center"/>
    </xf>
    <xf numFmtId="0" fontId="71" fillId="0" borderId="11" xfId="48" applyFont="1" applyAlignment="1">
      <alignment vertical="center" wrapText="1"/>
    </xf>
    <xf numFmtId="0" fontId="72" fillId="0" borderId="11" xfId="48" applyFont="1" applyAlignment="1">
      <alignment vertical="center" wrapText="1"/>
    </xf>
    <xf numFmtId="0" fontId="71" fillId="0" borderId="11" xfId="48" applyFont="1" applyAlignment="1">
      <alignment vertical="center"/>
    </xf>
    <xf numFmtId="0" fontId="67" fillId="3" borderId="181" xfId="47" applyFont="1" applyFill="1" applyBorder="1" applyAlignment="1">
      <alignment horizontal="right"/>
    </xf>
    <xf numFmtId="43" fontId="67" fillId="3" borderId="182" xfId="49" applyFont="1" applyFill="1" applyBorder="1" applyAlignment="1">
      <alignment horizontal="center"/>
    </xf>
    <xf numFmtId="0" fontId="68" fillId="0" borderId="11" xfId="48" applyFont="1" applyAlignment="1">
      <alignment horizontal="center" vertical="center"/>
    </xf>
    <xf numFmtId="44" fontId="68" fillId="0" borderId="11" xfId="42" applyFont="1" applyAlignment="1">
      <alignment vertical="center"/>
    </xf>
    <xf numFmtId="0" fontId="67" fillId="3" borderId="183" xfId="47" applyFont="1" applyFill="1" applyBorder="1" applyAlignment="1">
      <alignment horizontal="right"/>
    </xf>
    <xf numFmtId="43" fontId="67" fillId="3" borderId="94" xfId="49" applyFont="1" applyFill="1" applyBorder="1" applyAlignment="1">
      <alignment horizontal="center"/>
    </xf>
    <xf numFmtId="0" fontId="67" fillId="3" borderId="184" xfId="47" applyFont="1" applyFill="1" applyBorder="1" applyAlignment="1">
      <alignment horizontal="right"/>
    </xf>
    <xf numFmtId="43" fontId="67" fillId="3" borderId="99" xfId="49" applyFont="1" applyFill="1" applyBorder="1" applyAlignment="1">
      <alignment horizontal="center"/>
    </xf>
    <xf numFmtId="44" fontId="72" fillId="0" borderId="11" xfId="42" applyFont="1" applyAlignment="1">
      <alignment vertical="center" wrapText="1"/>
    </xf>
    <xf numFmtId="0" fontId="42" fillId="23" borderId="109" xfId="48" applyFont="1" applyFill="1" applyBorder="1" applyAlignment="1">
      <alignment horizontal="center" vertical="center" wrapText="1"/>
    </xf>
    <xf numFmtId="0" fontId="42" fillId="23" borderId="149" xfId="48" applyFont="1" applyFill="1" applyBorder="1" applyAlignment="1">
      <alignment horizontal="left" vertical="center"/>
    </xf>
    <xf numFmtId="0" fontId="42" fillId="23" borderId="89" xfId="48" applyFont="1" applyFill="1" applyBorder="1" applyAlignment="1">
      <alignment horizontal="center" vertical="center" wrapText="1"/>
    </xf>
    <xf numFmtId="44" fontId="42" fillId="23" borderId="124" xfId="42" applyFont="1" applyFill="1" applyBorder="1" applyAlignment="1">
      <alignment horizontal="center" vertical="center" wrapText="1"/>
    </xf>
    <xf numFmtId="44" fontId="42" fillId="23" borderId="90" xfId="42" applyFont="1" applyFill="1" applyBorder="1" applyAlignment="1">
      <alignment horizontal="center" vertical="center" wrapText="1"/>
    </xf>
    <xf numFmtId="0" fontId="73" fillId="10" borderId="185" xfId="48" applyFont="1" applyFill="1" applyBorder="1" applyAlignment="1">
      <alignment vertical="center" wrapText="1"/>
    </xf>
    <xf numFmtId="0" fontId="73" fillId="10" borderId="59" xfId="48" applyFont="1" applyFill="1" applyBorder="1" applyAlignment="1">
      <alignment horizontal="left" vertical="center"/>
    </xf>
    <xf numFmtId="0" fontId="73" fillId="10" borderId="59" xfId="48" applyFont="1" applyFill="1" applyBorder="1" applyAlignment="1">
      <alignment vertical="center" wrapText="1"/>
    </xf>
    <xf numFmtId="43" fontId="74" fillId="10" borderId="59" xfId="50" applyFont="1" applyFill="1" applyBorder="1" applyAlignment="1">
      <alignment vertical="center"/>
    </xf>
    <xf numFmtId="44" fontId="74" fillId="10" borderId="60" xfId="42" applyFont="1" applyFill="1" applyBorder="1" applyAlignment="1">
      <alignment vertical="center"/>
    </xf>
    <xf numFmtId="44" fontId="74" fillId="10" borderId="67" xfId="42" applyFont="1" applyFill="1" applyBorder="1" applyAlignment="1">
      <alignment vertical="center"/>
    </xf>
    <xf numFmtId="0" fontId="60" fillId="13" borderId="186" xfId="48" applyFont="1" applyFill="1" applyBorder="1" applyAlignment="1">
      <alignment vertical="center" wrapText="1"/>
    </xf>
    <xf numFmtId="0" fontId="73" fillId="18" borderId="58" xfId="48" applyFont="1" applyFill="1" applyBorder="1" applyAlignment="1">
      <alignment horizontal="left" vertical="center"/>
    </xf>
    <xf numFmtId="0" fontId="73" fillId="0" borderId="59" xfId="48" applyFont="1" applyBorder="1" applyAlignment="1">
      <alignment horizontal="right" vertical="center" wrapText="1"/>
    </xf>
    <xf numFmtId="43" fontId="74" fillId="0" borderId="59" xfId="50" applyFont="1" applyFill="1" applyBorder="1" applyAlignment="1">
      <alignment vertical="center"/>
    </xf>
    <xf numFmtId="44" fontId="74" fillId="0" borderId="59" xfId="42" applyFont="1" applyFill="1" applyBorder="1" applyAlignment="1">
      <alignment vertical="center"/>
    </xf>
    <xf numFmtId="44" fontId="74" fillId="0" borderId="187" xfId="42" applyFont="1" applyFill="1" applyBorder="1" applyAlignment="1">
      <alignment vertical="center"/>
    </xf>
    <xf numFmtId="0" fontId="60" fillId="13" borderId="188" xfId="48" applyFont="1" applyFill="1" applyBorder="1" applyAlignment="1">
      <alignment horizontal="left" vertical="center"/>
    </xf>
    <xf numFmtId="0" fontId="60" fillId="0" borderId="92" xfId="48" applyFont="1" applyBorder="1" applyAlignment="1">
      <alignment vertical="center" wrapText="1"/>
    </xf>
    <xf numFmtId="43" fontId="28" fillId="0" borderId="92" xfId="50" applyFont="1" applyFill="1" applyBorder="1" applyAlignment="1">
      <alignment vertical="center"/>
    </xf>
    <xf numFmtId="170" fontId="28" fillId="0" borderId="80" xfId="28" applyFont="1" applyFill="1" applyBorder="1" applyAlignment="1">
      <alignment vertical="center"/>
    </xf>
    <xf numFmtId="44" fontId="60" fillId="0" borderId="94" xfId="42" applyFont="1" applyFill="1" applyBorder="1" applyAlignment="1">
      <alignment vertical="center"/>
    </xf>
    <xf numFmtId="44" fontId="66" fillId="0" borderId="94" xfId="51" applyNumberFormat="1" applyFill="1" applyBorder="1" applyAlignment="1">
      <alignment vertical="center" wrapText="1"/>
    </xf>
    <xf numFmtId="0" fontId="68" fillId="0" borderId="96" xfId="48" applyFont="1" applyBorder="1" applyAlignment="1">
      <alignment vertical="center"/>
    </xf>
    <xf numFmtId="44" fontId="66" fillId="0" borderId="94" xfId="51" applyNumberFormat="1" applyFill="1" applyBorder="1" applyAlignment="1">
      <alignment vertical="center"/>
    </xf>
    <xf numFmtId="0" fontId="60" fillId="13" borderId="186" xfId="48" applyFont="1" applyFill="1" applyBorder="1" applyAlignment="1">
      <alignment vertical="center"/>
    </xf>
    <xf numFmtId="0" fontId="60" fillId="0" borderId="92" xfId="48" applyFont="1" applyBorder="1" applyAlignment="1">
      <alignment vertical="center"/>
    </xf>
    <xf numFmtId="0" fontId="73" fillId="10" borderId="185" xfId="48" applyFont="1" applyFill="1" applyBorder="1" applyAlignment="1">
      <alignment vertical="center"/>
    </xf>
    <xf numFmtId="0" fontId="60" fillId="0" borderId="172" xfId="48" applyFont="1" applyBorder="1" applyAlignment="1">
      <alignment vertical="center"/>
    </xf>
    <xf numFmtId="43" fontId="28" fillId="0" borderId="172" xfId="50" applyFont="1" applyFill="1" applyBorder="1" applyAlignment="1">
      <alignment vertical="center"/>
    </xf>
    <xf numFmtId="170" fontId="28" fillId="0" borderId="79" xfId="28" applyFont="1" applyFill="1" applyBorder="1" applyAlignment="1">
      <alignment vertical="center"/>
    </xf>
    <xf numFmtId="44" fontId="60" fillId="0" borderId="189" xfId="42" applyFont="1" applyFill="1" applyBorder="1" applyAlignment="1">
      <alignment vertical="center"/>
    </xf>
    <xf numFmtId="0" fontId="60" fillId="0" borderId="188" xfId="48" applyFont="1" applyBorder="1" applyAlignment="1">
      <alignment vertical="center"/>
    </xf>
    <xf numFmtId="43" fontId="28" fillId="0" borderId="188" xfId="50" applyFont="1" applyFill="1" applyBorder="1" applyAlignment="1">
      <alignment vertical="center"/>
    </xf>
    <xf numFmtId="170" fontId="28" fillId="0" borderId="190" xfId="28" applyFont="1" applyFill="1" applyBorder="1" applyAlignment="1">
      <alignment vertical="center"/>
    </xf>
    <xf numFmtId="44" fontId="75" fillId="0" borderId="94" xfId="52" applyNumberFormat="1" applyFill="1" applyBorder="1" applyAlignment="1">
      <alignment vertical="center"/>
    </xf>
    <xf numFmtId="0" fontId="28" fillId="0" borderId="188" xfId="48" applyFont="1" applyBorder="1" applyAlignment="1">
      <alignment vertical="center" wrapText="1"/>
    </xf>
    <xf numFmtId="0" fontId="60" fillId="0" borderId="188" xfId="48" applyFont="1" applyBorder="1" applyAlignment="1">
      <alignment vertical="center" wrapText="1"/>
    </xf>
    <xf numFmtId="0" fontId="28" fillId="0" borderId="92" xfId="48" applyFont="1" applyBorder="1" applyAlignment="1">
      <alignment vertical="center" wrapText="1"/>
    </xf>
    <xf numFmtId="0" fontId="60" fillId="13" borderId="184" xfId="48" applyFont="1" applyFill="1" applyBorder="1" applyAlignment="1">
      <alignment vertical="center"/>
    </xf>
    <xf numFmtId="0" fontId="60" fillId="13" borderId="98" xfId="48" applyFont="1" applyFill="1" applyBorder="1" applyAlignment="1">
      <alignment horizontal="left" vertical="center"/>
    </xf>
    <xf numFmtId="0" fontId="28" fillId="0" borderId="98" xfId="48" applyFont="1" applyBorder="1" applyAlignment="1">
      <alignment vertical="center" wrapText="1"/>
    </xf>
    <xf numFmtId="43" fontId="28" fillId="0" borderId="98" xfId="50" applyFont="1" applyFill="1" applyBorder="1" applyAlignment="1">
      <alignment vertical="center"/>
    </xf>
    <xf numFmtId="44" fontId="28" fillId="0" borderId="191" xfId="42" applyFont="1" applyFill="1" applyBorder="1" applyAlignment="1">
      <alignment vertical="center"/>
    </xf>
    <xf numFmtId="44" fontId="60" fillId="0" borderId="192" xfId="42" applyFont="1" applyFill="1" applyBorder="1" applyAlignment="1">
      <alignment vertical="center"/>
    </xf>
    <xf numFmtId="0" fontId="68" fillId="0" borderId="11" xfId="48" applyFont="1" applyAlignment="1">
      <alignment horizontal="left" vertical="center"/>
    </xf>
    <xf numFmtId="0" fontId="16" fillId="3" borderId="193"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64" fillId="2" borderId="194" xfId="0" applyFont="1" applyFill="1" applyBorder="1" applyAlignment="1">
      <alignment vertical="center" wrapText="1"/>
    </xf>
    <xf numFmtId="0" fontId="63" fillId="3" borderId="54" xfId="0" applyFont="1" applyFill="1" applyBorder="1" applyAlignment="1">
      <alignment horizontal="left" vertical="center" wrapText="1"/>
    </xf>
    <xf numFmtId="0" fontId="12" fillId="3" borderId="55" xfId="0" applyFont="1" applyFill="1" applyBorder="1" applyAlignment="1">
      <alignment horizontal="center" vertical="center" wrapText="1"/>
    </xf>
    <xf numFmtId="0" fontId="16" fillId="3" borderId="45" xfId="0" applyFont="1" applyFill="1" applyBorder="1" applyAlignment="1">
      <alignment horizontal="center" vertical="center" wrapText="1"/>
    </xf>
    <xf numFmtId="0" fontId="16" fillId="3" borderId="44" xfId="0" applyFont="1" applyFill="1" applyBorder="1"/>
    <xf numFmtId="0" fontId="76" fillId="3" borderId="11" xfId="0" applyFont="1" applyFill="1" applyBorder="1" applyAlignment="1">
      <alignment horizontal="left"/>
    </xf>
    <xf numFmtId="0" fontId="0" fillId="0" borderId="76" xfId="0" applyBorder="1"/>
    <xf numFmtId="0" fontId="0" fillId="0" borderId="76" xfId="0" applyBorder="1" applyAlignment="1">
      <alignment horizontal="center"/>
    </xf>
    <xf numFmtId="43" fontId="0" fillId="0" borderId="76" xfId="1" applyFont="1" applyBorder="1" applyAlignment="1"/>
    <xf numFmtId="0" fontId="28" fillId="0" borderId="11" xfId="6" applyNumberFormat="1" applyFont="1" applyFill="1" applyBorder="1" applyAlignment="1">
      <alignment horizontal="center"/>
    </xf>
    <xf numFmtId="0" fontId="31" fillId="0" borderId="11" xfId="6" applyNumberFormat="1" applyFont="1" applyFill="1" applyBorder="1" applyAlignment="1">
      <alignment vertical="center"/>
    </xf>
    <xf numFmtId="0" fontId="77" fillId="0" borderId="11" xfId="6" applyNumberFormat="1" applyFont="1" applyFill="1" applyBorder="1" applyAlignment="1">
      <alignment horizontal="center" vertical="center"/>
    </xf>
    <xf numFmtId="0" fontId="28" fillId="0" borderId="11" xfId="6" applyNumberFormat="1" applyFont="1" applyFill="1" applyBorder="1" applyAlignment="1">
      <alignment horizontal="center" vertical="center"/>
    </xf>
    <xf numFmtId="0" fontId="36" fillId="0" borderId="11" xfId="7" applyFont="1"/>
    <xf numFmtId="0" fontId="33" fillId="0" borderId="11" xfId="7" applyFont="1" applyAlignment="1">
      <alignment horizontal="right"/>
    </xf>
    <xf numFmtId="0" fontId="78" fillId="0" borderId="11" xfId="6" applyNumberFormat="1" applyFont="1" applyFill="1" applyBorder="1" applyAlignment="1">
      <alignment horizontal="center" vertical="center"/>
    </xf>
    <xf numFmtId="0" fontId="37" fillId="0" borderId="11" xfId="7" applyFont="1"/>
    <xf numFmtId="167" fontId="34" fillId="0" borderId="11" xfId="8" quotePrefix="1" applyNumberFormat="1" applyFont="1" applyFill="1" applyBorder="1" applyAlignment="1">
      <alignment horizontal="left" vertical="center"/>
    </xf>
    <xf numFmtId="0" fontId="33" fillId="0" borderId="11" xfId="7" applyFont="1" applyAlignment="1">
      <alignment horizontal="right" vertical="center"/>
    </xf>
    <xf numFmtId="0" fontId="79" fillId="0" borderId="11" xfId="27" applyFont="1"/>
    <xf numFmtId="0" fontId="23" fillId="0" borderId="11" xfId="6" applyNumberFormat="1" applyFont="1" applyFill="1" applyBorder="1" applyAlignment="1">
      <alignment horizontal="center" vertical="center"/>
    </xf>
    <xf numFmtId="172" fontId="80" fillId="0" borderId="11" xfId="11" applyNumberFormat="1" applyFont="1" applyAlignment="1">
      <alignment horizontal="left" vertical="center"/>
    </xf>
    <xf numFmtId="173" fontId="80" fillId="0" borderId="11" xfId="11" applyNumberFormat="1" applyFont="1" applyAlignment="1">
      <alignment horizontal="left" vertical="center"/>
    </xf>
    <xf numFmtId="49" fontId="39" fillId="15" borderId="61" xfId="6" applyNumberFormat="1" applyFont="1" applyFill="1" applyBorder="1" applyAlignment="1">
      <alignment horizontal="center" vertical="center"/>
    </xf>
    <xf numFmtId="0" fontId="40" fillId="15" borderId="76" xfId="6" applyNumberFormat="1" applyFont="1" applyFill="1" applyBorder="1" applyAlignment="1">
      <alignment horizontal="center" vertical="center" wrapText="1"/>
    </xf>
    <xf numFmtId="0" fontId="40" fillId="15" borderId="60" xfId="53" applyNumberFormat="1" applyFont="1" applyFill="1" applyBorder="1" applyAlignment="1">
      <alignment horizontal="center" vertical="center" wrapText="1"/>
    </xf>
    <xf numFmtId="0" fontId="40" fillId="15" borderId="81" xfId="53" applyNumberFormat="1" applyFont="1" applyFill="1" applyBorder="1" applyAlignment="1">
      <alignment horizontal="center" vertical="center" wrapText="1"/>
    </xf>
    <xf numFmtId="0" fontId="40" fillId="15" borderId="82" xfId="53" applyNumberFormat="1" applyFont="1" applyFill="1" applyBorder="1" applyAlignment="1">
      <alignment horizontal="center" vertical="center" wrapText="1"/>
    </xf>
    <xf numFmtId="0" fontId="37" fillId="0" borderId="11" xfId="6" applyNumberFormat="1" applyFont="1" applyFill="1" applyBorder="1" applyAlignment="1">
      <alignment horizontal="center" vertical="center"/>
    </xf>
    <xf numFmtId="49" fontId="23" fillId="0" borderId="62" xfId="6" applyNumberFormat="1" applyFont="1" applyFill="1" applyBorder="1" applyAlignment="1">
      <alignment horizontal="left" vertical="center" wrapText="1"/>
    </xf>
    <xf numFmtId="49" fontId="23" fillId="0" borderId="63" xfId="6" applyNumberFormat="1" applyFont="1" applyFill="1" applyBorder="1" applyAlignment="1">
      <alignment horizontal="left" vertical="center"/>
    </xf>
    <xf numFmtId="49" fontId="23" fillId="0" borderId="63" xfId="6" quotePrefix="1" applyNumberFormat="1" applyFont="1" applyFill="1" applyBorder="1" applyAlignment="1">
      <alignment horizontal="left" vertical="center" wrapText="1"/>
    </xf>
    <xf numFmtId="0" fontId="23" fillId="0" borderId="63" xfId="6" applyNumberFormat="1" applyFont="1" applyFill="1" applyBorder="1" applyAlignment="1">
      <alignment vertical="center"/>
    </xf>
    <xf numFmtId="0" fontId="23" fillId="0" borderId="63" xfId="6" applyNumberFormat="1" applyFont="1" applyFill="1" applyBorder="1" applyAlignment="1">
      <alignment horizontal="center" vertical="center" wrapText="1"/>
    </xf>
    <xf numFmtId="4" fontId="23" fillId="0" borderId="63" xfId="53" applyNumberFormat="1" applyFont="1" applyFill="1" applyBorder="1" applyAlignment="1">
      <alignment horizontal="center" vertical="center" wrapText="1"/>
    </xf>
    <xf numFmtId="4" fontId="23" fillId="0" borderId="63" xfId="53" applyNumberFormat="1" applyFont="1" applyFill="1" applyBorder="1" applyAlignment="1">
      <alignment horizontal="right" vertical="center" wrapText="1"/>
    </xf>
    <xf numFmtId="4" fontId="23" fillId="0" borderId="63" xfId="53" applyNumberFormat="1" applyFont="1" applyFill="1" applyBorder="1" applyAlignment="1">
      <alignment horizontal="left" vertical="center"/>
    </xf>
    <xf numFmtId="4" fontId="23" fillId="0" borderId="64" xfId="6" applyNumberFormat="1" applyFont="1" applyFill="1" applyBorder="1" applyAlignment="1">
      <alignment horizontal="center" vertical="center" wrapText="1"/>
    </xf>
    <xf numFmtId="4" fontId="81" fillId="0" borderId="63" xfId="53" applyNumberFormat="1" applyFont="1" applyFill="1" applyBorder="1" applyAlignment="1">
      <alignment horizontal="center" vertical="center" wrapText="1"/>
    </xf>
    <xf numFmtId="0" fontId="23" fillId="18" borderId="63" xfId="6" applyNumberFormat="1" applyFont="1" applyFill="1" applyBorder="1" applyAlignment="1">
      <alignment vertical="center"/>
    </xf>
    <xf numFmtId="0" fontId="23" fillId="12" borderId="63" xfId="6" applyNumberFormat="1" applyFont="1" applyFill="1" applyBorder="1" applyAlignment="1">
      <alignment vertical="center"/>
    </xf>
    <xf numFmtId="4" fontId="23" fillId="12" borderId="63" xfId="53" applyNumberFormat="1" applyFont="1" applyFill="1" applyBorder="1" applyAlignment="1">
      <alignment horizontal="center" vertical="center" wrapText="1"/>
    </xf>
    <xf numFmtId="0" fontId="82" fillId="12" borderId="63" xfId="6" applyNumberFormat="1" applyFont="1" applyFill="1" applyBorder="1" applyAlignment="1">
      <alignment vertical="center"/>
    </xf>
    <xf numFmtId="0" fontId="23" fillId="0" borderId="63" xfId="6" applyNumberFormat="1" applyFont="1" applyFill="1" applyBorder="1" applyAlignment="1">
      <alignment vertical="center" wrapText="1"/>
    </xf>
    <xf numFmtId="0" fontId="31" fillId="0" borderId="11" xfId="53" applyNumberFormat="1" applyFont="1" applyFill="1" applyBorder="1" applyAlignment="1">
      <alignment vertical="center"/>
    </xf>
    <xf numFmtId="0" fontId="31" fillId="0" borderId="11" xfId="53" applyNumberFormat="1" applyFont="1" applyFill="1" applyBorder="1" applyAlignment="1">
      <alignment horizontal="right" vertical="center"/>
    </xf>
    <xf numFmtId="0" fontId="32" fillId="0" borderId="11" xfId="53" applyNumberFormat="1" applyFont="1" applyFill="1" applyBorder="1" applyAlignment="1">
      <alignment vertical="center"/>
    </xf>
    <xf numFmtId="0" fontId="79" fillId="0" borderId="11" xfId="6" applyFont="1"/>
    <xf numFmtId="0" fontId="41" fillId="0" borderId="11" xfId="6" applyNumberFormat="1" applyFont="1" applyFill="1" applyBorder="1" applyAlignment="1">
      <alignment vertical="center"/>
    </xf>
    <xf numFmtId="49" fontId="39" fillId="16" borderId="11" xfId="6" applyNumberFormat="1" applyFont="1" applyFill="1" applyBorder="1" applyAlignment="1">
      <alignment vertical="center"/>
    </xf>
    <xf numFmtId="0" fontId="39" fillId="16" borderId="11" xfId="6" applyNumberFormat="1" applyFont="1" applyFill="1" applyBorder="1" applyAlignment="1">
      <alignment vertical="center"/>
    </xf>
    <xf numFmtId="0" fontId="39" fillId="16" borderId="11" xfId="6" applyNumberFormat="1" applyFont="1" applyFill="1" applyBorder="1" applyAlignment="1">
      <alignment horizontal="center" vertical="center"/>
    </xf>
    <xf numFmtId="0" fontId="39" fillId="16" borderId="11" xfId="53" applyNumberFormat="1" applyFont="1" applyFill="1" applyBorder="1" applyAlignment="1">
      <alignment vertical="center"/>
    </xf>
    <xf numFmtId="4" fontId="39" fillId="16" borderId="11" xfId="53" applyNumberFormat="1" applyFont="1" applyFill="1" applyBorder="1" applyAlignment="1">
      <alignment vertical="center"/>
    </xf>
    <xf numFmtId="0" fontId="41" fillId="0" borderId="11" xfId="6" applyNumberFormat="1" applyFont="1" applyFill="1" applyBorder="1" applyAlignment="1">
      <alignment horizontal="center" vertical="center"/>
    </xf>
    <xf numFmtId="49" fontId="41" fillId="0" borderId="11" xfId="6" applyNumberFormat="1" applyFont="1" applyFill="1" applyBorder="1" applyAlignment="1">
      <alignment vertical="center"/>
    </xf>
    <xf numFmtId="0" fontId="63" fillId="3" borderId="6" xfId="0" applyFont="1" applyFill="1" applyBorder="1" applyAlignment="1">
      <alignment horizontal="left" vertical="center"/>
    </xf>
    <xf numFmtId="0" fontId="3" fillId="0" borderId="11" xfId="55" applyAlignment="1">
      <alignment horizontal="right"/>
    </xf>
    <xf numFmtId="0" fontId="83" fillId="12" borderId="11" xfId="55" applyFont="1" applyFill="1" applyAlignment="1">
      <alignment horizontal="left"/>
    </xf>
    <xf numFmtId="0" fontId="3" fillId="12" borderId="11" xfId="55" applyFill="1"/>
    <xf numFmtId="0" fontId="3" fillId="0" borderId="11" xfId="55"/>
    <xf numFmtId="0" fontId="84" fillId="0" borderId="11" xfId="55" applyFont="1"/>
    <xf numFmtId="0" fontId="27" fillId="10" borderId="124" xfId="55" applyFont="1" applyFill="1" applyBorder="1" applyAlignment="1">
      <alignment horizontal="center" vertical="center"/>
    </xf>
    <xf numFmtId="0" fontId="85" fillId="0" borderId="11" xfId="55" applyFont="1" applyAlignment="1">
      <alignment vertical="center"/>
    </xf>
    <xf numFmtId="0" fontId="3" fillId="0" borderId="11" xfId="55" applyAlignment="1">
      <alignment vertical="center"/>
    </xf>
    <xf numFmtId="0" fontId="3" fillId="0" borderId="11" xfId="55" applyAlignment="1">
      <alignment horizontal="center" vertical="center" wrapText="1"/>
    </xf>
    <xf numFmtId="0" fontId="87" fillId="0" borderId="174" xfId="55" applyFont="1" applyBorder="1" applyAlignment="1">
      <alignment horizontal="center" vertical="center"/>
    </xf>
    <xf numFmtId="0" fontId="87" fillId="0" borderId="174" xfId="55" applyFont="1" applyBorder="1" applyAlignment="1">
      <alignment horizontal="center" vertical="center" wrapText="1"/>
    </xf>
    <xf numFmtId="0" fontId="87" fillId="10" borderId="177" xfId="55" applyFont="1" applyFill="1" applyBorder="1" applyAlignment="1">
      <alignment horizontal="center" vertical="center"/>
    </xf>
    <xf numFmtId="0" fontId="3" fillId="0" borderId="11" xfId="55" applyAlignment="1">
      <alignment horizontal="center"/>
    </xf>
    <xf numFmtId="174" fontId="87" fillId="0" borderId="61" xfId="55" applyNumberFormat="1" applyFont="1" applyBorder="1" applyAlignment="1">
      <alignment horizontal="center"/>
    </xf>
    <xf numFmtId="174" fontId="85" fillId="10" borderId="67" xfId="56" applyNumberFormat="1" applyFont="1" applyFill="1" applyBorder="1" applyAlignment="1">
      <alignment horizontal="center"/>
    </xf>
    <xf numFmtId="0" fontId="3" fillId="10" borderId="68" xfId="55" applyFill="1" applyBorder="1" applyAlignment="1">
      <alignment vertical="center"/>
    </xf>
    <xf numFmtId="174" fontId="0" fillId="0" borderId="76" xfId="56" applyNumberFormat="1" applyFont="1" applyBorder="1" applyAlignment="1">
      <alignment horizontal="center" vertical="center"/>
    </xf>
    <xf numFmtId="174" fontId="0" fillId="12" borderId="67" xfId="56" applyNumberFormat="1" applyFont="1" applyFill="1" applyBorder="1" applyAlignment="1">
      <alignment horizontal="center" vertical="center"/>
    </xf>
    <xf numFmtId="43" fontId="0" fillId="0" borderId="11" xfId="56" applyFont="1" applyFill="1" applyBorder="1" applyAlignment="1">
      <alignment horizontal="center" vertical="center"/>
    </xf>
    <xf numFmtId="174" fontId="0" fillId="0" borderId="67" xfId="56" applyNumberFormat="1" applyFont="1" applyBorder="1" applyAlignment="1">
      <alignment horizontal="center" vertical="center"/>
    </xf>
    <xf numFmtId="174" fontId="87" fillId="0" borderId="198" xfId="55" applyNumberFormat="1" applyFont="1" applyBorder="1" applyAlignment="1">
      <alignment horizontal="center"/>
    </xf>
    <xf numFmtId="174" fontId="85" fillId="10" borderId="192" xfId="56" applyNumberFormat="1" applyFont="1" applyFill="1" applyBorder="1" applyAlignment="1">
      <alignment horizontal="center"/>
    </xf>
    <xf numFmtId="0" fontId="87" fillId="0" borderId="11" xfId="55" applyFont="1" applyAlignment="1">
      <alignment horizontal="right"/>
    </xf>
    <xf numFmtId="0" fontId="87" fillId="10" borderId="199" xfId="55" applyFont="1" applyFill="1" applyBorder="1" applyAlignment="1">
      <alignment horizontal="center" vertical="center"/>
    </xf>
    <xf numFmtId="0" fontId="88" fillId="0" borderId="174" xfId="55" applyFont="1" applyBorder="1" applyAlignment="1">
      <alignment horizontal="center" vertical="center"/>
    </xf>
    <xf numFmtId="174" fontId="87" fillId="0" borderId="174" xfId="55" applyNumberFormat="1" applyFont="1" applyBorder="1" applyAlignment="1">
      <alignment horizontal="center"/>
    </xf>
    <xf numFmtId="174" fontId="85" fillId="0" borderId="177" xfId="56" applyNumberFormat="1" applyFont="1" applyFill="1" applyBorder="1" applyAlignment="1">
      <alignment horizontal="center"/>
    </xf>
    <xf numFmtId="0" fontId="88" fillId="0" borderId="76" xfId="55" applyFont="1" applyBorder="1" applyAlignment="1">
      <alignment horizontal="center" vertical="center"/>
    </xf>
    <xf numFmtId="174" fontId="87" fillId="0" borderId="76" xfId="55" applyNumberFormat="1" applyFont="1" applyBorder="1" applyAlignment="1">
      <alignment horizontal="center"/>
    </xf>
    <xf numFmtId="0" fontId="88" fillId="0" borderId="198" xfId="55" applyFont="1" applyBorder="1" applyAlignment="1">
      <alignment horizontal="center" vertical="center"/>
    </xf>
    <xf numFmtId="174" fontId="85" fillId="0" borderId="192" xfId="56" applyNumberFormat="1" applyFont="1" applyFill="1" applyBorder="1" applyAlignment="1">
      <alignment horizontal="center"/>
    </xf>
    <xf numFmtId="0" fontId="87" fillId="0" borderId="11" xfId="55" applyFont="1"/>
    <xf numFmtId="0" fontId="87" fillId="0" borderId="11" xfId="55" applyFont="1" applyAlignment="1">
      <alignment horizontal="center"/>
    </xf>
    <xf numFmtId="174" fontId="87" fillId="0" borderId="11" xfId="55" applyNumberFormat="1" applyFont="1" applyAlignment="1">
      <alignment horizontal="center"/>
    </xf>
    <xf numFmtId="174" fontId="0" fillId="0" borderId="76" xfId="56" applyNumberFormat="1" applyFont="1" applyFill="1" applyBorder="1" applyAlignment="1">
      <alignment horizontal="center" vertical="center"/>
    </xf>
    <xf numFmtId="0" fontId="87" fillId="0" borderId="174" xfId="55" applyFont="1" applyBorder="1" applyAlignment="1">
      <alignment horizontal="center"/>
    </xf>
    <xf numFmtId="0" fontId="87" fillId="10" borderId="177" xfId="55" applyFont="1" applyFill="1" applyBorder="1" applyAlignment="1">
      <alignment horizontal="center"/>
    </xf>
    <xf numFmtId="174" fontId="87" fillId="0" borderId="76" xfId="55" applyNumberFormat="1" applyFont="1" applyBorder="1" applyAlignment="1">
      <alignment horizontal="center" vertical="center"/>
    </xf>
    <xf numFmtId="174" fontId="85" fillId="10" borderId="176" xfId="56" applyNumberFormat="1" applyFont="1" applyFill="1" applyBorder="1" applyAlignment="1">
      <alignment horizontal="center"/>
    </xf>
    <xf numFmtId="0" fontId="87" fillId="10" borderId="195" xfId="55" applyFont="1" applyFill="1" applyBorder="1" applyAlignment="1">
      <alignment horizontal="center" vertical="center"/>
    </xf>
    <xf numFmtId="0" fontId="88" fillId="0" borderId="89" xfId="55" applyFont="1" applyBorder="1" applyAlignment="1">
      <alignment horizontal="center" vertical="center"/>
    </xf>
    <xf numFmtId="174" fontId="87" fillId="0" borderId="89" xfId="55" applyNumberFormat="1" applyFont="1" applyBorder="1" applyAlignment="1">
      <alignment horizontal="center"/>
    </xf>
    <xf numFmtId="174" fontId="85" fillId="0" borderId="90" xfId="56" applyNumberFormat="1" applyFont="1" applyFill="1" applyBorder="1" applyAlignment="1">
      <alignment horizontal="center"/>
    </xf>
    <xf numFmtId="174" fontId="85" fillId="0" borderId="67" xfId="56" applyNumberFormat="1" applyFont="1" applyFill="1" applyBorder="1" applyAlignment="1">
      <alignment horizontal="center"/>
    </xf>
    <xf numFmtId="174" fontId="85" fillId="0" borderId="142" xfId="56" applyNumberFormat="1" applyFont="1" applyFill="1" applyBorder="1" applyAlignment="1">
      <alignment horizontal="center"/>
    </xf>
    <xf numFmtId="0" fontId="85" fillId="0" borderId="11" xfId="55" applyFont="1" applyAlignment="1">
      <alignment horizontal="center"/>
    </xf>
    <xf numFmtId="174" fontId="87" fillId="0" borderId="11" xfId="55" applyNumberFormat="1" applyFont="1" applyAlignment="1">
      <alignment horizontal="right"/>
    </xf>
    <xf numFmtId="0" fontId="88" fillId="0" borderId="11" xfId="55" applyFont="1"/>
    <xf numFmtId="43" fontId="27" fillId="0" borderId="11" xfId="56" applyFont="1" applyFill="1" applyBorder="1" applyAlignment="1">
      <alignment horizontal="center" vertical="center"/>
    </xf>
    <xf numFmtId="0" fontId="27" fillId="10" borderId="201" xfId="55" applyFont="1" applyFill="1" applyBorder="1" applyAlignment="1">
      <alignment vertical="center"/>
    </xf>
    <xf numFmtId="174" fontId="27" fillId="10" borderId="198" xfId="56" applyNumberFormat="1" applyFont="1" applyFill="1" applyBorder="1" applyAlignment="1">
      <alignment horizontal="center" vertical="center"/>
    </xf>
    <xf numFmtId="174" fontId="27" fillId="10" borderId="142" xfId="56" applyNumberFormat="1" applyFont="1" applyFill="1" applyBorder="1" applyAlignment="1">
      <alignment horizontal="center" vertical="center"/>
    </xf>
    <xf numFmtId="0" fontId="87" fillId="0" borderId="89" xfId="55" applyFont="1" applyBorder="1" applyAlignment="1">
      <alignment horizontal="center"/>
    </xf>
    <xf numFmtId="0" fontId="87" fillId="10" borderId="90" xfId="55" applyFont="1" applyFill="1" applyBorder="1" applyAlignment="1">
      <alignment horizontal="center"/>
    </xf>
    <xf numFmtId="0" fontId="85" fillId="0" borderId="11" xfId="55" applyFont="1"/>
    <xf numFmtId="174" fontId="87" fillId="0" borderId="11" xfId="55" applyNumberFormat="1" applyFont="1"/>
    <xf numFmtId="0" fontId="88" fillId="0" borderId="60" xfId="55" applyFont="1" applyBorder="1" applyAlignment="1">
      <alignment horizontal="center" vertical="center"/>
    </xf>
    <xf numFmtId="0" fontId="88" fillId="0" borderId="197" xfId="55" applyFont="1" applyBorder="1" applyAlignment="1">
      <alignment horizontal="center" vertical="center"/>
    </xf>
    <xf numFmtId="174" fontId="85" fillId="10" borderId="67" xfId="56" applyNumberFormat="1" applyFont="1" applyFill="1" applyBorder="1" applyAlignment="1">
      <alignment horizontal="center" vertical="center"/>
    </xf>
    <xf numFmtId="174" fontId="87" fillId="0" borderId="198" xfId="55" applyNumberFormat="1" applyFont="1" applyBorder="1" applyAlignment="1">
      <alignment horizontal="center" vertical="center"/>
    </xf>
    <xf numFmtId="174" fontId="85" fillId="10" borderId="142" xfId="56" applyNumberFormat="1" applyFont="1" applyFill="1" applyBorder="1" applyAlignment="1">
      <alignment horizontal="center" vertical="center"/>
    </xf>
    <xf numFmtId="0" fontId="87" fillId="10" borderId="173" xfId="55" applyFont="1" applyFill="1" applyBorder="1" applyAlignment="1">
      <alignment horizontal="center" vertical="center"/>
    </xf>
    <xf numFmtId="174" fontId="87" fillId="0" borderId="174" xfId="55" applyNumberFormat="1" applyFont="1" applyBorder="1" applyAlignment="1">
      <alignment horizontal="center" vertical="center"/>
    </xf>
    <xf numFmtId="174" fontId="85" fillId="0" borderId="177" xfId="56" applyNumberFormat="1" applyFont="1" applyFill="1" applyBorder="1" applyAlignment="1">
      <alignment horizontal="center" vertical="center"/>
    </xf>
    <xf numFmtId="174" fontId="85" fillId="0" borderId="67" xfId="56" applyNumberFormat="1" applyFont="1" applyFill="1" applyBorder="1" applyAlignment="1">
      <alignment horizontal="center" vertical="center"/>
    </xf>
    <xf numFmtId="174" fontId="87" fillId="0" borderId="172" xfId="55" applyNumberFormat="1" applyFont="1" applyBorder="1" applyAlignment="1">
      <alignment horizontal="center" vertical="center"/>
    </xf>
    <xf numFmtId="174" fontId="87" fillId="0" borderId="11" xfId="55" applyNumberFormat="1" applyFont="1" applyAlignment="1">
      <alignment horizontal="center" vertical="center"/>
    </xf>
    <xf numFmtId="174" fontId="85" fillId="0" borderId="142" xfId="56" applyNumberFormat="1" applyFont="1" applyFill="1" applyBorder="1" applyAlignment="1">
      <alignment horizontal="center" vertical="center"/>
    </xf>
    <xf numFmtId="0" fontId="87" fillId="12" borderId="11" xfId="55" applyFont="1" applyFill="1" applyAlignment="1">
      <alignment horizontal="center" vertical="center"/>
    </xf>
    <xf numFmtId="174" fontId="87" fillId="12" borderId="11" xfId="55" applyNumberFormat="1" applyFont="1" applyFill="1" applyAlignment="1">
      <alignment horizontal="center" vertical="center"/>
    </xf>
    <xf numFmtId="175" fontId="85" fillId="12" borderId="11" xfId="56" applyNumberFormat="1" applyFont="1" applyFill="1" applyBorder="1" applyAlignment="1">
      <alignment horizontal="center" vertical="center"/>
    </xf>
    <xf numFmtId="0" fontId="87" fillId="12" borderId="11" xfId="55" applyFont="1" applyFill="1"/>
    <xf numFmtId="0" fontId="87" fillId="10" borderId="145" xfId="55" applyFont="1" applyFill="1" applyBorder="1" applyAlignment="1">
      <alignment horizontal="center" vertical="center"/>
    </xf>
    <xf numFmtId="0" fontId="87" fillId="10" borderId="171" xfId="55" applyFont="1" applyFill="1" applyBorder="1" applyAlignment="1">
      <alignment horizontal="center" vertical="center"/>
    </xf>
    <xf numFmtId="0" fontId="87" fillId="10" borderId="200" xfId="55" applyFont="1" applyFill="1" applyBorder="1" applyAlignment="1">
      <alignment horizontal="center" vertical="center"/>
    </xf>
    <xf numFmtId="176" fontId="85" fillId="0" borderId="11" xfId="56" applyNumberFormat="1" applyFont="1" applyFill="1" applyBorder="1" applyAlignment="1">
      <alignment horizontal="center"/>
    </xf>
    <xf numFmtId="0" fontId="85" fillId="12" borderId="11" xfId="55" applyFont="1" applyFill="1" applyAlignment="1">
      <alignment vertical="center"/>
    </xf>
    <xf numFmtId="174" fontId="89" fillId="0" borderId="174" xfId="55" applyNumberFormat="1" applyFont="1" applyBorder="1" applyAlignment="1">
      <alignment horizontal="center" vertical="center"/>
    </xf>
    <xf numFmtId="174" fontId="89" fillId="0" borderId="76" xfId="55" applyNumberFormat="1" applyFont="1" applyBorder="1" applyAlignment="1">
      <alignment horizontal="center" vertical="center"/>
    </xf>
    <xf numFmtId="174" fontId="89" fillId="0" borderId="172" xfId="55" applyNumberFormat="1" applyFont="1" applyBorder="1" applyAlignment="1">
      <alignment horizontal="center" vertical="center"/>
    </xf>
    <xf numFmtId="174" fontId="90" fillId="0" borderId="11" xfId="55" applyNumberFormat="1" applyFont="1" applyAlignment="1">
      <alignment horizontal="center" vertical="center"/>
    </xf>
    <xf numFmtId="174" fontId="89" fillId="0" borderId="198" xfId="55" applyNumberFormat="1" applyFont="1" applyBorder="1" applyAlignment="1">
      <alignment horizontal="center" vertical="center"/>
    </xf>
    <xf numFmtId="174" fontId="87" fillId="0" borderId="202" xfId="55" applyNumberFormat="1" applyFont="1" applyBorder="1" applyAlignment="1">
      <alignment horizontal="center" vertical="center"/>
    </xf>
    <xf numFmtId="174" fontId="87" fillId="10" borderId="67" xfId="56" applyNumberFormat="1" applyFont="1" applyFill="1" applyBorder="1" applyAlignment="1">
      <alignment horizontal="center" vertical="center"/>
    </xf>
    <xf numFmtId="174" fontId="87" fillId="10" borderId="142" xfId="56" applyNumberFormat="1" applyFont="1" applyFill="1" applyBorder="1" applyAlignment="1">
      <alignment horizontal="center" vertical="center"/>
    </xf>
    <xf numFmtId="174" fontId="87" fillId="0" borderId="177" xfId="56" applyNumberFormat="1" applyFont="1" applyFill="1" applyBorder="1" applyAlignment="1">
      <alignment horizontal="center" vertical="center"/>
    </xf>
    <xf numFmtId="174" fontId="87" fillId="0" borderId="67" xfId="56" applyNumberFormat="1" applyFont="1" applyFill="1" applyBorder="1" applyAlignment="1">
      <alignment horizontal="center" vertical="center"/>
    </xf>
    <xf numFmtId="174" fontId="87" fillId="0" borderId="142" xfId="56" applyNumberFormat="1" applyFont="1" applyFill="1" applyBorder="1" applyAlignment="1">
      <alignment horizontal="center" vertical="center"/>
    </xf>
    <xf numFmtId="174" fontId="85" fillId="0" borderId="11" xfId="56" applyNumberFormat="1" applyFont="1" applyFill="1" applyBorder="1" applyAlignment="1">
      <alignment horizontal="center" vertical="center"/>
    </xf>
    <xf numFmtId="174" fontId="87" fillId="12" borderId="11" xfId="55" applyNumberFormat="1" applyFont="1" applyFill="1" applyAlignment="1">
      <alignment horizontal="center"/>
    </xf>
    <xf numFmtId="0" fontId="87" fillId="12" borderId="11" xfId="55" applyFont="1" applyFill="1" applyAlignment="1">
      <alignment horizontal="center"/>
    </xf>
    <xf numFmtId="176" fontId="85" fillId="12" borderId="11" xfId="56" applyNumberFormat="1" applyFont="1" applyFill="1" applyBorder="1" applyAlignment="1">
      <alignment horizontal="center"/>
    </xf>
    <xf numFmtId="0" fontId="87" fillId="0" borderId="11" xfId="55" applyFont="1" applyAlignment="1">
      <alignment horizontal="center" vertical="center"/>
    </xf>
    <xf numFmtId="176" fontId="85" fillId="0" borderId="11" xfId="56" applyNumberFormat="1" applyFont="1" applyFill="1" applyBorder="1" applyAlignment="1">
      <alignment horizontal="center" vertical="center"/>
    </xf>
    <xf numFmtId="0" fontId="85" fillId="0" borderId="11" xfId="55" applyFont="1" applyAlignment="1">
      <alignment horizontal="center" vertical="center"/>
    </xf>
    <xf numFmtId="174" fontId="87" fillId="0" borderId="61" xfId="55" applyNumberFormat="1" applyFont="1" applyBorder="1" applyAlignment="1">
      <alignment horizontal="center" vertical="center"/>
    </xf>
    <xf numFmtId="174" fontId="85" fillId="10" borderId="146" xfId="56" applyNumberFormat="1" applyFont="1" applyFill="1" applyBorder="1" applyAlignment="1">
      <alignment horizontal="center" vertical="center"/>
    </xf>
    <xf numFmtId="174" fontId="87" fillId="0" borderId="89" xfId="55" applyNumberFormat="1" applyFont="1" applyBorder="1" applyAlignment="1">
      <alignment horizontal="center" vertical="center"/>
    </xf>
    <xf numFmtId="174" fontId="85" fillId="0" borderId="90" xfId="56" applyNumberFormat="1" applyFont="1" applyFill="1" applyBorder="1" applyAlignment="1">
      <alignment horizontal="center" vertical="center"/>
    </xf>
    <xf numFmtId="174" fontId="89" fillId="0" borderId="202" xfId="55" applyNumberFormat="1" applyFont="1" applyBorder="1" applyAlignment="1">
      <alignment horizontal="center" vertical="center"/>
    </xf>
    <xf numFmtId="0" fontId="85" fillId="12" borderId="11" xfId="55" applyFont="1" applyFill="1"/>
    <xf numFmtId="0" fontId="87" fillId="0" borderId="89" xfId="55" applyFont="1" applyBorder="1" applyAlignment="1">
      <alignment horizontal="center" vertical="center"/>
    </xf>
    <xf numFmtId="0" fontId="87" fillId="0" borderId="89" xfId="55" applyFont="1" applyBorder="1" applyAlignment="1">
      <alignment horizontal="center" vertical="center" wrapText="1"/>
    </xf>
    <xf numFmtId="0" fontId="87" fillId="10" borderId="90" xfId="55" applyFont="1" applyFill="1" applyBorder="1" applyAlignment="1">
      <alignment horizontal="center" vertical="center"/>
    </xf>
    <xf numFmtId="0" fontId="87" fillId="10" borderId="196" xfId="55" applyFont="1" applyFill="1" applyBorder="1" applyAlignment="1">
      <alignment horizontal="center" vertical="center"/>
    </xf>
    <xf numFmtId="0" fontId="87" fillId="10" borderId="197" xfId="55" applyFont="1" applyFill="1" applyBorder="1" applyAlignment="1">
      <alignment horizontal="center" vertical="center"/>
    </xf>
    <xf numFmtId="0" fontId="87" fillId="10" borderId="201" xfId="55" applyFont="1" applyFill="1" applyBorder="1" applyAlignment="1">
      <alignment horizontal="center" vertical="center"/>
    </xf>
    <xf numFmtId="0" fontId="87" fillId="10" borderId="143" xfId="55" applyFont="1" applyFill="1" applyBorder="1" applyAlignment="1">
      <alignment horizontal="center" vertical="center"/>
    </xf>
    <xf numFmtId="0" fontId="87" fillId="10" borderId="84" xfId="55" applyFont="1" applyFill="1" applyBorder="1" applyAlignment="1">
      <alignment horizontal="center" vertical="center"/>
    </xf>
    <xf numFmtId="0" fontId="53" fillId="0" borderId="203" xfId="7" applyFont="1" applyBorder="1" applyAlignment="1">
      <alignment vertical="center"/>
    </xf>
    <xf numFmtId="0" fontId="53" fillId="0" borderId="116" xfId="7" applyFont="1" applyBorder="1" applyAlignment="1">
      <alignment vertical="center"/>
    </xf>
    <xf numFmtId="0" fontId="53" fillId="0" borderId="86" xfId="7" applyFont="1" applyBorder="1" applyAlignment="1">
      <alignment horizontal="center" vertical="center"/>
    </xf>
    <xf numFmtId="0" fontId="53" fillId="0" borderId="81" xfId="7" applyFont="1" applyBorder="1" applyAlignment="1">
      <alignment horizontal="center" vertical="center"/>
    </xf>
    <xf numFmtId="0" fontId="53" fillId="0" borderId="82" xfId="7" applyFont="1" applyBorder="1" applyAlignment="1">
      <alignment vertical="center"/>
    </xf>
    <xf numFmtId="0" fontId="37" fillId="0" borderId="204" xfId="7" applyFont="1" applyBorder="1" applyAlignment="1">
      <alignment vertical="center"/>
    </xf>
    <xf numFmtId="0" fontId="37" fillId="0" borderId="79" xfId="7" applyFont="1" applyBorder="1" applyAlignment="1">
      <alignment horizontal="center" vertical="center"/>
    </xf>
    <xf numFmtId="0" fontId="37" fillId="0" borderId="11" xfId="7" applyFont="1" applyAlignment="1">
      <alignment horizontal="center" vertical="center"/>
    </xf>
    <xf numFmtId="0" fontId="37" fillId="0" borderId="88" xfId="7" applyFont="1" applyBorder="1" applyAlignment="1">
      <alignment vertical="center"/>
    </xf>
    <xf numFmtId="17" fontId="37" fillId="0" borderId="205" xfId="7" applyNumberFormat="1" applyFont="1" applyBorder="1" applyAlignment="1">
      <alignment horizontal="left" vertical="center"/>
    </xf>
    <xf numFmtId="0" fontId="37" fillId="0" borderId="116" xfId="7" applyFont="1" applyBorder="1" applyAlignment="1">
      <alignment horizontal="right" vertical="center"/>
    </xf>
    <xf numFmtId="14" fontId="37" fillId="0" borderId="116" xfId="7" applyNumberFormat="1" applyFont="1" applyBorder="1" applyAlignment="1">
      <alignment horizontal="center" vertical="center"/>
    </xf>
    <xf numFmtId="169" fontId="37" fillId="0" borderId="85" xfId="26" applyNumberFormat="1" applyFont="1" applyBorder="1" applyAlignment="1">
      <alignment horizontal="center" vertical="center"/>
    </xf>
    <xf numFmtId="169" fontId="37" fillId="0" borderId="83" xfId="26" applyNumberFormat="1" applyFont="1" applyBorder="1" applyAlignment="1">
      <alignment horizontal="center" vertical="center"/>
    </xf>
    <xf numFmtId="14" fontId="37" fillId="0" borderId="84" xfId="7" applyNumberFormat="1" applyFont="1" applyBorder="1" applyAlignment="1">
      <alignment horizontal="left" vertical="center"/>
    </xf>
    <xf numFmtId="0" fontId="40" fillId="15" borderId="11" xfId="57" applyFont="1" applyFill="1" applyAlignment="1">
      <alignment horizontal="center" vertical="center" wrapText="1"/>
    </xf>
    <xf numFmtId="0" fontId="32" fillId="0" borderId="11" xfId="57" applyFont="1" applyAlignment="1">
      <alignment vertical="center"/>
    </xf>
    <xf numFmtId="0" fontId="40" fillId="15" borderId="82" xfId="57" applyFont="1" applyFill="1" applyBorder="1" applyAlignment="1">
      <alignment horizontal="center" vertical="center" wrapText="1"/>
    </xf>
    <xf numFmtId="4" fontId="94" fillId="15" borderId="85" xfId="63" applyNumberFormat="1" applyFont="1" applyFill="1" applyBorder="1" applyAlignment="1">
      <alignment horizontal="center" vertical="center"/>
    </xf>
    <xf numFmtId="4" fontId="94" fillId="15" borderId="83" xfId="63" applyNumberFormat="1" applyFont="1" applyFill="1" applyBorder="1" applyAlignment="1">
      <alignment horizontal="center" vertical="center"/>
    </xf>
    <xf numFmtId="0" fontId="40" fillId="15" borderId="83" xfId="57" applyFont="1" applyFill="1" applyBorder="1" applyAlignment="1">
      <alignment horizontal="center" vertical="center" wrapText="1"/>
    </xf>
    <xf numFmtId="0" fontId="40" fillId="15" borderId="88" xfId="57" applyFont="1" applyFill="1" applyBorder="1" applyAlignment="1">
      <alignment horizontal="center" vertical="center" wrapText="1"/>
    </xf>
    <xf numFmtId="0" fontId="40" fillId="15" borderId="172" xfId="57" applyFont="1" applyFill="1" applyBorder="1" applyAlignment="1">
      <alignment horizontal="center" vertical="center" wrapText="1"/>
    </xf>
    <xf numFmtId="0" fontId="40" fillId="15" borderId="61" xfId="57" applyFont="1" applyFill="1" applyBorder="1" applyAlignment="1">
      <alignment horizontal="center" vertical="center" wrapText="1"/>
    </xf>
    <xf numFmtId="177" fontId="94" fillId="15" borderId="61" xfId="63" applyNumberFormat="1" applyFont="1" applyFill="1" applyBorder="1" applyAlignment="1">
      <alignment horizontal="center" vertical="center"/>
    </xf>
    <xf numFmtId="4" fontId="40" fillId="15" borderId="11" xfId="57" applyNumberFormat="1" applyFont="1" applyFill="1" applyAlignment="1">
      <alignment horizontal="center" vertical="center" wrapText="1"/>
    </xf>
    <xf numFmtId="4" fontId="95" fillId="26" borderId="11" xfId="64" applyNumberFormat="1" applyFont="1" applyFill="1" applyAlignment="1">
      <alignment vertical="center"/>
    </xf>
    <xf numFmtId="4" fontId="95" fillId="26" borderId="11" xfId="64" applyNumberFormat="1" applyFont="1" applyFill="1" applyAlignment="1">
      <alignment horizontal="center" vertical="center"/>
    </xf>
    <xf numFmtId="166" fontId="35" fillId="0" borderId="11" xfId="58" applyFont="1" applyAlignment="1">
      <alignment vertical="center"/>
    </xf>
    <xf numFmtId="0" fontId="35" fillId="0" borderId="11" xfId="57" applyFont="1" applyAlignment="1">
      <alignment vertical="center"/>
    </xf>
    <xf numFmtId="0" fontId="35" fillId="27" borderId="106" xfId="57" quotePrefix="1" applyFont="1" applyFill="1" applyBorder="1" applyAlignment="1">
      <alignment vertical="center" wrapText="1"/>
    </xf>
    <xf numFmtId="0" fontId="35" fillId="27" borderId="106" xfId="57" applyFont="1" applyFill="1" applyBorder="1" applyAlignment="1">
      <alignment vertical="center" wrapText="1"/>
    </xf>
    <xf numFmtId="3" fontId="35" fillId="27" borderId="106" xfId="58" applyNumberFormat="1" applyFont="1" applyFill="1" applyBorder="1" applyAlignment="1">
      <alignment horizontal="center" vertical="center" wrapText="1"/>
    </xf>
    <xf numFmtId="4" fontId="35" fillId="0" borderId="106" xfId="58" applyNumberFormat="1" applyFont="1" applyFill="1" applyBorder="1" applyAlignment="1">
      <alignment vertical="center" wrapText="1"/>
    </xf>
    <xf numFmtId="169" fontId="96" fillId="0" borderId="106" xfId="58" applyNumberFormat="1" applyFont="1" applyFill="1" applyBorder="1" applyAlignment="1">
      <alignment vertical="center" wrapText="1"/>
    </xf>
    <xf numFmtId="4" fontId="35" fillId="26" borderId="106" xfId="58" applyNumberFormat="1" applyFont="1" applyFill="1" applyBorder="1" applyAlignment="1">
      <alignment vertical="center" wrapText="1"/>
    </xf>
    <xf numFmtId="4" fontId="35" fillId="26" borderId="206" xfId="58" applyNumberFormat="1" applyFont="1" applyFill="1" applyBorder="1" applyAlignment="1">
      <alignment vertical="center" wrapText="1"/>
    </xf>
    <xf numFmtId="4" fontId="97" fillId="0" borderId="206" xfId="58" applyNumberFormat="1" applyFont="1" applyFill="1" applyBorder="1" applyAlignment="1">
      <alignment vertical="center" wrapText="1"/>
    </xf>
    <xf numFmtId="4" fontId="35" fillId="0" borderId="106" xfId="58" applyNumberFormat="1" applyFont="1" applyFill="1" applyBorder="1" applyAlignment="1">
      <alignment horizontal="center" vertical="center" wrapText="1"/>
    </xf>
    <xf numFmtId="0" fontId="34" fillId="26" borderId="207" xfId="57" applyFont="1" applyFill="1" applyBorder="1" applyAlignment="1">
      <alignment vertical="center"/>
    </xf>
    <xf numFmtId="0" fontId="34" fillId="26" borderId="208" xfId="57" applyFont="1" applyFill="1" applyBorder="1" applyAlignment="1">
      <alignment vertical="center"/>
    </xf>
    <xf numFmtId="3" fontId="34" fillId="26" borderId="208" xfId="57" applyNumberFormat="1" applyFont="1" applyFill="1" applyBorder="1" applyAlignment="1">
      <alignment horizontal="center" vertical="center"/>
    </xf>
    <xf numFmtId="0" fontId="35" fillId="26" borderId="208" xfId="57" applyFont="1" applyFill="1" applyBorder="1" applyAlignment="1">
      <alignment vertical="center"/>
    </xf>
    <xf numFmtId="0" fontId="98" fillId="26" borderId="208" xfId="57" applyFont="1" applyFill="1" applyBorder="1" applyAlignment="1">
      <alignment horizontal="right" vertical="center"/>
    </xf>
    <xf numFmtId="4" fontId="34" fillId="26" borderId="208" xfId="57" applyNumberFormat="1" applyFont="1" applyFill="1" applyBorder="1" applyAlignment="1">
      <alignment vertical="center"/>
    </xf>
    <xf numFmtId="4" fontId="34" fillId="26" borderId="209" xfId="57" applyNumberFormat="1" applyFont="1" applyFill="1" applyBorder="1" applyAlignment="1">
      <alignment vertical="center"/>
    </xf>
    <xf numFmtId="0" fontId="34" fillId="27" borderId="11" xfId="57" applyFont="1" applyFill="1" applyAlignment="1">
      <alignment vertical="center"/>
    </xf>
    <xf numFmtId="0" fontId="35" fillId="0" borderId="210" xfId="57" applyFont="1" applyBorder="1" applyAlignment="1">
      <alignment vertical="center"/>
    </xf>
    <xf numFmtId="0" fontId="98" fillId="27" borderId="11" xfId="57" applyFont="1" applyFill="1" applyAlignment="1">
      <alignment horizontal="left" vertical="center"/>
    </xf>
    <xf numFmtId="0" fontId="79" fillId="27" borderId="11" xfId="57" applyFont="1" applyFill="1" applyAlignment="1">
      <alignment horizontal="center" vertical="center"/>
    </xf>
    <xf numFmtId="4" fontId="34" fillId="26" borderId="210" xfId="57" applyNumberFormat="1" applyFont="1" applyFill="1" applyBorder="1" applyAlignment="1">
      <alignment vertical="center"/>
    </xf>
    <xf numFmtId="0" fontId="35" fillId="27" borderId="11" xfId="57" applyFont="1" applyFill="1" applyAlignment="1">
      <alignment vertical="center"/>
    </xf>
    <xf numFmtId="4" fontId="34" fillId="26" borderId="11" xfId="57" applyNumberFormat="1" applyFont="1" applyFill="1" applyAlignment="1">
      <alignment vertical="center"/>
    </xf>
    <xf numFmtId="0" fontId="99" fillId="27" borderId="11" xfId="57" applyFont="1" applyFill="1" applyAlignment="1">
      <alignment vertical="center"/>
    </xf>
    <xf numFmtId="0" fontId="99" fillId="27" borderId="11" xfId="57" applyFont="1" applyFill="1" applyAlignment="1">
      <alignment horizontal="center" vertical="center"/>
    </xf>
    <xf numFmtId="0" fontId="80" fillId="0" borderId="11" xfId="57" applyFont="1" applyAlignment="1">
      <alignment vertical="center"/>
    </xf>
    <xf numFmtId="0" fontId="32" fillId="0" borderId="11" xfId="57" applyFont="1" applyAlignment="1">
      <alignment horizontal="center" vertical="center"/>
    </xf>
    <xf numFmtId="0" fontId="37" fillId="0" borderId="123" xfId="7" applyFont="1" applyBorder="1" applyAlignment="1">
      <alignment vertical="center"/>
    </xf>
    <xf numFmtId="0" fontId="37" fillId="0" borderId="118" xfId="7" applyFont="1" applyBorder="1" applyAlignment="1">
      <alignment vertical="center"/>
    </xf>
    <xf numFmtId="0" fontId="55" fillId="0" borderId="116" xfId="7" applyFont="1" applyBorder="1" applyAlignment="1">
      <alignment vertical="center"/>
    </xf>
    <xf numFmtId="0" fontId="37" fillId="0" borderId="117" xfId="7" applyFont="1" applyBorder="1" applyAlignment="1">
      <alignment vertical="center"/>
    </xf>
    <xf numFmtId="178" fontId="37" fillId="0" borderId="11" xfId="7" applyNumberFormat="1" applyFont="1" applyAlignment="1">
      <alignment vertical="center"/>
    </xf>
    <xf numFmtId="0" fontId="35" fillId="0" borderId="114" xfId="7" applyFont="1" applyBorder="1" applyAlignment="1">
      <alignment vertical="center"/>
    </xf>
    <xf numFmtId="0" fontId="35" fillId="0" borderId="116" xfId="7" applyFont="1" applyBorder="1" applyAlignment="1">
      <alignment vertical="center"/>
    </xf>
    <xf numFmtId="0" fontId="35" fillId="0" borderId="113" xfId="7" applyFont="1" applyBorder="1" applyAlignment="1">
      <alignment vertical="center"/>
    </xf>
    <xf numFmtId="17" fontId="37" fillId="0" borderId="120" xfId="7" applyNumberFormat="1" applyFont="1" applyBorder="1" applyAlignment="1">
      <alignment horizontal="left" vertical="center"/>
    </xf>
    <xf numFmtId="0" fontId="35" fillId="0" borderId="122" xfId="7" applyFont="1" applyBorder="1" applyAlignment="1">
      <alignment vertical="center"/>
    </xf>
    <xf numFmtId="0" fontId="35" fillId="0" borderId="121" xfId="7" applyFont="1" applyBorder="1" applyAlignment="1">
      <alignment vertical="center"/>
    </xf>
    <xf numFmtId="17" fontId="37" fillId="0" borderId="116" xfId="7" applyNumberFormat="1" applyFont="1" applyBorder="1" applyAlignment="1">
      <alignment horizontal="left" vertical="center"/>
    </xf>
    <xf numFmtId="169" fontId="37" fillId="0" borderId="116" xfId="26" applyNumberFormat="1" applyFont="1" applyBorder="1" applyAlignment="1">
      <alignment horizontal="left" vertical="center"/>
    </xf>
    <xf numFmtId="14" fontId="37" fillId="0" borderId="116" xfId="7" applyNumberFormat="1" applyFont="1" applyBorder="1" applyAlignment="1">
      <alignment horizontal="left" vertical="center"/>
    </xf>
    <xf numFmtId="0" fontId="35" fillId="0" borderId="120" xfId="7" applyFont="1" applyBorder="1" applyAlignment="1">
      <alignment vertical="center"/>
    </xf>
    <xf numFmtId="17" fontId="100" fillId="14" borderId="115" xfId="7" applyNumberFormat="1" applyFont="1" applyFill="1" applyBorder="1" applyAlignment="1">
      <alignment vertical="center"/>
    </xf>
    <xf numFmtId="17" fontId="100" fillId="14" borderId="116" xfId="7" applyNumberFormat="1" applyFont="1" applyFill="1" applyBorder="1" applyAlignment="1">
      <alignment vertical="center"/>
    </xf>
    <xf numFmtId="17" fontId="100" fillId="14" borderId="118" xfId="7" applyNumberFormat="1" applyFont="1" applyFill="1" applyBorder="1" applyAlignment="1">
      <alignment vertical="center"/>
    </xf>
    <xf numFmtId="0" fontId="40" fillId="15" borderId="172" xfId="57" applyFont="1" applyFill="1" applyBorder="1" applyAlignment="1">
      <alignment horizontal="center" vertical="center"/>
    </xf>
    <xf numFmtId="0" fontId="40" fillId="15" borderId="79" xfId="57" applyFont="1" applyFill="1" applyBorder="1" applyAlignment="1">
      <alignment horizontal="center" vertical="center" wrapText="1"/>
    </xf>
    <xf numFmtId="0" fontId="40" fillId="15" borderId="79" xfId="57" applyFont="1" applyFill="1" applyBorder="1" applyAlignment="1">
      <alignment horizontal="center" vertical="center"/>
    </xf>
    <xf numFmtId="0" fontId="40" fillId="15" borderId="211" xfId="57" applyFont="1" applyFill="1" applyBorder="1" applyAlignment="1">
      <alignment horizontal="center" vertical="center" wrapText="1"/>
    </xf>
    <xf numFmtId="0" fontId="32" fillId="27" borderId="11" xfId="57" applyFont="1" applyFill="1" applyAlignment="1">
      <alignment vertical="center"/>
    </xf>
    <xf numFmtId="43" fontId="31" fillId="27" borderId="76" xfId="65" applyFont="1" applyFill="1" applyBorder="1" applyAlignment="1">
      <alignment vertical="center"/>
    </xf>
    <xf numFmtId="0" fontId="40" fillId="15" borderId="11" xfId="57" applyFont="1" applyFill="1" applyAlignment="1">
      <alignment vertical="center" wrapText="1"/>
    </xf>
    <xf numFmtId="0" fontId="40" fillId="15" borderId="88" xfId="57" applyFont="1" applyFill="1" applyBorder="1" applyAlignment="1">
      <alignment vertical="center" wrapText="1"/>
    </xf>
    <xf numFmtId="0" fontId="101" fillId="15" borderId="172" xfId="57" applyFont="1" applyFill="1" applyBorder="1" applyAlignment="1">
      <alignment vertical="center"/>
    </xf>
    <xf numFmtId="0" fontId="38" fillId="15" borderId="58" xfId="57" applyFont="1" applyFill="1" applyBorder="1" applyAlignment="1">
      <alignment horizontal="left" vertical="center" indent="4"/>
    </xf>
    <xf numFmtId="0" fontId="101" fillId="15" borderId="11" xfId="57" applyFont="1" applyFill="1" applyAlignment="1">
      <alignment horizontal="left" vertical="center" indent="4"/>
    </xf>
    <xf numFmtId="0" fontId="102" fillId="15" borderId="58" xfId="57" applyFont="1" applyFill="1" applyBorder="1" applyAlignment="1">
      <alignment horizontal="centerContinuous" vertical="center"/>
    </xf>
    <xf numFmtId="0" fontId="102" fillId="15" borderId="59" xfId="57" applyFont="1" applyFill="1" applyBorder="1" applyAlignment="1">
      <alignment horizontal="centerContinuous" vertical="center"/>
    </xf>
    <xf numFmtId="15" fontId="102" fillId="15" borderId="60" xfId="57" applyNumberFormat="1" applyFont="1" applyFill="1" applyBorder="1" applyAlignment="1">
      <alignment horizontal="centerContinuous" vertical="center"/>
    </xf>
    <xf numFmtId="0" fontId="38" fillId="15" borderId="59" xfId="57" applyFont="1" applyFill="1" applyBorder="1" applyAlignment="1">
      <alignment horizontal="centerContinuous" vertical="center"/>
    </xf>
    <xf numFmtId="0" fontId="101" fillId="15" borderId="82" xfId="57" applyFont="1" applyFill="1" applyBorder="1" applyAlignment="1">
      <alignment horizontal="center" vertical="center"/>
    </xf>
    <xf numFmtId="0" fontId="101" fillId="15" borderId="61" xfId="57" applyFont="1" applyFill="1" applyBorder="1" applyAlignment="1">
      <alignment horizontal="center" vertical="center"/>
    </xf>
    <xf numFmtId="0" fontId="102" fillId="15" borderId="172" xfId="66" applyFont="1" applyFill="1" applyBorder="1" applyAlignment="1">
      <alignment horizontal="center" vertical="center"/>
    </xf>
    <xf numFmtId="0" fontId="102" fillId="15" borderId="61" xfId="66" applyFont="1" applyFill="1" applyBorder="1" applyAlignment="1">
      <alignment horizontal="center" vertical="center"/>
    </xf>
    <xf numFmtId="0" fontId="38" fillId="15" borderId="61" xfId="66" applyFont="1" applyFill="1" applyBorder="1" applyAlignment="1">
      <alignment horizontal="center" vertical="center"/>
    </xf>
    <xf numFmtId="0" fontId="101" fillId="15" borderId="88" xfId="57" applyFont="1" applyFill="1" applyBorder="1" applyAlignment="1">
      <alignment horizontal="center" vertical="center"/>
    </xf>
    <xf numFmtId="0" fontId="101" fillId="15" borderId="172" xfId="57" applyFont="1" applyFill="1" applyBorder="1" applyAlignment="1">
      <alignment horizontal="center" vertical="center"/>
    </xf>
    <xf numFmtId="0" fontId="102" fillId="15" borderId="174" xfId="66" applyFont="1" applyFill="1" applyBorder="1" applyAlignment="1">
      <alignment horizontal="center" vertical="center" wrapText="1"/>
    </xf>
    <xf numFmtId="0" fontId="102" fillId="15" borderId="76" xfId="66" applyFont="1" applyFill="1" applyBorder="1" applyAlignment="1">
      <alignment horizontal="center" vertical="center" wrapText="1"/>
    </xf>
    <xf numFmtId="0" fontId="38" fillId="15" borderId="174" xfId="66" applyFont="1" applyFill="1" applyBorder="1" applyAlignment="1">
      <alignment horizontal="center" vertical="center" wrapText="1"/>
    </xf>
    <xf numFmtId="4" fontId="95" fillId="26" borderId="83" xfId="64" applyNumberFormat="1" applyFont="1" applyFill="1" applyBorder="1" applyAlignment="1">
      <alignment vertical="center"/>
    </xf>
    <xf numFmtId="0" fontId="37" fillId="0" borderId="11" xfId="57" applyFont="1" applyAlignment="1">
      <alignment vertical="center"/>
    </xf>
    <xf numFmtId="0" fontId="35" fillId="0" borderId="11" xfId="57" applyFont="1" applyAlignment="1">
      <alignment horizontal="left" vertical="center"/>
    </xf>
    <xf numFmtId="3" fontId="35" fillId="0" borderId="214" xfId="58" applyNumberFormat="1" applyFont="1" applyFill="1" applyBorder="1" applyAlignment="1">
      <alignment horizontal="center" vertical="center" wrapText="1"/>
    </xf>
    <xf numFmtId="4" fontId="35" fillId="0" borderId="214" xfId="58" applyNumberFormat="1" applyFont="1" applyFill="1" applyBorder="1" applyAlignment="1">
      <alignment vertical="center" wrapText="1"/>
    </xf>
    <xf numFmtId="4" fontId="35" fillId="26" borderId="107" xfId="58" applyNumberFormat="1" applyFont="1" applyFill="1" applyBorder="1" applyAlignment="1">
      <alignment vertical="center"/>
    </xf>
    <xf numFmtId="4" fontId="35" fillId="26" borderId="214" xfId="58" applyNumberFormat="1" applyFont="1" applyFill="1" applyBorder="1" applyAlignment="1">
      <alignment vertical="center"/>
    </xf>
    <xf numFmtId="4" fontId="35" fillId="27" borderId="106" xfId="61" applyNumberFormat="1" applyFont="1" applyFill="1" applyBorder="1" applyAlignment="1">
      <alignment horizontal="center" vertical="center"/>
    </xf>
    <xf numFmtId="4" fontId="35" fillId="26" borderId="107" xfId="58" applyNumberFormat="1" applyFont="1" applyFill="1" applyBorder="1" applyAlignment="1">
      <alignment vertical="center" wrapText="1"/>
    </xf>
    <xf numFmtId="3" fontId="99" fillId="27" borderId="215" xfId="58" applyNumberFormat="1" applyFont="1" applyFill="1" applyBorder="1" applyAlignment="1">
      <alignment horizontal="center" vertical="center"/>
    </xf>
    <xf numFmtId="0" fontId="35" fillId="0" borderId="206" xfId="57" applyFont="1" applyBorder="1" applyAlignment="1">
      <alignment horizontal="left" vertical="center"/>
    </xf>
    <xf numFmtId="0" fontId="35" fillId="27" borderId="216" xfId="57" applyFont="1" applyFill="1" applyBorder="1" applyAlignment="1">
      <alignment horizontal="left" vertical="center"/>
    </xf>
    <xf numFmtId="3" fontId="35" fillId="0" borderId="106" xfId="58" applyNumberFormat="1" applyFont="1" applyFill="1" applyBorder="1" applyAlignment="1">
      <alignment horizontal="center" vertical="center" wrapText="1"/>
    </xf>
    <xf numFmtId="4" fontId="35" fillId="26" borderId="106" xfId="58" applyNumberFormat="1" applyFont="1" applyFill="1" applyBorder="1" applyAlignment="1">
      <alignment vertical="center"/>
    </xf>
    <xf numFmtId="4" fontId="35" fillId="26" borderId="217" xfId="58" applyNumberFormat="1" applyFont="1" applyFill="1" applyBorder="1" applyAlignment="1">
      <alignment vertical="center"/>
    </xf>
    <xf numFmtId="178" fontId="35" fillId="26" borderId="208" xfId="57" applyNumberFormat="1" applyFont="1" applyFill="1" applyBorder="1" applyAlignment="1">
      <alignment vertical="center"/>
    </xf>
    <xf numFmtId="4" fontId="34" fillId="26" borderId="218" xfId="57" applyNumberFormat="1" applyFont="1" applyFill="1" applyBorder="1" applyAlignment="1">
      <alignment horizontal="center" vertical="center"/>
    </xf>
    <xf numFmtId="0" fontId="101" fillId="28" borderId="57" xfId="27" applyFont="1" applyFill="1" applyBorder="1" applyAlignment="1">
      <alignment horizontal="center" vertical="center" wrapText="1"/>
    </xf>
    <xf numFmtId="0" fontId="101" fillId="29" borderId="46" xfId="27" applyFont="1" applyFill="1" applyBorder="1" applyAlignment="1">
      <alignment horizontal="center" vertical="center"/>
    </xf>
    <xf numFmtId="0" fontId="101" fillId="29" borderId="219" xfId="27" applyFont="1" applyFill="1" applyBorder="1" applyAlignment="1">
      <alignment horizontal="center" vertical="center"/>
    </xf>
    <xf numFmtId="3" fontId="35" fillId="0" borderId="107" xfId="58" applyNumberFormat="1" applyFont="1" applyFill="1" applyBorder="1" applyAlignment="1">
      <alignment horizontal="center" vertical="center" wrapText="1"/>
    </xf>
    <xf numFmtId="4" fontId="35" fillId="0" borderId="107" xfId="58" applyNumberFormat="1" applyFont="1" applyFill="1" applyBorder="1" applyAlignment="1">
      <alignment vertical="center" wrapText="1"/>
    </xf>
    <xf numFmtId="3" fontId="34" fillId="26" borderId="208" xfId="57" applyNumberFormat="1" applyFont="1" applyFill="1" applyBorder="1" applyAlignment="1">
      <alignment vertical="center"/>
    </xf>
    <xf numFmtId="0" fontId="103" fillId="0" borderId="11" xfId="57" applyFont="1" applyAlignment="1">
      <alignment vertical="center"/>
    </xf>
    <xf numFmtId="0" fontId="38" fillId="15" borderId="58" xfId="57" applyFont="1" applyFill="1" applyBorder="1" applyAlignment="1">
      <alignment horizontal="centerContinuous" vertical="center"/>
    </xf>
    <xf numFmtId="15" fontId="38" fillId="15" borderId="60" xfId="57" applyNumberFormat="1" applyFont="1" applyFill="1" applyBorder="1" applyAlignment="1">
      <alignment horizontal="centerContinuous" vertical="center"/>
    </xf>
    <xf numFmtId="0" fontId="38" fillId="15" borderId="172" xfId="66" applyFont="1" applyFill="1" applyBorder="1" applyAlignment="1">
      <alignment horizontal="center" vertical="center"/>
    </xf>
    <xf numFmtId="0" fontId="38" fillId="15" borderId="174" xfId="66" applyFont="1" applyFill="1" applyBorder="1" applyAlignment="1">
      <alignment horizontal="center" vertical="center"/>
    </xf>
    <xf numFmtId="4" fontId="104" fillId="26" borderId="220" xfId="58" applyNumberFormat="1" applyFont="1" applyFill="1" applyBorder="1" applyAlignment="1">
      <alignment vertical="center"/>
    </xf>
    <xf numFmtId="4" fontId="104" fillId="26" borderId="221" xfId="58" applyNumberFormat="1" applyFont="1" applyFill="1" applyBorder="1" applyAlignment="1">
      <alignment vertical="center"/>
    </xf>
    <xf numFmtId="4" fontId="35" fillId="26" borderId="221" xfId="58" applyNumberFormat="1" applyFont="1" applyFill="1" applyBorder="1" applyAlignment="1">
      <alignment vertical="center"/>
    </xf>
    <xf numFmtId="4" fontId="35" fillId="26" borderId="222" xfId="58" applyNumberFormat="1" applyFont="1" applyFill="1" applyBorder="1" applyAlignment="1">
      <alignment vertical="center"/>
    </xf>
    <xf numFmtId="4" fontId="96" fillId="26" borderId="222" xfId="58" applyNumberFormat="1" applyFont="1" applyFill="1" applyBorder="1" applyAlignment="1">
      <alignment vertical="center"/>
    </xf>
    <xf numFmtId="0" fontId="35" fillId="0" borderId="223" xfId="57" applyFont="1" applyBorder="1" applyAlignment="1">
      <alignment vertical="center" wrapText="1"/>
    </xf>
    <xf numFmtId="0" fontId="35" fillId="0" borderId="224" xfId="57" applyFont="1" applyBorder="1" applyAlignment="1">
      <alignment vertical="center" wrapText="1"/>
    </xf>
    <xf numFmtId="3" fontId="35" fillId="27" borderId="107" xfId="61" applyNumberFormat="1" applyFont="1" applyFill="1" applyBorder="1" applyAlignment="1">
      <alignment horizontal="center" vertical="center"/>
    </xf>
    <xf numFmtId="4" fontId="35" fillId="0" borderId="106" xfId="61" applyNumberFormat="1" applyFont="1" applyFill="1" applyBorder="1" applyAlignment="1">
      <alignment vertical="center"/>
    </xf>
    <xf numFmtId="4" fontId="96" fillId="0" borderId="106" xfId="61" applyNumberFormat="1" applyFont="1" applyFill="1" applyBorder="1" applyAlignment="1">
      <alignment vertical="center"/>
    </xf>
    <xf numFmtId="0" fontId="34" fillId="27" borderId="11" xfId="66" applyFont="1" applyFill="1" applyAlignment="1">
      <alignment vertical="center"/>
    </xf>
    <xf numFmtId="0" fontId="35" fillId="27" borderId="11" xfId="57" quotePrefix="1" applyFont="1" applyFill="1" applyAlignment="1">
      <alignment horizontal="left" vertical="center"/>
    </xf>
    <xf numFmtId="0" fontId="101" fillId="15" borderId="59" xfId="57" applyFont="1" applyFill="1" applyBorder="1" applyAlignment="1">
      <alignment horizontal="center" vertical="center"/>
    </xf>
    <xf numFmtId="177" fontId="105" fillId="0" borderId="11" xfId="57" applyNumberFormat="1" applyFont="1" applyAlignment="1">
      <alignment horizontal="center" vertical="center"/>
    </xf>
    <xf numFmtId="0" fontId="101" fillId="15" borderId="85" xfId="57" applyFont="1" applyFill="1" applyBorder="1" applyAlignment="1">
      <alignment vertical="center"/>
    </xf>
    <xf numFmtId="4" fontId="95" fillId="30" borderId="226" xfId="64" applyNumberFormat="1" applyFont="1" applyFill="1" applyBorder="1" applyAlignment="1">
      <alignment vertical="center"/>
    </xf>
    <xf numFmtId="4" fontId="95" fillId="30" borderId="227" xfId="64" applyNumberFormat="1" applyFont="1" applyFill="1" applyBorder="1" applyAlignment="1">
      <alignment horizontal="center" vertical="center"/>
    </xf>
    <xf numFmtId="4" fontId="95" fillId="30" borderId="227" xfId="64" applyNumberFormat="1" applyFont="1" applyFill="1" applyBorder="1" applyAlignment="1">
      <alignment vertical="center"/>
    </xf>
    <xf numFmtId="4" fontId="23" fillId="30" borderId="228" xfId="58" applyNumberFormat="1" applyFont="1" applyFill="1" applyBorder="1" applyAlignment="1">
      <alignment vertical="center"/>
    </xf>
    <xf numFmtId="0" fontId="35" fillId="27" borderId="221" xfId="57" quotePrefix="1" applyFont="1" applyFill="1" applyBorder="1" applyAlignment="1">
      <alignment vertical="center"/>
    </xf>
    <xf numFmtId="3" fontId="35" fillId="31" borderId="107" xfId="58" applyNumberFormat="1" applyFont="1" applyFill="1" applyBorder="1" applyAlignment="1">
      <alignment horizontal="center" vertical="center" wrapText="1"/>
    </xf>
    <xf numFmtId="4" fontId="35" fillId="27" borderId="107" xfId="58" applyNumberFormat="1" applyFont="1" applyFill="1" applyBorder="1" applyAlignment="1">
      <alignment vertical="center" wrapText="1"/>
    </xf>
    <xf numFmtId="3" fontId="35" fillId="27" borderId="107" xfId="58" applyNumberFormat="1" applyFont="1" applyFill="1" applyBorder="1" applyAlignment="1">
      <alignment horizontal="center" vertical="center"/>
    </xf>
    <xf numFmtId="4" fontId="23" fillId="26" borderId="215" xfId="58" applyNumberFormat="1" applyFont="1" applyFill="1" applyBorder="1" applyAlignment="1">
      <alignment vertical="center"/>
    </xf>
    <xf numFmtId="4" fontId="32" fillId="0" borderId="11" xfId="57" applyNumberFormat="1" applyFont="1" applyAlignment="1">
      <alignment vertical="center"/>
    </xf>
    <xf numFmtId="4" fontId="35" fillId="26" borderId="208" xfId="57" applyNumberFormat="1" applyFont="1" applyFill="1" applyBorder="1" applyAlignment="1">
      <alignment vertical="center"/>
    </xf>
    <xf numFmtId="4" fontId="34" fillId="26" borderId="229" xfId="57" applyNumberFormat="1" applyFont="1" applyFill="1" applyBorder="1" applyAlignment="1">
      <alignment horizontal="center" vertical="center"/>
    </xf>
    <xf numFmtId="0" fontId="101" fillId="15" borderId="85" xfId="57" applyFont="1" applyFill="1" applyBorder="1" applyAlignment="1">
      <alignment horizontal="center" vertical="center"/>
    </xf>
    <xf numFmtId="0" fontId="40" fillId="15" borderId="82" xfId="57" applyFont="1" applyFill="1" applyBorder="1" applyAlignment="1">
      <alignment horizontal="center" vertical="center"/>
    </xf>
    <xf numFmtId="0" fontId="101" fillId="15" borderId="61" xfId="57" applyFont="1" applyFill="1" applyBorder="1" applyAlignment="1">
      <alignment vertical="center"/>
    </xf>
    <xf numFmtId="0" fontId="101" fillId="15" borderId="58" xfId="57" applyFont="1" applyFill="1" applyBorder="1" applyAlignment="1">
      <alignment horizontal="center" vertical="center"/>
    </xf>
    <xf numFmtId="0" fontId="101" fillId="15" borderId="60" xfId="57" applyFont="1" applyFill="1" applyBorder="1" applyAlignment="1">
      <alignment horizontal="center" vertical="center"/>
    </xf>
    <xf numFmtId="0" fontId="101" fillId="15" borderId="86" xfId="57" applyFont="1" applyFill="1" applyBorder="1" applyAlignment="1">
      <alignment vertical="center"/>
    </xf>
    <xf numFmtId="0" fontId="101" fillId="15" borderId="61" xfId="57" applyFont="1" applyFill="1" applyBorder="1" applyAlignment="1">
      <alignment horizontal="center" vertical="center" wrapText="1"/>
    </xf>
    <xf numFmtId="0" fontId="101" fillId="15" borderId="82" xfId="57" applyFont="1" applyFill="1" applyBorder="1" applyAlignment="1">
      <alignment vertical="center" wrapText="1"/>
    </xf>
    <xf numFmtId="0" fontId="31" fillId="0" borderId="11" xfId="57" applyFont="1" applyAlignment="1">
      <alignment vertical="center"/>
    </xf>
    <xf numFmtId="0" fontId="40" fillId="15" borderId="88" xfId="57" applyFont="1" applyFill="1" applyBorder="1" applyAlignment="1">
      <alignment horizontal="center" vertical="center"/>
    </xf>
    <xf numFmtId="0" fontId="101" fillId="15" borderId="84" xfId="57" applyFont="1" applyFill="1" applyBorder="1" applyAlignment="1">
      <alignment vertical="center"/>
    </xf>
    <xf numFmtId="0" fontId="101" fillId="15" borderId="84" xfId="57" applyFont="1" applyFill="1" applyBorder="1" applyAlignment="1">
      <alignment vertical="center" wrapText="1"/>
    </xf>
    <xf numFmtId="0" fontId="106" fillId="15" borderId="61" xfId="57" applyFont="1" applyFill="1" applyBorder="1" applyAlignment="1">
      <alignment horizontal="center" vertical="center"/>
    </xf>
    <xf numFmtId="3" fontId="35" fillId="26" borderId="208" xfId="57" applyNumberFormat="1" applyFont="1" applyFill="1" applyBorder="1" applyAlignment="1">
      <alignment horizontal="center" vertical="center"/>
    </xf>
    <xf numFmtId="4" fontId="41" fillId="26" borderId="218" xfId="57" applyNumberFormat="1" applyFont="1" applyFill="1" applyBorder="1" applyAlignment="1">
      <alignment vertical="center"/>
    </xf>
    <xf numFmtId="0" fontId="101" fillId="15" borderId="61" xfId="60" applyFont="1" applyFill="1" applyBorder="1" applyAlignment="1">
      <alignment horizontal="center" vertical="center"/>
    </xf>
    <xf numFmtId="0" fontId="101" fillId="15" borderId="88" xfId="60" applyFont="1" applyFill="1" applyBorder="1" applyAlignment="1">
      <alignment horizontal="center" vertical="center"/>
    </xf>
    <xf numFmtId="0" fontId="102" fillId="15" borderId="59" xfId="57" applyFont="1" applyFill="1" applyBorder="1" applyAlignment="1">
      <alignment horizontal="left" vertical="center" indent="9"/>
    </xf>
    <xf numFmtId="0" fontId="101" fillId="15" borderId="85" xfId="60" applyFont="1" applyFill="1" applyBorder="1"/>
    <xf numFmtId="0" fontId="101" fillId="15" borderId="83" xfId="60" applyFont="1" applyFill="1" applyBorder="1"/>
    <xf numFmtId="0" fontId="101" fillId="15" borderId="172" xfId="60" applyFont="1" applyFill="1" applyBorder="1" applyAlignment="1">
      <alignment horizontal="center"/>
    </xf>
    <xf numFmtId="0" fontId="102" fillId="15" borderId="61" xfId="66" applyFont="1" applyFill="1" applyBorder="1" applyAlignment="1">
      <alignment horizontal="center"/>
    </xf>
    <xf numFmtId="0" fontId="101" fillId="15" borderId="174" xfId="60" applyFont="1" applyFill="1" applyBorder="1" applyAlignment="1">
      <alignment horizontal="left" vertical="center" indent="4"/>
    </xf>
    <xf numFmtId="0" fontId="101" fillId="15" borderId="58" xfId="60" applyFont="1" applyFill="1" applyBorder="1" applyAlignment="1">
      <alignment horizontal="left" vertical="center" indent="4"/>
    </xf>
    <xf numFmtId="0" fontId="101" fillId="15" borderId="172" xfId="60" applyFont="1" applyFill="1" applyBorder="1" applyAlignment="1">
      <alignment horizontal="center" vertical="center"/>
    </xf>
    <xf numFmtId="0" fontId="101" fillId="15" borderId="88" xfId="60" applyFont="1" applyFill="1" applyBorder="1" applyAlignment="1">
      <alignment horizontal="center"/>
    </xf>
    <xf numFmtId="0" fontId="101" fillId="15" borderId="79" xfId="60" applyFont="1" applyFill="1" applyBorder="1" applyAlignment="1">
      <alignment horizontal="center"/>
    </xf>
    <xf numFmtId="0" fontId="101" fillId="15" borderId="61" xfId="60" applyFont="1" applyFill="1" applyBorder="1" applyAlignment="1">
      <alignment horizontal="center"/>
    </xf>
    <xf numFmtId="0" fontId="102" fillId="15" borderId="174" xfId="66" applyFont="1" applyFill="1" applyBorder="1" applyAlignment="1">
      <alignment horizontal="center" wrapText="1"/>
    </xf>
    <xf numFmtId="0" fontId="102" fillId="15" borderId="76" xfId="66" applyFont="1" applyFill="1" applyBorder="1" applyAlignment="1">
      <alignment horizontal="center" wrapText="1"/>
    </xf>
    <xf numFmtId="0" fontId="101" fillId="15" borderId="82" xfId="60" applyFont="1" applyFill="1" applyBorder="1" applyAlignment="1">
      <alignment horizontal="center"/>
    </xf>
    <xf numFmtId="0" fontId="101" fillId="15" borderId="82" xfId="60" applyFont="1" applyFill="1" applyBorder="1" applyAlignment="1">
      <alignment horizontal="center" vertical="center"/>
    </xf>
    <xf numFmtId="0" fontId="101" fillId="15" borderId="86" xfId="60" applyFont="1" applyFill="1" applyBorder="1" applyAlignment="1">
      <alignment horizontal="center" vertical="center"/>
    </xf>
    <xf numFmtId="4" fontId="95" fillId="26" borderId="227" xfId="64" applyNumberFormat="1" applyFont="1" applyFill="1" applyBorder="1" applyAlignment="1">
      <alignment vertical="center"/>
    </xf>
    <xf numFmtId="4" fontId="95" fillId="26" borderId="227" xfId="64" applyNumberFormat="1" applyFont="1" applyFill="1" applyBorder="1" applyAlignment="1">
      <alignment horizontal="center" vertical="center"/>
    </xf>
    <xf numFmtId="4" fontId="95" fillId="26" borderId="228" xfId="64" applyNumberFormat="1" applyFont="1" applyFill="1" applyBorder="1" applyAlignment="1">
      <alignment horizontal="center" vertical="center"/>
    </xf>
    <xf numFmtId="1" fontId="35" fillId="0" borderId="107" xfId="60" applyNumberFormat="1" applyFont="1" applyBorder="1" applyAlignment="1">
      <alignment horizontal="center" vertical="center"/>
    </xf>
    <xf numFmtId="2" fontId="35" fillId="0" borderId="107" xfId="60" applyNumberFormat="1" applyFont="1" applyBorder="1" applyAlignment="1">
      <alignment vertical="center"/>
    </xf>
    <xf numFmtId="2" fontId="35" fillId="26" borderId="107" xfId="60" applyNumberFormat="1" applyFont="1" applyFill="1" applyBorder="1" applyAlignment="1">
      <alignment vertical="center"/>
    </xf>
    <xf numFmtId="2" fontId="35" fillId="27" borderId="107" xfId="60" applyNumberFormat="1" applyFont="1" applyFill="1" applyBorder="1" applyAlignment="1">
      <alignment vertical="center"/>
    </xf>
    <xf numFmtId="2" fontId="35" fillId="26" borderId="213" xfId="60" applyNumberFormat="1" applyFont="1" applyFill="1" applyBorder="1" applyAlignment="1">
      <alignment vertical="center"/>
    </xf>
    <xf numFmtId="43" fontId="35" fillId="26" borderId="208" xfId="65" applyFont="1" applyFill="1" applyBorder="1" applyAlignment="1">
      <alignment vertical="center"/>
    </xf>
    <xf numFmtId="17" fontId="48" fillId="14" borderId="83" xfId="7" applyNumberFormat="1" applyFont="1" applyFill="1" applyBorder="1" applyAlignment="1">
      <alignment vertical="center"/>
    </xf>
    <xf numFmtId="0" fontId="35" fillId="0" borderId="221" xfId="57" applyFont="1" applyBorder="1" applyAlignment="1">
      <alignment horizontal="left" vertical="center"/>
    </xf>
    <xf numFmtId="0" fontId="101" fillId="15" borderId="82" xfId="57" applyFont="1" applyFill="1" applyBorder="1" applyAlignment="1">
      <alignment horizontal="center" vertical="center" wrapText="1"/>
    </xf>
    <xf numFmtId="0" fontId="102" fillId="15" borderId="58" xfId="57" applyFont="1" applyFill="1" applyBorder="1" applyAlignment="1">
      <alignment horizontal="center" vertical="center"/>
    </xf>
    <xf numFmtId="0" fontId="102" fillId="15" borderId="59" xfId="57" applyFont="1" applyFill="1" applyBorder="1" applyAlignment="1">
      <alignment horizontal="center" vertical="center"/>
    </xf>
    <xf numFmtId="0" fontId="38" fillId="15" borderId="58" xfId="57" applyFont="1" applyFill="1" applyBorder="1" applyAlignment="1">
      <alignment horizontal="center" vertical="center"/>
    </xf>
    <xf numFmtId="0" fontId="38" fillId="15" borderId="59" xfId="57" applyFont="1" applyFill="1" applyBorder="1" applyAlignment="1">
      <alignment horizontal="center" vertical="center"/>
    </xf>
    <xf numFmtId="0" fontId="87" fillId="10" borderId="197" xfId="55" applyFont="1" applyFill="1" applyBorder="1" applyAlignment="1">
      <alignment vertical="center"/>
    </xf>
    <xf numFmtId="0" fontId="87" fillId="10" borderId="60" xfId="55" applyFont="1" applyFill="1" applyBorder="1" applyAlignment="1">
      <alignment vertical="center"/>
    </xf>
    <xf numFmtId="0" fontId="87" fillId="10" borderId="68" xfId="55" applyFont="1" applyFill="1" applyBorder="1" applyAlignment="1">
      <alignment vertical="center"/>
    </xf>
    <xf numFmtId="0" fontId="87" fillId="10" borderId="201" xfId="55" applyFont="1" applyFill="1" applyBorder="1" applyAlignment="1">
      <alignment vertical="center"/>
    </xf>
    <xf numFmtId="0" fontId="85" fillId="10" borderId="232" xfId="55" applyFont="1" applyFill="1" applyBorder="1" applyAlignment="1">
      <alignment horizontal="center" vertical="center"/>
    </xf>
    <xf numFmtId="0" fontId="85" fillId="10" borderId="233" xfId="55" applyFont="1" applyFill="1" applyBorder="1" applyAlignment="1">
      <alignment horizontal="center" vertical="center"/>
    </xf>
    <xf numFmtId="0" fontId="85" fillId="10" borderId="234" xfId="55" applyFont="1" applyFill="1" applyBorder="1" applyAlignment="1">
      <alignment horizontal="center" vertical="center"/>
    </xf>
    <xf numFmtId="174" fontId="87" fillId="0" borderId="146" xfId="55" applyNumberFormat="1" applyFont="1" applyBorder="1" applyAlignment="1">
      <alignment horizontal="center"/>
    </xf>
    <xf numFmtId="174" fontId="87" fillId="0" borderId="142" xfId="55" applyNumberFormat="1" applyFont="1" applyBorder="1" applyAlignment="1">
      <alignment horizontal="center"/>
    </xf>
    <xf numFmtId="0" fontId="87" fillId="10" borderId="110" xfId="55" applyFont="1" applyFill="1" applyBorder="1" applyAlignment="1">
      <alignment vertical="center"/>
    </xf>
    <xf numFmtId="0" fontId="87" fillId="10" borderId="235" xfId="55" applyFont="1" applyFill="1" applyBorder="1" applyAlignment="1">
      <alignment vertical="center"/>
    </xf>
    <xf numFmtId="0" fontId="3" fillId="0" borderId="11" xfId="55" applyAlignment="1">
      <alignment horizontal="left"/>
    </xf>
    <xf numFmtId="0" fontId="85" fillId="10" borderId="232" xfId="55" applyFont="1" applyFill="1" applyBorder="1" applyAlignment="1">
      <alignment horizontal="left" vertical="center"/>
    </xf>
    <xf numFmtId="0" fontId="87" fillId="10" borderId="68" xfId="55" applyFont="1" applyFill="1" applyBorder="1" applyAlignment="1">
      <alignment horizontal="left" vertical="center"/>
    </xf>
    <xf numFmtId="0" fontId="87" fillId="10" borderId="201" xfId="55" applyFont="1" applyFill="1" applyBorder="1" applyAlignment="1">
      <alignment horizontal="left" vertical="center"/>
    </xf>
    <xf numFmtId="0" fontId="28" fillId="0" borderId="11" xfId="60"/>
    <xf numFmtId="0" fontId="28" fillId="0" borderId="11" xfId="60" applyAlignment="1">
      <alignment horizontal="center" vertical="center"/>
    </xf>
    <xf numFmtId="43" fontId="89" fillId="0" borderId="236" xfId="1" applyFont="1" applyBorder="1" applyAlignment="1">
      <alignment horizontal="center" vertical="center"/>
    </xf>
    <xf numFmtId="43" fontId="87" fillId="0" borderId="237" xfId="1" applyFont="1" applyBorder="1" applyAlignment="1">
      <alignment horizontal="center" vertical="center"/>
    </xf>
    <xf numFmtId="0" fontId="87" fillId="10" borderId="232" xfId="55" applyFont="1" applyFill="1" applyBorder="1" applyAlignment="1">
      <alignment vertical="center"/>
    </xf>
    <xf numFmtId="174" fontId="87" fillId="0" borderId="233" xfId="55" applyNumberFormat="1" applyFont="1" applyBorder="1" applyAlignment="1">
      <alignment horizontal="center" vertical="center"/>
    </xf>
    <xf numFmtId="174" fontId="87" fillId="0" borderId="234" xfId="55" applyNumberFormat="1" applyFont="1" applyBorder="1" applyAlignment="1">
      <alignment horizontal="center" vertical="center"/>
    </xf>
    <xf numFmtId="0" fontId="27" fillId="10" borderId="145" xfId="55" applyFont="1" applyFill="1" applyBorder="1" applyAlignment="1">
      <alignment vertical="center"/>
    </xf>
    <xf numFmtId="174" fontId="27" fillId="10" borderId="61" xfId="56" applyNumberFormat="1" applyFont="1" applyFill="1" applyBorder="1" applyAlignment="1">
      <alignment horizontal="center" vertical="center"/>
    </xf>
    <xf numFmtId="174" fontId="27" fillId="10" borderId="146" xfId="56" applyNumberFormat="1" applyFont="1" applyFill="1" applyBorder="1" applyAlignment="1">
      <alignment horizontal="center" vertical="center"/>
    </xf>
    <xf numFmtId="0" fontId="3" fillId="0" borderId="76" xfId="55" applyBorder="1"/>
    <xf numFmtId="174" fontId="3" fillId="0" borderId="76" xfId="55" applyNumberFormat="1" applyBorder="1"/>
    <xf numFmtId="166" fontId="0" fillId="0" borderId="11" xfId="8" applyFont="1"/>
    <xf numFmtId="166" fontId="0" fillId="0" borderId="11" xfId="8" applyFont="1" applyAlignment="1">
      <alignment horizontal="left"/>
    </xf>
    <xf numFmtId="166" fontId="109" fillId="0" borderId="11" xfId="8" applyFont="1" applyAlignment="1">
      <alignment horizontal="left" vertical="center"/>
    </xf>
    <xf numFmtId="166" fontId="0" fillId="0" borderId="11" xfId="8" applyFont="1" applyAlignment="1">
      <alignment horizontal="center" vertical="center"/>
    </xf>
    <xf numFmtId="0" fontId="28" fillId="10" borderId="76" xfId="60" applyFill="1" applyBorder="1"/>
    <xf numFmtId="10" fontId="0" fillId="10" borderId="76" xfId="70" applyNumberFormat="1" applyFont="1" applyFill="1" applyBorder="1"/>
    <xf numFmtId="10" fontId="28" fillId="10" borderId="76" xfId="60" applyNumberFormat="1" applyFill="1" applyBorder="1"/>
    <xf numFmtId="166" fontId="28" fillId="10" borderId="76" xfId="60" applyNumberFormat="1" applyFill="1" applyBorder="1"/>
    <xf numFmtId="0" fontId="32" fillId="0" borderId="238" xfId="60" applyFont="1" applyBorder="1" applyAlignment="1">
      <alignment horizontal="left" indent="2"/>
    </xf>
    <xf numFmtId="166" fontId="32" fillId="0" borderId="108" xfId="8" applyFont="1" applyBorder="1"/>
    <xf numFmtId="10" fontId="32" fillId="0" borderId="108" xfId="60" applyNumberFormat="1" applyFont="1" applyBorder="1"/>
    <xf numFmtId="166" fontId="32" fillId="0" borderId="108" xfId="60" applyNumberFormat="1" applyFont="1" applyBorder="1"/>
    <xf numFmtId="166" fontId="28" fillId="0" borderId="239" xfId="60" applyNumberFormat="1" applyBorder="1"/>
    <xf numFmtId="0" fontId="32" fillId="0" borderId="240" xfId="60" applyFont="1" applyBorder="1" applyAlignment="1">
      <alignment horizontal="left" indent="2"/>
    </xf>
    <xf numFmtId="166" fontId="32" fillId="0" borderId="106" xfId="8" applyFont="1" applyBorder="1"/>
    <xf numFmtId="10" fontId="32" fillId="0" borderId="106" xfId="60" applyNumberFormat="1" applyFont="1" applyBorder="1"/>
    <xf numFmtId="166" fontId="32" fillId="0" borderId="106" xfId="60" applyNumberFormat="1" applyFont="1" applyBorder="1"/>
    <xf numFmtId="166" fontId="28" fillId="0" borderId="241" xfId="60" applyNumberFormat="1" applyBorder="1"/>
    <xf numFmtId="4" fontId="28" fillId="0" borderId="11" xfId="60" applyNumberFormat="1"/>
    <xf numFmtId="0" fontId="32" fillId="0" borderId="242" xfId="60" applyFont="1" applyBorder="1" applyAlignment="1">
      <alignment horizontal="left" indent="2"/>
    </xf>
    <xf numFmtId="10" fontId="32" fillId="0" borderId="214" xfId="60" applyNumberFormat="1" applyFont="1" applyBorder="1"/>
    <xf numFmtId="166" fontId="32" fillId="0" borderId="214" xfId="60" applyNumberFormat="1" applyFont="1" applyBorder="1"/>
    <xf numFmtId="166" fontId="28" fillId="0" borderId="243" xfId="60" applyNumberFormat="1" applyBorder="1"/>
    <xf numFmtId="0" fontId="32" fillId="0" borderId="244" xfId="60" applyFont="1" applyBorder="1" applyAlignment="1">
      <alignment horizontal="left" indent="2"/>
    </xf>
    <xf numFmtId="166" fontId="32" fillId="0" borderId="245" xfId="8" applyFont="1" applyBorder="1"/>
    <xf numFmtId="10" fontId="32" fillId="0" borderId="245" xfId="60" applyNumberFormat="1" applyFont="1" applyBorder="1"/>
    <xf numFmtId="166" fontId="32" fillId="0" borderId="245" xfId="60" applyNumberFormat="1" applyFont="1" applyBorder="1"/>
    <xf numFmtId="166" fontId="28" fillId="0" borderId="246" xfId="60" applyNumberFormat="1" applyBorder="1"/>
    <xf numFmtId="10" fontId="32" fillId="0" borderId="214" xfId="70" applyNumberFormat="1" applyFont="1" applyBorder="1"/>
    <xf numFmtId="179" fontId="32" fillId="0" borderId="108" xfId="60" applyNumberFormat="1" applyFont="1" applyBorder="1"/>
    <xf numFmtId="179" fontId="32" fillId="0" borderId="106" xfId="60" applyNumberFormat="1" applyFont="1" applyBorder="1"/>
    <xf numFmtId="0" fontId="32" fillId="0" borderId="247" xfId="60" applyFont="1" applyBorder="1" applyAlignment="1">
      <alignment horizontal="left" indent="2"/>
    </xf>
    <xf numFmtId="166" fontId="32" fillId="0" borderId="217" xfId="8" applyFont="1" applyBorder="1"/>
    <xf numFmtId="179" fontId="32" fillId="0" borderId="217" xfId="60" applyNumberFormat="1" applyFont="1" applyBorder="1"/>
    <xf numFmtId="166" fontId="32" fillId="0" borderId="217" xfId="60" applyNumberFormat="1" applyFont="1" applyBorder="1"/>
    <xf numFmtId="166" fontId="28" fillId="0" borderId="248" xfId="60" applyNumberFormat="1" applyBorder="1"/>
    <xf numFmtId="10" fontId="32" fillId="0" borderId="217" xfId="60" applyNumberFormat="1" applyFont="1" applyBorder="1"/>
    <xf numFmtId="168" fontId="32" fillId="0" borderId="108" xfId="60" applyNumberFormat="1" applyFont="1" applyBorder="1"/>
    <xf numFmtId="0" fontId="28" fillId="0" borderId="76" xfId="60" applyBorder="1"/>
    <xf numFmtId="166" fontId="0" fillId="0" borderId="76" xfId="8" applyFont="1" applyBorder="1"/>
    <xf numFmtId="10" fontId="0" fillId="0" borderId="11" xfId="70" applyNumberFormat="1" applyFont="1"/>
    <xf numFmtId="0" fontId="74" fillId="12" borderId="249" xfId="60" applyFont="1" applyFill="1" applyBorder="1"/>
    <xf numFmtId="0" fontId="28" fillId="12" borderId="250" xfId="60" applyFill="1" applyBorder="1"/>
    <xf numFmtId="0" fontId="74" fillId="12" borderId="251" xfId="60" applyFont="1" applyFill="1" applyBorder="1" applyAlignment="1">
      <alignment horizontal="center"/>
    </xf>
    <xf numFmtId="9" fontId="0" fillId="12" borderId="252" xfId="71" applyFont="1" applyFill="1" applyBorder="1" applyAlignment="1">
      <alignment horizontal="center" vertical="center"/>
    </xf>
    <xf numFmtId="0" fontId="74" fillId="12" borderId="253" xfId="60" applyFont="1" applyFill="1" applyBorder="1" applyAlignment="1">
      <alignment horizontal="center"/>
    </xf>
    <xf numFmtId="0" fontId="28" fillId="12" borderId="254" xfId="60" applyFill="1" applyBorder="1" applyAlignment="1">
      <alignment horizontal="center" vertical="center"/>
    </xf>
    <xf numFmtId="0" fontId="28" fillId="12" borderId="255" xfId="60" applyFill="1" applyBorder="1" applyAlignment="1">
      <alignment horizontal="center"/>
    </xf>
    <xf numFmtId="0" fontId="28" fillId="12" borderId="256" xfId="60" applyFill="1" applyBorder="1" applyAlignment="1">
      <alignment horizontal="center" vertical="center"/>
    </xf>
    <xf numFmtId="0" fontId="74" fillId="12" borderId="255" xfId="60" applyFont="1" applyFill="1" applyBorder="1" applyAlignment="1">
      <alignment horizontal="center"/>
    </xf>
    <xf numFmtId="0" fontId="74" fillId="12" borderId="256" xfId="60" applyFont="1" applyFill="1" applyBorder="1" applyAlignment="1">
      <alignment horizontal="center" vertical="center"/>
    </xf>
    <xf numFmtId="0" fontId="74" fillId="12" borderId="257" xfId="60" applyFont="1" applyFill="1" applyBorder="1" applyAlignment="1">
      <alignment horizontal="center"/>
    </xf>
    <xf numFmtId="0" fontId="74" fillId="12" borderId="258" xfId="60" applyFont="1" applyFill="1" applyBorder="1" applyAlignment="1">
      <alignment horizontal="center" vertical="center"/>
    </xf>
    <xf numFmtId="0" fontId="110" fillId="34" borderId="261" xfId="60" applyFont="1" applyFill="1" applyBorder="1" applyAlignment="1">
      <alignment horizontal="left" vertical="center"/>
    </xf>
    <xf numFmtId="0" fontId="110" fillId="34" borderId="261" xfId="60" applyFont="1" applyFill="1" applyBorder="1" applyAlignment="1">
      <alignment horizontal="left" vertical="center" wrapText="1"/>
    </xf>
    <xf numFmtId="1" fontId="110" fillId="34" borderId="261" xfId="60" applyNumberFormat="1" applyFont="1" applyFill="1" applyBorder="1" applyAlignment="1">
      <alignment horizontal="center" vertical="center"/>
    </xf>
    <xf numFmtId="2" fontId="110" fillId="34" borderId="261" xfId="60" applyNumberFormat="1" applyFont="1" applyFill="1" applyBorder="1" applyAlignment="1">
      <alignment horizontal="center" vertical="center"/>
    </xf>
    <xf numFmtId="0" fontId="28" fillId="35" borderId="262" xfId="60" applyFill="1" applyBorder="1" applyAlignment="1">
      <alignment horizontal="left" vertical="center"/>
    </xf>
    <xf numFmtId="0" fontId="28" fillId="35" borderId="262" xfId="60" applyFill="1" applyBorder="1" applyAlignment="1">
      <alignment horizontal="left" vertical="center" wrapText="1"/>
    </xf>
    <xf numFmtId="1" fontId="28" fillId="35" borderId="262" xfId="60" applyNumberFormat="1" applyFill="1" applyBorder="1" applyAlignment="1">
      <alignment horizontal="center" vertical="center"/>
    </xf>
    <xf numFmtId="2" fontId="28" fillId="35" borderId="262" xfId="60" applyNumberFormat="1" applyFill="1" applyBorder="1" applyAlignment="1">
      <alignment horizontal="center" vertical="center"/>
    </xf>
    <xf numFmtId="0" fontId="28" fillId="36" borderId="261" xfId="60" applyFill="1" applyBorder="1" applyAlignment="1">
      <alignment horizontal="left" vertical="center"/>
    </xf>
    <xf numFmtId="0" fontId="28" fillId="36" borderId="261" xfId="60" applyFill="1" applyBorder="1" applyAlignment="1">
      <alignment horizontal="left" vertical="center" wrapText="1"/>
    </xf>
    <xf numFmtId="1" fontId="28" fillId="36" borderId="261" xfId="60" applyNumberFormat="1" applyFill="1" applyBorder="1" applyAlignment="1">
      <alignment horizontal="center" vertical="center"/>
    </xf>
    <xf numFmtId="2" fontId="28" fillId="36" borderId="261" xfId="60" applyNumberFormat="1" applyFill="1" applyBorder="1" applyAlignment="1">
      <alignment horizontal="center" vertical="center"/>
    </xf>
    <xf numFmtId="2" fontId="28" fillId="0" borderId="11" xfId="60" applyNumberFormat="1"/>
    <xf numFmtId="0" fontId="28" fillId="12" borderId="261" xfId="60" applyFill="1" applyBorder="1" applyAlignment="1">
      <alignment horizontal="left" vertical="center"/>
    </xf>
    <xf numFmtId="0" fontId="28" fillId="12" borderId="261" xfId="60" applyFill="1" applyBorder="1" applyAlignment="1">
      <alignment horizontal="left" vertical="center" wrapText="1"/>
    </xf>
    <xf numFmtId="1" fontId="28" fillId="12" borderId="261" xfId="60" applyNumberFormat="1" applyFill="1" applyBorder="1" applyAlignment="1">
      <alignment horizontal="center" vertical="center"/>
    </xf>
    <xf numFmtId="2" fontId="28" fillId="12" borderId="261" xfId="60" applyNumberFormat="1" applyFill="1" applyBorder="1" applyAlignment="1">
      <alignment horizontal="center" vertical="center"/>
    </xf>
    <xf numFmtId="0" fontId="28" fillId="0" borderId="11" xfId="60" applyAlignment="1">
      <alignment horizontal="center"/>
    </xf>
    <xf numFmtId="0" fontId="28" fillId="37" borderId="261" xfId="60" applyFill="1" applyBorder="1" applyAlignment="1">
      <alignment horizontal="left" vertical="center"/>
    </xf>
    <xf numFmtId="0" fontId="28" fillId="37" borderId="261" xfId="60" applyFill="1" applyBorder="1" applyAlignment="1">
      <alignment horizontal="left" vertical="center" wrapText="1"/>
    </xf>
    <xf numFmtId="1" fontId="28" fillId="37" borderId="261" xfId="60" applyNumberFormat="1" applyFill="1" applyBorder="1" applyAlignment="1">
      <alignment horizontal="center" vertical="center"/>
    </xf>
    <xf numFmtId="2" fontId="28" fillId="37" borderId="261" xfId="60" applyNumberFormat="1" applyFill="1" applyBorder="1" applyAlignment="1">
      <alignment horizontal="center" vertical="center"/>
    </xf>
    <xf numFmtId="2" fontId="28" fillId="18" borderId="261" xfId="60" applyNumberFormat="1" applyFill="1" applyBorder="1" applyAlignment="1">
      <alignment horizontal="center" vertical="center"/>
    </xf>
    <xf numFmtId="2" fontId="28" fillId="38" borderId="261" xfId="60" applyNumberFormat="1" applyFill="1" applyBorder="1" applyAlignment="1">
      <alignment horizontal="center" vertical="center"/>
    </xf>
    <xf numFmtId="0" fontId="32" fillId="0" borderId="238" xfId="60" applyFont="1" applyBorder="1"/>
    <xf numFmtId="0" fontId="32" fillId="0" borderId="240" xfId="60" applyFont="1" applyBorder="1"/>
    <xf numFmtId="0" fontId="32" fillId="0" borderId="244" xfId="60" applyFont="1" applyBorder="1"/>
    <xf numFmtId="2" fontId="32" fillId="0" borderId="238" xfId="60" applyNumberFormat="1" applyFont="1" applyBorder="1" applyAlignment="1">
      <alignment horizontal="left" indent="2"/>
    </xf>
    <xf numFmtId="2" fontId="32" fillId="0" borderId="240" xfId="60" applyNumberFormat="1" applyFont="1" applyBorder="1" applyAlignment="1">
      <alignment horizontal="left" indent="2"/>
    </xf>
    <xf numFmtId="2" fontId="32" fillId="0" borderId="244" xfId="60" applyNumberFormat="1" applyFont="1" applyBorder="1" applyAlignment="1">
      <alignment horizontal="left" indent="2"/>
    </xf>
    <xf numFmtId="43" fontId="32" fillId="0" borderId="240" xfId="1" applyFont="1" applyBorder="1" applyAlignment="1">
      <alignment horizontal="left" indent="2"/>
    </xf>
    <xf numFmtId="43" fontId="32" fillId="0" borderId="240" xfId="60" applyNumberFormat="1" applyFont="1" applyBorder="1" applyAlignment="1">
      <alignment horizontal="left" indent="2"/>
    </xf>
    <xf numFmtId="0" fontId="28" fillId="0" borderId="11" xfId="60" applyAlignment="1">
      <alignment vertical="center" wrapText="1"/>
    </xf>
    <xf numFmtId="0" fontId="28" fillId="0" borderId="86" xfId="60" applyBorder="1" applyAlignment="1">
      <alignment horizontal="center" vertical="center" wrapText="1"/>
    </xf>
    <xf numFmtId="0" fontId="32" fillId="0" borderId="238" xfId="60" applyFont="1" applyBorder="1" applyAlignment="1">
      <alignment horizontal="left" vertical="center" wrapText="1"/>
    </xf>
    <xf numFmtId="4" fontId="32" fillId="0" borderId="238" xfId="60" applyNumberFormat="1" applyFont="1" applyBorder="1" applyAlignment="1">
      <alignment horizontal="left" vertical="center" wrapText="1"/>
    </xf>
    <xf numFmtId="0" fontId="32" fillId="0" borderId="91" xfId="60" applyFont="1" applyBorder="1" applyAlignment="1">
      <alignment horizontal="left" vertical="center" wrapText="1"/>
    </xf>
    <xf numFmtId="0" fontId="32" fillId="0" borderId="263" xfId="60" applyFont="1" applyBorder="1" applyAlignment="1">
      <alignment horizontal="left" indent="2"/>
    </xf>
    <xf numFmtId="10" fontId="32" fillId="0" borderId="264" xfId="70" applyNumberFormat="1" applyFont="1" applyBorder="1"/>
    <xf numFmtId="10" fontId="32" fillId="0" borderId="264" xfId="60" applyNumberFormat="1" applyFont="1" applyBorder="1"/>
    <xf numFmtId="166" fontId="32" fillId="0" borderId="264" xfId="60" applyNumberFormat="1" applyFont="1" applyBorder="1"/>
    <xf numFmtId="166" fontId="28" fillId="0" borderId="265" xfId="60" applyNumberFormat="1" applyBorder="1"/>
    <xf numFmtId="2" fontId="32" fillId="0" borderId="91" xfId="60" applyNumberFormat="1" applyFont="1" applyBorder="1" applyAlignment="1">
      <alignment horizontal="left" indent="2"/>
    </xf>
    <xf numFmtId="2" fontId="32" fillId="0" borderId="92" xfId="60" applyNumberFormat="1" applyFont="1" applyBorder="1" applyAlignment="1">
      <alignment horizontal="left" indent="2"/>
    </xf>
    <xf numFmtId="2" fontId="32" fillId="0" borderId="97" xfId="60" applyNumberFormat="1" applyFont="1" applyBorder="1" applyAlignment="1">
      <alignment horizontal="left" indent="2"/>
    </xf>
    <xf numFmtId="0" fontId="32" fillId="13" borderId="240" xfId="60" applyFont="1" applyFill="1" applyBorder="1"/>
    <xf numFmtId="2" fontId="32" fillId="13" borderId="240" xfId="60" applyNumberFormat="1" applyFont="1" applyFill="1" applyBorder="1" applyAlignment="1">
      <alignment horizontal="left" indent="2"/>
    </xf>
    <xf numFmtId="43" fontId="32" fillId="13" borderId="240" xfId="1" applyFont="1" applyFill="1" applyBorder="1" applyAlignment="1">
      <alignment horizontal="left" indent="2"/>
    </xf>
    <xf numFmtId="0" fontId="32" fillId="13" borderId="240" xfId="60" applyFont="1" applyFill="1" applyBorder="1" applyAlignment="1">
      <alignment horizontal="left" indent="2"/>
    </xf>
    <xf numFmtId="2" fontId="32" fillId="13" borderId="92" xfId="60" applyNumberFormat="1" applyFont="1" applyFill="1" applyBorder="1" applyAlignment="1">
      <alignment horizontal="left" indent="2"/>
    </xf>
    <xf numFmtId="0" fontId="28" fillId="18" borderId="261" xfId="60" applyFill="1" applyBorder="1" applyAlignment="1">
      <alignment horizontal="left" vertical="center" wrapText="1"/>
    </xf>
    <xf numFmtId="0" fontId="24" fillId="10" borderId="156" xfId="45" applyFont="1" applyFill="1" applyBorder="1" applyAlignment="1">
      <alignment horizontal="center"/>
    </xf>
    <xf numFmtId="0" fontId="62" fillId="10" borderId="157" xfId="45" applyFont="1" applyFill="1" applyBorder="1" applyAlignment="1">
      <alignment horizontal="center" vertical="center"/>
    </xf>
    <xf numFmtId="0" fontId="62" fillId="10" borderId="158" xfId="45" applyFont="1" applyFill="1" applyBorder="1" applyAlignment="1">
      <alignment horizontal="center" vertical="center"/>
    </xf>
    <xf numFmtId="43" fontId="13" fillId="3" borderId="136" xfId="1" applyFont="1" applyFill="1" applyBorder="1"/>
    <xf numFmtId="43" fontId="13" fillId="3" borderId="11" xfId="1" applyFont="1" applyFill="1" applyBorder="1"/>
    <xf numFmtId="43" fontId="65" fillId="4" borderId="140" xfId="1" applyFont="1" applyFill="1" applyBorder="1" applyAlignment="1">
      <alignment vertical="center"/>
    </xf>
    <xf numFmtId="43" fontId="43" fillId="24" borderId="11" xfId="1" applyFont="1" applyFill="1" applyBorder="1" applyAlignment="1">
      <alignment horizontal="center" vertical="center" wrapText="1"/>
    </xf>
    <xf numFmtId="43" fontId="62" fillId="0" borderId="153" xfId="1" applyFont="1" applyBorder="1" applyAlignment="1">
      <alignment horizontal="center" vertical="center"/>
    </xf>
    <xf numFmtId="43" fontId="62" fillId="0" borderId="155" xfId="1" applyFont="1" applyBorder="1" applyAlignment="1">
      <alignment horizontal="center" vertical="center"/>
    </xf>
    <xf numFmtId="43" fontId="62" fillId="0" borderId="150" xfId="1" applyFont="1" applyBorder="1" applyAlignment="1">
      <alignment horizontal="center" vertical="center"/>
    </xf>
    <xf numFmtId="43" fontId="62" fillId="0" borderId="152" xfId="1" applyFont="1" applyBorder="1" applyAlignment="1">
      <alignment horizontal="center" vertical="center"/>
    </xf>
    <xf numFmtId="43" fontId="62" fillId="0" borderId="159" xfId="1" applyFont="1" applyBorder="1" applyAlignment="1">
      <alignment horizontal="center" vertical="center"/>
    </xf>
    <xf numFmtId="43" fontId="62" fillId="0" borderId="161" xfId="1" applyFont="1" applyBorder="1" applyAlignment="1">
      <alignment horizontal="center" vertical="center"/>
    </xf>
    <xf numFmtId="43" fontId="62" fillId="0" borderId="156" xfId="1" applyFont="1" applyBorder="1" applyAlignment="1">
      <alignment horizontal="center" vertical="center"/>
    </xf>
    <xf numFmtId="43" fontId="62" fillId="0" borderId="158" xfId="1" applyFont="1" applyBorder="1" applyAlignment="1">
      <alignment horizontal="center" vertical="center"/>
    </xf>
    <xf numFmtId="43" fontId="62" fillId="0" borderId="159" xfId="1" applyFont="1" applyFill="1" applyBorder="1" applyAlignment="1">
      <alignment horizontal="center" vertical="center"/>
    </xf>
    <xf numFmtId="43" fontId="62" fillId="0" borderId="161" xfId="1" applyFont="1" applyFill="1" applyBorder="1" applyAlignment="1">
      <alignment horizontal="center" vertical="center"/>
    </xf>
    <xf numFmtId="43" fontId="62" fillId="0" borderId="150" xfId="1" applyFont="1" applyFill="1" applyBorder="1" applyAlignment="1">
      <alignment horizontal="center" vertical="center"/>
    </xf>
    <xf numFmtId="43" fontId="62" fillId="0" borderId="165" xfId="1" applyFont="1" applyBorder="1" applyAlignment="1">
      <alignment horizontal="center" vertical="center"/>
    </xf>
    <xf numFmtId="43" fontId="62" fillId="0" borderId="167" xfId="1" applyFont="1" applyBorder="1" applyAlignment="1">
      <alignment horizontal="center" vertical="center"/>
    </xf>
    <xf numFmtId="43" fontId="60" fillId="0" borderId="11" xfId="1" applyFont="1" applyBorder="1"/>
    <xf numFmtId="43" fontId="4" fillId="0" borderId="11" xfId="1" applyFont="1" applyBorder="1"/>
    <xf numFmtId="0" fontId="24" fillId="17" borderId="150" xfId="45" applyFont="1" applyFill="1" applyBorder="1"/>
    <xf numFmtId="0" fontId="59" fillId="17" borderId="151" xfId="45" applyFont="1" applyFill="1" applyBorder="1" applyAlignment="1">
      <alignment vertical="center"/>
    </xf>
    <xf numFmtId="0" fontId="59" fillId="17" borderId="151" xfId="45" applyFont="1" applyFill="1" applyBorder="1" applyAlignment="1">
      <alignment horizontal="center"/>
    </xf>
    <xf numFmtId="43" fontId="59" fillId="17" borderId="152" xfId="46" applyFont="1" applyFill="1" applyBorder="1" applyAlignment="1">
      <alignment horizontal="center"/>
    </xf>
    <xf numFmtId="0" fontId="59" fillId="17" borderId="11" xfId="45" applyFont="1" applyFill="1"/>
    <xf numFmtId="0" fontId="24" fillId="17" borderId="150" xfId="45" applyFont="1" applyFill="1" applyBorder="1" applyAlignment="1">
      <alignment horizontal="center"/>
    </xf>
    <xf numFmtId="0" fontId="62" fillId="17" borderId="151" xfId="45" applyFont="1" applyFill="1" applyBorder="1" applyAlignment="1">
      <alignment horizontal="center" vertical="center"/>
    </xf>
    <xf numFmtId="0" fontId="62" fillId="17" borderId="152" xfId="45" applyFont="1" applyFill="1" applyBorder="1" applyAlignment="1">
      <alignment horizontal="center" vertical="center"/>
    </xf>
    <xf numFmtId="0" fontId="4" fillId="17" borderId="11" xfId="45" applyFill="1"/>
    <xf numFmtId="43" fontId="62" fillId="17" borderId="150" xfId="1" applyFont="1" applyFill="1" applyBorder="1" applyAlignment="1">
      <alignment horizontal="center" vertical="center"/>
    </xf>
    <xf numFmtId="43" fontId="62" fillId="17" borderId="152" xfId="1" applyFont="1" applyFill="1" applyBorder="1" applyAlignment="1">
      <alignment horizontal="center" vertical="center"/>
    </xf>
    <xf numFmtId="0" fontId="28" fillId="12" borderId="262" xfId="60" applyFill="1" applyBorder="1" applyAlignment="1">
      <alignment horizontal="left" vertical="center" wrapText="1"/>
    </xf>
    <xf numFmtId="1" fontId="28" fillId="12" borderId="262" xfId="60" applyNumberFormat="1" applyFill="1" applyBorder="1" applyAlignment="1">
      <alignment horizontal="center" vertical="center"/>
    </xf>
    <xf numFmtId="2" fontId="28" fillId="18" borderId="262" xfId="60" applyNumberFormat="1" applyFill="1" applyBorder="1" applyAlignment="1">
      <alignment horizontal="center" vertical="center"/>
    </xf>
    <xf numFmtId="0" fontId="73" fillId="38" borderId="58" xfId="48" applyFont="1" applyFill="1" applyBorder="1" applyAlignment="1">
      <alignment horizontal="left" vertical="center"/>
    </xf>
    <xf numFmtId="0" fontId="3" fillId="0" borderId="76" xfId="55" applyBorder="1" applyAlignment="1">
      <alignment horizontal="left"/>
    </xf>
    <xf numFmtId="0" fontId="3" fillId="0" borderId="58" xfId="55" applyBorder="1" applyAlignment="1">
      <alignment horizontal="left"/>
    </xf>
    <xf numFmtId="0" fontId="3" fillId="0" borderId="59" xfId="55" applyBorder="1"/>
    <xf numFmtId="0" fontId="3" fillId="0" borderId="60" xfId="55" applyBorder="1"/>
    <xf numFmtId="43" fontId="59" fillId="13" borderId="151" xfId="1" applyFont="1" applyFill="1" applyBorder="1" applyAlignment="1">
      <alignment horizontal="center"/>
    </xf>
    <xf numFmtId="43" fontId="59" fillId="13" borderId="155" xfId="1" applyFont="1" applyFill="1" applyBorder="1" applyAlignment="1">
      <alignment horizontal="center"/>
    </xf>
    <xf numFmtId="43" fontId="59" fillId="13" borderId="152" xfId="1" applyFont="1" applyFill="1" applyBorder="1" applyAlignment="1">
      <alignment horizontal="center"/>
    </xf>
    <xf numFmtId="43" fontId="59" fillId="13" borderId="157" xfId="1" applyFont="1" applyFill="1" applyBorder="1" applyAlignment="1">
      <alignment horizontal="center"/>
    </xf>
    <xf numFmtId="43" fontId="59" fillId="13" borderId="158" xfId="1" applyFont="1" applyFill="1" applyBorder="1" applyAlignment="1">
      <alignment horizontal="center"/>
    </xf>
    <xf numFmtId="43" fontId="59" fillId="13" borderId="160" xfId="1" applyFont="1" applyFill="1" applyBorder="1" applyAlignment="1">
      <alignment horizontal="center"/>
    </xf>
    <xf numFmtId="43" fontId="59" fillId="13" borderId="161" xfId="1" applyFont="1" applyFill="1" applyBorder="1" applyAlignment="1">
      <alignment horizontal="center"/>
    </xf>
    <xf numFmtId="43" fontId="59" fillId="13" borderId="163" xfId="1" applyFont="1" applyFill="1" applyBorder="1" applyAlignment="1">
      <alignment horizontal="center"/>
    </xf>
    <xf numFmtId="43" fontId="59" fillId="13" borderId="164" xfId="1" applyFont="1" applyFill="1" applyBorder="1" applyAlignment="1">
      <alignment horizontal="center"/>
    </xf>
    <xf numFmtId="43" fontId="59" fillId="13" borderId="166" xfId="1" applyFont="1" applyFill="1" applyBorder="1" applyAlignment="1">
      <alignment horizontal="center"/>
    </xf>
    <xf numFmtId="43" fontId="59" fillId="13" borderId="167" xfId="1" applyFont="1" applyFill="1" applyBorder="1" applyAlignment="1">
      <alignment horizontal="center"/>
    </xf>
    <xf numFmtId="43" fontId="111" fillId="0" borderId="11" xfId="1" applyFont="1" applyBorder="1" applyAlignment="1">
      <alignment horizontal="right"/>
    </xf>
    <xf numFmtId="43" fontId="111" fillId="0" borderId="11" xfId="1" applyFont="1" applyBorder="1"/>
    <xf numFmtId="180" fontId="32" fillId="0" borderId="214" xfId="8" applyNumberFormat="1" applyFont="1" applyBorder="1"/>
    <xf numFmtId="180" fontId="32" fillId="0" borderId="264" xfId="8" applyNumberFormat="1" applyFont="1" applyBorder="1"/>
    <xf numFmtId="0" fontId="1" fillId="0" borderId="11" xfId="72"/>
    <xf numFmtId="43" fontId="0" fillId="0" borderId="11" xfId="73" applyFont="1"/>
    <xf numFmtId="43" fontId="112" fillId="39" borderId="106" xfId="73" applyFont="1" applyFill="1" applyBorder="1" applyAlignment="1">
      <alignment horizontal="center" vertical="center"/>
    </xf>
    <xf numFmtId="43" fontId="112" fillId="39" borderId="223" xfId="73" applyFont="1" applyFill="1" applyBorder="1" applyAlignment="1">
      <alignment horizontal="center" vertical="center"/>
    </xf>
    <xf numFmtId="0" fontId="112" fillId="39" borderId="216" xfId="72" applyFont="1" applyFill="1" applyBorder="1" applyAlignment="1">
      <alignment horizontal="center" vertical="center"/>
    </xf>
    <xf numFmtId="0" fontId="112" fillId="39" borderId="206" xfId="72" applyFont="1" applyFill="1" applyBorder="1" applyAlignment="1">
      <alignment horizontal="center" vertical="center"/>
    </xf>
    <xf numFmtId="43" fontId="0" fillId="0" borderId="270" xfId="73" applyFont="1" applyBorder="1"/>
    <xf numFmtId="43" fontId="0" fillId="0" borderId="271" xfId="73" applyFont="1" applyBorder="1"/>
    <xf numFmtId="0" fontId="1" fillId="0" borderId="271" xfId="72" applyBorder="1"/>
    <xf numFmtId="0" fontId="1" fillId="0" borderId="272" xfId="72" applyBorder="1"/>
    <xf numFmtId="43" fontId="0" fillId="0" borderId="273" xfId="73" applyFont="1" applyBorder="1"/>
    <xf numFmtId="43" fontId="0" fillId="0" borderId="274" xfId="73" applyFont="1" applyBorder="1"/>
    <xf numFmtId="0" fontId="1" fillId="0" borderId="274" xfId="72" applyBorder="1"/>
    <xf numFmtId="0" fontId="1" fillId="0" borderId="275" xfId="72" applyBorder="1"/>
    <xf numFmtId="0" fontId="1" fillId="0" borderId="276" xfId="72" applyBorder="1"/>
    <xf numFmtId="0" fontId="1" fillId="0" borderId="273" xfId="72" applyBorder="1"/>
    <xf numFmtId="0" fontId="1" fillId="0" borderId="278" xfId="72" applyBorder="1"/>
    <xf numFmtId="43" fontId="0" fillId="0" borderId="278" xfId="73" applyFont="1" applyBorder="1"/>
    <xf numFmtId="43" fontId="0" fillId="0" borderId="280" xfId="73" applyFont="1" applyBorder="1"/>
    <xf numFmtId="0" fontId="1" fillId="0" borderId="280" xfId="72" applyBorder="1"/>
    <xf numFmtId="0" fontId="1" fillId="0" borderId="279" xfId="72" applyBorder="1"/>
    <xf numFmtId="0" fontId="112" fillId="39" borderId="239" xfId="72" applyFont="1" applyFill="1" applyBorder="1" applyAlignment="1">
      <alignment horizontal="center" vertical="center"/>
    </xf>
    <xf numFmtId="43" fontId="112" fillId="39" borderId="281" xfId="73" applyFont="1" applyFill="1" applyBorder="1" applyAlignment="1">
      <alignment horizontal="center" vertical="center"/>
    </xf>
    <xf numFmtId="43" fontId="112" fillId="39" borderId="214" xfId="73" applyFont="1" applyFill="1" applyBorder="1" applyAlignment="1">
      <alignment horizontal="center" vertical="center"/>
    </xf>
    <xf numFmtId="0" fontId="112" fillId="39" borderId="106" xfId="72" applyFont="1" applyFill="1" applyBorder="1" applyAlignment="1">
      <alignment vertical="center" wrapText="1"/>
    </xf>
    <xf numFmtId="0" fontId="112" fillId="39" borderId="223" xfId="72" applyFont="1" applyFill="1" applyBorder="1" applyAlignment="1">
      <alignment vertical="center"/>
    </xf>
    <xf numFmtId="0" fontId="112" fillId="39" borderId="106" xfId="72" applyFont="1" applyFill="1" applyBorder="1" applyAlignment="1">
      <alignment horizontal="center" vertical="center"/>
    </xf>
    <xf numFmtId="2" fontId="1" fillId="0" borderId="280" xfId="72" applyNumberFormat="1" applyBorder="1"/>
    <xf numFmtId="0" fontId="1" fillId="0" borderId="282" xfId="72" applyBorder="1"/>
    <xf numFmtId="43" fontId="0" fillId="0" borderId="277" xfId="73" applyFont="1" applyBorder="1"/>
    <xf numFmtId="43" fontId="0" fillId="0" borderId="275" xfId="73" applyFont="1" applyBorder="1"/>
    <xf numFmtId="43" fontId="0" fillId="0" borderId="279" xfId="73" applyFont="1" applyBorder="1"/>
    <xf numFmtId="0" fontId="39" fillId="4" borderId="195" xfId="27" applyFont="1" applyFill="1" applyBorder="1" applyAlignment="1">
      <alignment horizontal="center" vertical="center"/>
    </xf>
    <xf numFmtId="0" fontId="39" fillId="4" borderId="89" xfId="27" applyFont="1" applyFill="1" applyBorder="1" applyAlignment="1">
      <alignment horizontal="center" vertical="center"/>
    </xf>
    <xf numFmtId="0" fontId="39" fillId="4" borderId="90" xfId="27" applyFont="1" applyFill="1" applyBorder="1" applyAlignment="1">
      <alignment horizontal="center" vertical="center"/>
    </xf>
    <xf numFmtId="0" fontId="52" fillId="20" borderId="283" xfId="27" applyFont="1" applyFill="1" applyBorder="1" applyAlignment="1">
      <alignment horizontal="left" vertical="center"/>
    </xf>
    <xf numFmtId="170" fontId="52" fillId="3" borderId="284" xfId="28" applyFont="1" applyFill="1" applyBorder="1" applyAlignment="1">
      <alignment horizontal="center" vertical="center"/>
    </xf>
    <xf numFmtId="0" fontId="52" fillId="21" borderId="283" xfId="27" applyFont="1" applyFill="1" applyBorder="1" applyAlignment="1">
      <alignment horizontal="left" vertical="center"/>
    </xf>
    <xf numFmtId="170" fontId="52" fillId="21" borderId="284" xfId="28" applyFont="1" applyFill="1" applyBorder="1" applyAlignment="1">
      <alignment horizontal="center" vertical="center"/>
    </xf>
    <xf numFmtId="0" fontId="39" fillId="4" borderId="68" xfId="27" applyFont="1" applyFill="1" applyBorder="1" applyAlignment="1">
      <alignment horizontal="left" vertical="center"/>
    </xf>
    <xf numFmtId="170" fontId="39" fillId="4" borderId="67" xfId="28" applyFont="1" applyFill="1" applyBorder="1" applyAlignment="1">
      <alignment horizontal="center" vertical="center"/>
    </xf>
    <xf numFmtId="0" fontId="39" fillId="4" borderId="201" xfId="27" applyFont="1" applyFill="1" applyBorder="1" applyAlignment="1">
      <alignment horizontal="left" vertical="center"/>
    </xf>
    <xf numFmtId="170" fontId="39" fillId="4" borderId="198" xfId="28" applyFont="1" applyFill="1" applyBorder="1" applyAlignment="1">
      <alignment horizontal="left" vertical="center"/>
    </xf>
    <xf numFmtId="171" fontId="39" fillId="4" borderId="198" xfId="27" applyNumberFormat="1" applyFont="1" applyFill="1" applyBorder="1" applyAlignment="1">
      <alignment horizontal="center" vertical="center"/>
    </xf>
    <xf numFmtId="170" fontId="39" fillId="4" borderId="142" xfId="28" applyFont="1" applyFill="1" applyBorder="1" applyAlignment="1">
      <alignment horizontal="center" vertical="center"/>
    </xf>
    <xf numFmtId="43" fontId="31" fillId="0" borderId="11" xfId="1" applyFont="1" applyFill="1" applyBorder="1" applyAlignment="1">
      <alignment vertical="center"/>
    </xf>
    <xf numFmtId="0" fontId="31" fillId="0" borderId="11" xfId="53" applyNumberFormat="1" applyFont="1" applyFill="1" applyBorder="1" applyAlignment="1">
      <alignment horizontal="left" vertical="center"/>
    </xf>
    <xf numFmtId="0" fontId="62" fillId="38" borderId="151" xfId="45" applyFont="1" applyFill="1" applyBorder="1" applyAlignment="1">
      <alignment horizontal="center" vertical="center"/>
    </xf>
    <xf numFmtId="0" fontId="62" fillId="38" borderId="157" xfId="45" applyFont="1" applyFill="1" applyBorder="1" applyAlignment="1">
      <alignment horizontal="center" vertical="center"/>
    </xf>
    <xf numFmtId="49" fontId="23" fillId="40" borderId="11" xfId="6" applyNumberFormat="1" applyFont="1" applyFill="1" applyBorder="1" applyAlignment="1">
      <alignment horizontal="left" vertical="center" wrapText="1"/>
    </xf>
    <xf numFmtId="49" fontId="39" fillId="40" borderId="11" xfId="6" applyNumberFormat="1" applyFont="1" applyFill="1" applyBorder="1" applyAlignment="1">
      <alignment vertical="center"/>
    </xf>
    <xf numFmtId="0" fontId="39" fillId="40" borderId="11" xfId="6" applyNumberFormat="1" applyFont="1" applyFill="1" applyBorder="1" applyAlignment="1">
      <alignment vertical="center"/>
    </xf>
    <xf numFmtId="0" fontId="39" fillId="40" borderId="11" xfId="6" applyNumberFormat="1" applyFont="1" applyFill="1" applyBorder="1" applyAlignment="1">
      <alignment horizontal="center" vertical="center"/>
    </xf>
    <xf numFmtId="0" fontId="39" fillId="40" borderId="11" xfId="53" applyNumberFormat="1" applyFont="1" applyFill="1" applyBorder="1" applyAlignment="1">
      <alignment vertical="center"/>
    </xf>
    <xf numFmtId="4" fontId="39" fillId="40" borderId="11" xfId="53" applyNumberFormat="1" applyFont="1" applyFill="1" applyBorder="1" applyAlignment="1">
      <alignment vertical="center"/>
    </xf>
    <xf numFmtId="4" fontId="23" fillId="40" borderId="11" xfId="53" applyNumberFormat="1" applyFont="1" applyFill="1" applyBorder="1" applyAlignment="1">
      <alignment horizontal="left" vertical="center"/>
    </xf>
    <xf numFmtId="4" fontId="23" fillId="40" borderId="11" xfId="6" applyNumberFormat="1" applyFont="1" applyFill="1" applyBorder="1" applyAlignment="1">
      <alignment horizontal="center" vertical="center" wrapText="1"/>
    </xf>
    <xf numFmtId="43" fontId="0" fillId="0" borderId="279" xfId="73" applyFont="1" applyFill="1" applyBorder="1"/>
    <xf numFmtId="43" fontId="0" fillId="0" borderId="275" xfId="73" applyFont="1" applyFill="1" applyBorder="1"/>
    <xf numFmtId="43" fontId="0" fillId="0" borderId="277" xfId="73" applyFont="1" applyFill="1" applyBorder="1"/>
    <xf numFmtId="43" fontId="23" fillId="0" borderId="11" xfId="1" applyFont="1" applyFill="1" applyBorder="1" applyAlignment="1">
      <alignment vertical="center"/>
    </xf>
    <xf numFmtId="43" fontId="41" fillId="0" borderId="11" xfId="1" applyFont="1" applyFill="1" applyBorder="1" applyAlignment="1">
      <alignment vertical="center"/>
    </xf>
    <xf numFmtId="43" fontId="23" fillId="0" borderId="11" xfId="6" applyNumberFormat="1" applyFont="1" applyFill="1" applyBorder="1" applyAlignment="1">
      <alignment vertical="center"/>
    </xf>
    <xf numFmtId="43" fontId="28" fillId="0" borderId="11" xfId="60" applyNumberFormat="1"/>
    <xf numFmtId="10" fontId="28" fillId="0" borderId="11" xfId="60" applyNumberFormat="1"/>
    <xf numFmtId="10" fontId="28" fillId="0" borderId="11" xfId="74" applyNumberFormat="1" applyFont="1" applyBorder="1"/>
    <xf numFmtId="4" fontId="31" fillId="0" borderId="11" xfId="53" applyNumberFormat="1" applyFont="1" applyFill="1" applyBorder="1" applyAlignment="1">
      <alignment vertical="center"/>
    </xf>
    <xf numFmtId="4" fontId="23" fillId="0" borderId="11" xfId="6" applyNumberFormat="1" applyFont="1" applyFill="1" applyBorder="1" applyAlignment="1">
      <alignment vertical="center"/>
    </xf>
    <xf numFmtId="181" fontId="23" fillId="0" borderId="63" xfId="53" applyNumberFormat="1" applyFont="1" applyFill="1" applyBorder="1" applyAlignment="1">
      <alignment horizontal="center" vertical="center" wrapText="1"/>
    </xf>
    <xf numFmtId="169" fontId="23" fillId="0" borderId="63" xfId="53" applyNumberFormat="1" applyFont="1" applyFill="1" applyBorder="1" applyAlignment="1">
      <alignment horizontal="center" vertical="center" wrapText="1"/>
    </xf>
    <xf numFmtId="166" fontId="109" fillId="0" borderId="11" xfId="8" applyFont="1" applyAlignment="1">
      <alignment horizontal="center" vertical="center"/>
    </xf>
    <xf numFmtId="166" fontId="109" fillId="0" borderId="11" xfId="8" applyFont="1" applyAlignment="1">
      <alignment vertical="center"/>
    </xf>
    <xf numFmtId="4" fontId="23" fillId="25" borderId="63" xfId="53" applyNumberFormat="1" applyFont="1" applyFill="1" applyBorder="1" applyAlignment="1">
      <alignment horizontal="left" vertical="center"/>
    </xf>
    <xf numFmtId="0" fontId="31" fillId="25" borderId="11" xfId="53" applyNumberFormat="1" applyFont="1" applyFill="1" applyBorder="1" applyAlignment="1">
      <alignment horizontal="left" vertical="center"/>
    </xf>
    <xf numFmtId="0" fontId="31" fillId="41" borderId="11" xfId="53" applyNumberFormat="1" applyFont="1" applyFill="1" applyBorder="1" applyAlignment="1">
      <alignment horizontal="left" vertical="center"/>
    </xf>
    <xf numFmtId="4" fontId="23" fillId="41" borderId="63" xfId="53" applyNumberFormat="1" applyFont="1" applyFill="1" applyBorder="1" applyAlignment="1">
      <alignment horizontal="left" vertical="center"/>
    </xf>
    <xf numFmtId="10" fontId="0" fillId="0" borderId="11" xfId="74" applyNumberFormat="1" applyFont="1" applyBorder="1"/>
    <xf numFmtId="0" fontId="0" fillId="37" borderId="261" xfId="0" applyFill="1" applyBorder="1" applyAlignment="1">
      <alignment horizontal="left" vertical="center"/>
    </xf>
    <xf numFmtId="0" fontId="0" fillId="37" borderId="261" xfId="0" applyFill="1" applyBorder="1" applyAlignment="1">
      <alignment horizontal="left" vertical="center" wrapText="1"/>
    </xf>
    <xf numFmtId="1" fontId="0" fillId="37" borderId="261" xfId="0" applyNumberFormat="1" applyFill="1" applyBorder="1" applyAlignment="1">
      <alignment horizontal="center" vertical="center"/>
    </xf>
    <xf numFmtId="2" fontId="0" fillId="37" borderId="261" xfId="0" applyNumberFormat="1" applyFill="1" applyBorder="1" applyAlignment="1">
      <alignment horizontal="center" vertical="center"/>
    </xf>
    <xf numFmtId="0" fontId="0" fillId="36" borderId="261" xfId="0" applyFill="1" applyBorder="1" applyAlignment="1">
      <alignment horizontal="left" vertical="center"/>
    </xf>
    <xf numFmtId="0" fontId="0" fillId="36" borderId="261" xfId="0" applyFill="1" applyBorder="1" applyAlignment="1">
      <alignment horizontal="left" vertical="center" wrapText="1"/>
    </xf>
    <xf numFmtId="1" fontId="0" fillId="36" borderId="261" xfId="0" applyNumberFormat="1" applyFill="1" applyBorder="1" applyAlignment="1">
      <alignment horizontal="center" vertical="center"/>
    </xf>
    <xf numFmtId="2" fontId="0" fillId="36" borderId="261" xfId="0" applyNumberFormat="1" applyFill="1" applyBorder="1" applyAlignment="1">
      <alignment horizontal="center" vertical="center"/>
    </xf>
    <xf numFmtId="0" fontId="0" fillId="12" borderId="261" xfId="0" applyFill="1" applyBorder="1" applyAlignment="1">
      <alignment horizontal="left" vertical="center"/>
    </xf>
    <xf numFmtId="0" fontId="0" fillId="12" borderId="261" xfId="0" applyFill="1" applyBorder="1" applyAlignment="1">
      <alignment horizontal="left" vertical="center" wrapText="1"/>
    </xf>
    <xf numFmtId="1" fontId="0" fillId="12" borderId="261" xfId="0" applyNumberFormat="1" applyFill="1" applyBorder="1" applyAlignment="1">
      <alignment horizontal="center" vertical="center"/>
    </xf>
    <xf numFmtId="2" fontId="0" fillId="12" borderId="261" xfId="0" applyNumberFormat="1" applyFill="1" applyBorder="1" applyAlignment="1">
      <alignment horizontal="center" vertical="center"/>
    </xf>
    <xf numFmtId="0" fontId="57" fillId="3" borderId="129" xfId="27" applyFont="1" applyFill="1" applyBorder="1" applyAlignment="1">
      <alignment horizontal="center" vertical="center" wrapText="1"/>
    </xf>
    <xf numFmtId="0" fontId="57" fillId="3" borderId="69" xfId="27" applyFont="1" applyFill="1" applyBorder="1" applyAlignment="1">
      <alignment horizontal="center" vertical="center" wrapText="1"/>
    </xf>
    <xf numFmtId="164" fontId="56" fillId="3" borderId="130" xfId="27" applyNumberFormat="1" applyFont="1" applyFill="1" applyBorder="1" applyAlignment="1">
      <alignment horizontal="center" vertical="center" wrapText="1"/>
    </xf>
    <xf numFmtId="164" fontId="56" fillId="3" borderId="131" xfId="27" applyNumberFormat="1" applyFont="1" applyFill="1" applyBorder="1" applyAlignment="1">
      <alignment horizontal="center" vertical="center" wrapText="1"/>
    </xf>
    <xf numFmtId="164" fontId="56" fillId="3" borderId="47" xfId="27" applyNumberFormat="1" applyFont="1" applyFill="1" applyBorder="1" applyAlignment="1">
      <alignment horizontal="center" vertical="center" wrapText="1"/>
    </xf>
    <xf numFmtId="164" fontId="56" fillId="3" borderId="69" xfId="27" applyNumberFormat="1" applyFont="1" applyFill="1" applyBorder="1" applyAlignment="1">
      <alignment horizontal="center" vertical="center" wrapText="1"/>
    </xf>
    <xf numFmtId="0" fontId="53" fillId="0" borderId="113" xfId="7" applyFont="1" applyBorder="1" applyAlignment="1">
      <alignment horizontal="center" vertical="center"/>
    </xf>
    <xf numFmtId="0" fontId="53" fillId="0" borderId="114" xfId="7" applyFont="1" applyBorder="1" applyAlignment="1">
      <alignment horizontal="center" vertical="center"/>
    </xf>
    <xf numFmtId="0" fontId="53" fillId="0" borderId="120" xfId="7" applyFont="1" applyBorder="1" applyAlignment="1">
      <alignment horizontal="center" vertical="center"/>
    </xf>
    <xf numFmtId="0" fontId="53" fillId="0" borderId="121" xfId="7" applyFont="1" applyBorder="1" applyAlignment="1">
      <alignment horizontal="center" vertical="center"/>
    </xf>
    <xf numFmtId="17" fontId="48" fillId="14" borderId="123" xfId="7" applyNumberFormat="1" applyFont="1" applyFill="1" applyBorder="1" applyAlignment="1">
      <alignment horizontal="center" vertical="center"/>
    </xf>
    <xf numFmtId="0" fontId="39" fillId="4" borderId="124" xfId="27" applyFont="1" applyFill="1" applyBorder="1" applyAlignment="1">
      <alignment horizontal="center" vertical="center" wrapText="1"/>
    </xf>
    <xf numFmtId="0" fontId="39" fillId="4" borderId="125" xfId="27" applyFont="1" applyFill="1" applyBorder="1" applyAlignment="1">
      <alignment horizontal="center" vertical="center" wrapText="1"/>
    </xf>
    <xf numFmtId="0" fontId="57" fillId="3" borderId="127" xfId="27" applyFont="1" applyFill="1" applyBorder="1" applyAlignment="1">
      <alignment horizontal="center" vertical="center" wrapText="1"/>
    </xf>
    <xf numFmtId="0" fontId="57" fillId="3" borderId="128" xfId="27" applyFont="1" applyFill="1" applyBorder="1" applyAlignment="1">
      <alignment horizontal="center" vertical="center" wrapText="1"/>
    </xf>
    <xf numFmtId="0" fontId="39" fillId="4" borderId="133" xfId="27" applyFont="1" applyFill="1" applyBorder="1" applyAlignment="1">
      <alignment horizontal="center" vertical="center"/>
    </xf>
    <xf numFmtId="0" fontId="39" fillId="4" borderId="87" xfId="27" applyFont="1" applyFill="1" applyBorder="1" applyAlignment="1">
      <alignment horizontal="center" vertical="center"/>
    </xf>
    <xf numFmtId="0" fontId="39" fillId="4" borderId="134" xfId="27" applyFont="1" applyFill="1" applyBorder="1" applyAlignment="1">
      <alignment horizontal="center" vertical="center"/>
    </xf>
    <xf numFmtId="49" fontId="38" fillId="14" borderId="76" xfId="6" applyNumberFormat="1" applyFont="1" applyFill="1" applyBorder="1" applyAlignment="1">
      <alignment horizontal="center" vertical="center" wrapText="1"/>
    </xf>
    <xf numFmtId="0" fontId="42" fillId="32" borderId="11" xfId="60" applyFont="1" applyFill="1" applyAlignment="1">
      <alignment horizontal="center"/>
    </xf>
    <xf numFmtId="0" fontId="17" fillId="4" borderId="44" xfId="0" applyFont="1" applyFill="1" applyBorder="1" applyAlignment="1">
      <alignment horizontal="center" vertical="center"/>
    </xf>
    <xf numFmtId="0" fontId="17" fillId="4" borderId="96" xfId="0" applyFont="1" applyFill="1" applyBorder="1" applyAlignment="1">
      <alignment horizontal="center" vertical="center"/>
    </xf>
    <xf numFmtId="0" fontId="58" fillId="4" borderId="139" xfId="0" applyFont="1" applyFill="1" applyBorder="1" applyAlignment="1">
      <alignment horizontal="center" vertical="center"/>
    </xf>
    <xf numFmtId="0" fontId="58" fillId="4" borderId="140" xfId="0" applyFont="1" applyFill="1" applyBorder="1" applyAlignment="1">
      <alignment horizontal="center" vertical="center"/>
    </xf>
    <xf numFmtId="0" fontId="58" fillId="4" borderId="141" xfId="0" applyFont="1" applyFill="1" applyBorder="1" applyAlignment="1">
      <alignment horizontal="center" vertical="center"/>
    </xf>
    <xf numFmtId="0" fontId="17" fillId="7" borderId="102" xfId="0" applyFont="1" applyFill="1" applyBorder="1" applyAlignment="1">
      <alignment horizontal="center" vertical="center" wrapText="1"/>
    </xf>
    <xf numFmtId="0" fontId="17" fillId="7" borderId="103" xfId="0" applyFont="1" applyFill="1" applyBorder="1" applyAlignment="1">
      <alignment horizontal="center" vertical="center" wrapText="1"/>
    </xf>
    <xf numFmtId="0" fontId="17" fillId="7" borderId="104" xfId="0" applyFont="1" applyFill="1" applyBorder="1" applyAlignment="1">
      <alignment horizontal="center" vertical="center" wrapText="1"/>
    </xf>
    <xf numFmtId="0" fontId="17" fillId="7" borderId="37" xfId="0" applyFont="1" applyFill="1" applyBorder="1" applyAlignment="1">
      <alignment horizontal="center" vertical="center" wrapText="1"/>
    </xf>
    <xf numFmtId="0" fontId="14" fillId="0" borderId="38" xfId="0" applyFont="1" applyBorder="1"/>
    <xf numFmtId="0" fontId="14" fillId="0" borderId="39" xfId="0" applyFont="1" applyBorder="1"/>
    <xf numFmtId="0" fontId="19" fillId="0" borderId="0" xfId="0" applyFont="1" applyAlignment="1">
      <alignment horizontal="center"/>
    </xf>
    <xf numFmtId="0" fontId="0" fillId="0" borderId="0" xfId="0"/>
    <xf numFmtId="0" fontId="42" fillId="33" borderId="79" xfId="60" applyFont="1" applyFill="1" applyBorder="1" applyAlignment="1">
      <alignment horizontal="center" vertical="center"/>
    </xf>
    <xf numFmtId="0" fontId="42" fillId="33" borderId="11" xfId="60" applyFont="1" applyFill="1" applyAlignment="1">
      <alignment horizontal="center" vertical="center"/>
    </xf>
    <xf numFmtId="0" fontId="74" fillId="12" borderId="259" xfId="60" applyFont="1" applyFill="1" applyBorder="1" applyAlignment="1">
      <alignment horizontal="center"/>
    </xf>
    <xf numFmtId="0" fontId="74" fillId="12" borderId="11" xfId="60" applyFont="1" applyFill="1" applyAlignment="1">
      <alignment horizontal="center"/>
    </xf>
    <xf numFmtId="0" fontId="74" fillId="12" borderId="260" xfId="60" applyFont="1" applyFill="1" applyBorder="1" applyAlignment="1">
      <alignment horizontal="center"/>
    </xf>
    <xf numFmtId="0" fontId="42" fillId="33" borderId="85" xfId="60" applyFont="1" applyFill="1" applyBorder="1" applyAlignment="1">
      <alignment horizontal="center" vertical="center"/>
    </xf>
    <xf numFmtId="0" fontId="42" fillId="33" borderId="83" xfId="60" applyFont="1" applyFill="1" applyBorder="1" applyAlignment="1">
      <alignment horizontal="center" vertical="center"/>
    </xf>
    <xf numFmtId="0" fontId="74" fillId="12" borderId="76" xfId="60" applyFont="1" applyFill="1" applyBorder="1" applyAlignment="1">
      <alignment horizontal="center" vertical="center"/>
    </xf>
    <xf numFmtId="0" fontId="42" fillId="33" borderId="79" xfId="60" applyFont="1" applyFill="1" applyBorder="1" applyAlignment="1">
      <alignment horizontal="center" vertical="center" wrapText="1"/>
    </xf>
    <xf numFmtId="0" fontId="42" fillId="33" borderId="11" xfId="60" applyFont="1" applyFill="1" applyAlignment="1">
      <alignment horizontal="center" vertical="center" wrapText="1"/>
    </xf>
    <xf numFmtId="43" fontId="59" fillId="8" borderId="169" xfId="1" applyFont="1" applyFill="1" applyBorder="1" applyAlignment="1">
      <alignment horizontal="center" vertical="center"/>
    </xf>
    <xf numFmtId="43" fontId="59" fillId="8" borderId="172" xfId="1" applyFont="1" applyFill="1" applyBorder="1" applyAlignment="1">
      <alignment horizontal="center" vertical="center"/>
    </xf>
    <xf numFmtId="43" fontId="59" fillId="8" borderId="174" xfId="1" applyFont="1" applyFill="1" applyBorder="1" applyAlignment="1">
      <alignment horizontal="center" vertical="center"/>
    </xf>
    <xf numFmtId="43" fontId="59" fillId="8" borderId="170" xfId="1" applyFont="1" applyFill="1" applyBorder="1" applyAlignment="1">
      <alignment horizontal="center" vertical="center"/>
    </xf>
    <xf numFmtId="43" fontId="59" fillId="8" borderId="79" xfId="1" applyFont="1" applyFill="1" applyBorder="1" applyAlignment="1">
      <alignment horizontal="center" vertical="center"/>
    </xf>
    <xf numFmtId="43" fontId="59" fillId="8" borderId="85" xfId="1" applyFont="1" applyFill="1" applyBorder="1" applyAlignment="1">
      <alignment horizontal="center" vertical="center"/>
    </xf>
    <xf numFmtId="0" fontId="65" fillId="4" borderId="44" xfId="0" applyFont="1" applyFill="1" applyBorder="1" applyAlignment="1">
      <alignment horizontal="left" vertical="center"/>
    </xf>
    <xf numFmtId="0" fontId="65" fillId="4" borderId="11" xfId="0" applyFont="1" applyFill="1" applyBorder="1" applyAlignment="1">
      <alignment horizontal="left" vertical="center"/>
    </xf>
    <xf numFmtId="166" fontId="59" fillId="8" borderId="168" xfId="8" applyFont="1" applyFill="1" applyBorder="1" applyAlignment="1">
      <alignment horizontal="center" vertical="center"/>
    </xf>
    <xf numFmtId="166" fontId="59" fillId="8" borderId="171" xfId="8" applyFont="1" applyFill="1" applyBorder="1" applyAlignment="1">
      <alignment horizontal="center" vertical="center"/>
    </xf>
    <xf numFmtId="166" fontId="59" fillId="8" borderId="173" xfId="8" applyFont="1" applyFill="1" applyBorder="1" applyAlignment="1">
      <alignment horizontal="center" vertical="center"/>
    </xf>
    <xf numFmtId="166" fontId="59" fillId="8" borderId="169" xfId="8" applyFont="1" applyFill="1" applyBorder="1" applyAlignment="1">
      <alignment horizontal="center" vertical="center"/>
    </xf>
    <xf numFmtId="166" fontId="59" fillId="8" borderId="172" xfId="8" applyFont="1" applyFill="1" applyBorder="1" applyAlignment="1">
      <alignment horizontal="center" vertical="center"/>
    </xf>
    <xf numFmtId="166" fontId="59" fillId="8" borderId="174" xfId="8" applyFont="1" applyFill="1" applyBorder="1" applyAlignment="1">
      <alignment horizontal="center" vertical="center"/>
    </xf>
    <xf numFmtId="43" fontId="59" fillId="11" borderId="267" xfId="1" applyFont="1" applyFill="1" applyBorder="1" applyAlignment="1">
      <alignment horizontal="center" vertical="center" wrapText="1"/>
    </xf>
    <xf numFmtId="43" fontId="59" fillId="11" borderId="269" xfId="1" applyFont="1" applyFill="1" applyBorder="1" applyAlignment="1">
      <alignment horizontal="center" vertical="center" wrapText="1"/>
    </xf>
    <xf numFmtId="0" fontId="59" fillId="8" borderId="168" xfId="45" applyFont="1" applyFill="1" applyBorder="1" applyAlignment="1">
      <alignment horizontal="center" vertical="center"/>
    </xf>
    <xf numFmtId="0" fontId="59" fillId="8" borderId="171" xfId="45" applyFont="1" applyFill="1" applyBorder="1" applyAlignment="1">
      <alignment horizontal="center" vertical="center"/>
    </xf>
    <xf numFmtId="0" fontId="59" fillId="8" borderId="173" xfId="45" applyFont="1" applyFill="1" applyBorder="1" applyAlignment="1">
      <alignment horizontal="center" vertical="center"/>
    </xf>
    <xf numFmtId="0" fontId="59" fillId="8" borderId="169" xfId="45" applyFont="1" applyFill="1" applyBorder="1" applyAlignment="1">
      <alignment horizontal="center" vertical="center"/>
    </xf>
    <xf numFmtId="0" fontId="59" fillId="8" borderId="172" xfId="45" applyFont="1" applyFill="1" applyBorder="1" applyAlignment="1">
      <alignment horizontal="center" vertical="center"/>
    </xf>
    <xf numFmtId="0" fontId="59" fillId="8" borderId="174" xfId="45" applyFont="1" applyFill="1" applyBorder="1" applyAlignment="1">
      <alignment horizontal="center" vertical="center"/>
    </xf>
    <xf numFmtId="0" fontId="59" fillId="8" borderId="175" xfId="45" applyFont="1" applyFill="1" applyBorder="1" applyAlignment="1">
      <alignment horizontal="center" vertical="center"/>
    </xf>
    <xf numFmtId="0" fontId="59" fillId="8" borderId="176" xfId="45" applyFont="1" applyFill="1" applyBorder="1" applyAlignment="1">
      <alignment horizontal="center" vertical="center"/>
    </xf>
    <xf numFmtId="0" fontId="59" fillId="8" borderId="177" xfId="45" applyFont="1" applyFill="1" applyBorder="1" applyAlignment="1">
      <alignment horizontal="center" vertical="center"/>
    </xf>
    <xf numFmtId="0" fontId="43" fillId="24" borderId="133" xfId="45" applyFont="1" applyFill="1" applyBorder="1" applyAlignment="1">
      <alignment horizontal="center" vertical="center" wrapText="1"/>
    </xf>
    <xf numFmtId="0" fontId="43" fillId="24" borderId="87" xfId="45" applyFont="1" applyFill="1" applyBorder="1" applyAlignment="1">
      <alignment horizontal="center" vertical="center" wrapText="1"/>
    </xf>
    <xf numFmtId="0" fontId="43" fillId="24" borderId="134" xfId="45" applyFont="1" applyFill="1" applyBorder="1" applyAlignment="1">
      <alignment horizontal="center" vertical="center" wrapText="1"/>
    </xf>
    <xf numFmtId="43" fontId="59" fillId="11" borderId="266" xfId="1" applyFont="1" applyFill="1" applyBorder="1" applyAlignment="1">
      <alignment horizontal="center" vertical="center" wrapText="1"/>
    </xf>
    <xf numFmtId="43" fontId="59" fillId="11" borderId="268" xfId="1" applyFont="1" applyFill="1" applyBorder="1" applyAlignment="1">
      <alignment horizontal="center" vertical="center" wrapText="1"/>
    </xf>
    <xf numFmtId="17" fontId="48" fillId="14" borderId="11" xfId="7" applyNumberFormat="1" applyFont="1" applyFill="1" applyAlignment="1">
      <alignment horizontal="center" vertical="center"/>
    </xf>
    <xf numFmtId="0" fontId="40" fillId="15" borderId="88" xfId="57" applyFont="1" applyFill="1" applyBorder="1" applyAlignment="1">
      <alignment horizontal="center" vertical="center" wrapText="1"/>
    </xf>
    <xf numFmtId="0" fontId="40" fillId="15" borderId="172" xfId="57" applyFont="1" applyFill="1" applyBorder="1" applyAlignment="1">
      <alignment horizontal="center" vertical="center" wrapText="1"/>
    </xf>
    <xf numFmtId="0" fontId="40" fillId="15" borderId="85" xfId="57" applyFont="1" applyFill="1" applyBorder="1" applyAlignment="1">
      <alignment horizontal="center" vertical="center"/>
    </xf>
    <xf numFmtId="0" fontId="40" fillId="15" borderId="83" xfId="57" applyFont="1" applyFill="1" applyBorder="1" applyAlignment="1">
      <alignment horizontal="center" vertical="center"/>
    </xf>
    <xf numFmtId="0" fontId="40" fillId="15" borderId="84" xfId="57" applyFont="1" applyFill="1" applyBorder="1" applyAlignment="1">
      <alignment horizontal="center" vertical="center"/>
    </xf>
    <xf numFmtId="0" fontId="40" fillId="15" borderId="172" xfId="57" applyFont="1" applyFill="1" applyBorder="1" applyAlignment="1">
      <alignment horizontal="center" vertical="center"/>
    </xf>
    <xf numFmtId="0" fontId="40" fillId="15" borderId="174" xfId="57" applyFont="1" applyFill="1" applyBorder="1" applyAlignment="1">
      <alignment horizontal="center" vertical="center"/>
    </xf>
    <xf numFmtId="0" fontId="40" fillId="15" borderId="174" xfId="57" applyFont="1" applyFill="1" applyBorder="1" applyAlignment="1">
      <alignment horizontal="center" vertical="center" wrapText="1"/>
    </xf>
    <xf numFmtId="0" fontId="40" fillId="15" borderId="79" xfId="57" applyFont="1" applyFill="1" applyBorder="1" applyAlignment="1">
      <alignment horizontal="center" vertical="center" wrapText="1"/>
    </xf>
    <xf numFmtId="0" fontId="40" fillId="15" borderId="85" xfId="57" applyFont="1" applyFill="1" applyBorder="1" applyAlignment="1">
      <alignment horizontal="center" vertical="center" wrapText="1"/>
    </xf>
    <xf numFmtId="0" fontId="40" fillId="15" borderId="84" xfId="57" applyFont="1" applyFill="1" applyBorder="1" applyAlignment="1">
      <alignment horizontal="center" vertical="center" wrapText="1"/>
    </xf>
    <xf numFmtId="4" fontId="94" fillId="15" borderId="79" xfId="63" applyNumberFormat="1" applyFont="1" applyFill="1" applyBorder="1" applyAlignment="1">
      <alignment horizontal="center" vertical="center"/>
    </xf>
    <xf numFmtId="4" fontId="94" fillId="15" borderId="11" xfId="63" applyNumberFormat="1" applyFont="1" applyFill="1" applyAlignment="1">
      <alignment horizontal="center" vertical="center"/>
    </xf>
    <xf numFmtId="0" fontId="101" fillId="15" borderId="61" xfId="57" applyFont="1" applyFill="1" applyBorder="1" applyAlignment="1">
      <alignment horizontal="center" vertical="center" wrapText="1"/>
    </xf>
    <xf numFmtId="0" fontId="101" fillId="15" borderId="174" xfId="57" applyFont="1" applyFill="1" applyBorder="1" applyAlignment="1">
      <alignment horizontal="center" vertical="center" wrapText="1"/>
    </xf>
    <xf numFmtId="0" fontId="106" fillId="15" borderId="61" xfId="57" applyFont="1" applyFill="1" applyBorder="1" applyAlignment="1">
      <alignment horizontal="center" vertical="center"/>
    </xf>
    <xf numFmtId="0" fontId="106" fillId="15" borderId="174" xfId="57" applyFont="1" applyFill="1" applyBorder="1" applyAlignment="1">
      <alignment horizontal="center" vertical="center"/>
    </xf>
    <xf numFmtId="0" fontId="101" fillId="15" borderId="86" xfId="57" applyFont="1" applyFill="1" applyBorder="1" applyAlignment="1">
      <alignment horizontal="center" vertical="center" wrapText="1"/>
    </xf>
    <xf numFmtId="0" fontId="101" fillId="15" borderId="85" xfId="57" applyFont="1" applyFill="1" applyBorder="1" applyAlignment="1">
      <alignment horizontal="center" vertical="center" wrapText="1"/>
    </xf>
    <xf numFmtId="17" fontId="48" fillId="14" borderId="11" xfId="7" applyNumberFormat="1" applyFont="1" applyFill="1" applyAlignment="1">
      <alignment horizontal="left" vertical="center"/>
    </xf>
    <xf numFmtId="0" fontId="101" fillId="15" borderId="61" xfId="57" applyFont="1" applyFill="1" applyBorder="1" applyAlignment="1">
      <alignment horizontal="center" vertical="center"/>
    </xf>
    <xf numFmtId="0" fontId="101" fillId="15" borderId="225" xfId="57" applyFont="1" applyFill="1" applyBorder="1" applyAlignment="1">
      <alignment horizontal="center" vertical="center"/>
    </xf>
    <xf numFmtId="0" fontId="40" fillId="15" borderId="82" xfId="57" applyFont="1" applyFill="1" applyBorder="1" applyAlignment="1">
      <alignment horizontal="center" vertical="center"/>
    </xf>
    <xf numFmtId="0" fontId="40" fillId="15" borderId="88" xfId="57" applyFont="1" applyFill="1" applyBorder="1" applyAlignment="1">
      <alignment horizontal="center" vertical="center"/>
    </xf>
    <xf numFmtId="0" fontId="102" fillId="15" borderId="86" xfId="57" applyFont="1" applyFill="1" applyBorder="1" applyAlignment="1">
      <alignment horizontal="center" vertical="center"/>
    </xf>
    <xf numFmtId="0" fontId="102" fillId="15" borderId="82" xfId="57" applyFont="1" applyFill="1" applyBorder="1" applyAlignment="1">
      <alignment horizontal="center" vertical="center"/>
    </xf>
    <xf numFmtId="0" fontId="101" fillId="15" borderId="174" xfId="57" applyFont="1" applyFill="1" applyBorder="1" applyAlignment="1">
      <alignment horizontal="center" vertical="center"/>
    </xf>
    <xf numFmtId="17" fontId="48" fillId="14" borderId="83" xfId="7" applyNumberFormat="1" applyFont="1" applyFill="1" applyBorder="1" applyAlignment="1">
      <alignment horizontal="left" vertical="center"/>
    </xf>
    <xf numFmtId="0" fontId="101" fillId="15" borderId="82" xfId="57" applyFont="1" applyFill="1" applyBorder="1" applyAlignment="1">
      <alignment horizontal="center" vertical="center"/>
    </xf>
    <xf numFmtId="0" fontId="101" fillId="15" borderId="88" xfId="57" applyFont="1" applyFill="1" applyBorder="1" applyAlignment="1">
      <alignment horizontal="center" vertical="center"/>
    </xf>
    <xf numFmtId="0" fontId="101" fillId="15" borderId="212" xfId="57" applyFont="1" applyFill="1" applyBorder="1" applyAlignment="1">
      <alignment horizontal="center" vertical="center"/>
    </xf>
    <xf numFmtId="0" fontId="101" fillId="15" borderId="172" xfId="57" applyFont="1" applyFill="1" applyBorder="1" applyAlignment="1">
      <alignment horizontal="center" vertical="center"/>
    </xf>
    <xf numFmtId="0" fontId="102" fillId="15" borderId="61" xfId="66" applyFont="1" applyFill="1" applyBorder="1" applyAlignment="1">
      <alignment horizontal="center" vertical="center" wrapText="1"/>
    </xf>
    <xf numFmtId="0" fontId="102" fillId="15" borderId="172" xfId="66" applyFont="1" applyFill="1" applyBorder="1" applyAlignment="1">
      <alignment horizontal="center" vertical="center" wrapText="1"/>
    </xf>
    <xf numFmtId="0" fontId="102" fillId="15" borderId="174" xfId="66" applyFont="1" applyFill="1" applyBorder="1" applyAlignment="1">
      <alignment horizontal="center" vertical="center" wrapText="1"/>
    </xf>
    <xf numFmtId="0" fontId="38" fillId="15" borderId="61" xfId="66" applyFont="1" applyFill="1" applyBorder="1" applyAlignment="1">
      <alignment horizontal="center" vertical="center" wrapText="1"/>
    </xf>
    <xf numFmtId="0" fontId="38" fillId="15" borderId="172" xfId="66" applyFont="1" applyFill="1" applyBorder="1" applyAlignment="1">
      <alignment horizontal="center" vertical="center" wrapText="1"/>
    </xf>
    <xf numFmtId="0" fontId="38" fillId="15" borderId="174" xfId="66" applyFont="1" applyFill="1" applyBorder="1" applyAlignment="1">
      <alignment horizontal="center" vertical="center" wrapText="1"/>
    </xf>
    <xf numFmtId="0" fontId="38" fillId="15" borderId="86" xfId="57" applyFont="1" applyFill="1" applyBorder="1" applyAlignment="1">
      <alignment horizontal="center" vertical="center"/>
    </xf>
    <xf numFmtId="0" fontId="38" fillId="15" borderId="82" xfId="57" applyFont="1" applyFill="1" applyBorder="1" applyAlignment="1">
      <alignment horizontal="center" vertical="center"/>
    </xf>
    <xf numFmtId="17" fontId="100" fillId="14" borderId="231" xfId="7" applyNumberFormat="1" applyFont="1" applyFill="1" applyBorder="1" applyAlignment="1">
      <alignment horizontal="center" vertical="center"/>
    </xf>
    <xf numFmtId="17" fontId="100" fillId="14" borderId="84" xfId="7" applyNumberFormat="1" applyFont="1" applyFill="1" applyBorder="1" applyAlignment="1">
      <alignment horizontal="center" vertical="center"/>
    </xf>
    <xf numFmtId="17" fontId="48" fillId="14" borderId="119" xfId="7" applyNumberFormat="1" applyFont="1" applyFill="1" applyBorder="1" applyAlignment="1">
      <alignment horizontal="left" vertical="center"/>
    </xf>
    <xf numFmtId="0" fontId="102" fillId="15" borderId="85" xfId="66" applyFont="1" applyFill="1" applyBorder="1" applyAlignment="1">
      <alignment horizontal="center"/>
    </xf>
    <xf numFmtId="0" fontId="102" fillId="15" borderId="83" xfId="66" applyFont="1" applyFill="1" applyBorder="1" applyAlignment="1">
      <alignment horizontal="center"/>
    </xf>
    <xf numFmtId="0" fontId="102" fillId="15" borderId="84" xfId="66" applyFont="1" applyFill="1" applyBorder="1" applyAlignment="1">
      <alignment horizontal="center"/>
    </xf>
    <xf numFmtId="0" fontId="102" fillId="15" borderId="85" xfId="66" applyFont="1" applyFill="1" applyBorder="1" applyAlignment="1">
      <alignment horizontal="center" vertical="center"/>
    </xf>
    <xf numFmtId="0" fontId="102" fillId="15" borderId="83" xfId="66" applyFont="1" applyFill="1" applyBorder="1" applyAlignment="1">
      <alignment horizontal="center" vertical="center"/>
    </xf>
    <xf numFmtId="0" fontId="102" fillId="15" borderId="84" xfId="66" applyFont="1" applyFill="1" applyBorder="1" applyAlignment="1">
      <alignment horizontal="center" vertical="center"/>
    </xf>
    <xf numFmtId="17" fontId="100" fillId="14" borderId="117" xfId="7" applyNumberFormat="1" applyFont="1" applyFill="1" applyBorder="1" applyAlignment="1">
      <alignment horizontal="left" vertical="center"/>
    </xf>
    <xf numFmtId="17" fontId="100" fillId="14" borderId="123" xfId="7" applyNumberFormat="1" applyFont="1" applyFill="1" applyBorder="1" applyAlignment="1">
      <alignment horizontal="left" vertical="center"/>
    </xf>
    <xf numFmtId="17" fontId="100" fillId="14" borderId="118" xfId="7" applyNumberFormat="1" applyFont="1" applyFill="1" applyBorder="1" applyAlignment="1">
      <alignment horizontal="left" vertical="center"/>
    </xf>
    <xf numFmtId="0" fontId="100" fillId="14" borderId="58" xfId="57" applyFont="1" applyFill="1" applyBorder="1" applyAlignment="1">
      <alignment horizontal="left" vertical="center"/>
    </xf>
    <xf numFmtId="0" fontId="100" fillId="14" borderId="59" xfId="57" applyFont="1" applyFill="1" applyBorder="1" applyAlignment="1">
      <alignment horizontal="left" vertical="center"/>
    </xf>
    <xf numFmtId="0" fontId="100" fillId="14" borderId="60" xfId="57" applyFont="1" applyFill="1" applyBorder="1" applyAlignment="1">
      <alignment horizontal="left" vertical="center"/>
    </xf>
    <xf numFmtId="0" fontId="102" fillId="15" borderId="230" xfId="57" applyFont="1" applyFill="1" applyBorder="1" applyAlignment="1">
      <alignment horizontal="center" vertical="center"/>
    </xf>
    <xf numFmtId="17" fontId="48" fillId="14" borderId="85" xfId="7" applyNumberFormat="1" applyFont="1" applyFill="1" applyBorder="1" applyAlignment="1">
      <alignment horizontal="left" vertical="center"/>
    </xf>
    <xf numFmtId="0" fontId="40" fillId="15" borderId="211" xfId="57" applyFont="1" applyFill="1" applyBorder="1" applyAlignment="1">
      <alignment horizontal="center" vertical="center" wrapText="1"/>
    </xf>
    <xf numFmtId="0" fontId="102" fillId="15" borderId="58" xfId="66" applyFont="1" applyFill="1" applyBorder="1" applyAlignment="1">
      <alignment horizontal="center" vertical="center"/>
    </xf>
    <xf numFmtId="0" fontId="102" fillId="15" borderId="59" xfId="66" applyFont="1" applyFill="1" applyBorder="1" applyAlignment="1">
      <alignment horizontal="center" vertical="center"/>
    </xf>
    <xf numFmtId="0" fontId="102" fillId="15" borderId="60" xfId="66" applyFont="1" applyFill="1" applyBorder="1" applyAlignment="1">
      <alignment horizontal="center" vertical="center"/>
    </xf>
    <xf numFmtId="0" fontId="86" fillId="10" borderId="76" xfId="55" applyFont="1" applyFill="1" applyBorder="1" applyAlignment="1">
      <alignment horizontal="center" vertical="center"/>
    </xf>
    <xf numFmtId="0" fontId="86" fillId="10" borderId="67" xfId="55" applyFont="1" applyFill="1" applyBorder="1" applyAlignment="1">
      <alignment horizontal="center" vertical="center"/>
    </xf>
    <xf numFmtId="0" fontId="87" fillId="10" borderId="109" xfId="55" applyFont="1" applyFill="1" applyBorder="1" applyAlignment="1">
      <alignment horizontal="center" vertical="center"/>
    </xf>
    <xf numFmtId="0" fontId="87" fillId="10" borderId="125" xfId="55" applyFont="1" applyFill="1" applyBorder="1" applyAlignment="1">
      <alignment horizontal="center" vertical="center"/>
    </xf>
    <xf numFmtId="0" fontId="29" fillId="0" borderId="11" xfId="55" applyFont="1" applyAlignment="1">
      <alignment horizontal="center" vertical="center"/>
    </xf>
    <xf numFmtId="0" fontId="29" fillId="0" borderId="135" xfId="55" applyFont="1" applyBorder="1" applyAlignment="1">
      <alignment horizontal="center" vertical="center"/>
    </xf>
    <xf numFmtId="0" fontId="27" fillId="10" borderId="195" xfId="55" applyFont="1" applyFill="1" applyBorder="1" applyAlignment="1">
      <alignment horizontal="center" vertical="center"/>
    </xf>
    <xf numFmtId="0" fontId="27" fillId="10" borderId="68" xfId="55" applyFont="1" applyFill="1" applyBorder="1" applyAlignment="1">
      <alignment horizontal="center" vertical="center"/>
    </xf>
    <xf numFmtId="0" fontId="27" fillId="10" borderId="124" xfId="55" applyFont="1" applyFill="1" applyBorder="1" applyAlignment="1">
      <alignment horizontal="center" vertical="center"/>
    </xf>
    <xf numFmtId="0" fontId="27" fillId="10" borderId="149" xfId="55" applyFont="1" applyFill="1" applyBorder="1" applyAlignment="1">
      <alignment horizontal="center" vertical="center"/>
    </xf>
    <xf numFmtId="0" fontId="27" fillId="10" borderId="110" xfId="55" applyFont="1" applyFill="1" applyBorder="1" applyAlignment="1">
      <alignment horizontal="center" vertical="center"/>
    </xf>
    <xf numFmtId="0" fontId="85" fillId="10" borderId="178" xfId="55" applyFont="1" applyFill="1" applyBorder="1" applyAlignment="1">
      <alignment horizontal="center" vertical="center"/>
    </xf>
    <xf numFmtId="0" fontId="85" fillId="10" borderId="179" xfId="55" applyFont="1" applyFill="1" applyBorder="1" applyAlignment="1">
      <alignment horizontal="center" vertical="center"/>
    </xf>
    <xf numFmtId="0" fontId="85" fillId="10" borderId="180" xfId="55" applyFont="1" applyFill="1" applyBorder="1" applyAlignment="1">
      <alignment horizontal="center" vertical="center"/>
    </xf>
    <xf numFmtId="0" fontId="27" fillId="10" borderId="89" xfId="55" applyFont="1" applyFill="1" applyBorder="1" applyAlignment="1">
      <alignment horizontal="center" vertical="center" wrapText="1"/>
    </xf>
    <xf numFmtId="0" fontId="27" fillId="10" borderId="76" xfId="55" applyFont="1" applyFill="1" applyBorder="1" applyAlignment="1">
      <alignment horizontal="center" vertical="center" wrapText="1"/>
    </xf>
    <xf numFmtId="0" fontId="86" fillId="10" borderId="61" xfId="55" applyFont="1" applyFill="1" applyBorder="1" applyAlignment="1">
      <alignment horizontal="center" vertical="center"/>
    </xf>
    <xf numFmtId="0" fontId="86" fillId="10" borderId="174" xfId="55" applyFont="1" applyFill="1" applyBorder="1" applyAlignment="1">
      <alignment horizontal="center" vertical="center"/>
    </xf>
    <xf numFmtId="0" fontId="27" fillId="10" borderId="90" xfId="55" applyFont="1" applyFill="1" applyBorder="1" applyAlignment="1">
      <alignment horizontal="center" vertical="center" wrapText="1"/>
    </xf>
    <xf numFmtId="0" fontId="27" fillId="10" borderId="67" xfId="55" applyFont="1" applyFill="1" applyBorder="1" applyAlignment="1">
      <alignment horizontal="center" vertical="center" wrapText="1"/>
    </xf>
    <xf numFmtId="0" fontId="87" fillId="10" borderId="185" xfId="55" applyFont="1" applyFill="1" applyBorder="1" applyAlignment="1">
      <alignment horizontal="center" vertical="center"/>
    </xf>
    <xf numFmtId="0" fontId="87" fillId="10" borderId="60" xfId="55" applyFont="1" applyFill="1" applyBorder="1" applyAlignment="1">
      <alignment horizontal="center" vertical="center"/>
    </xf>
    <xf numFmtId="0" fontId="87" fillId="10" borderId="196" xfId="55" applyFont="1" applyFill="1" applyBorder="1" applyAlignment="1">
      <alignment horizontal="center" vertical="center"/>
    </xf>
    <xf numFmtId="0" fontId="87" fillId="10" borderId="197" xfId="55" applyFont="1" applyFill="1" applyBorder="1" applyAlignment="1">
      <alignment horizontal="center" vertical="center"/>
    </xf>
    <xf numFmtId="0" fontId="87" fillId="10" borderId="145" xfId="55" applyFont="1" applyFill="1" applyBorder="1" applyAlignment="1">
      <alignment horizontal="center" vertical="center"/>
    </xf>
    <xf numFmtId="0" fontId="87" fillId="10" borderId="171" xfId="55" applyFont="1" applyFill="1" applyBorder="1" applyAlignment="1">
      <alignment horizontal="center" vertical="center"/>
    </xf>
    <xf numFmtId="0" fontId="87" fillId="10" borderId="200" xfId="55" applyFont="1" applyFill="1" applyBorder="1" applyAlignment="1">
      <alignment horizontal="center" vertical="center"/>
    </xf>
    <xf numFmtId="0" fontId="85" fillId="10" borderId="178" xfId="55" applyFont="1" applyFill="1" applyBorder="1" applyAlignment="1">
      <alignment horizontal="center"/>
    </xf>
    <xf numFmtId="0" fontId="85" fillId="10" borderId="179" xfId="55" applyFont="1" applyFill="1" applyBorder="1" applyAlignment="1">
      <alignment horizontal="center"/>
    </xf>
    <xf numFmtId="0" fontId="85" fillId="10" borderId="180" xfId="55" applyFont="1" applyFill="1" applyBorder="1" applyAlignment="1">
      <alignment horizontal="center"/>
    </xf>
    <xf numFmtId="0" fontId="87" fillId="10" borderId="68" xfId="55" applyFont="1" applyFill="1" applyBorder="1" applyAlignment="1">
      <alignment horizontal="center" vertical="center"/>
    </xf>
    <xf numFmtId="0" fontId="87" fillId="10" borderId="201" xfId="55" applyFont="1" applyFill="1" applyBorder="1" applyAlignment="1">
      <alignment horizontal="center" vertical="center"/>
    </xf>
    <xf numFmtId="0" fontId="87" fillId="10" borderId="199" xfId="55" applyFont="1" applyFill="1" applyBorder="1" applyAlignment="1">
      <alignment horizontal="center" vertical="center" wrapText="1"/>
    </xf>
    <xf numFmtId="0" fontId="87" fillId="10" borderId="200" xfId="55" applyFont="1" applyFill="1" applyBorder="1" applyAlignment="1">
      <alignment horizontal="center" vertical="center" wrapText="1"/>
    </xf>
    <xf numFmtId="0" fontId="65" fillId="4" borderId="178" xfId="0" applyFont="1" applyFill="1" applyBorder="1" applyAlignment="1">
      <alignment horizontal="center" vertical="center"/>
    </xf>
    <xf numFmtId="0" fontId="65" fillId="4" borderId="179" xfId="0" applyFont="1" applyFill="1" applyBorder="1" applyAlignment="1">
      <alignment horizontal="center" vertical="center"/>
    </xf>
    <xf numFmtId="0" fontId="65" fillId="4" borderId="180" xfId="0" applyFont="1" applyFill="1" applyBorder="1" applyAlignment="1">
      <alignment horizontal="center" vertical="center"/>
    </xf>
  </cellXfs>
  <cellStyles count="75">
    <cellStyle name="Hiperlink 2" xfId="51" xr:uid="{00000000-0005-0000-0000-000000000000}"/>
    <cellStyle name="Hiperlink 3" xfId="52" xr:uid="{00000000-0005-0000-0000-000001000000}"/>
    <cellStyle name="Moeda 13" xfId="25" xr:uid="{00000000-0005-0000-0000-000003000000}"/>
    <cellStyle name="Moeda 13 2" xfId="34" xr:uid="{00000000-0005-0000-0000-000004000000}"/>
    <cellStyle name="Moeda 2" xfId="3" xr:uid="{00000000-0005-0000-0000-000005000000}"/>
    <cellStyle name="Moeda 2 2" xfId="41" xr:uid="{00000000-0005-0000-0000-000006000000}"/>
    <cellStyle name="Moeda 3" xfId="5" xr:uid="{00000000-0005-0000-0000-000007000000}"/>
    <cellStyle name="Moeda 3 2" xfId="42" xr:uid="{00000000-0005-0000-0000-000008000000}"/>
    <cellStyle name="Moeda 4" xfId="18" xr:uid="{00000000-0005-0000-0000-000009000000}"/>
    <cellStyle name="Moeda 4 2" xfId="38" xr:uid="{00000000-0005-0000-0000-00000A000000}"/>
    <cellStyle name="Moeda 5" xfId="54" xr:uid="{00000000-0005-0000-0000-00000B000000}"/>
    <cellStyle name="Moeda 8" xfId="14" xr:uid="{00000000-0005-0000-0000-00000C000000}"/>
    <cellStyle name="Moeda 9" xfId="28" xr:uid="{00000000-0005-0000-0000-00000D000000}"/>
    <cellStyle name="Normal" xfId="0" builtinId="0"/>
    <cellStyle name="Normal 10" xfId="7" xr:uid="{00000000-0005-0000-0000-00000F000000}"/>
    <cellStyle name="Normal 11 2" xfId="60" xr:uid="{00000000-0005-0000-0000-000010000000}"/>
    <cellStyle name="Normal 12" xfId="67" xr:uid="{00000000-0005-0000-0000-000011000000}"/>
    <cellStyle name="Normal 14" xfId="45" xr:uid="{00000000-0005-0000-0000-000012000000}"/>
    <cellStyle name="Normal 16" xfId="47" xr:uid="{00000000-0005-0000-0000-000013000000}"/>
    <cellStyle name="Normal 17 2" xfId="10" xr:uid="{00000000-0005-0000-0000-000014000000}"/>
    <cellStyle name="Normal 2" xfId="2" xr:uid="{00000000-0005-0000-0000-000015000000}"/>
    <cellStyle name="Normal 2 2" xfId="40" xr:uid="{00000000-0005-0000-0000-000016000000}"/>
    <cellStyle name="Normal 2 2 2 2" xfId="11" xr:uid="{00000000-0005-0000-0000-000017000000}"/>
    <cellStyle name="Normal 2 4" xfId="27" xr:uid="{00000000-0005-0000-0000-000018000000}"/>
    <cellStyle name="Normal 27" xfId="43" xr:uid="{00000000-0005-0000-0000-000019000000}"/>
    <cellStyle name="Normal 28" xfId="29" xr:uid="{00000000-0005-0000-0000-00001A000000}"/>
    <cellStyle name="Normal 3" xfId="20" xr:uid="{00000000-0005-0000-0000-00001B000000}"/>
    <cellStyle name="Normal 3 2" xfId="30" xr:uid="{00000000-0005-0000-0000-00001C000000}"/>
    <cellStyle name="Normal 30" xfId="23" xr:uid="{00000000-0005-0000-0000-00001D000000}"/>
    <cellStyle name="Normal 30 2" xfId="32" xr:uid="{00000000-0005-0000-0000-00001E000000}"/>
    <cellStyle name="Normal 4" xfId="21" xr:uid="{00000000-0005-0000-0000-00001F000000}"/>
    <cellStyle name="Normal 4 2" xfId="6" xr:uid="{00000000-0005-0000-0000-000020000000}"/>
    <cellStyle name="Normal 4 3" xfId="35" xr:uid="{00000000-0005-0000-0000-000021000000}"/>
    <cellStyle name="Normal 5" xfId="55" xr:uid="{00000000-0005-0000-0000-000022000000}"/>
    <cellStyle name="Normal 6" xfId="59" xr:uid="{00000000-0005-0000-0000-000023000000}"/>
    <cellStyle name="Normal 7" xfId="4" xr:uid="{00000000-0005-0000-0000-000024000000}"/>
    <cellStyle name="Normal 7 2" xfId="16" xr:uid="{00000000-0005-0000-0000-000025000000}"/>
    <cellStyle name="Normal 7 2 2" xfId="37" xr:uid="{00000000-0005-0000-0000-000026000000}"/>
    <cellStyle name="Normal 8" xfId="57" xr:uid="{00000000-0005-0000-0000-000027000000}"/>
    <cellStyle name="Normal 8 4" xfId="69" xr:uid="{00000000-0005-0000-0000-000028000000}"/>
    <cellStyle name="Normal 9" xfId="72" xr:uid="{00000000-0005-0000-0000-000029000000}"/>
    <cellStyle name="Normal 9 2" xfId="48" xr:uid="{00000000-0005-0000-0000-00002A000000}"/>
    <cellStyle name="Normal_00_Classes" xfId="64" xr:uid="{00000000-0005-0000-0000-00002B000000}"/>
    <cellStyle name="Normal_LD_01_estruturas" xfId="66" xr:uid="{00000000-0005-0000-0000-00002C000000}"/>
    <cellStyle name="Normal_LD_estrutura_arm_escadas" xfId="63" xr:uid="{00000000-0005-0000-0000-00002D000000}"/>
    <cellStyle name="Porcentagem" xfId="74" builtinId="5"/>
    <cellStyle name="Porcentagem 2" xfId="70" xr:uid="{00000000-0005-0000-0000-00002F000000}"/>
    <cellStyle name="Porcentagem 3" xfId="62" xr:uid="{00000000-0005-0000-0000-000030000000}"/>
    <cellStyle name="Porcentagem 4" xfId="71" xr:uid="{00000000-0005-0000-0000-000031000000}"/>
    <cellStyle name="Separador de milhares 2 2 2 5" xfId="15" xr:uid="{00000000-0005-0000-0000-000032000000}"/>
    <cellStyle name="Separador de milhares 4" xfId="61" xr:uid="{00000000-0005-0000-0000-000033000000}"/>
    <cellStyle name="Vírgula" xfId="1" builtinId="3"/>
    <cellStyle name="Vírgula 10" xfId="49" xr:uid="{00000000-0005-0000-0000-000035000000}"/>
    <cellStyle name="Vírgula 11" xfId="73" xr:uid="{00000000-0005-0000-0000-000036000000}"/>
    <cellStyle name="Vírgula 12" xfId="13" xr:uid="{00000000-0005-0000-0000-000037000000}"/>
    <cellStyle name="Vírgula 12 2" xfId="12" xr:uid="{00000000-0005-0000-0000-000038000000}"/>
    <cellStyle name="Vírgula 2" xfId="17" xr:uid="{00000000-0005-0000-0000-000039000000}"/>
    <cellStyle name="Vírgula 2 2" xfId="26" xr:uid="{00000000-0005-0000-0000-00003A000000}"/>
    <cellStyle name="Vírgula 2 3" xfId="39" xr:uid="{00000000-0005-0000-0000-00003B000000}"/>
    <cellStyle name="Vírgula 20" xfId="50" xr:uid="{00000000-0005-0000-0000-00003C000000}"/>
    <cellStyle name="Vírgula 23" xfId="44" xr:uid="{00000000-0005-0000-0000-00003D000000}"/>
    <cellStyle name="Vírgula 24" xfId="24" xr:uid="{00000000-0005-0000-0000-00003E000000}"/>
    <cellStyle name="Vírgula 24 2" xfId="33" xr:uid="{00000000-0005-0000-0000-00003F000000}"/>
    <cellStyle name="Vírgula 3" xfId="19" xr:uid="{00000000-0005-0000-0000-000040000000}"/>
    <cellStyle name="Vírgula 3 2" xfId="8" xr:uid="{00000000-0005-0000-0000-000041000000}"/>
    <cellStyle name="Vírgula 3 3" xfId="31" xr:uid="{00000000-0005-0000-0000-000042000000}"/>
    <cellStyle name="Vírgula 4" xfId="22" xr:uid="{00000000-0005-0000-0000-000043000000}"/>
    <cellStyle name="Vírgula 4 2" xfId="36" xr:uid="{00000000-0005-0000-0000-000044000000}"/>
    <cellStyle name="Vírgula 5" xfId="53" xr:uid="{00000000-0005-0000-0000-000045000000}"/>
    <cellStyle name="Vírgula 6" xfId="56" xr:uid="{00000000-0005-0000-0000-000046000000}"/>
    <cellStyle name="Vírgula 7" xfId="65" xr:uid="{00000000-0005-0000-0000-000047000000}"/>
    <cellStyle name="Vírgula 7 2" xfId="9" xr:uid="{00000000-0005-0000-0000-000048000000}"/>
    <cellStyle name="Vírgula 8" xfId="58" xr:uid="{00000000-0005-0000-0000-000049000000}"/>
    <cellStyle name="Vírgula 8 5" xfId="68" xr:uid="{00000000-0005-0000-0000-00004A000000}"/>
    <cellStyle name="Vírgula 9" xfId="46" xr:uid="{00000000-0005-0000-0000-00004B000000}"/>
  </cellStyles>
  <dxfs count="4470">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auto="1"/>
      </font>
      <fill>
        <patternFill>
          <bgColor theme="0" tint="-0.499984740745262"/>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theme="0"/>
      </font>
      <fill>
        <patternFill>
          <bgColor theme="1" tint="0.24994659260841701"/>
        </patternFill>
      </fill>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499984740745262"/>
        </patternFill>
      </fill>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color theme="0"/>
      </font>
      <fill>
        <patternFill>
          <bgColor rgb="FFF43800"/>
        </patternFill>
      </fill>
    </dxf>
    <dxf>
      <font>
        <b/>
        <i val="0"/>
        <color auto="1"/>
      </font>
      <fill>
        <patternFill>
          <bgColor theme="0" tint="-0.14996795556505021"/>
        </patternFill>
      </fill>
    </dxf>
    <dxf>
      <font>
        <b/>
        <i val="0"/>
        <color theme="0"/>
      </font>
      <fill>
        <patternFill>
          <bgColor theme="1" tint="0.24994659260841701"/>
        </patternFill>
      </fill>
    </dxf>
    <dxf>
      <font>
        <color theme="0"/>
      </font>
      <fill>
        <patternFill>
          <bgColor rgb="FFF43800"/>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theme="1" tint="0.24994659260841701"/>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theme="1" tint="0.24994659260841701"/>
        </patternFill>
      </fill>
    </dxf>
    <dxf>
      <font>
        <b/>
        <i val="0"/>
        <color auto="1"/>
      </font>
      <fill>
        <patternFill>
          <bgColor theme="0" tint="-0.14996795556505021"/>
        </patternFill>
      </fill>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1851D6"/>
        </patternFill>
      </fill>
    </dxf>
    <dxf>
      <font>
        <color theme="0"/>
      </font>
      <fill>
        <patternFill>
          <bgColor rgb="FF1851D6"/>
        </patternFill>
      </fill>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F43800"/>
        </patternFill>
      </fill>
      <border>
        <left style="thin">
          <color theme="0" tint="-0.499984740745262"/>
        </left>
        <right style="thin">
          <color theme="0" tint="-0.499984740745262"/>
        </right>
        <top style="thin">
          <color theme="0" tint="-0.499984740745262"/>
        </top>
        <bottom style="thin">
          <color theme="0" tint="-0.499984740745262"/>
        </bottom>
      </border>
    </dxf>
    <dxf>
      <font>
        <b/>
        <i val="0"/>
        <color theme="0"/>
      </font>
      <fill>
        <patternFill>
          <bgColor rgb="FF1851D6"/>
        </patternFill>
      </fill>
      <border>
        <left style="thin">
          <color theme="0" tint="-0.499984740745262"/>
        </left>
        <right style="thin">
          <color theme="0" tint="-0.499984740745262"/>
        </right>
        <top style="thin">
          <color theme="0" tint="-0.499984740745262"/>
        </top>
        <bottom style="thin">
          <color theme="0" tint="-0.499984740745262"/>
        </bottom>
      </border>
    </dxf>
    <dxf>
      <font>
        <color theme="0"/>
      </font>
      <fill>
        <patternFill>
          <bgColor rgb="FFF43800"/>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s>
  <tableStyles count="0" defaultTableStyle="TableStyleMedium2" defaultPivotStyle="PivotStyleLight16"/>
  <colors>
    <mruColors>
      <color rgb="FF3333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sumo!A1"/><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20.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2.png"/><Relationship Id="rId2" Type="http://schemas.microsoft.com/office/2007/relationships/hdphoto" Target="../media/hdphoto1.wdp"/><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image" Target="../media/image23.jp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8</xdr:col>
      <xdr:colOff>297466</xdr:colOff>
      <xdr:row>0</xdr:row>
      <xdr:rowOff>141977</xdr:rowOff>
    </xdr:from>
    <xdr:to>
      <xdr:col>9</xdr:col>
      <xdr:colOff>429588</xdr:colOff>
      <xdr:row>1</xdr:row>
      <xdr:rowOff>174126</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00EB1406-299E-4A18-A973-18759329B207}"/>
            </a:ext>
          </a:extLst>
        </xdr:cNvPr>
        <xdr:cNvSpPr/>
      </xdr:nvSpPr>
      <xdr:spPr>
        <a:xfrm>
          <a:off x="12489466" y="141977"/>
          <a:ext cx="932222" cy="222649"/>
        </a:xfrm>
        <a:prstGeom prst="roundRect">
          <a:avLst/>
        </a:prstGeom>
        <a:solidFill>
          <a:srgbClr val="F438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0">
              <a:ln w="0"/>
              <a:solidFill>
                <a:schemeClr val="bg1"/>
              </a:solidFill>
              <a:effectLst>
                <a:outerShdw blurRad="38100" dist="19050" dir="2700000" algn="tl" rotWithShape="0">
                  <a:schemeClr val="dk1">
                    <a:alpha val="40000"/>
                  </a:schemeClr>
                </a:outerShdw>
              </a:effectLst>
            </a:rPr>
            <a:t>RESUMO</a:t>
          </a:r>
        </a:p>
      </xdr:txBody>
    </xdr:sp>
    <xdr:clientData/>
  </xdr:twoCellAnchor>
  <xdr:twoCellAnchor editAs="oneCell">
    <xdr:from>
      <xdr:col>0</xdr:col>
      <xdr:colOff>254342</xdr:colOff>
      <xdr:row>0</xdr:row>
      <xdr:rowOff>56842</xdr:rowOff>
    </xdr:from>
    <xdr:to>
      <xdr:col>1</xdr:col>
      <xdr:colOff>1876785</xdr:colOff>
      <xdr:row>1</xdr:row>
      <xdr:rowOff>186171</xdr:rowOff>
    </xdr:to>
    <xdr:pic>
      <xdr:nvPicPr>
        <xdr:cNvPr id="3" name="image3.png">
          <a:extLst>
            <a:ext uri="{FF2B5EF4-FFF2-40B4-BE49-F238E27FC236}">
              <a16:creationId xmlns:a16="http://schemas.microsoft.com/office/drawing/2014/main" id="{D82B435E-E78A-45C7-81AA-4B2980790A5F}"/>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254342" y="56842"/>
          <a:ext cx="1877502" cy="319829"/>
        </a:xfrm>
        <a:prstGeom prst="rect">
          <a:avLst/>
        </a:prstGeom>
        <a:ln/>
      </xdr:spPr>
    </xdr:pic>
    <xdr:clientData/>
  </xdr:twoCellAnchor>
  <xdr:twoCellAnchor editAs="oneCell">
    <xdr:from>
      <xdr:col>7</xdr:col>
      <xdr:colOff>117534</xdr:colOff>
      <xdr:row>41</xdr:row>
      <xdr:rowOff>52002</xdr:rowOff>
    </xdr:from>
    <xdr:to>
      <xdr:col>9</xdr:col>
      <xdr:colOff>244092</xdr:colOff>
      <xdr:row>52</xdr:row>
      <xdr:rowOff>127142</xdr:rowOff>
    </xdr:to>
    <xdr:pic>
      <xdr:nvPicPr>
        <xdr:cNvPr id="4" name="Imagem 3">
          <a:extLst>
            <a:ext uri="{FF2B5EF4-FFF2-40B4-BE49-F238E27FC236}">
              <a16:creationId xmlns:a16="http://schemas.microsoft.com/office/drawing/2014/main" id="{579716C9-E727-4D0C-A10B-CD3A31F746A1}"/>
            </a:ext>
          </a:extLst>
        </xdr:cNvPr>
        <xdr:cNvPicPr>
          <a:picLocks noChangeAspect="1"/>
        </xdr:cNvPicPr>
      </xdr:nvPicPr>
      <xdr:blipFill>
        <a:blip xmlns:r="http://schemas.openxmlformats.org/officeDocument/2006/relationships" r:embed="rId4"/>
        <a:stretch>
          <a:fillRect/>
        </a:stretch>
      </xdr:blipFill>
      <xdr:spPr>
        <a:xfrm>
          <a:off x="9949451" y="6941752"/>
          <a:ext cx="3693141" cy="182139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6</xdr:col>
      <xdr:colOff>106321</xdr:colOff>
      <xdr:row>32</xdr:row>
      <xdr:rowOff>28283</xdr:rowOff>
    </xdr:from>
    <xdr:to>
      <xdr:col>6</xdr:col>
      <xdr:colOff>2741084</xdr:colOff>
      <xdr:row>53</xdr:row>
      <xdr:rowOff>6951</xdr:rowOff>
    </xdr:to>
    <xdr:pic>
      <xdr:nvPicPr>
        <xdr:cNvPr id="5" name="Imagem 4">
          <a:extLst>
            <a:ext uri="{FF2B5EF4-FFF2-40B4-BE49-F238E27FC236}">
              <a16:creationId xmlns:a16="http://schemas.microsoft.com/office/drawing/2014/main" id="{A068C4E7-D1E6-47B9-B440-4B5AD958E2E4}"/>
            </a:ext>
          </a:extLst>
        </xdr:cNvPr>
        <xdr:cNvPicPr>
          <a:picLocks noChangeAspect="1"/>
        </xdr:cNvPicPr>
      </xdr:nvPicPr>
      <xdr:blipFill>
        <a:blip xmlns:r="http://schemas.openxmlformats.org/officeDocument/2006/relationships" r:embed="rId5"/>
        <a:stretch>
          <a:fillRect/>
        </a:stretch>
      </xdr:blipFill>
      <xdr:spPr>
        <a:xfrm>
          <a:off x="7175988" y="5489283"/>
          <a:ext cx="2634763" cy="331241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6</xdr:col>
      <xdr:colOff>1651000</xdr:colOff>
      <xdr:row>6</xdr:row>
      <xdr:rowOff>95241</xdr:rowOff>
    </xdr:from>
    <xdr:to>
      <xdr:col>7</xdr:col>
      <xdr:colOff>2328333</xdr:colOff>
      <xdr:row>29</xdr:row>
      <xdr:rowOff>159527</xdr:rowOff>
    </xdr:to>
    <xdr:pic>
      <xdr:nvPicPr>
        <xdr:cNvPr id="8" name="Imagem 7">
          <a:extLst>
            <a:ext uri="{FF2B5EF4-FFF2-40B4-BE49-F238E27FC236}">
              <a16:creationId xmlns:a16="http://schemas.microsoft.com/office/drawing/2014/main" id="{BCCA8064-2075-43E7-B34C-59D03E0E51E3}"/>
            </a:ext>
          </a:extLst>
        </xdr:cNvPr>
        <xdr:cNvPicPr>
          <a:picLocks noChangeAspect="1"/>
        </xdr:cNvPicPr>
      </xdr:nvPicPr>
      <xdr:blipFill rotWithShape="1">
        <a:blip xmlns:r="http://schemas.openxmlformats.org/officeDocument/2006/relationships" r:embed="rId6"/>
        <a:srcRect t="13241"/>
        <a:stretch/>
      </xdr:blipFill>
      <xdr:spPr>
        <a:xfrm>
          <a:off x="8720667" y="1407574"/>
          <a:ext cx="3439583" cy="372612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45720</xdr:colOff>
      <xdr:row>1</xdr:row>
      <xdr:rowOff>32385</xdr:rowOff>
    </xdr:from>
    <xdr:to>
      <xdr:col>15</xdr:col>
      <xdr:colOff>830580</xdr:colOff>
      <xdr:row>2</xdr:row>
      <xdr:rowOff>99060</xdr:rowOff>
    </xdr:to>
    <xdr:sp macro="" textlink="">
      <xdr:nvSpPr>
        <xdr:cNvPr id="6" name="Rectangle 13">
          <a:extLst>
            <a:ext uri="{FF2B5EF4-FFF2-40B4-BE49-F238E27FC236}">
              <a16:creationId xmlns:a16="http://schemas.microsoft.com/office/drawing/2014/main" id="{EA1B3E02-6CD9-4A45-8CAE-A8BC11CFBA65}"/>
            </a:ext>
          </a:extLst>
        </xdr:cNvPr>
        <xdr:cNvSpPr>
          <a:spLocks noChangeArrowheads="1"/>
        </xdr:cNvSpPr>
      </xdr:nvSpPr>
      <xdr:spPr bwMode="auto">
        <a:xfrm>
          <a:off x="1588770" y="118110"/>
          <a:ext cx="11062335" cy="285750"/>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chemeClr val="tx1">
                  <a:lumMod val="85000"/>
                  <a:lumOff val="15000"/>
                </a:schemeClr>
              </a:solidFill>
              <a:latin typeface="+mn-lt"/>
              <a:ea typeface="Tahoma"/>
              <a:cs typeface="Tahoma"/>
            </a:rPr>
            <a:t>PLANILHA DE ORÇAMENTO</a:t>
          </a:r>
        </a:p>
      </xdr:txBody>
    </xdr:sp>
    <xdr:clientData/>
  </xdr:twoCellAnchor>
  <xdr:oneCellAnchor>
    <xdr:from>
      <xdr:col>6</xdr:col>
      <xdr:colOff>45720</xdr:colOff>
      <xdr:row>1</xdr:row>
      <xdr:rowOff>91440</xdr:rowOff>
    </xdr:from>
    <xdr:ext cx="1579880" cy="276225"/>
    <xdr:pic>
      <xdr:nvPicPr>
        <xdr:cNvPr id="7" name="image3.png">
          <a:extLst>
            <a:ext uri="{FF2B5EF4-FFF2-40B4-BE49-F238E27FC236}">
              <a16:creationId xmlns:a16="http://schemas.microsoft.com/office/drawing/2014/main" id="{D67C570A-EC91-4CCC-A22B-E32059152F78}"/>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588770" y="177165"/>
          <a:ext cx="1579880" cy="276225"/>
        </a:xfrm>
        <a:prstGeom prst="rect">
          <a:avLst/>
        </a:prstGeom>
        <a:ln/>
      </xdr:spPr>
    </xdr:pic>
    <xdr:clientData/>
  </xdr:oneCellAnchor>
  <xdr:twoCellAnchor>
    <xdr:from>
      <xdr:col>9</xdr:col>
      <xdr:colOff>419100</xdr:colOff>
      <xdr:row>1</xdr:row>
      <xdr:rowOff>0</xdr:rowOff>
    </xdr:from>
    <xdr:to>
      <xdr:col>9</xdr:col>
      <xdr:colOff>419100</xdr:colOff>
      <xdr:row>2</xdr:row>
      <xdr:rowOff>228600</xdr:rowOff>
    </xdr:to>
    <xdr:cxnSp macro="">
      <xdr:nvCxnSpPr>
        <xdr:cNvPr id="8" name="Conector reto 7">
          <a:extLst>
            <a:ext uri="{FF2B5EF4-FFF2-40B4-BE49-F238E27FC236}">
              <a16:creationId xmlns:a16="http://schemas.microsoft.com/office/drawing/2014/main" id="{680A8EB4-C7F1-44E7-A82E-371BEFDC0BBB}"/>
            </a:ext>
          </a:extLst>
        </xdr:cNvPr>
        <xdr:cNvCxnSpPr/>
      </xdr:nvCxnSpPr>
      <xdr:spPr>
        <a:xfrm>
          <a:off x="3838575" y="85725"/>
          <a:ext cx="0" cy="4476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8283</xdr:colOff>
      <xdr:row>118</xdr:row>
      <xdr:rowOff>16565</xdr:rowOff>
    </xdr:from>
    <xdr:to>
      <xdr:col>10</xdr:col>
      <xdr:colOff>74544</xdr:colOff>
      <xdr:row>125</xdr:row>
      <xdr:rowOff>115957</xdr:rowOff>
    </xdr:to>
    <xdr:sp macro="" textlink="">
      <xdr:nvSpPr>
        <xdr:cNvPr id="2" name="CaixaDeTexto 1">
          <a:extLst>
            <a:ext uri="{FF2B5EF4-FFF2-40B4-BE49-F238E27FC236}">
              <a16:creationId xmlns:a16="http://schemas.microsoft.com/office/drawing/2014/main" id="{F0DD332C-E47F-4D09-8201-5106E860726E}"/>
            </a:ext>
          </a:extLst>
        </xdr:cNvPr>
        <xdr:cNvSpPr txBox="1"/>
      </xdr:nvSpPr>
      <xdr:spPr>
        <a:xfrm>
          <a:off x="2095500" y="21551348"/>
          <a:ext cx="3263348" cy="131693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Informado em Formulário que os demais custos de Equipamentos são de responsabilidade do empreiteiro.</a:t>
          </a:r>
        </a:p>
        <a:p>
          <a:endParaRPr lang="pt-BR" sz="1100"/>
        </a:p>
        <a:p>
          <a:r>
            <a:rPr lang="pt-BR" sz="1100"/>
            <a:t>Não Informado em Formulário se haverá rateio de custos da Cremalheira e Mini Grua, para ambos foi solicitado manutenção inicial e periódica.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83820</xdr:colOff>
      <xdr:row>1</xdr:row>
      <xdr:rowOff>32385</xdr:rowOff>
    </xdr:from>
    <xdr:to>
      <xdr:col>15</xdr:col>
      <xdr:colOff>868680</xdr:colOff>
      <xdr:row>2</xdr:row>
      <xdr:rowOff>99060</xdr:rowOff>
    </xdr:to>
    <xdr:sp macro="" textlink="">
      <xdr:nvSpPr>
        <xdr:cNvPr id="2" name="Rectangle 13">
          <a:extLst>
            <a:ext uri="{FF2B5EF4-FFF2-40B4-BE49-F238E27FC236}">
              <a16:creationId xmlns:a16="http://schemas.microsoft.com/office/drawing/2014/main" id="{292A300C-255A-4C4C-B6B4-B64DBF0276E5}"/>
            </a:ext>
          </a:extLst>
        </xdr:cNvPr>
        <xdr:cNvSpPr>
          <a:spLocks noChangeArrowheads="1"/>
        </xdr:cNvSpPr>
      </xdr:nvSpPr>
      <xdr:spPr bwMode="auto">
        <a:xfrm>
          <a:off x="293370" y="118110"/>
          <a:ext cx="13776960" cy="285750"/>
        </a:xfrm>
        <a:prstGeom prst="rect">
          <a:avLst/>
        </a:prstGeom>
        <a:noFill/>
        <a:ln>
          <a:noFill/>
        </a:ln>
      </xdr:spPr>
      <xdr:txBody>
        <a:bodyPr vertOverflow="clip" wrap="square" lIns="91440" tIns="45720" rIns="91440" bIns="45720" anchor="t"/>
        <a:lstStyle/>
        <a:p>
          <a:pPr algn="ctr" rtl="0">
            <a:defRPr sz="1000"/>
          </a:pPr>
          <a:r>
            <a:rPr lang="pt-BR" sz="1800" b="1" i="0" u="none" strike="noStrike" baseline="0">
              <a:solidFill>
                <a:schemeClr val="tx1">
                  <a:lumMod val="85000"/>
                  <a:lumOff val="15000"/>
                </a:schemeClr>
              </a:solidFill>
              <a:latin typeface="+mn-lt"/>
              <a:ea typeface="Tahoma"/>
              <a:cs typeface="Tahoma"/>
            </a:rPr>
            <a:t>PLANILHA DE ORÇAMENTO</a:t>
          </a:r>
        </a:p>
      </xdr:txBody>
    </xdr:sp>
    <xdr:clientData/>
  </xdr:twoCellAnchor>
  <xdr:twoCellAnchor editAs="oneCell">
    <xdr:from>
      <xdr:col>6</xdr:col>
      <xdr:colOff>45720</xdr:colOff>
      <xdr:row>1</xdr:row>
      <xdr:rowOff>91440</xdr:rowOff>
    </xdr:from>
    <xdr:to>
      <xdr:col>8</xdr:col>
      <xdr:colOff>568325</xdr:colOff>
      <xdr:row>2</xdr:row>
      <xdr:rowOff>148590</xdr:rowOff>
    </xdr:to>
    <xdr:pic>
      <xdr:nvPicPr>
        <xdr:cNvPr id="3" name="image3.png">
          <a:extLst>
            <a:ext uri="{FF2B5EF4-FFF2-40B4-BE49-F238E27FC236}">
              <a16:creationId xmlns:a16="http://schemas.microsoft.com/office/drawing/2014/main" id="{9CF68689-B60A-4D33-B544-9E6B5BD8AD0F}"/>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255270" y="177165"/>
          <a:ext cx="1579880" cy="276225"/>
        </a:xfrm>
        <a:prstGeom prst="rect">
          <a:avLst/>
        </a:prstGeom>
        <a:ln/>
      </xdr:spPr>
    </xdr:pic>
    <xdr:clientData/>
  </xdr:twoCellAnchor>
  <xdr:twoCellAnchor>
    <xdr:from>
      <xdr:col>9</xdr:col>
      <xdr:colOff>419100</xdr:colOff>
      <xdr:row>1</xdr:row>
      <xdr:rowOff>0</xdr:rowOff>
    </xdr:from>
    <xdr:to>
      <xdr:col>9</xdr:col>
      <xdr:colOff>419100</xdr:colOff>
      <xdr:row>2</xdr:row>
      <xdr:rowOff>228600</xdr:rowOff>
    </xdr:to>
    <xdr:cxnSp macro="">
      <xdr:nvCxnSpPr>
        <xdr:cNvPr id="6" name="Conector reto 5">
          <a:extLst>
            <a:ext uri="{FF2B5EF4-FFF2-40B4-BE49-F238E27FC236}">
              <a16:creationId xmlns:a16="http://schemas.microsoft.com/office/drawing/2014/main" id="{EF0619D9-2559-4A5D-AE86-86AEA4AE5A92}"/>
            </a:ext>
          </a:extLst>
        </xdr:cNvPr>
        <xdr:cNvCxnSpPr/>
      </xdr:nvCxnSpPr>
      <xdr:spPr>
        <a:xfrm>
          <a:off x="2505075" y="85725"/>
          <a:ext cx="0" cy="4476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369336</xdr:colOff>
      <xdr:row>1</xdr:row>
      <xdr:rowOff>29160</xdr:rowOff>
    </xdr:from>
    <xdr:to>
      <xdr:col>13</xdr:col>
      <xdr:colOff>572191</xdr:colOff>
      <xdr:row>4</xdr:row>
      <xdr:rowOff>174950</xdr:rowOff>
    </xdr:to>
    <xdr:pic>
      <xdr:nvPicPr>
        <xdr:cNvPr id="8" name="Imagem 7">
          <a:extLst>
            <a:ext uri="{FF2B5EF4-FFF2-40B4-BE49-F238E27FC236}">
              <a16:creationId xmlns:a16="http://schemas.microsoft.com/office/drawing/2014/main" id="{155F17D0-F251-419F-8CC7-F15572A83E1D}"/>
            </a:ext>
          </a:extLst>
        </xdr:cNvPr>
        <xdr:cNvPicPr>
          <a:picLocks noChangeAspect="1"/>
        </xdr:cNvPicPr>
      </xdr:nvPicPr>
      <xdr:blipFill>
        <a:blip xmlns:r="http://schemas.openxmlformats.org/officeDocument/2006/relationships" r:embed="rId3"/>
        <a:stretch>
          <a:fillRect/>
        </a:stretch>
      </xdr:blipFill>
      <xdr:spPr>
        <a:xfrm>
          <a:off x="7027117" y="116634"/>
          <a:ext cx="2759054" cy="796989"/>
        </a:xfrm>
        <a:prstGeom prst="rect">
          <a:avLst/>
        </a:prstGeom>
        <a:ln w="12700">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219074</xdr:colOff>
      <xdr:row>0</xdr:row>
      <xdr:rowOff>133350</xdr:rowOff>
    </xdr:from>
    <xdr:ext cx="1933575" cy="361950"/>
    <xdr:pic>
      <xdr:nvPicPr>
        <xdr:cNvPr id="21" name="image4.png">
          <a:extLst>
            <a:ext uri="{FF2B5EF4-FFF2-40B4-BE49-F238E27FC236}">
              <a16:creationId xmlns:a16="http://schemas.microsoft.com/office/drawing/2014/main" id="{11C7712F-627A-45E4-97CB-8CC2C32A7678}"/>
            </a:ext>
          </a:extLst>
        </xdr:cNvPr>
        <xdr:cNvPicPr preferRelativeResize="0"/>
      </xdr:nvPicPr>
      <xdr:blipFill>
        <a:blip xmlns:r="http://schemas.openxmlformats.org/officeDocument/2006/relationships" r:embed="rId1" cstate="print"/>
        <a:stretch>
          <a:fillRect/>
        </a:stretch>
      </xdr:blipFill>
      <xdr:spPr>
        <a:xfrm>
          <a:off x="8905874" y="133350"/>
          <a:ext cx="1933575" cy="361950"/>
        </a:xfrm>
        <a:prstGeom prst="rect">
          <a:avLst/>
        </a:prstGeom>
        <a:noFill/>
      </xdr:spPr>
    </xdr:pic>
    <xdr:clientData fLocksWithSheet="0"/>
  </xdr:oneCellAnchor>
  <xdr:twoCellAnchor editAs="oneCell">
    <xdr:from>
      <xdr:col>5</xdr:col>
      <xdr:colOff>72013</xdr:colOff>
      <xdr:row>7</xdr:row>
      <xdr:rowOff>47625</xdr:rowOff>
    </xdr:from>
    <xdr:to>
      <xdr:col>6</xdr:col>
      <xdr:colOff>487615</xdr:colOff>
      <xdr:row>12</xdr:row>
      <xdr:rowOff>19050</xdr:rowOff>
    </xdr:to>
    <xdr:pic>
      <xdr:nvPicPr>
        <xdr:cNvPr id="2" name="Imagem 1">
          <a:extLst>
            <a:ext uri="{FF2B5EF4-FFF2-40B4-BE49-F238E27FC236}">
              <a16:creationId xmlns:a16="http://schemas.microsoft.com/office/drawing/2014/main" id="{DD11974D-F1AE-4E66-BDEE-92BB8364E118}"/>
            </a:ext>
          </a:extLst>
        </xdr:cNvPr>
        <xdr:cNvPicPr>
          <a:picLocks noChangeAspect="1"/>
        </xdr:cNvPicPr>
      </xdr:nvPicPr>
      <xdr:blipFill>
        <a:blip xmlns:r="http://schemas.openxmlformats.org/officeDocument/2006/relationships" r:embed="rId2"/>
        <a:stretch>
          <a:fillRect/>
        </a:stretch>
      </xdr:blipFill>
      <xdr:spPr>
        <a:xfrm>
          <a:off x="8016984" y="1952625"/>
          <a:ext cx="1155190" cy="1372160"/>
        </a:xfrm>
        <a:prstGeom prst="rect">
          <a:avLst/>
        </a:prstGeom>
        <a:ln w="3175">
          <a:solidFill>
            <a:schemeClr val="tx1"/>
          </a:solidFill>
        </a:ln>
      </xdr:spPr>
    </xdr:pic>
    <xdr:clientData/>
  </xdr:twoCellAnchor>
  <xdr:twoCellAnchor editAs="oneCell">
    <xdr:from>
      <xdr:col>5</xdr:col>
      <xdr:colOff>542925</xdr:colOff>
      <xdr:row>16</xdr:row>
      <xdr:rowOff>38100</xdr:rowOff>
    </xdr:from>
    <xdr:to>
      <xdr:col>6</xdr:col>
      <xdr:colOff>1447800</xdr:colOff>
      <xdr:row>18</xdr:row>
      <xdr:rowOff>202323</xdr:rowOff>
    </xdr:to>
    <xdr:pic>
      <xdr:nvPicPr>
        <xdr:cNvPr id="3" name="Imagem 2">
          <a:extLst>
            <a:ext uri="{FF2B5EF4-FFF2-40B4-BE49-F238E27FC236}">
              <a16:creationId xmlns:a16="http://schemas.microsoft.com/office/drawing/2014/main" id="{DDE2C171-A05F-4D24-BAD2-0C00BD94FF4D}"/>
            </a:ext>
          </a:extLst>
        </xdr:cNvPr>
        <xdr:cNvPicPr>
          <a:picLocks noChangeAspect="1"/>
        </xdr:cNvPicPr>
      </xdr:nvPicPr>
      <xdr:blipFill>
        <a:blip xmlns:r="http://schemas.openxmlformats.org/officeDocument/2006/relationships" r:embed="rId3"/>
        <a:stretch>
          <a:fillRect/>
        </a:stretch>
      </xdr:blipFill>
      <xdr:spPr>
        <a:xfrm>
          <a:off x="8486775" y="4429125"/>
          <a:ext cx="1647825" cy="716673"/>
        </a:xfrm>
        <a:prstGeom prst="rect">
          <a:avLst/>
        </a:prstGeom>
        <a:ln w="3175">
          <a:solidFill>
            <a:schemeClr val="tx1"/>
          </a:solidFill>
        </a:ln>
      </xdr:spPr>
    </xdr:pic>
    <xdr:clientData/>
  </xdr:twoCellAnchor>
  <xdr:twoCellAnchor editAs="oneCell">
    <xdr:from>
      <xdr:col>5</xdr:col>
      <xdr:colOff>542925</xdr:colOff>
      <xdr:row>22</xdr:row>
      <xdr:rowOff>28576</xdr:rowOff>
    </xdr:from>
    <xdr:to>
      <xdr:col>6</xdr:col>
      <xdr:colOff>1657350</xdr:colOff>
      <xdr:row>25</xdr:row>
      <xdr:rowOff>215926</xdr:rowOff>
    </xdr:to>
    <xdr:pic>
      <xdr:nvPicPr>
        <xdr:cNvPr id="4" name="Imagem 3">
          <a:extLst>
            <a:ext uri="{FF2B5EF4-FFF2-40B4-BE49-F238E27FC236}">
              <a16:creationId xmlns:a16="http://schemas.microsoft.com/office/drawing/2014/main" id="{0ACB5EDB-ED64-4B41-B683-E456D9139F5C}"/>
            </a:ext>
          </a:extLst>
        </xdr:cNvPr>
        <xdr:cNvPicPr>
          <a:picLocks noChangeAspect="1"/>
        </xdr:cNvPicPr>
      </xdr:nvPicPr>
      <xdr:blipFill>
        <a:blip xmlns:r="http://schemas.openxmlformats.org/officeDocument/2006/relationships" r:embed="rId4"/>
        <a:stretch>
          <a:fillRect/>
        </a:stretch>
      </xdr:blipFill>
      <xdr:spPr>
        <a:xfrm>
          <a:off x="8486775" y="6076951"/>
          <a:ext cx="1857375" cy="1016025"/>
        </a:xfrm>
        <a:prstGeom prst="rect">
          <a:avLst/>
        </a:prstGeom>
        <a:ln w="3175">
          <a:solidFill>
            <a:schemeClr val="tx1"/>
          </a:solidFill>
        </a:ln>
      </xdr:spPr>
    </xdr:pic>
    <xdr:clientData/>
  </xdr:twoCellAnchor>
  <xdr:twoCellAnchor editAs="oneCell">
    <xdr:from>
      <xdr:col>5</xdr:col>
      <xdr:colOff>198344</xdr:colOff>
      <xdr:row>29</xdr:row>
      <xdr:rowOff>30255</xdr:rowOff>
    </xdr:from>
    <xdr:to>
      <xdr:col>6</xdr:col>
      <xdr:colOff>1920093</xdr:colOff>
      <xdr:row>36</xdr:row>
      <xdr:rowOff>220755</xdr:rowOff>
    </xdr:to>
    <xdr:pic>
      <xdr:nvPicPr>
        <xdr:cNvPr id="5" name="Imagem 4">
          <a:extLst>
            <a:ext uri="{FF2B5EF4-FFF2-40B4-BE49-F238E27FC236}">
              <a16:creationId xmlns:a16="http://schemas.microsoft.com/office/drawing/2014/main" id="{0010FD35-FCB2-4DE1-9EEC-F0171AFB77CF}"/>
            </a:ext>
          </a:extLst>
        </xdr:cNvPr>
        <xdr:cNvPicPr>
          <a:picLocks noChangeAspect="1"/>
        </xdr:cNvPicPr>
      </xdr:nvPicPr>
      <xdr:blipFill rotWithShape="1">
        <a:blip xmlns:r="http://schemas.openxmlformats.org/officeDocument/2006/relationships" r:embed="rId5"/>
        <a:srcRect r="23221"/>
        <a:stretch/>
      </xdr:blipFill>
      <xdr:spPr>
        <a:xfrm>
          <a:off x="8143315" y="8098490"/>
          <a:ext cx="2461337" cy="1311089"/>
        </a:xfrm>
        <a:prstGeom prst="rect">
          <a:avLst/>
        </a:prstGeom>
        <a:ln w="3175">
          <a:solidFill>
            <a:schemeClr val="tx1"/>
          </a:solidFill>
        </a:ln>
      </xdr:spPr>
    </xdr:pic>
    <xdr:clientData/>
  </xdr:twoCellAnchor>
  <xdr:twoCellAnchor editAs="oneCell">
    <xdr:from>
      <xdr:col>5</xdr:col>
      <xdr:colOff>666749</xdr:colOff>
      <xdr:row>46</xdr:row>
      <xdr:rowOff>38101</xdr:rowOff>
    </xdr:from>
    <xdr:to>
      <xdr:col>6</xdr:col>
      <xdr:colOff>1209674</xdr:colOff>
      <xdr:row>49</xdr:row>
      <xdr:rowOff>240343</xdr:rowOff>
    </xdr:to>
    <xdr:pic>
      <xdr:nvPicPr>
        <xdr:cNvPr id="8" name="Imagem 7">
          <a:extLst>
            <a:ext uri="{FF2B5EF4-FFF2-40B4-BE49-F238E27FC236}">
              <a16:creationId xmlns:a16="http://schemas.microsoft.com/office/drawing/2014/main" id="{536C9E38-CF53-4C51-A0CD-A3A230E479E9}"/>
            </a:ext>
          </a:extLst>
        </xdr:cNvPr>
        <xdr:cNvPicPr>
          <a:picLocks noChangeAspect="1"/>
        </xdr:cNvPicPr>
      </xdr:nvPicPr>
      <xdr:blipFill>
        <a:blip xmlns:r="http://schemas.openxmlformats.org/officeDocument/2006/relationships" r:embed="rId6"/>
        <a:stretch>
          <a:fillRect/>
        </a:stretch>
      </xdr:blipFill>
      <xdr:spPr>
        <a:xfrm>
          <a:off x="8610599" y="15478126"/>
          <a:ext cx="1285875" cy="1030917"/>
        </a:xfrm>
        <a:prstGeom prst="rect">
          <a:avLst/>
        </a:prstGeom>
        <a:ln w="3175">
          <a:solidFill>
            <a:schemeClr val="tx1"/>
          </a:solidFill>
        </a:ln>
      </xdr:spPr>
    </xdr:pic>
    <xdr:clientData/>
  </xdr:twoCellAnchor>
  <xdr:twoCellAnchor editAs="oneCell">
    <xdr:from>
      <xdr:col>6</xdr:col>
      <xdr:colOff>556600</xdr:colOff>
      <xdr:row>7</xdr:row>
      <xdr:rowOff>45944</xdr:rowOff>
    </xdr:from>
    <xdr:to>
      <xdr:col>6</xdr:col>
      <xdr:colOff>2025431</xdr:colOff>
      <xdr:row>11</xdr:row>
      <xdr:rowOff>17369</xdr:rowOff>
    </xdr:to>
    <xdr:pic>
      <xdr:nvPicPr>
        <xdr:cNvPr id="9" name="Imagem 8">
          <a:extLst>
            <a:ext uri="{FF2B5EF4-FFF2-40B4-BE49-F238E27FC236}">
              <a16:creationId xmlns:a16="http://schemas.microsoft.com/office/drawing/2014/main" id="{F8C7FBBA-6DEF-4031-B262-197CF85EBDC2}"/>
            </a:ext>
          </a:extLst>
        </xdr:cNvPr>
        <xdr:cNvPicPr>
          <a:picLocks noChangeAspect="1"/>
        </xdr:cNvPicPr>
      </xdr:nvPicPr>
      <xdr:blipFill>
        <a:blip xmlns:r="http://schemas.openxmlformats.org/officeDocument/2006/relationships" r:embed="rId7"/>
        <a:stretch>
          <a:fillRect/>
        </a:stretch>
      </xdr:blipFill>
      <xdr:spPr>
        <a:xfrm>
          <a:off x="9241159" y="1950944"/>
          <a:ext cx="1468831" cy="1092013"/>
        </a:xfrm>
        <a:prstGeom prst="rect">
          <a:avLst/>
        </a:prstGeom>
        <a:ln w="3175">
          <a:solidFill>
            <a:schemeClr val="tx1"/>
          </a:solidFill>
        </a:ln>
      </xdr:spPr>
    </xdr:pic>
    <xdr:clientData/>
  </xdr:twoCellAnchor>
  <xdr:twoCellAnchor editAs="oneCell">
    <xdr:from>
      <xdr:col>5</xdr:col>
      <xdr:colOff>733425</xdr:colOff>
      <xdr:row>53</xdr:row>
      <xdr:rowOff>28575</xdr:rowOff>
    </xdr:from>
    <xdr:to>
      <xdr:col>6</xdr:col>
      <xdr:colOff>1238250</xdr:colOff>
      <xdr:row>55</xdr:row>
      <xdr:rowOff>229328</xdr:rowOff>
    </xdr:to>
    <xdr:pic>
      <xdr:nvPicPr>
        <xdr:cNvPr id="11" name="Imagem 10">
          <a:extLst>
            <a:ext uri="{FF2B5EF4-FFF2-40B4-BE49-F238E27FC236}">
              <a16:creationId xmlns:a16="http://schemas.microsoft.com/office/drawing/2014/main" id="{1B4D4DEC-4B80-4F6C-B582-40E6DB92934C}"/>
            </a:ext>
          </a:extLst>
        </xdr:cNvPr>
        <xdr:cNvPicPr>
          <a:picLocks noChangeAspect="1"/>
        </xdr:cNvPicPr>
      </xdr:nvPicPr>
      <xdr:blipFill>
        <a:blip xmlns:r="http://schemas.openxmlformats.org/officeDocument/2006/relationships" r:embed="rId8"/>
        <a:stretch>
          <a:fillRect/>
        </a:stretch>
      </xdr:blipFill>
      <xdr:spPr>
        <a:xfrm>
          <a:off x="8677275" y="17402175"/>
          <a:ext cx="1247775" cy="753203"/>
        </a:xfrm>
        <a:prstGeom prst="rect">
          <a:avLst/>
        </a:prstGeom>
        <a:ln w="3175">
          <a:solidFill>
            <a:schemeClr val="tx1"/>
          </a:solidFill>
        </a:ln>
      </xdr:spPr>
    </xdr:pic>
    <xdr:clientData/>
  </xdr:twoCellAnchor>
  <xdr:twoCellAnchor editAs="oneCell">
    <xdr:from>
      <xdr:col>5</xdr:col>
      <xdr:colOff>152401</xdr:colOff>
      <xdr:row>40</xdr:row>
      <xdr:rowOff>66675</xdr:rowOff>
    </xdr:from>
    <xdr:to>
      <xdr:col>6</xdr:col>
      <xdr:colOff>2013551</xdr:colOff>
      <xdr:row>42</xdr:row>
      <xdr:rowOff>180975</xdr:rowOff>
    </xdr:to>
    <xdr:pic>
      <xdr:nvPicPr>
        <xdr:cNvPr id="10" name="Imagem 9">
          <a:extLst>
            <a:ext uri="{FF2B5EF4-FFF2-40B4-BE49-F238E27FC236}">
              <a16:creationId xmlns:a16="http://schemas.microsoft.com/office/drawing/2014/main" id="{39B813EA-FC26-4D2C-9783-D4452991D214}"/>
            </a:ext>
          </a:extLst>
        </xdr:cNvPr>
        <xdr:cNvPicPr>
          <a:picLocks noChangeAspect="1"/>
        </xdr:cNvPicPr>
      </xdr:nvPicPr>
      <xdr:blipFill>
        <a:blip xmlns:r="http://schemas.openxmlformats.org/officeDocument/2006/relationships" r:embed="rId9"/>
        <a:stretch>
          <a:fillRect/>
        </a:stretch>
      </xdr:blipFill>
      <xdr:spPr>
        <a:xfrm>
          <a:off x="8096251" y="11087100"/>
          <a:ext cx="2604100" cy="666750"/>
        </a:xfrm>
        <a:prstGeom prst="rect">
          <a:avLst/>
        </a:prstGeom>
        <a:ln w="3175">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8</xdr:col>
      <xdr:colOff>333375</xdr:colOff>
      <xdr:row>4</xdr:row>
      <xdr:rowOff>95250</xdr:rowOff>
    </xdr:from>
    <xdr:ext cx="3648075" cy="2905125"/>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0372725" y="1323975"/>
          <a:ext cx="3648075" cy="2905125"/>
        </a:xfrm>
        <a:prstGeom prst="rect">
          <a:avLst/>
        </a:prstGeom>
        <a:noFill/>
      </xdr:spPr>
    </xdr:pic>
    <xdr:clientData fLocksWithSheet="0"/>
  </xdr:oneCellAnchor>
  <xdr:oneCellAnchor>
    <xdr:from>
      <xdr:col>18</xdr:col>
      <xdr:colOff>38100</xdr:colOff>
      <xdr:row>4</xdr:row>
      <xdr:rowOff>219075</xdr:rowOff>
    </xdr:from>
    <xdr:ext cx="7972425" cy="1800225"/>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238125</xdr:colOff>
      <xdr:row>0</xdr:row>
      <xdr:rowOff>85725</xdr:rowOff>
    </xdr:from>
    <xdr:ext cx="1952625" cy="333375"/>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xdr:from>
      <xdr:col>5</xdr:col>
      <xdr:colOff>180976</xdr:colOff>
      <xdr:row>13</xdr:row>
      <xdr:rowOff>85725</xdr:rowOff>
    </xdr:from>
    <xdr:to>
      <xdr:col>7</xdr:col>
      <xdr:colOff>619126</xdr:colOff>
      <xdr:row>16</xdr:row>
      <xdr:rowOff>9525</xdr:rowOff>
    </xdr:to>
    <xdr:sp macro="" textlink="">
      <xdr:nvSpPr>
        <xdr:cNvPr id="6" name="CaixaDeTexto 5">
          <a:extLst>
            <a:ext uri="{FF2B5EF4-FFF2-40B4-BE49-F238E27FC236}">
              <a16:creationId xmlns:a16="http://schemas.microsoft.com/office/drawing/2014/main" id="{2EA9E1F1-F59D-4B44-9CA3-3A9291636703}"/>
            </a:ext>
          </a:extLst>
        </xdr:cNvPr>
        <xdr:cNvSpPr txBox="1"/>
      </xdr:nvSpPr>
      <xdr:spPr>
        <a:xfrm>
          <a:off x="6429376" y="3819525"/>
          <a:ext cx="1828800" cy="666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Solicitado</a:t>
          </a:r>
          <a:r>
            <a:rPr lang="pt-BR" sz="1100" baseline="0"/>
            <a:t> em Formulário: considerar EPI apenas para dois funcionários</a:t>
          </a:r>
          <a:endParaRPr lang="pt-BR" sz="1100"/>
        </a:p>
      </xdr:txBody>
    </xdr:sp>
    <xdr:clientData/>
  </xdr:twoCellAnchor>
  <xdr:twoCellAnchor editAs="oneCell">
    <xdr:from>
      <xdr:col>7</xdr:col>
      <xdr:colOff>196213</xdr:colOff>
      <xdr:row>34</xdr:row>
      <xdr:rowOff>342900</xdr:rowOff>
    </xdr:from>
    <xdr:to>
      <xdr:col>7</xdr:col>
      <xdr:colOff>2187377</xdr:colOff>
      <xdr:row>49</xdr:row>
      <xdr:rowOff>105694</xdr:rowOff>
    </xdr:to>
    <xdr:pic>
      <xdr:nvPicPr>
        <xdr:cNvPr id="7" name="Imagem 6">
          <a:extLst>
            <a:ext uri="{FF2B5EF4-FFF2-40B4-BE49-F238E27FC236}">
              <a16:creationId xmlns:a16="http://schemas.microsoft.com/office/drawing/2014/main" id="{B35332D3-E199-4502-B35B-8058E9513D38}"/>
            </a:ext>
          </a:extLst>
        </xdr:cNvPr>
        <xdr:cNvPicPr>
          <a:picLocks noChangeAspect="1"/>
        </xdr:cNvPicPr>
      </xdr:nvPicPr>
      <xdr:blipFill>
        <a:blip xmlns:r="http://schemas.openxmlformats.org/officeDocument/2006/relationships" r:embed="rId4"/>
        <a:stretch>
          <a:fillRect/>
        </a:stretch>
      </xdr:blipFill>
      <xdr:spPr>
        <a:xfrm>
          <a:off x="7835263" y="8648700"/>
          <a:ext cx="1991164" cy="2963194"/>
        </a:xfrm>
        <a:prstGeom prst="rect">
          <a:avLst/>
        </a:prstGeom>
        <a:ln w="3175">
          <a:solidFill>
            <a:schemeClr val="tx1"/>
          </a:solidFill>
        </a:ln>
      </xdr:spPr>
    </xdr:pic>
    <xdr:clientData/>
  </xdr:twoCellAnchor>
  <xdr:twoCellAnchor editAs="oneCell">
    <xdr:from>
      <xdr:col>7</xdr:col>
      <xdr:colOff>295276</xdr:colOff>
      <xdr:row>49</xdr:row>
      <xdr:rowOff>161672</xdr:rowOff>
    </xdr:from>
    <xdr:to>
      <xdr:col>7</xdr:col>
      <xdr:colOff>2085976</xdr:colOff>
      <xdr:row>53</xdr:row>
      <xdr:rowOff>101728</xdr:rowOff>
    </xdr:to>
    <xdr:pic>
      <xdr:nvPicPr>
        <xdr:cNvPr id="8" name="Imagem 7">
          <a:extLst>
            <a:ext uri="{FF2B5EF4-FFF2-40B4-BE49-F238E27FC236}">
              <a16:creationId xmlns:a16="http://schemas.microsoft.com/office/drawing/2014/main" id="{84456C89-3FD4-4885-9A3C-153192609D5B}"/>
            </a:ext>
          </a:extLst>
        </xdr:cNvPr>
        <xdr:cNvPicPr>
          <a:picLocks noChangeAspect="1"/>
        </xdr:cNvPicPr>
      </xdr:nvPicPr>
      <xdr:blipFill>
        <a:blip xmlns:r="http://schemas.openxmlformats.org/officeDocument/2006/relationships" r:embed="rId5"/>
        <a:stretch>
          <a:fillRect/>
        </a:stretch>
      </xdr:blipFill>
      <xdr:spPr>
        <a:xfrm>
          <a:off x="7934326" y="11667872"/>
          <a:ext cx="1790700" cy="740156"/>
        </a:xfrm>
        <a:prstGeom prst="rect">
          <a:avLst/>
        </a:prstGeom>
        <a:ln w="3175">
          <a:solidFill>
            <a:schemeClr val="tx1"/>
          </a:solidFill>
        </a:ln>
      </xdr:spPr>
    </xdr:pic>
    <xdr:clientData/>
  </xdr:twoCellAnchor>
  <xdr:twoCellAnchor editAs="oneCell">
    <xdr:from>
      <xdr:col>7</xdr:col>
      <xdr:colOff>257176</xdr:colOff>
      <xdr:row>55</xdr:row>
      <xdr:rowOff>180975</xdr:rowOff>
    </xdr:from>
    <xdr:to>
      <xdr:col>7</xdr:col>
      <xdr:colOff>2038350</xdr:colOff>
      <xdr:row>61</xdr:row>
      <xdr:rowOff>180975</xdr:rowOff>
    </xdr:to>
    <xdr:pic>
      <xdr:nvPicPr>
        <xdr:cNvPr id="11" name="Imagem 10">
          <a:extLst>
            <a:ext uri="{FF2B5EF4-FFF2-40B4-BE49-F238E27FC236}">
              <a16:creationId xmlns:a16="http://schemas.microsoft.com/office/drawing/2014/main" id="{7C432A65-9DDA-4315-BD13-7CE2E74FC7A7}"/>
            </a:ext>
          </a:extLst>
        </xdr:cNvPr>
        <xdr:cNvPicPr>
          <a:picLocks noChangeAspect="1"/>
        </xdr:cNvPicPr>
      </xdr:nvPicPr>
      <xdr:blipFill rotWithShape="1">
        <a:blip xmlns:r="http://schemas.openxmlformats.org/officeDocument/2006/relationships" r:embed="rId6"/>
        <a:srcRect r="38309"/>
        <a:stretch/>
      </xdr:blipFill>
      <xdr:spPr>
        <a:xfrm>
          <a:off x="7896226" y="12887325"/>
          <a:ext cx="1781174" cy="1200150"/>
        </a:xfrm>
        <a:prstGeom prst="rect">
          <a:avLst/>
        </a:prstGeom>
        <a:ln w="3175">
          <a:solidFill>
            <a:schemeClr val="tx1"/>
          </a:solidFill>
        </a:ln>
      </xdr:spPr>
    </xdr:pic>
    <xdr:clientData/>
  </xdr:twoCellAnchor>
  <xdr:twoCellAnchor editAs="oneCell">
    <xdr:from>
      <xdr:col>7</xdr:col>
      <xdr:colOff>228147</xdr:colOff>
      <xdr:row>62</xdr:row>
      <xdr:rowOff>66675</xdr:rowOff>
    </xdr:from>
    <xdr:to>
      <xdr:col>7</xdr:col>
      <xdr:colOff>2062995</xdr:colOff>
      <xdr:row>66</xdr:row>
      <xdr:rowOff>47625</xdr:rowOff>
    </xdr:to>
    <xdr:pic>
      <xdr:nvPicPr>
        <xdr:cNvPr id="12" name="Imagem 11">
          <a:extLst>
            <a:ext uri="{FF2B5EF4-FFF2-40B4-BE49-F238E27FC236}">
              <a16:creationId xmlns:a16="http://schemas.microsoft.com/office/drawing/2014/main" id="{0835A1E2-0E1D-49ED-859D-C9921D3F1F73}"/>
            </a:ext>
          </a:extLst>
        </xdr:cNvPr>
        <xdr:cNvPicPr>
          <a:picLocks noChangeAspect="1"/>
        </xdr:cNvPicPr>
      </xdr:nvPicPr>
      <xdr:blipFill>
        <a:blip xmlns:r="http://schemas.openxmlformats.org/officeDocument/2006/relationships" r:embed="rId7"/>
        <a:stretch>
          <a:fillRect/>
        </a:stretch>
      </xdr:blipFill>
      <xdr:spPr>
        <a:xfrm>
          <a:off x="7867197" y="14173200"/>
          <a:ext cx="1834848" cy="781050"/>
        </a:xfrm>
        <a:prstGeom prst="rect">
          <a:avLst/>
        </a:prstGeom>
        <a:ln w="3175">
          <a:solidFill>
            <a:schemeClr val="tx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331695</xdr:colOff>
      <xdr:row>1</xdr:row>
      <xdr:rowOff>134472</xdr:rowOff>
    </xdr:from>
    <xdr:to>
      <xdr:col>3</xdr:col>
      <xdr:colOff>495300</xdr:colOff>
      <xdr:row>6</xdr:row>
      <xdr:rowOff>90206</xdr:rowOff>
    </xdr:to>
    <xdr:pic>
      <xdr:nvPicPr>
        <xdr:cNvPr id="2" name="Imagem 1">
          <a:extLst>
            <a:ext uri="{FF2B5EF4-FFF2-40B4-BE49-F238E27FC236}">
              <a16:creationId xmlns:a16="http://schemas.microsoft.com/office/drawing/2014/main" id="{95B2A866-754B-4162-BBC2-F6A79CDEED35}"/>
            </a:ext>
          </a:extLst>
        </xdr:cNvPr>
        <xdr:cNvPicPr>
          <a:picLocks noChangeAspect="1"/>
        </xdr:cNvPicPr>
      </xdr:nvPicPr>
      <xdr:blipFill>
        <a:blip xmlns:r="http://schemas.openxmlformats.org/officeDocument/2006/relationships" r:embed="rId1"/>
        <a:stretch>
          <a:fillRect/>
        </a:stretch>
      </xdr:blipFill>
      <xdr:spPr>
        <a:xfrm>
          <a:off x="6246720" y="363072"/>
          <a:ext cx="706530" cy="7989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331695</xdr:colOff>
      <xdr:row>1</xdr:row>
      <xdr:rowOff>134472</xdr:rowOff>
    </xdr:from>
    <xdr:to>
      <xdr:col>3</xdr:col>
      <xdr:colOff>495300</xdr:colOff>
      <xdr:row>6</xdr:row>
      <xdr:rowOff>90207</xdr:rowOff>
    </xdr:to>
    <xdr:pic>
      <xdr:nvPicPr>
        <xdr:cNvPr id="2" name="Imagem 1">
          <a:extLst>
            <a:ext uri="{FF2B5EF4-FFF2-40B4-BE49-F238E27FC236}">
              <a16:creationId xmlns:a16="http://schemas.microsoft.com/office/drawing/2014/main" id="{FF387927-462C-4B7A-9338-93E0A4F3F091}"/>
            </a:ext>
          </a:extLst>
        </xdr:cNvPr>
        <xdr:cNvPicPr>
          <a:picLocks noChangeAspect="1"/>
        </xdr:cNvPicPr>
      </xdr:nvPicPr>
      <xdr:blipFill>
        <a:blip xmlns:r="http://schemas.openxmlformats.org/officeDocument/2006/relationships" r:embed="rId1"/>
        <a:stretch>
          <a:fillRect/>
        </a:stretch>
      </xdr:blipFill>
      <xdr:spPr>
        <a:xfrm>
          <a:off x="6246720" y="363072"/>
          <a:ext cx="706530" cy="7989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6</xdr:col>
      <xdr:colOff>495300</xdr:colOff>
      <xdr:row>0</xdr:row>
      <xdr:rowOff>241589</xdr:rowOff>
    </xdr:from>
    <xdr:ext cx="1952625" cy="333375"/>
    <xdr:pic>
      <xdr:nvPicPr>
        <xdr:cNvPr id="3" name="image1.png">
          <a:extLst>
            <a:ext uri="{FF2B5EF4-FFF2-40B4-BE49-F238E27FC236}">
              <a16:creationId xmlns:a16="http://schemas.microsoft.com/office/drawing/2014/main" id="{6E97CC88-AA7B-4A2E-A3A1-1611DCFD1EF8}"/>
            </a:ext>
          </a:extLst>
        </xdr:cNvPr>
        <xdr:cNvPicPr preferRelativeResize="0"/>
      </xdr:nvPicPr>
      <xdr:blipFill>
        <a:blip xmlns:r="http://schemas.openxmlformats.org/officeDocument/2006/relationships" r:embed="rId1" cstate="print"/>
        <a:stretch>
          <a:fillRect/>
        </a:stretch>
      </xdr:blipFill>
      <xdr:spPr>
        <a:xfrm>
          <a:off x="17016845" y="241589"/>
          <a:ext cx="1952625" cy="33337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14</xdr:col>
      <xdr:colOff>108857</xdr:colOff>
      <xdr:row>0</xdr:row>
      <xdr:rowOff>309624</xdr:rowOff>
    </xdr:from>
    <xdr:ext cx="1862818" cy="343519"/>
    <xdr:pic>
      <xdr:nvPicPr>
        <xdr:cNvPr id="2" name="image1.png">
          <a:extLst>
            <a:ext uri="{FF2B5EF4-FFF2-40B4-BE49-F238E27FC236}">
              <a16:creationId xmlns:a16="http://schemas.microsoft.com/office/drawing/2014/main" id="{5A186A74-A8C9-4E95-BC0A-06A71BC02AB3}"/>
            </a:ext>
          </a:extLst>
        </xdr:cNvPr>
        <xdr:cNvPicPr preferRelativeResize="0"/>
      </xdr:nvPicPr>
      <xdr:blipFill>
        <a:blip xmlns:r="http://schemas.openxmlformats.org/officeDocument/2006/relationships" r:embed="rId1" cstate="print"/>
        <a:stretch>
          <a:fillRect/>
        </a:stretch>
      </xdr:blipFill>
      <xdr:spPr>
        <a:xfrm>
          <a:off x="13716000" y="309624"/>
          <a:ext cx="1862818" cy="343519"/>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60960</xdr:colOff>
      <xdr:row>0</xdr:row>
      <xdr:rowOff>114300</xdr:rowOff>
    </xdr:from>
    <xdr:to>
      <xdr:col>0</xdr:col>
      <xdr:colOff>1936115</xdr:colOff>
      <xdr:row>2</xdr:row>
      <xdr:rowOff>41275</xdr:rowOff>
    </xdr:to>
    <xdr:pic>
      <xdr:nvPicPr>
        <xdr:cNvPr id="2" name="image3.png">
          <a:extLst>
            <a:ext uri="{FF2B5EF4-FFF2-40B4-BE49-F238E27FC236}">
              <a16:creationId xmlns:a16="http://schemas.microsoft.com/office/drawing/2014/main" id="{60D57DD5-7158-4386-B6A7-F2C8A56DCDC1}"/>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60960" y="114300"/>
          <a:ext cx="1875155" cy="307975"/>
        </a:xfrm>
        <a:prstGeom prst="rect">
          <a:avLst/>
        </a:prstGeom>
        <a:ln/>
      </xdr:spPr>
    </xdr:pic>
    <xdr:clientData/>
  </xdr:twoCellAnchor>
  <xdr:twoCellAnchor editAs="oneCell">
    <xdr:from>
      <xdr:col>0</xdr:col>
      <xdr:colOff>0</xdr:colOff>
      <xdr:row>20</xdr:row>
      <xdr:rowOff>108445</xdr:rowOff>
    </xdr:from>
    <xdr:to>
      <xdr:col>14</xdr:col>
      <xdr:colOff>404812</xdr:colOff>
      <xdr:row>63</xdr:row>
      <xdr:rowOff>8583</xdr:rowOff>
    </xdr:to>
    <xdr:pic>
      <xdr:nvPicPr>
        <xdr:cNvPr id="4" name="Imagem 3">
          <a:extLst>
            <a:ext uri="{FF2B5EF4-FFF2-40B4-BE49-F238E27FC236}">
              <a16:creationId xmlns:a16="http://schemas.microsoft.com/office/drawing/2014/main" id="{9D1C29E2-1730-476D-B018-0E5046AB8735}"/>
            </a:ext>
          </a:extLst>
        </xdr:cNvPr>
        <xdr:cNvPicPr>
          <a:picLocks noChangeAspect="1"/>
        </xdr:cNvPicPr>
      </xdr:nvPicPr>
      <xdr:blipFill>
        <a:blip xmlns:r="http://schemas.openxmlformats.org/officeDocument/2006/relationships" r:embed="rId3"/>
        <a:stretch>
          <a:fillRect/>
        </a:stretch>
      </xdr:blipFill>
      <xdr:spPr>
        <a:xfrm>
          <a:off x="0" y="4061320"/>
          <a:ext cx="12311062" cy="604376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23</xdr:col>
      <xdr:colOff>56029</xdr:colOff>
      <xdr:row>54</xdr:row>
      <xdr:rowOff>275167</xdr:rowOff>
    </xdr:from>
    <xdr:ext cx="1998650" cy="1833940"/>
    <xdr:pic>
      <xdr:nvPicPr>
        <xdr:cNvPr id="2" name="image1.jpg" descr="Bloco Estrutural de 3 estacas, como orçar? - Engenheiro de Custos">
          <a:extLst>
            <a:ext uri="{FF2B5EF4-FFF2-40B4-BE49-F238E27FC236}">
              <a16:creationId xmlns:a16="http://schemas.microsoft.com/office/drawing/2014/main" id="{1201604F-B6CB-4334-899F-FC2DA641DBDE}"/>
            </a:ext>
          </a:extLst>
        </xdr:cNvPr>
        <xdr:cNvPicPr preferRelativeResize="0"/>
      </xdr:nvPicPr>
      <xdr:blipFill>
        <a:blip xmlns:r="http://schemas.openxmlformats.org/officeDocument/2006/relationships" r:embed="rId1" cstate="print"/>
        <a:stretch>
          <a:fillRect/>
        </a:stretch>
      </xdr:blipFill>
      <xdr:spPr>
        <a:xfrm>
          <a:off x="16191379" y="5094817"/>
          <a:ext cx="1998650" cy="1833940"/>
        </a:xfrm>
        <a:prstGeom prst="rect">
          <a:avLst/>
        </a:prstGeom>
        <a:noFill/>
        <a:ln w="3175">
          <a:solidFill>
            <a:schemeClr val="tx1"/>
          </a:solidFill>
        </a:ln>
      </xdr:spPr>
    </xdr:pic>
    <xdr:clientData fLocksWithSheet="0"/>
  </xdr:oneCellAnchor>
  <xdr:twoCellAnchor editAs="oneCell">
    <xdr:from>
      <xdr:col>0</xdr:col>
      <xdr:colOff>60960</xdr:colOff>
      <xdr:row>0</xdr:row>
      <xdr:rowOff>114300</xdr:rowOff>
    </xdr:from>
    <xdr:to>
      <xdr:col>2</xdr:col>
      <xdr:colOff>453813</xdr:colOff>
      <xdr:row>2</xdr:row>
      <xdr:rowOff>72813</xdr:rowOff>
    </xdr:to>
    <xdr:pic>
      <xdr:nvPicPr>
        <xdr:cNvPr id="4" name="image3.png">
          <a:extLst>
            <a:ext uri="{FF2B5EF4-FFF2-40B4-BE49-F238E27FC236}">
              <a16:creationId xmlns:a16="http://schemas.microsoft.com/office/drawing/2014/main" id="{3D2D93E8-991A-4084-A3D2-159652ABA4CB}"/>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Lst>
        </a:blip>
        <a:srcRect/>
        <a:stretch>
          <a:fillRect/>
        </a:stretch>
      </xdr:blipFill>
      <xdr:spPr>
        <a:xfrm>
          <a:off x="60960" y="114300"/>
          <a:ext cx="1840653" cy="339513"/>
        </a:xfrm>
        <a:prstGeom prst="rect">
          <a:avLst/>
        </a:prstGeom>
        <a:ln/>
      </xdr:spPr>
    </xdr:pic>
    <xdr:clientData/>
  </xdr:twoCellAnchor>
  <xdr:twoCellAnchor editAs="oneCell">
    <xdr:from>
      <xdr:col>23</xdr:col>
      <xdr:colOff>33617</xdr:colOff>
      <xdr:row>11</xdr:row>
      <xdr:rowOff>108055</xdr:rowOff>
    </xdr:from>
    <xdr:to>
      <xdr:col>27</xdr:col>
      <xdr:colOff>258974</xdr:colOff>
      <xdr:row>17</xdr:row>
      <xdr:rowOff>122465</xdr:rowOff>
    </xdr:to>
    <xdr:pic>
      <xdr:nvPicPr>
        <xdr:cNvPr id="5" name="Imagem 4">
          <a:extLst>
            <a:ext uri="{FF2B5EF4-FFF2-40B4-BE49-F238E27FC236}">
              <a16:creationId xmlns:a16="http://schemas.microsoft.com/office/drawing/2014/main" id="{0C80B915-B97B-48EF-A6A2-5D70CAED2254}"/>
            </a:ext>
          </a:extLst>
        </xdr:cNvPr>
        <xdr:cNvPicPr>
          <a:picLocks noChangeAspect="1"/>
        </xdr:cNvPicPr>
      </xdr:nvPicPr>
      <xdr:blipFill rotWithShape="1">
        <a:blip xmlns:r="http://schemas.openxmlformats.org/officeDocument/2006/relationships" r:embed="rId4"/>
        <a:srcRect l="4785" t="23255" b="10078"/>
        <a:stretch/>
      </xdr:blipFill>
      <xdr:spPr>
        <a:xfrm>
          <a:off x="16168967" y="2184505"/>
          <a:ext cx="2663757" cy="1109784"/>
        </a:xfrm>
        <a:prstGeom prst="rect">
          <a:avLst/>
        </a:prstGeom>
        <a:ln w="3175">
          <a:solidFill>
            <a:schemeClr val="tx1"/>
          </a:solidFill>
        </a:ln>
      </xdr:spPr>
    </xdr:pic>
    <xdr:clientData/>
  </xdr:twoCellAnchor>
  <xdr:twoCellAnchor editAs="oneCell">
    <xdr:from>
      <xdr:col>23</xdr:col>
      <xdr:colOff>22413</xdr:colOff>
      <xdr:row>73</xdr:row>
      <xdr:rowOff>17609</xdr:rowOff>
    </xdr:from>
    <xdr:to>
      <xdr:col>27</xdr:col>
      <xdr:colOff>560063</xdr:colOff>
      <xdr:row>80</xdr:row>
      <xdr:rowOff>111984</xdr:rowOff>
    </xdr:to>
    <xdr:pic>
      <xdr:nvPicPr>
        <xdr:cNvPr id="6" name="Imagem 5">
          <a:extLst>
            <a:ext uri="{FF2B5EF4-FFF2-40B4-BE49-F238E27FC236}">
              <a16:creationId xmlns:a16="http://schemas.microsoft.com/office/drawing/2014/main" id="{80FD273E-0154-4564-AFB6-9A19990BE31B}"/>
            </a:ext>
          </a:extLst>
        </xdr:cNvPr>
        <xdr:cNvPicPr>
          <a:picLocks noChangeAspect="1"/>
        </xdr:cNvPicPr>
      </xdr:nvPicPr>
      <xdr:blipFill>
        <a:blip xmlns:r="http://schemas.openxmlformats.org/officeDocument/2006/relationships" r:embed="rId5"/>
        <a:stretch>
          <a:fillRect/>
        </a:stretch>
      </xdr:blipFill>
      <xdr:spPr>
        <a:xfrm>
          <a:off x="16157763" y="8199584"/>
          <a:ext cx="2976050" cy="1361201"/>
        </a:xfrm>
        <a:prstGeom prst="rect">
          <a:avLst/>
        </a:prstGeom>
        <a:ln w="3175">
          <a:solidFill>
            <a:schemeClr val="tx1"/>
          </a:solidFill>
        </a:ln>
      </xdr:spPr>
    </xdr:pic>
    <xdr:clientData/>
  </xdr:twoCellAnchor>
  <xdr:twoCellAnchor editAs="oneCell">
    <xdr:from>
      <xdr:col>23</xdr:col>
      <xdr:colOff>20012</xdr:colOff>
      <xdr:row>80</xdr:row>
      <xdr:rowOff>172891</xdr:rowOff>
    </xdr:from>
    <xdr:to>
      <xdr:col>27</xdr:col>
      <xdr:colOff>543870</xdr:colOff>
      <xdr:row>87</xdr:row>
      <xdr:rowOff>68035</xdr:rowOff>
    </xdr:to>
    <xdr:pic>
      <xdr:nvPicPr>
        <xdr:cNvPr id="7" name="Imagem 6">
          <a:extLst>
            <a:ext uri="{FF2B5EF4-FFF2-40B4-BE49-F238E27FC236}">
              <a16:creationId xmlns:a16="http://schemas.microsoft.com/office/drawing/2014/main" id="{32B3C189-D6EE-45E9-8D9B-76E9F271CC6F}"/>
            </a:ext>
          </a:extLst>
        </xdr:cNvPr>
        <xdr:cNvPicPr>
          <a:picLocks noChangeAspect="1"/>
        </xdr:cNvPicPr>
      </xdr:nvPicPr>
      <xdr:blipFill>
        <a:blip xmlns:r="http://schemas.openxmlformats.org/officeDocument/2006/relationships" r:embed="rId6"/>
        <a:stretch>
          <a:fillRect/>
        </a:stretch>
      </xdr:blipFill>
      <xdr:spPr>
        <a:xfrm>
          <a:off x="16155362" y="9621691"/>
          <a:ext cx="2962258" cy="1161969"/>
        </a:xfrm>
        <a:prstGeom prst="rect">
          <a:avLst/>
        </a:prstGeom>
        <a:ln w="3175">
          <a:solidFill>
            <a:schemeClr val="tx1"/>
          </a:solidFill>
        </a:ln>
      </xdr:spPr>
    </xdr:pic>
    <xdr:clientData/>
  </xdr:twoCellAnchor>
</xdr:wsDr>
</file>

<file path=xl/drawings/drawing12.xml><?xml version="1.0" encoding="utf-8"?>
<xdr:wsDr xmlns:xdr="http://schemas.openxmlformats.org/drawingml/2006/spreadsheetDrawing" xmlns:a="http://schemas.openxmlformats.org/drawingml/2006/main">
  <xdr:oneCellAnchor>
    <xdr:from>
      <xdr:col>7</xdr:col>
      <xdr:colOff>216972</xdr:colOff>
      <xdr:row>0</xdr:row>
      <xdr:rowOff>305914</xdr:rowOff>
    </xdr:from>
    <xdr:ext cx="1952625" cy="333375"/>
    <xdr:pic>
      <xdr:nvPicPr>
        <xdr:cNvPr id="2" name="image1.png">
          <a:extLst>
            <a:ext uri="{FF2B5EF4-FFF2-40B4-BE49-F238E27FC236}">
              <a16:creationId xmlns:a16="http://schemas.microsoft.com/office/drawing/2014/main" id="{FC212C71-34DC-4B31-986D-F5D0B4D663A8}"/>
            </a:ext>
          </a:extLst>
        </xdr:cNvPr>
        <xdr:cNvPicPr preferRelativeResize="0"/>
      </xdr:nvPicPr>
      <xdr:blipFill>
        <a:blip xmlns:r="http://schemas.openxmlformats.org/officeDocument/2006/relationships" r:embed="rId1" cstate="print"/>
        <a:stretch>
          <a:fillRect/>
        </a:stretch>
      </xdr:blipFill>
      <xdr:spPr>
        <a:xfrm>
          <a:off x="14833517" y="305914"/>
          <a:ext cx="1952625" cy="3333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essandra\trabalho\TRABALHO\EXCEL\M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nia\meus%20documen\2004\24001_Pedagio%20km%2026\Planilhas\240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AS%20Ramos%20-%2001.2022/02.%20Paessaggio/02.%20Escopo/02.4%20Escopo%20-%20Extra&#231;&#227;o%20de%20quantitativos/CTN_ORC_ED%20PAESAGGIO_MOD_ARQ_R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
      <sheetName val="Encargos Sociais"/>
      <sheetName val="BDI"/>
      <sheetName val="M_O_"/>
      <sheetName val="Esquadrias"/>
      <sheetName val="Plan"/>
      <sheetName val="EstConFund"/>
      <sheetName val="EstConElev"/>
      <sheetName val="Par"/>
      <sheetName val="Pisocon"/>
      <sheetName val="AcabPar"/>
      <sheetName val="AcabPiso"/>
      <sheetName val="AcabForro"/>
      <sheetName val="Resumo Estrutura"/>
      <sheetName val="Estrutura - Vigas mold in-loco"/>
      <sheetName val="Estrutura - Lajes"/>
      <sheetName val="Estrutura - Cimbramento"/>
      <sheetName val="Estrutura - Escadas"/>
      <sheetName val="Estrutura - Pilar"/>
      <sheetName val="M_O_1"/>
      <sheetName val="Encargos_Sociais"/>
      <sheetName val="Resumo_Estrutura"/>
      <sheetName val="Estrutura_-_Vigas_mold_in-loco"/>
      <sheetName val="Estrutura_-_Lajes"/>
      <sheetName val="Estrutura_-_Cimbramento"/>
      <sheetName val="Estrutura_-_Escadas"/>
      <sheetName val="Estrutura_-_Pilar"/>
      <sheetName val="P   CARGOS SAL CARAJAS "/>
      <sheetName val=""/>
      <sheetName val="Orc_Pad_Edif_Analítico"/>
      <sheetName val="Orc_Compl_Analítico"/>
      <sheetName val="Orc_Pad_Edif_Anal�tico"/>
      <sheetName val="Orc_Compl_Anal�tico"/>
      <sheetName val="M_O_2"/>
      <sheetName val="Encargos_Sociais1"/>
      <sheetName val="Resumo_Estrutura1"/>
      <sheetName val="Estrutura_-_Vigas_mold_in-loco1"/>
      <sheetName val="Estrutura_-_Lajes1"/>
      <sheetName val="Estrutura_-_Cimbramento1"/>
      <sheetName val="Estrutura_-_Escadas1"/>
      <sheetName val="Estrutura_-_Pilar1"/>
      <sheetName val="P___CARGOS_SAL_CARAJAS_"/>
      <sheetName val="M_O_3"/>
      <sheetName val="Encargos_Sociais2"/>
      <sheetName val="Resumo_Estrutura2"/>
      <sheetName val="Estrutura_-_Vigas_mold_in-loco2"/>
      <sheetName val="Estrutura_-_Lajes2"/>
      <sheetName val="Estrutura_-_Cimbramento2"/>
      <sheetName val="Estrutura_-_Escadas2"/>
      <sheetName val="Estrutura_-_Pilar2"/>
      <sheetName val="P___CARGOS_SAL_CARAJAS_1"/>
      <sheetName val="PQP"/>
      <sheetName val="Preco"/>
      <sheetName val="Orc_Compl_Aberto"/>
      <sheetName val="2"/>
      <sheetName val="EVCO-set-04"/>
      <sheetName val="M_O_4"/>
      <sheetName val="Encargos_Sociais3"/>
      <sheetName val="Resumo_Estrutura3"/>
      <sheetName val="Estrutura_-_Vigas_mold_in-loco3"/>
      <sheetName val="Estrutura_-_Lajes3"/>
      <sheetName val="Estrutura_-_Cimbramento3"/>
      <sheetName val="Estrutura_-_Escadas3"/>
      <sheetName val="Estrutura_-_Pilar3"/>
      <sheetName val="P___CARGOS_SAL_CARAJAS_2"/>
      <sheetName val="Bomb"/>
      <sheetName val="9-Cron Financeiro"/>
      <sheetName val="8-Cron Fisico"/>
      <sheetName val="MP+Insumos"/>
      <sheetName val="CONSIDERAÇÕES"/>
      <sheetName val="MDO"/>
      <sheetName val="curva"/>
      <sheetName val="Planilha1"/>
      <sheetName val="CPU"/>
      <sheetName val="Insumos"/>
      <sheetName val="Resumo"/>
      <sheetName val="Planilha Orçamentária Modelo"/>
      <sheetName val="Fechamento"/>
      <sheetName val="Planilha2"/>
      <sheetName val="Fec. reengenharia"/>
      <sheetName val="Cpu's"/>
      <sheetName val="Curva de serviços"/>
      <sheetName val="0.Resumo"/>
      <sheetName val="Serviços indiretos"/>
      <sheetName val="PQU - Fundação e estrutura"/>
      <sheetName val="Pavilhao de Apoio"/>
      <sheetName val="SUBESTAÇÃO"/>
      <sheetName val="RESERVATORIO CASA DE BOMBA"/>
      <sheetName val="Baldrame"/>
      <sheetName val="Paredes"/>
      <sheetName val="Sapata isolada"/>
      <sheetName val="Acabamentos"/>
      <sheetName val="Resumo concreto"/>
      <sheetName val="Estrutura"/>
      <sheetName val="PLANILHA PADRÃO"/>
      <sheetName val="Alv e fec"/>
      <sheetName val="MDO-MOI"/>
      <sheetName val="EQUIPAMENTOS"/>
      <sheetName val="CANTEIRO"/>
      <sheetName val="EPI"/>
      <sheetName val="Controle Contrato"/>
      <sheetName val="RESUMO DO CONTRATO"/>
      <sheetName val="AVANÇO FISICO"/>
      <sheetName val="NF-em aberto"/>
      <sheetName val="RETENÇÃO"/>
      <sheetName val="REENGENHARIAS"/>
      <sheetName val="NF-BN x DAGNSE"/>
      <sheetName val="NF GLOBO"/>
      <sheetName val="EXTRACONTRATUAIS"/>
      <sheetName val="DIFAL"/>
      <sheetName val="NF-BN x  MS"/>
      <sheetName val="RESUMO DAGNESE"/>
      <sheetName val="NF-DAGNESE"/>
      <sheetName val="RESUMO REAL"/>
      <sheetName val="RESUMO - DIAGRAMA"/>
      <sheetName val="Sinaleiro"/>
      <sheetName val="Hora Extra Sinaleiro"/>
      <sheetName val="Ajudante ADM"/>
      <sheetName val="Bases de Concreto"/>
      <sheetName val="Carpinteiro"/>
      <sheetName val="MO Gabarito"/>
      <sheetName val="MO Fundação"/>
      <sheetName val="Materiais"/>
      <sheetName val="Cronograma"/>
      <sheetName val="Memória de Cálculo - Fundação"/>
      <sheetName val="Memória de Cálculo - Estrutura"/>
      <sheetName val="DATAS"/>
      <sheetName val="VALIDAÇÃO"/>
      <sheetName val="MO"/>
      <sheetName val="Planilha1 (2)"/>
      <sheetName val="RESUMO GERAL"/>
      <sheetName val="Jefferson Reunião"/>
      <sheetName val="17.01"/>
      <sheetName val="Planilha6"/>
      <sheetName val="Resultado"/>
      <sheetName val="Adicionais "/>
      <sheetName val="0 - (BDados total)"/>
      <sheetName val="1 - REORÇAMENTO A+B+C"/>
      <sheetName val="Planilha8"/>
      <sheetName val="Planilha7"/>
      <sheetName val="YMM05 -17.01 - BDados (A)"/>
      <sheetName val="ADIANTAMENTOS (BDados A)"/>
      <sheetName val="2 - PLEITOS (BDados B)"/>
      <sheetName val="3- Adicionais (BDados B)"/>
      <sheetName val="4 - A Contratar (BDados C)"/>
      <sheetName val="5- Conti+Expect (BDados BC)"/>
      <sheetName val="6- Reajuste Fornec (BD A)."/>
      <sheetName val="7- Adicional Cliente"/>
      <sheetName val="FERRO"/>
      <sheetName val="Orc_Pad_Edif_Anal tico"/>
      <sheetName val="Orc_Compl_Anal tico"/>
      <sheetName val="Sapatas TORRE 1"/>
      <sheetName val="Sapatas TORRE 2"/>
      <sheetName val="Sapatas TORRE 3"/>
      <sheetName val="Blocos"/>
      <sheetName val="Armação Sapata-Torre 1 "/>
      <sheetName val="Armação Sapata-Torre 2"/>
      <sheetName val="Armação Sapata-Torre 3"/>
      <sheetName val="Baldrames Torre 1"/>
      <sheetName val="Baldrames Torre 2"/>
      <sheetName val="Baldrames Torre 3"/>
      <sheetName val="Armação Baldrame  Torre 1"/>
      <sheetName val="Armação Baldrame  Torre 2"/>
      <sheetName val="Armação Baldrame  Torre 3"/>
      <sheetName val="Lajes Fundo Ele Torre 1 e 2"/>
      <sheetName val="Lajes Fundo Ele Torre 3"/>
      <sheetName val="Piso Armado Térreo Torre 1 e 2"/>
      <sheetName val="Piso Armado Térreo Torre3"/>
      <sheetName val="Armação Piso Armado Torre 1"/>
      <sheetName val="Armação Piso Armado Torre 2"/>
      <sheetName val="Armação Piso Armado Torre 3"/>
      <sheetName val="Pilar retangular"/>
      <sheetName val="Vigas TORRE 1 e 2"/>
      <sheetName val="Vigas TORRE 3"/>
      <sheetName val="Armação Vigas Torre 1 e 2"/>
      <sheetName val="Armação Vigas Torre 3"/>
      <sheetName val="Lajes Torres  1 e 2"/>
      <sheetName val="Lajes Torre 3"/>
      <sheetName val="Armação Lajes Torre 1 e 2"/>
      <sheetName val="Armação Lajes Torre 3"/>
      <sheetName val="Escada - Torre 1 e 2"/>
      <sheetName val="Escada - Torre 3"/>
      <sheetName val="Armação Escada Torres 1 e 2"/>
      <sheetName val="Armação Escada Torre 3 "/>
      <sheetName val="Telhado Torres 1 e 2"/>
      <sheetName val="Telhado Torres 3"/>
      <sheetName val="Fachada Torres 1 e 2"/>
      <sheetName val="Fachada Torre 3"/>
      <sheetName val="Alvenaria Estrutural ok"/>
      <sheetName val="Alvenaria Vedação"/>
      <sheetName val="Louças e Metais ok"/>
      <sheetName val="Impermeabilização Torres 1 e 2"/>
      <sheetName val="Impermeabilização Torre 3"/>
      <sheetName val="Bases Rev Interno1"/>
      <sheetName val="Revest. Interno 1"/>
      <sheetName val="Armação Vigas Cobertura"/>
      <sheetName val="Armação Alv vert ok"/>
      <sheetName val="Armação Cintas Horizontais"/>
      <sheetName val="Resumo Esquadria e Peitoril ok"/>
      <sheetName val="Armação Estrutura"/>
      <sheetName val="Armação Pilares"/>
      <sheetName val="Alvenaria Estrutural Embasament"/>
      <sheetName val="Esquadria"/>
      <sheetName val="Diversos"/>
      <sheetName val="Esquadrias ok"/>
      <sheetName val="Armação Lajes Fundo Ele ok"/>
      <sheetName val="Graute vert ok"/>
      <sheetName val="Armação Alv Embasamento hor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Diferença"/>
      <sheetName val="Resumo"/>
      <sheetName val="Geral"/>
      <sheetName val="BDI"/>
    </sheetNames>
    <sheetDataSet>
      <sheetData sheetId="0" refreshError="1"/>
      <sheetData sheetId="1" refreshError="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CTN_ORC_Tabela de parede ger"/>
      <sheetName val="02-CTN_ORC_Levantamento do mate"/>
      <sheetName val="09-CTN_ORC_Tabela de piso e tet"/>
      <sheetName val="03-CTN_ORC_FACHADA_Tabela de pa"/>
      <sheetName val="08-CTN_ORC_Tabela de telhado"/>
      <sheetName val="10-CTN_ORC_RODAPÉ_Tabela de mol"/>
      <sheetName val="11-CTN_ORC_FAIXA GARAGEM_Tabela"/>
      <sheetName val="12-CTN_ORC_Tabela de forro"/>
      <sheetName val="07-CTN_ORC_Tabela de guarda-cor"/>
      <sheetName val="04-CTN_ORC_Tabela de janela"/>
      <sheetName val="05-CTN_ORC_Tabela de porta"/>
      <sheetName val="06-CTN_ORC_Tabela de escada"/>
      <sheetName val="Instructions"/>
      <sheetName val="Param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10º Tipo (x24) 3</v>
          </cell>
        </row>
        <row r="2">
          <cell r="A2" t="str">
            <v>11º Tipo (24x) 4</v>
          </cell>
        </row>
        <row r="3">
          <cell r="A3" t="str">
            <v>12º Tipo (24x) 5</v>
          </cell>
        </row>
        <row r="4">
          <cell r="A4" t="str">
            <v>13º Tipo (24x) 6</v>
          </cell>
        </row>
        <row r="5">
          <cell r="A5" t="str">
            <v>14º Tipo (24x) 7</v>
          </cell>
        </row>
        <row r="6">
          <cell r="A6" t="str">
            <v>15º Tipo (24x) 8</v>
          </cell>
        </row>
        <row r="7">
          <cell r="A7" t="str">
            <v>16º Tipo (24x) 9</v>
          </cell>
        </row>
        <row r="8">
          <cell r="A8" t="str">
            <v>17º Tipo (24x) 10</v>
          </cell>
        </row>
        <row r="9">
          <cell r="A9" t="str">
            <v>18º Tipo (24x) 11</v>
          </cell>
        </row>
        <row r="10">
          <cell r="A10" t="str">
            <v>19º Tipo (24x) 12</v>
          </cell>
        </row>
        <row r="11">
          <cell r="A11" t="str">
            <v>20º Tipo (24x) 13</v>
          </cell>
        </row>
        <row r="12">
          <cell r="A12" t="str">
            <v>21º Tipo (24x) 14</v>
          </cell>
        </row>
        <row r="13">
          <cell r="A13" t="str">
            <v>22º Tipo (24x) 15</v>
          </cell>
        </row>
        <row r="14">
          <cell r="A14" t="str">
            <v>23º Tipo (24x) 16</v>
          </cell>
        </row>
        <row r="15">
          <cell r="A15" t="str">
            <v>24º Tipo (24x) 17</v>
          </cell>
        </row>
        <row r="16">
          <cell r="A16" t="str">
            <v>25º Tipo (24x) 18</v>
          </cell>
        </row>
        <row r="17">
          <cell r="A17" t="str">
            <v>26º Tipo (24x) 19</v>
          </cell>
        </row>
        <row r="18">
          <cell r="A18" t="str">
            <v>27º Tipo (24x) 20</v>
          </cell>
        </row>
        <row r="19">
          <cell r="A19" t="str">
            <v>28º Tipo (24x) 21</v>
          </cell>
        </row>
        <row r="20">
          <cell r="A20" t="str">
            <v>29º Tipo (24x) 22</v>
          </cell>
        </row>
        <row r="21">
          <cell r="A21" t="str">
            <v>2º Mezanino - G1</v>
          </cell>
        </row>
        <row r="22">
          <cell r="A22" t="str">
            <v>30º Tipo (24x) 23</v>
          </cell>
        </row>
        <row r="23">
          <cell r="A23" t="str">
            <v>31º Tipo (24x) 24</v>
          </cell>
        </row>
        <row r="24">
          <cell r="A24" t="str">
            <v>32º Duplex Inf.</v>
          </cell>
        </row>
        <row r="25">
          <cell r="A25" t="str">
            <v>33º Duplex Sup.</v>
          </cell>
        </row>
        <row r="26">
          <cell r="A26" t="str">
            <v>3º G2</v>
          </cell>
        </row>
        <row r="27">
          <cell r="A27" t="str">
            <v>4º G3</v>
          </cell>
        </row>
        <row r="28">
          <cell r="A28" t="str">
            <v>5º Tipo Dif 01/Lazer</v>
          </cell>
        </row>
        <row r="29">
          <cell r="A29" t="str">
            <v>6º Tipo Dif. 02</v>
          </cell>
        </row>
        <row r="30">
          <cell r="A30" t="str">
            <v>7º Tipo Dif. 03</v>
          </cell>
        </row>
        <row r="31">
          <cell r="A31" t="str">
            <v>8º Tipo (x24) 1</v>
          </cell>
        </row>
        <row r="32">
          <cell r="A32" t="str">
            <v>9º Tipo (x24) 2</v>
          </cell>
        </row>
        <row r="33">
          <cell r="A33" t="str">
            <v>Barrilete</v>
          </cell>
        </row>
        <row r="34">
          <cell r="A34" t="str">
            <v>Cobertura Casa Máq.</v>
          </cell>
        </row>
        <row r="35">
          <cell r="A35" t="str">
            <v>PAVIMENTO TÉRREO</v>
          </cell>
        </row>
        <row r="36">
          <cell r="A36" t="str">
            <v>PC Maq</v>
          </cell>
        </row>
        <row r="37">
          <cell r="A37" t="str">
            <v>Reservatório</v>
          </cell>
        </row>
        <row r="38">
          <cell r="A38" t="str">
            <v>Tampa Reserv.</v>
          </cell>
        </row>
        <row r="39">
          <cell r="A39" t="str">
            <v>Terreno</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33FF"/>
  </sheetPr>
  <dimension ref="A1:M79"/>
  <sheetViews>
    <sheetView showGridLines="0" zoomScale="90" zoomScaleNormal="90" workbookViewId="0">
      <pane ySplit="4" topLeftCell="A15" activePane="bottomLeft" state="frozen"/>
      <selection activeCell="C1" sqref="C1:C3"/>
      <selection pane="bottomLeft" activeCell="B39" sqref="B39:E39"/>
    </sheetView>
  </sheetViews>
  <sheetFormatPr defaultRowHeight="12.75" x14ac:dyDescent="0.2"/>
  <cols>
    <col min="1" max="1" width="4" style="173" customWidth="1"/>
    <col min="2" max="2" width="50.140625" style="173" bestFit="1" customWidth="1"/>
    <col min="3" max="3" width="18.28515625" style="173" bestFit="1" customWidth="1"/>
    <col min="4" max="4" width="10.7109375" style="173" customWidth="1"/>
    <col min="5" max="5" width="20.5703125" style="173" customWidth="1"/>
    <col min="6" max="6" width="2.140625" style="173" customWidth="1"/>
    <col min="7" max="8" width="41.42578125" style="173" customWidth="1"/>
    <col min="9" max="9" width="12" style="173" bestFit="1" customWidth="1"/>
    <col min="10" max="10" width="9.140625" style="173"/>
    <col min="11" max="11" width="4" style="173" customWidth="1"/>
    <col min="12" max="16384" width="9.140625" style="173"/>
  </cols>
  <sheetData>
    <row r="1" spans="1:13" s="165" customFormat="1" ht="15" customHeight="1" x14ac:dyDescent="0.25">
      <c r="A1" s="1021"/>
      <c r="B1" s="1022"/>
      <c r="C1" s="160" t="s">
        <v>220</v>
      </c>
      <c r="D1" s="161" t="s">
        <v>392</v>
      </c>
      <c r="E1" s="161"/>
      <c r="F1" s="161"/>
      <c r="G1" s="161"/>
      <c r="H1" s="161"/>
      <c r="I1" s="162"/>
      <c r="J1" s="163"/>
      <c r="K1" s="164"/>
      <c r="L1" s="164"/>
      <c r="M1" s="164"/>
    </row>
    <row r="2" spans="1:13" s="116" customFormat="1" ht="15" customHeight="1" x14ac:dyDescent="0.25">
      <c r="A2" s="1021"/>
      <c r="B2" s="1022"/>
      <c r="C2" s="160" t="s">
        <v>1</v>
      </c>
      <c r="D2" s="166" t="s">
        <v>393</v>
      </c>
      <c r="E2" s="166"/>
      <c r="F2" s="166"/>
      <c r="G2" s="166"/>
      <c r="H2" s="166"/>
      <c r="I2" s="167"/>
      <c r="J2" s="168"/>
    </row>
    <row r="3" spans="1:13" s="116" customFormat="1" ht="15" customHeight="1" x14ac:dyDescent="0.25">
      <c r="A3" s="1023"/>
      <c r="B3" s="1024"/>
      <c r="C3" s="160" t="s">
        <v>2</v>
      </c>
      <c r="D3" s="161" t="s">
        <v>4254</v>
      </c>
      <c r="E3" s="169"/>
      <c r="F3" s="169"/>
      <c r="G3" s="169"/>
      <c r="H3" s="169"/>
      <c r="I3" s="170"/>
      <c r="J3" s="171"/>
    </row>
    <row r="4" spans="1:13" s="172" customFormat="1" ht="20.45" customHeight="1" x14ac:dyDescent="0.2">
      <c r="A4" s="1025" t="s">
        <v>221</v>
      </c>
      <c r="B4" s="1025"/>
      <c r="C4" s="1025"/>
      <c r="D4" s="1025"/>
      <c r="E4" s="1025"/>
      <c r="F4" s="1025"/>
      <c r="G4" s="1025"/>
      <c r="H4" s="1025"/>
      <c r="I4" s="1025"/>
      <c r="J4" s="1025"/>
    </row>
    <row r="5" spans="1:13" ht="18.75" customHeight="1" thickBot="1" x14ac:dyDescent="0.25"/>
    <row r="6" spans="1:13" ht="18.75" customHeight="1" x14ac:dyDescent="0.2">
      <c r="B6" s="174" t="s">
        <v>3</v>
      </c>
      <c r="C6" s="1026" t="s">
        <v>4</v>
      </c>
      <c r="D6" s="1027"/>
      <c r="E6" s="175" t="s">
        <v>5</v>
      </c>
      <c r="G6" s="1030" t="s">
        <v>258</v>
      </c>
      <c r="H6" s="1031"/>
      <c r="I6" s="1031"/>
      <c r="J6" s="1032"/>
    </row>
    <row r="7" spans="1:13" x14ac:dyDescent="0.2">
      <c r="B7" s="176" t="s">
        <v>10</v>
      </c>
      <c r="C7" s="1028" t="s">
        <v>11</v>
      </c>
      <c r="D7" s="1029"/>
      <c r="E7" s="177">
        <v>65</v>
      </c>
      <c r="G7" s="190"/>
      <c r="J7" s="191"/>
    </row>
    <row r="8" spans="1:13" x14ac:dyDescent="0.2">
      <c r="B8" s="176" t="s">
        <v>6</v>
      </c>
      <c r="C8" s="1015" t="s">
        <v>222</v>
      </c>
      <c r="D8" s="1016"/>
      <c r="E8" s="177">
        <v>1410.3</v>
      </c>
      <c r="G8" s="190"/>
      <c r="J8" s="191"/>
    </row>
    <row r="9" spans="1:13" x14ac:dyDescent="0.2">
      <c r="B9" s="178" t="s">
        <v>7</v>
      </c>
      <c r="C9" s="1015" t="s">
        <v>222</v>
      </c>
      <c r="D9" s="1016"/>
      <c r="E9" s="177">
        <f>SUM($E$15:$E$25)</f>
        <v>12828.330000000002</v>
      </c>
      <c r="G9" s="190"/>
      <c r="J9" s="191"/>
      <c r="K9" s="179"/>
    </row>
    <row r="10" spans="1:13" x14ac:dyDescent="0.2">
      <c r="B10" s="178" t="s">
        <v>8</v>
      </c>
      <c r="C10" s="1019" t="s">
        <v>9</v>
      </c>
      <c r="D10" s="1020"/>
      <c r="E10" s="177">
        <v>117</v>
      </c>
      <c r="G10" s="190"/>
      <c r="J10" s="191"/>
    </row>
    <row r="11" spans="1:13" x14ac:dyDescent="0.2">
      <c r="B11" s="178" t="s">
        <v>981</v>
      </c>
      <c r="C11" s="1019" t="s">
        <v>9</v>
      </c>
      <c r="D11" s="1020"/>
      <c r="E11" s="177">
        <v>4</v>
      </c>
      <c r="G11" s="190"/>
      <c r="J11" s="191"/>
    </row>
    <row r="12" spans="1:13" x14ac:dyDescent="0.2">
      <c r="B12" s="178" t="s">
        <v>228</v>
      </c>
      <c r="C12" s="1015" t="s">
        <v>222</v>
      </c>
      <c r="D12" s="1016"/>
      <c r="E12" s="181">
        <v>7101.75</v>
      </c>
      <c r="G12" s="190"/>
      <c r="J12" s="191"/>
    </row>
    <row r="13" spans="1:13" x14ac:dyDescent="0.2">
      <c r="B13" s="206" t="s">
        <v>12</v>
      </c>
      <c r="C13" s="1015" t="s">
        <v>9</v>
      </c>
      <c r="D13" s="1016"/>
      <c r="E13" s="177">
        <v>20</v>
      </c>
      <c r="G13" s="190"/>
      <c r="J13" s="191"/>
    </row>
    <row r="14" spans="1:13" x14ac:dyDescent="0.2">
      <c r="B14" s="180"/>
      <c r="C14" s="1015"/>
      <c r="D14" s="1016"/>
      <c r="E14" s="177"/>
      <c r="G14" s="190"/>
      <c r="J14" s="191"/>
    </row>
    <row r="15" spans="1:13" x14ac:dyDescent="0.2">
      <c r="B15" s="180" t="s">
        <v>223</v>
      </c>
      <c r="C15" s="1015" t="s">
        <v>222</v>
      </c>
      <c r="D15" s="1016"/>
      <c r="E15" s="177">
        <v>918.44</v>
      </c>
      <c r="G15" s="190"/>
      <c r="J15" s="191"/>
    </row>
    <row r="16" spans="1:13" x14ac:dyDescent="0.2">
      <c r="B16" s="180" t="s">
        <v>224</v>
      </c>
      <c r="C16" s="1015" t="s">
        <v>222</v>
      </c>
      <c r="D16" s="1016"/>
      <c r="E16" s="177">
        <v>1045.47</v>
      </c>
      <c r="G16" s="190"/>
      <c r="J16" s="191"/>
    </row>
    <row r="17" spans="2:10" x14ac:dyDescent="0.2">
      <c r="B17" s="180" t="s">
        <v>225</v>
      </c>
      <c r="C17" s="1015" t="s">
        <v>222</v>
      </c>
      <c r="D17" s="1016"/>
      <c r="E17" s="177">
        <v>1045.47</v>
      </c>
      <c r="G17" s="190"/>
      <c r="J17" s="191"/>
    </row>
    <row r="18" spans="2:10" x14ac:dyDescent="0.2">
      <c r="B18" s="180" t="s">
        <v>226</v>
      </c>
      <c r="C18" s="1015" t="s">
        <v>222</v>
      </c>
      <c r="D18" s="1016"/>
      <c r="E18" s="177">
        <v>1045.47</v>
      </c>
      <c r="G18" s="190"/>
      <c r="J18" s="191"/>
    </row>
    <row r="19" spans="2:10" x14ac:dyDescent="0.2">
      <c r="B19" s="180" t="s">
        <v>227</v>
      </c>
      <c r="C19" s="1015" t="s">
        <v>222</v>
      </c>
      <c r="D19" s="1016"/>
      <c r="E19" s="177">
        <v>1051.4100000000001</v>
      </c>
      <c r="G19" s="190"/>
      <c r="J19" s="191"/>
    </row>
    <row r="20" spans="2:10" x14ac:dyDescent="0.2">
      <c r="B20" s="180" t="s">
        <v>386</v>
      </c>
      <c r="C20" s="1015" t="s">
        <v>222</v>
      </c>
      <c r="D20" s="1016"/>
      <c r="E20" s="177">
        <v>545.33000000000004</v>
      </c>
      <c r="G20" s="190"/>
      <c r="J20" s="191"/>
    </row>
    <row r="21" spans="2:10" x14ac:dyDescent="0.2">
      <c r="B21" s="180" t="s">
        <v>387</v>
      </c>
      <c r="C21" s="1015" t="s">
        <v>222</v>
      </c>
      <c r="D21" s="1016"/>
      <c r="E21" s="177">
        <v>5998.63</v>
      </c>
      <c r="G21" s="190"/>
      <c r="J21" s="191"/>
    </row>
    <row r="22" spans="2:10" x14ac:dyDescent="0.2">
      <c r="B22" s="180" t="s">
        <v>388</v>
      </c>
      <c r="C22" s="1015" t="s">
        <v>222</v>
      </c>
      <c r="D22" s="1016"/>
      <c r="E22" s="177">
        <v>557.79</v>
      </c>
      <c r="G22" s="190"/>
      <c r="J22" s="191"/>
    </row>
    <row r="23" spans="2:10" x14ac:dyDescent="0.2">
      <c r="B23" s="180" t="s">
        <v>389</v>
      </c>
      <c r="C23" s="1015" t="s">
        <v>222</v>
      </c>
      <c r="D23" s="1016"/>
      <c r="E23" s="177">
        <v>546.39</v>
      </c>
      <c r="G23" s="190"/>
      <c r="J23" s="191"/>
    </row>
    <row r="24" spans="2:10" x14ac:dyDescent="0.2">
      <c r="B24" s="180" t="s">
        <v>390</v>
      </c>
      <c r="C24" s="1015" t="s">
        <v>222</v>
      </c>
      <c r="D24" s="1016"/>
      <c r="E24" s="177">
        <v>33.61</v>
      </c>
      <c r="G24" s="190"/>
      <c r="J24" s="191"/>
    </row>
    <row r="25" spans="2:10" x14ac:dyDescent="0.2">
      <c r="B25" s="180" t="s">
        <v>391</v>
      </c>
      <c r="C25" s="1015" t="s">
        <v>222</v>
      </c>
      <c r="D25" s="1016"/>
      <c r="E25" s="177">
        <v>40.32</v>
      </c>
      <c r="G25" s="190"/>
      <c r="J25" s="191"/>
    </row>
    <row r="26" spans="2:10" x14ac:dyDescent="0.2">
      <c r="B26" s="180"/>
      <c r="C26" s="1015"/>
      <c r="D26" s="1016"/>
      <c r="E26" s="177"/>
      <c r="G26" s="190"/>
      <c r="J26" s="191"/>
    </row>
    <row r="27" spans="2:10" x14ac:dyDescent="0.2">
      <c r="B27" s="180"/>
      <c r="C27" s="1015"/>
      <c r="D27" s="1016"/>
      <c r="E27" s="177"/>
      <c r="G27" s="190"/>
      <c r="J27" s="191"/>
    </row>
    <row r="28" spans="2:10" x14ac:dyDescent="0.2">
      <c r="B28" s="180"/>
      <c r="C28" s="1015"/>
      <c r="D28" s="1016"/>
      <c r="E28" s="177"/>
      <c r="G28" s="190"/>
      <c r="J28" s="191"/>
    </row>
    <row r="29" spans="2:10" ht="13.5" thickBot="1" x14ac:dyDescent="0.25">
      <c r="B29" s="205"/>
      <c r="C29" s="1017"/>
      <c r="D29" s="1018"/>
      <c r="E29" s="182"/>
      <c r="G29" s="190"/>
      <c r="J29" s="191"/>
    </row>
    <row r="30" spans="2:10" ht="13.5" thickBot="1" x14ac:dyDescent="0.25">
      <c r="G30" s="190"/>
      <c r="J30" s="191"/>
    </row>
    <row r="31" spans="2:10" x14ac:dyDescent="0.2">
      <c r="B31" s="958" t="s">
        <v>229</v>
      </c>
      <c r="C31" s="959" t="s">
        <v>230</v>
      </c>
      <c r="D31" s="959" t="s">
        <v>231</v>
      </c>
      <c r="E31" s="960" t="s">
        <v>232</v>
      </c>
      <c r="G31" s="190"/>
      <c r="J31" s="191"/>
    </row>
    <row r="32" spans="2:10" x14ac:dyDescent="0.2">
      <c r="B32" s="961" t="s">
        <v>181</v>
      </c>
      <c r="C32" s="183">
        <f ca="1">Ger_Administrativo!N117</f>
        <v>3704814.2581239017</v>
      </c>
      <c r="D32" s="184">
        <f t="shared" ref="D32:D52" ca="1" si="0">C32/C$53</f>
        <v>9.1657529568357113E-2</v>
      </c>
      <c r="E32" s="962">
        <f t="shared" ref="E32:E51" ca="1" si="1">C32/$E$9</f>
        <v>288.7994195755723</v>
      </c>
      <c r="G32" s="190"/>
      <c r="J32" s="191"/>
    </row>
    <row r="33" spans="2:10" x14ac:dyDescent="0.2">
      <c r="B33" s="963" t="s">
        <v>233</v>
      </c>
      <c r="C33" s="185">
        <f ca="1">Ger_Executivo!$N$8</f>
        <v>219102.12</v>
      </c>
      <c r="D33" s="186">
        <f t="shared" ca="1" si="0"/>
        <v>5.4206115727268144E-3</v>
      </c>
      <c r="E33" s="964">
        <f t="shared" ca="1" si="1"/>
        <v>17.07955127440594</v>
      </c>
      <c r="G33" s="190"/>
      <c r="J33" s="191"/>
    </row>
    <row r="34" spans="2:10" x14ac:dyDescent="0.2">
      <c r="B34" s="961" t="s">
        <v>234</v>
      </c>
      <c r="C34" s="183">
        <f ca="1">Ger_Executivo!$N$12</f>
        <v>1917879.85</v>
      </c>
      <c r="D34" s="184">
        <f t="shared" ca="1" si="0"/>
        <v>4.7448567407789424E-2</v>
      </c>
      <c r="E34" s="962">
        <f t="shared" ca="1" si="1"/>
        <v>149.50347005416916</v>
      </c>
      <c r="G34" s="190"/>
      <c r="J34" s="191"/>
    </row>
    <row r="35" spans="2:10" x14ac:dyDescent="0.2">
      <c r="B35" s="963" t="s">
        <v>195</v>
      </c>
      <c r="C35" s="185">
        <f ca="1">Ger_Executivo!$N$20</f>
        <v>7592333.4607472913</v>
      </c>
      <c r="D35" s="186">
        <f t="shared" ca="1" si="0"/>
        <v>0.18783520041397953</v>
      </c>
      <c r="E35" s="964">
        <f t="shared" ca="1" si="1"/>
        <v>591.84114072114528</v>
      </c>
      <c r="G35" s="190"/>
      <c r="J35" s="191"/>
    </row>
    <row r="36" spans="2:10" x14ac:dyDescent="0.2">
      <c r="B36" s="961" t="s">
        <v>235</v>
      </c>
      <c r="C36" s="183">
        <f ca="1">Ger_Executivo!$N$49</f>
        <v>1859633.3236303444</v>
      </c>
      <c r="D36" s="184">
        <f t="shared" ca="1" si="0"/>
        <v>4.6007541666411418E-2</v>
      </c>
      <c r="E36" s="962">
        <f t="shared" ca="1" si="1"/>
        <v>144.96300949775568</v>
      </c>
      <c r="G36" s="190"/>
      <c r="J36" s="191"/>
    </row>
    <row r="37" spans="2:10" x14ac:dyDescent="0.2">
      <c r="B37" s="963" t="s">
        <v>236</v>
      </c>
      <c r="C37" s="185">
        <f ca="1">Ger_Executivo!$N$97+Ger_Executivo!$N$113+Ger_Executivo!$N$129+Ger_Executivo!$N$143</f>
        <v>3220119.8753599999</v>
      </c>
      <c r="D37" s="186">
        <f t="shared" ca="1" si="0"/>
        <v>7.9666134960008808E-2</v>
      </c>
      <c r="E37" s="964">
        <f t="shared" ca="1" si="1"/>
        <v>251.01629560199959</v>
      </c>
      <c r="G37" s="190"/>
      <c r="J37" s="191"/>
    </row>
    <row r="38" spans="2:10" x14ac:dyDescent="0.2">
      <c r="B38" s="961" t="s">
        <v>237</v>
      </c>
      <c r="C38" s="183">
        <f ca="1">Ger_Executivo!N152+Ger_Executivo!N171</f>
        <v>763867.44500000007</v>
      </c>
      <c r="D38" s="184">
        <f t="shared" ca="1" si="0"/>
        <v>1.8898168180190425E-2</v>
      </c>
      <c r="E38" s="962">
        <f t="shared" ca="1" si="1"/>
        <v>59.545353526140971</v>
      </c>
      <c r="G38" s="190"/>
      <c r="J38" s="191"/>
    </row>
    <row r="39" spans="2:10" x14ac:dyDescent="0.2">
      <c r="B39" s="963" t="s">
        <v>238</v>
      </c>
      <c r="C39" s="185">
        <f ca="1">Ger_Executivo!N180+Ger_Executivo!N213-C42-C43</f>
        <v>2890872.1123314239</v>
      </c>
      <c r="D39" s="186">
        <f t="shared" ca="1" si="0"/>
        <v>7.1520507548612167E-2</v>
      </c>
      <c r="E39" s="964">
        <f t="shared" ca="1" si="1"/>
        <v>225.35061947513228</v>
      </c>
      <c r="G39" s="190"/>
      <c r="J39" s="191"/>
    </row>
    <row r="40" spans="2:10" x14ac:dyDescent="0.2">
      <c r="B40" s="961" t="s">
        <v>239</v>
      </c>
      <c r="C40" s="183">
        <f ca="1">Ger_Executivo!N203-C44</f>
        <v>154365.25901499996</v>
      </c>
      <c r="D40" s="184">
        <f ca="1">C40/C$53</f>
        <v>3.8190142087337221E-3</v>
      </c>
      <c r="E40" s="962">
        <f ca="1">C40/$E$9</f>
        <v>12.033153108393684</v>
      </c>
      <c r="G40" s="190"/>
      <c r="J40" s="191"/>
    </row>
    <row r="41" spans="2:10" x14ac:dyDescent="0.2">
      <c r="B41" s="963" t="s">
        <v>240</v>
      </c>
      <c r="C41" s="185">
        <f ca="1">Ger_Executivo!N66</f>
        <v>712167.4702824275</v>
      </c>
      <c r="D41" s="186">
        <f t="shared" ca="1" si="0"/>
        <v>1.7619104877362693E-2</v>
      </c>
      <c r="E41" s="964">
        <f ca="1">C41/$E$9</f>
        <v>55.515212836154618</v>
      </c>
      <c r="G41" s="190"/>
      <c r="J41" s="191"/>
    </row>
    <row r="42" spans="2:10" x14ac:dyDescent="0.2">
      <c r="B42" s="961" t="s">
        <v>241</v>
      </c>
      <c r="C42" s="183">
        <f ca="1">Ger_Executivo!N188+Ger_Executivo!N190+Ger_Executivo!N194+SUM(Ger_Executivo!N199:N202)</f>
        <v>493288.58694945788</v>
      </c>
      <c r="D42" s="184">
        <f t="shared" ca="1" si="0"/>
        <v>1.2204016205376237E-2</v>
      </c>
      <c r="E42" s="962">
        <f t="shared" ca="1" si="1"/>
        <v>38.453063411173382</v>
      </c>
      <c r="G42" s="190"/>
      <c r="J42" s="191"/>
    </row>
    <row r="43" spans="2:10" x14ac:dyDescent="0.2">
      <c r="B43" s="963" t="s">
        <v>242</v>
      </c>
      <c r="C43" s="185">
        <f ca="1">SUM(Ger_Executivo!N225+Ger_Executivo!N232+Ger_Executivo!N234+Ger_Executivo!N241+SUM(Ger_Executivo!N248:N255))</f>
        <v>1802998.3612198697</v>
      </c>
      <c r="D43" s="186">
        <f t="shared" ca="1" si="0"/>
        <v>4.4606386202177814E-2</v>
      </c>
      <c r="E43" s="964">
        <f t="shared" ca="1" si="1"/>
        <v>140.54817433133303</v>
      </c>
      <c r="G43" s="190"/>
      <c r="J43" s="191"/>
    </row>
    <row r="44" spans="2:10" x14ac:dyDescent="0.2">
      <c r="B44" s="961" t="s">
        <v>243</v>
      </c>
      <c r="C44" s="183">
        <f ca="1">Ger_Executivo!N207+Ger_Executivo!N209</f>
        <v>564595.58759999997</v>
      </c>
      <c r="D44" s="184">
        <f t="shared" ca="1" si="0"/>
        <v>1.3968159578077363E-2</v>
      </c>
      <c r="E44" s="962">
        <f t="shared" ca="1" si="1"/>
        <v>44.011620187506864</v>
      </c>
      <c r="G44" s="190"/>
      <c r="J44" s="191"/>
    </row>
    <row r="45" spans="2:10" x14ac:dyDescent="0.2">
      <c r="B45" s="963" t="s">
        <v>244</v>
      </c>
      <c r="C45" s="185">
        <f ca="1">Ger_Executivo!$N$256</f>
        <v>2171928.8232569261</v>
      </c>
      <c r="D45" s="186">
        <f t="shared" ca="1" si="0"/>
        <v>5.3733768137366383E-2</v>
      </c>
      <c r="E45" s="964">
        <f t="shared" ca="1" si="1"/>
        <v>169.30721483286803</v>
      </c>
      <c r="G45" s="190"/>
      <c r="J45" s="191"/>
    </row>
    <row r="46" spans="2:10" x14ac:dyDescent="0.2">
      <c r="B46" s="961" t="s">
        <v>245</v>
      </c>
      <c r="C46" s="183">
        <f ca="1">Ger_Executivo!$N$337</f>
        <v>1882731.3978797966</v>
      </c>
      <c r="D46" s="184">
        <f t="shared" ca="1" si="0"/>
        <v>4.6578990671944931E-2</v>
      </c>
      <c r="E46" s="962">
        <f t="shared" ca="1" si="1"/>
        <v>146.76356142068346</v>
      </c>
      <c r="G46" s="190"/>
      <c r="J46" s="191"/>
    </row>
    <row r="47" spans="2:10" x14ac:dyDescent="0.2">
      <c r="B47" s="963" t="s">
        <v>246</v>
      </c>
      <c r="C47" s="185">
        <f ca="1">Ger_Executivo!N276</f>
        <v>5635901.6365585728</v>
      </c>
      <c r="D47" s="186">
        <f t="shared" ca="1" si="0"/>
        <v>0.13943285274409664</v>
      </c>
      <c r="E47" s="964">
        <f ca="1">C47/$E$9</f>
        <v>439.33244908406408</v>
      </c>
      <c r="G47" s="190"/>
      <c r="J47" s="191"/>
    </row>
    <row r="48" spans="2:10" x14ac:dyDescent="0.2">
      <c r="B48" s="961" t="s">
        <v>247</v>
      </c>
      <c r="C48" s="183">
        <f ca="1">Ger_Executivo!N316</f>
        <v>563017.14800000004</v>
      </c>
      <c r="D48" s="184">
        <f t="shared" ca="1" si="0"/>
        <v>1.3929108801377394E-2</v>
      </c>
      <c r="E48" s="962">
        <f t="shared" ca="1" si="1"/>
        <v>43.888576923106903</v>
      </c>
      <c r="G48" s="190"/>
      <c r="J48" s="191"/>
    </row>
    <row r="49" spans="2:10" x14ac:dyDescent="0.2">
      <c r="B49" s="963" t="s">
        <v>248</v>
      </c>
      <c r="C49" s="185">
        <f ca="1">Ger_Executivo!N324</f>
        <v>147997.62263807998</v>
      </c>
      <c r="D49" s="186">
        <f t="shared" ca="1" si="0"/>
        <v>3.6614781546067759E-3</v>
      </c>
      <c r="E49" s="964">
        <f t="shared" ca="1" si="1"/>
        <v>11.536780129454103</v>
      </c>
      <c r="G49" s="190"/>
      <c r="J49" s="191"/>
    </row>
    <row r="50" spans="2:10" x14ac:dyDescent="0.2">
      <c r="B50" s="961" t="s">
        <v>249</v>
      </c>
      <c r="C50" s="183">
        <f ca="1">Ger_Executivo!N160</f>
        <v>1151030</v>
      </c>
      <c r="D50" s="184">
        <f t="shared" ca="1" si="0"/>
        <v>2.8476614185913608E-2</v>
      </c>
      <c r="E50" s="962">
        <f t="shared" ca="1" si="1"/>
        <v>89.725630693940658</v>
      </c>
      <c r="G50" s="190"/>
      <c r="J50" s="191"/>
    </row>
    <row r="51" spans="2:10" x14ac:dyDescent="0.2">
      <c r="B51" s="963" t="s">
        <v>199</v>
      </c>
      <c r="C51" s="185">
        <f ca="1">Ger_Executivo!N365</f>
        <v>2251630.964046597</v>
      </c>
      <c r="D51" s="186">
        <f t="shared" ca="1" si="0"/>
        <v>5.5705608239760611E-2</v>
      </c>
      <c r="E51" s="964">
        <f t="shared" ca="1" si="1"/>
        <v>175.52019351284201</v>
      </c>
      <c r="G51" s="190"/>
      <c r="J51" s="191"/>
    </row>
    <row r="52" spans="2:10" x14ac:dyDescent="0.2">
      <c r="B52" s="961" t="s">
        <v>250</v>
      </c>
      <c r="C52" s="183">
        <f ca="1">Ger_Executivo!N392</f>
        <v>719909.22089031583</v>
      </c>
      <c r="D52" s="184">
        <f t="shared" ca="1" si="0"/>
        <v>1.7810636675130258E-2</v>
      </c>
      <c r="E52" s="962">
        <f ca="1">C52/$E$9</f>
        <v>56.118701412445404</v>
      </c>
      <c r="G52" s="190"/>
      <c r="J52" s="191"/>
    </row>
    <row r="53" spans="2:10" x14ac:dyDescent="0.2">
      <c r="B53" s="965" t="s">
        <v>56</v>
      </c>
      <c r="C53" s="187">
        <f ca="1">SUM(C32:C52)</f>
        <v>40420184.523529999</v>
      </c>
      <c r="D53" s="188">
        <f ca="1">SUM(D32:D52)</f>
        <v>1.0000000000000002</v>
      </c>
      <c r="E53" s="966">
        <f ca="1">SUM(E32:E52)</f>
        <v>3150.8531916102879</v>
      </c>
      <c r="F53" s="189"/>
      <c r="G53" s="192"/>
      <c r="J53" s="191"/>
    </row>
    <row r="54" spans="2:10" ht="13.5" thickBot="1" x14ac:dyDescent="0.25">
      <c r="B54" s="967" t="s">
        <v>197</v>
      </c>
      <c r="C54" s="968">
        <v>2863.73</v>
      </c>
      <c r="D54" s="969">
        <v>45597</v>
      </c>
      <c r="E54" s="970" t="str">
        <f ca="1">ROUNDUP(+E53/C54,2)&amp;" CUB"</f>
        <v>1,11 CUB</v>
      </c>
      <c r="G54" s="193"/>
      <c r="H54" s="194"/>
      <c r="I54" s="194"/>
      <c r="J54" s="195"/>
    </row>
    <row r="56" spans="2:10" x14ac:dyDescent="0.2">
      <c r="E56" s="189"/>
    </row>
    <row r="57" spans="2:10" x14ac:dyDescent="0.2">
      <c r="E57" s="189"/>
    </row>
    <row r="58" spans="2:10" x14ac:dyDescent="0.2">
      <c r="C58" s="189"/>
      <c r="D58" s="189"/>
      <c r="E58" s="189"/>
    </row>
    <row r="59" spans="2:10" x14ac:dyDescent="0.2">
      <c r="E59" s="189"/>
    </row>
    <row r="60" spans="2:10" x14ac:dyDescent="0.2">
      <c r="E60" s="189"/>
    </row>
    <row r="61" spans="2:10" x14ac:dyDescent="0.2">
      <c r="E61" s="189"/>
    </row>
    <row r="62" spans="2:10" x14ac:dyDescent="0.2">
      <c r="E62" s="189"/>
    </row>
    <row r="63" spans="2:10" x14ac:dyDescent="0.2">
      <c r="E63" s="189"/>
    </row>
    <row r="64" spans="2:10" x14ac:dyDescent="0.2">
      <c r="E64" s="189"/>
    </row>
    <row r="65" spans="3:5" x14ac:dyDescent="0.2">
      <c r="E65" s="189"/>
    </row>
    <row r="66" spans="3:5" x14ac:dyDescent="0.2">
      <c r="E66" s="189"/>
    </row>
    <row r="67" spans="3:5" x14ac:dyDescent="0.2">
      <c r="E67" s="189"/>
    </row>
    <row r="68" spans="3:5" x14ac:dyDescent="0.2">
      <c r="E68" s="189"/>
    </row>
    <row r="69" spans="3:5" x14ac:dyDescent="0.2">
      <c r="E69" s="189"/>
    </row>
    <row r="70" spans="3:5" x14ac:dyDescent="0.2">
      <c r="C70" s="189"/>
      <c r="D70" s="189"/>
      <c r="E70" s="189"/>
    </row>
    <row r="71" spans="3:5" x14ac:dyDescent="0.2">
      <c r="E71" s="189"/>
    </row>
    <row r="72" spans="3:5" x14ac:dyDescent="0.2">
      <c r="E72" s="189"/>
    </row>
    <row r="73" spans="3:5" x14ac:dyDescent="0.2">
      <c r="E73" s="189"/>
    </row>
    <row r="74" spans="3:5" x14ac:dyDescent="0.2">
      <c r="E74" s="189"/>
    </row>
    <row r="75" spans="3:5" x14ac:dyDescent="0.2">
      <c r="E75" s="189"/>
    </row>
    <row r="76" spans="3:5" x14ac:dyDescent="0.2">
      <c r="E76" s="189"/>
    </row>
    <row r="77" spans="3:5" x14ac:dyDescent="0.2">
      <c r="E77" s="189"/>
    </row>
    <row r="78" spans="3:5" x14ac:dyDescent="0.2">
      <c r="E78" s="189"/>
    </row>
    <row r="79" spans="3:5" x14ac:dyDescent="0.2">
      <c r="E79" s="189"/>
    </row>
  </sheetData>
  <mergeCells count="27">
    <mergeCell ref="A1:B3"/>
    <mergeCell ref="A4:J4"/>
    <mergeCell ref="C6:D6"/>
    <mergeCell ref="C7:D7"/>
    <mergeCell ref="C8:D8"/>
    <mergeCell ref="G6:J6"/>
    <mergeCell ref="C14:D14"/>
    <mergeCell ref="C15:D15"/>
    <mergeCell ref="C16:D16"/>
    <mergeCell ref="C17:D17"/>
    <mergeCell ref="C18:D18"/>
    <mergeCell ref="C9:D9"/>
    <mergeCell ref="C27:D27"/>
    <mergeCell ref="C28:D28"/>
    <mergeCell ref="C29:D29"/>
    <mergeCell ref="C10:D10"/>
    <mergeCell ref="C19:D19"/>
    <mergeCell ref="C20:D20"/>
    <mergeCell ref="C21:D21"/>
    <mergeCell ref="C22:D22"/>
    <mergeCell ref="C23:D23"/>
    <mergeCell ref="C24:D24"/>
    <mergeCell ref="C11:D11"/>
    <mergeCell ref="C12:D12"/>
    <mergeCell ref="C13:D13"/>
    <mergeCell ref="C25:D25"/>
    <mergeCell ref="C26:D26"/>
  </mergeCells>
  <pageMargins left="0.511811024" right="0.511811024" top="0.78740157499999996" bottom="0.78740157499999996" header="0.31496062000000002" footer="0.31496062000000002"/>
  <pageSetup paperSize="9" scale="42" orientation="portrait"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outlinePr summaryBelow="0"/>
  </sheetPr>
  <dimension ref="A1:T754"/>
  <sheetViews>
    <sheetView showGridLines="0" topLeftCell="F41" zoomScale="115" zoomScaleNormal="115" workbookViewId="0">
      <selection activeCell="N47" sqref="N47"/>
    </sheetView>
  </sheetViews>
  <sheetFormatPr defaultColWidth="9.140625" defaultRowHeight="14.1" customHeight="1" outlineLevelRow="1" outlineLevelCol="1" x14ac:dyDescent="0.25"/>
  <cols>
    <col min="1" max="5" width="4" style="130" hidden="1" customWidth="1" outlineLevel="1"/>
    <col min="6" max="6" width="3.140625" style="130" customWidth="1" collapsed="1"/>
    <col min="7" max="7" width="7.28515625" style="131" customWidth="1"/>
    <col min="8" max="8" width="8.5703125" style="131" customWidth="1" outlineLevel="1"/>
    <col min="9" max="9" width="12.28515625" style="131" customWidth="1"/>
    <col min="10" max="10" width="48" style="130" customWidth="1"/>
    <col min="11" max="11" width="6.85546875" style="132" customWidth="1"/>
    <col min="12" max="12" width="11.140625" style="413" customWidth="1"/>
    <col min="13" max="13" width="12.7109375" style="413" customWidth="1"/>
    <col min="14" max="14" width="11.140625" style="414" customWidth="1"/>
    <col min="15" max="15" width="23.42578125" style="415" customWidth="1" outlineLevel="1"/>
    <col min="16" max="16" width="17.5703125" style="133" customWidth="1"/>
    <col min="17" max="17" width="8.7109375" style="130" customWidth="1"/>
    <col min="18" max="18" width="11.28515625" style="132" customWidth="1"/>
    <col min="19" max="19" width="10.28515625" style="132" bestFit="1" customWidth="1"/>
    <col min="20" max="20" width="10.140625" style="130" bestFit="1" customWidth="1"/>
    <col min="21" max="16384" width="9.140625" style="130"/>
  </cols>
  <sheetData>
    <row r="1" spans="1:20" s="95" customFormat="1" ht="6.75" customHeight="1" x14ac:dyDescent="0.2">
      <c r="D1" s="119"/>
      <c r="E1" s="119"/>
      <c r="G1" s="96"/>
      <c r="H1" s="96"/>
      <c r="I1" s="96"/>
      <c r="J1" s="97"/>
      <c r="K1" s="98"/>
      <c r="L1" s="97"/>
      <c r="M1" s="97"/>
      <c r="N1" s="99"/>
      <c r="O1" s="97"/>
      <c r="P1" s="100"/>
      <c r="R1" s="378"/>
      <c r="S1" s="378"/>
    </row>
    <row r="2" spans="1:20" s="101" customFormat="1" ht="17.45" customHeight="1" x14ac:dyDescent="0.25">
      <c r="D2" s="119"/>
      <c r="E2" s="119"/>
      <c r="G2" s="102"/>
      <c r="H2" s="103"/>
      <c r="I2" s="103"/>
      <c r="J2" s="103"/>
      <c r="K2" s="104"/>
      <c r="L2" s="104"/>
      <c r="M2" s="104"/>
      <c r="N2" s="105"/>
      <c r="O2" s="106"/>
      <c r="P2" s="107"/>
      <c r="Q2" s="379"/>
      <c r="R2" s="380"/>
      <c r="S2" s="381"/>
    </row>
    <row r="3" spans="1:20" s="101" customFormat="1" ht="18" customHeight="1" x14ac:dyDescent="0.25">
      <c r="D3" s="119"/>
      <c r="E3" s="119"/>
      <c r="G3" s="108"/>
      <c r="H3" s="109"/>
      <c r="I3" s="109"/>
      <c r="J3" s="109"/>
      <c r="K3" s="110"/>
      <c r="L3" s="110"/>
      <c r="M3" s="110"/>
      <c r="N3" s="111"/>
      <c r="O3" s="112"/>
      <c r="P3" s="113"/>
      <c r="Q3" s="379"/>
      <c r="R3" s="380"/>
      <c r="S3" s="381"/>
    </row>
    <row r="4" spans="1:20" s="114" customFormat="1" ht="15" customHeight="1" x14ac:dyDescent="0.2">
      <c r="D4" s="119"/>
      <c r="E4" s="119"/>
      <c r="G4" s="115" t="s">
        <v>177</v>
      </c>
      <c r="H4" s="117"/>
      <c r="I4" s="116" t="str">
        <f>Obra!D1</f>
        <v>Atlantia</v>
      </c>
      <c r="J4" s="382"/>
      <c r="N4" s="383"/>
      <c r="O4" s="117"/>
      <c r="P4" s="118" t="s">
        <v>178</v>
      </c>
      <c r="R4" s="384"/>
      <c r="T4" s="385"/>
    </row>
    <row r="5" spans="1:20" s="119" customFormat="1" ht="15" customHeight="1" x14ac:dyDescent="0.25">
      <c r="G5" s="120" t="s">
        <v>180</v>
      </c>
      <c r="H5" s="386"/>
      <c r="I5" s="121" t="str">
        <f>Obra!D2</f>
        <v>H empreendimentos</v>
      </c>
      <c r="J5" s="122"/>
      <c r="N5" s="387"/>
      <c r="O5" s="123"/>
      <c r="P5" s="124" t="s">
        <v>4253</v>
      </c>
      <c r="R5" s="384"/>
    </row>
    <row r="6" spans="1:20" s="125" customFormat="1" ht="18" customHeight="1" x14ac:dyDescent="0.2">
      <c r="A6" s="416" t="s">
        <v>423</v>
      </c>
      <c r="B6" s="416" t="s">
        <v>424</v>
      </c>
      <c r="C6" s="416" t="s">
        <v>425</v>
      </c>
      <c r="D6" s="416" t="s">
        <v>426</v>
      </c>
      <c r="E6" s="416" t="s">
        <v>427</v>
      </c>
      <c r="F6" s="119"/>
      <c r="G6" s="1033" t="s">
        <v>428</v>
      </c>
      <c r="H6" s="1033"/>
      <c r="I6" s="1033"/>
      <c r="J6" s="1033"/>
      <c r="K6" s="1033"/>
      <c r="L6" s="1033"/>
      <c r="M6" s="1033"/>
      <c r="N6" s="1033"/>
      <c r="O6" s="1033"/>
      <c r="P6" s="1033"/>
      <c r="R6" s="389"/>
      <c r="S6" s="389"/>
    </row>
    <row r="7" spans="1:20" s="126" customFormat="1" ht="24" customHeight="1" x14ac:dyDescent="0.25">
      <c r="A7" s="390">
        <v>0</v>
      </c>
      <c r="B7" s="390">
        <v>0</v>
      </c>
      <c r="C7" s="390">
        <v>0</v>
      </c>
      <c r="D7" s="391">
        <v>0</v>
      </c>
      <c r="E7" s="391">
        <v>0</v>
      </c>
      <c r="G7" s="127" t="s">
        <v>182</v>
      </c>
      <c r="H7" s="392" t="s">
        <v>429</v>
      </c>
      <c r="I7" s="128" t="s">
        <v>183</v>
      </c>
      <c r="J7" s="129" t="s">
        <v>3</v>
      </c>
      <c r="K7" s="393" t="s">
        <v>4</v>
      </c>
      <c r="L7" s="394" t="s">
        <v>184</v>
      </c>
      <c r="M7" s="394" t="s">
        <v>185</v>
      </c>
      <c r="N7" s="394" t="s">
        <v>105</v>
      </c>
      <c r="O7" s="395" t="s">
        <v>186</v>
      </c>
      <c r="P7" s="396" t="s">
        <v>187</v>
      </c>
      <c r="R7" s="397"/>
      <c r="S7" s="397"/>
    </row>
    <row r="8" spans="1:20" s="125" customFormat="1" ht="13.9" customHeight="1" x14ac:dyDescent="0.25">
      <c r="A8" s="390">
        <f ca="1">IF($H8="UNIDADE CONSTRUTIVA",OFFSET(A8,-1,0)+1,LARGE(A$3:A7,1))</f>
        <v>0</v>
      </c>
      <c r="B8" s="390">
        <f t="shared" ref="B8" ca="1" si="0">IF(H8="UNIDADE CONSTRUTIVA",0,IF(H8="CÉLULA CONSTRUTIVA",OFFSET(B8,-1,0)+1,OFFSET(B8,-1,0)))</f>
        <v>1</v>
      </c>
      <c r="C8" s="390">
        <f t="shared" ref="C8" ca="1" si="1">IF(H8="CÉLULA CONSTRUTIVA",0,IF(H8="ETAPA",OFFSET(C8,-1,0)+1,OFFSET(C8,-1,0)))</f>
        <v>0</v>
      </c>
      <c r="D8" s="391">
        <f t="shared" ref="D8" ca="1" si="2">IF(H8="ETAPA",0,IF(H8="SUBETAPA",OFFSET(D8,-1,0)+1,OFFSET(D8,-1,0)))</f>
        <v>0</v>
      </c>
      <c r="E8" s="391">
        <f t="shared" ref="E8" ca="1" si="3">IF(H8="Subetapa",0,IF(H8="serviço",OFFSET(E8,-1,0)+1,OFFSET(E8,-1,0)))</f>
        <v>0</v>
      </c>
      <c r="G8" s="398"/>
      <c r="H8" s="399" t="s">
        <v>430</v>
      </c>
      <c r="I8" s="400" t="str">
        <f t="shared" ref="I8:I70" ca="1" si="4">IF(H8="Unidade Construtiva",TEXT(A8,"00"),IF(H8="Célula Construtiva",TEXT(B8,"00"),IF(H8="Etapa",CONCATENATE(TEXT(B8,"00"),".",TEXT(C8,"000")),IF(H8="Subetapa",CONCATENATE(TEXT(B8,"00"),".",TEXT(C8,"000"),".",TEXT(D8,"000")),IF(H8="Serviço",CONCATENATE(TEXT(B8,"00"),".",TEXT(C8,"000"),".",TEXT(D8,"000"),".",TEXT(E8,"000")),"")))))</f>
        <v>01</v>
      </c>
      <c r="J8" s="401" t="s">
        <v>607</v>
      </c>
      <c r="K8" s="402"/>
      <c r="L8" s="403"/>
      <c r="M8" s="403"/>
      <c r="N8" s="404">
        <f t="shared" ref="N8:N39" ca="1" si="5">IF(H8="Serviço",M8*L8,IF(H8="CÉLULA CONSTRUTIVA",SUMIFS($N$8:$N$410,$B$8:$B$410,B8,$H$8:$H$410,"Serviço"),IF(H8="ETAPA",SUMIFS($N$8:$N$410,$B$8:$B$410,B8,$C$8:$C$410,C8,$H$8:$H$410,"Serviço"),IF(H8="SUBETAPA",SUMIFS($N$8:$N$410,$B$8:$B$410,B8,$C$8:$C$410,C8,$D$8:$D$410,D8,$H$8:$H$410,"Serviço"),0))))</f>
        <v>908320.38423803425</v>
      </c>
      <c r="O8" s="405"/>
      <c r="P8" s="406" t="s">
        <v>188</v>
      </c>
      <c r="R8" s="389"/>
      <c r="S8" s="389"/>
    </row>
    <row r="9" spans="1:20" s="125" customFormat="1" ht="13.9" customHeight="1" x14ac:dyDescent="0.25">
      <c r="A9" s="390">
        <f ca="1">IF($H9="UNIDADE CONSTRUTIVA",OFFSET(A9,-1,0)+1,LARGE(A$3:A8,1))</f>
        <v>0</v>
      </c>
      <c r="B9" s="390">
        <f t="shared" ref="B9:B72" ca="1" si="6">IF(H9="UNIDADE CONSTRUTIVA",0,IF(H9="CÉLULA CONSTRUTIVA",OFFSET(B9,-1,0)+1,OFFSET(B9,-1,0)))</f>
        <v>1</v>
      </c>
      <c r="C9" s="390">
        <f t="shared" ref="C9:C72" ca="1" si="7">IF(H9="CÉLULA CONSTRUTIVA",0,IF(H9="ETAPA",OFFSET(C9,-1,0)+1,OFFSET(C9,-1,0)))</f>
        <v>1</v>
      </c>
      <c r="D9" s="391">
        <f t="shared" ref="D9:D72" ca="1" si="8">IF(H9="ETAPA",0,IF(H9="SUBETAPA",OFFSET(D9,-1,0)+1,OFFSET(D9,-1,0)))</f>
        <v>0</v>
      </c>
      <c r="E9" s="391">
        <f t="shared" ref="E9:E72" ca="1" si="9">IF(H9="Subetapa",0,IF(H9="serviço",OFFSET(E9,-1,0)+1,OFFSET(E9,-1,0)))</f>
        <v>0</v>
      </c>
      <c r="G9" s="398"/>
      <c r="H9" s="399" t="s">
        <v>229</v>
      </c>
      <c r="I9" s="400" t="str">
        <f t="shared" ca="1" si="4"/>
        <v>01.001</v>
      </c>
      <c r="J9" s="401" t="s">
        <v>608</v>
      </c>
      <c r="K9" s="402"/>
      <c r="L9" s="403"/>
      <c r="M9" s="403"/>
      <c r="N9" s="404">
        <f t="shared" ca="1" si="5"/>
        <v>553376.3904380342</v>
      </c>
      <c r="O9" s="405"/>
      <c r="P9" s="406" t="s">
        <v>188</v>
      </c>
      <c r="R9" s="389"/>
      <c r="S9" s="389"/>
    </row>
    <row r="10" spans="1:20" s="125" customFormat="1" ht="13.9" customHeight="1" x14ac:dyDescent="0.25">
      <c r="A10" s="390">
        <f ca="1">IF($H10="UNIDADE CONSTRUTIVA",OFFSET(A10,-1,0)+1,LARGE(A$3:A9,1))</f>
        <v>0</v>
      </c>
      <c r="B10" s="390">
        <f t="shared" ca="1" si="6"/>
        <v>1</v>
      </c>
      <c r="C10" s="390">
        <f t="shared" ca="1" si="7"/>
        <v>1</v>
      </c>
      <c r="D10" s="391">
        <f t="shared" ca="1" si="8"/>
        <v>1</v>
      </c>
      <c r="E10" s="391">
        <f t="shared" ca="1" si="9"/>
        <v>0</v>
      </c>
      <c r="G10" s="398"/>
      <c r="H10" s="399" t="s">
        <v>432</v>
      </c>
      <c r="I10" s="400" t="str">
        <f t="shared" ca="1" si="4"/>
        <v>01.001.001</v>
      </c>
      <c r="J10" s="401" t="s">
        <v>98</v>
      </c>
      <c r="K10" s="402"/>
      <c r="L10" s="403"/>
      <c r="M10" s="403"/>
      <c r="N10" s="404">
        <f t="shared" ca="1" si="5"/>
        <v>47208.254400000005</v>
      </c>
      <c r="O10" s="405"/>
      <c r="P10" s="406"/>
      <c r="R10" s="389"/>
      <c r="S10" s="389"/>
    </row>
    <row r="11" spans="1:20" s="125" customFormat="1" ht="13.9" customHeight="1" outlineLevel="1" x14ac:dyDescent="0.25">
      <c r="A11" s="390">
        <f ca="1">IF($H11="UNIDADE CONSTRUTIVA",OFFSET(A11,-1,0)+1,LARGE(A$3:A10,1))</f>
        <v>0</v>
      </c>
      <c r="B11" s="390">
        <f t="shared" ca="1" si="6"/>
        <v>1</v>
      </c>
      <c r="C11" s="390">
        <f t="shared" ca="1" si="7"/>
        <v>1</v>
      </c>
      <c r="D11" s="391">
        <f t="shared" ca="1" si="8"/>
        <v>1</v>
      </c>
      <c r="E11" s="391">
        <f t="shared" ca="1" si="9"/>
        <v>1</v>
      </c>
      <c r="G11" s="398"/>
      <c r="H11" s="399" t="s">
        <v>433</v>
      </c>
      <c r="I11" s="400" t="str">
        <f t="shared" ca="1" si="4"/>
        <v>01.001.001.001</v>
      </c>
      <c r="J11" s="401" t="s">
        <v>151</v>
      </c>
      <c r="K11" s="403" t="s">
        <v>74</v>
      </c>
      <c r="L11" s="403">
        <v>1</v>
      </c>
      <c r="M11" s="403">
        <v>6285.8817000000008</v>
      </c>
      <c r="N11" s="404">
        <f t="shared" si="5"/>
        <v>6285.8817000000008</v>
      </c>
      <c r="O11" s="403" t="s">
        <v>168</v>
      </c>
      <c r="P11" s="406" t="s">
        <v>3605</v>
      </c>
      <c r="R11" s="389"/>
      <c r="S11" s="389"/>
    </row>
    <row r="12" spans="1:20" s="125" customFormat="1" ht="13.9" customHeight="1" outlineLevel="1" x14ac:dyDescent="0.25">
      <c r="A12" s="390">
        <f ca="1">IF($H12="UNIDADE CONSTRUTIVA",OFFSET(A12,-1,0)+1,LARGE(A$3:A11,1))</f>
        <v>0</v>
      </c>
      <c r="B12" s="390">
        <f t="shared" ca="1" si="6"/>
        <v>1</v>
      </c>
      <c r="C12" s="390">
        <f t="shared" ca="1" si="7"/>
        <v>1</v>
      </c>
      <c r="D12" s="391">
        <f t="shared" ca="1" si="8"/>
        <v>1</v>
      </c>
      <c r="E12" s="391">
        <f t="shared" ca="1" si="9"/>
        <v>2</v>
      </c>
      <c r="G12" s="398"/>
      <c r="H12" s="399" t="s">
        <v>433</v>
      </c>
      <c r="I12" s="400" t="str">
        <f t="shared" ca="1" si="4"/>
        <v>01.001.001.002</v>
      </c>
      <c r="J12" s="401" t="s">
        <v>152</v>
      </c>
      <c r="K12" s="403" t="s">
        <v>74</v>
      </c>
      <c r="L12" s="403">
        <v>1</v>
      </c>
      <c r="M12" s="403">
        <v>5901.0318000000007</v>
      </c>
      <c r="N12" s="404">
        <f t="shared" si="5"/>
        <v>5901.0318000000007</v>
      </c>
      <c r="O12" s="403" t="s">
        <v>168</v>
      </c>
      <c r="P12" s="406" t="s">
        <v>3605</v>
      </c>
      <c r="R12" s="389"/>
      <c r="S12" s="389"/>
    </row>
    <row r="13" spans="1:20" s="125" customFormat="1" ht="13.9" customHeight="1" outlineLevel="1" x14ac:dyDescent="0.25">
      <c r="A13" s="390">
        <f ca="1">IF($H13="UNIDADE CONSTRUTIVA",OFFSET(A13,-1,0)+1,LARGE(A$3:A12,1))</f>
        <v>0</v>
      </c>
      <c r="B13" s="390">
        <f t="shared" ca="1" si="6"/>
        <v>1</v>
      </c>
      <c r="C13" s="390">
        <f t="shared" ca="1" si="7"/>
        <v>1</v>
      </c>
      <c r="D13" s="391">
        <f t="shared" ca="1" si="8"/>
        <v>1</v>
      </c>
      <c r="E13" s="391">
        <f t="shared" ca="1" si="9"/>
        <v>3</v>
      </c>
      <c r="G13" s="398"/>
      <c r="H13" s="399" t="s">
        <v>433</v>
      </c>
      <c r="I13" s="400" t="str">
        <f t="shared" ca="1" si="4"/>
        <v>01.001.001.003</v>
      </c>
      <c r="J13" s="401" t="s">
        <v>106</v>
      </c>
      <c r="K13" s="403" t="s">
        <v>74</v>
      </c>
      <c r="L13" s="403">
        <v>1</v>
      </c>
      <c r="M13" s="403">
        <v>15907.129200000001</v>
      </c>
      <c r="N13" s="404">
        <f t="shared" si="5"/>
        <v>15907.129200000001</v>
      </c>
      <c r="O13" s="403" t="s">
        <v>168</v>
      </c>
      <c r="P13" s="406" t="s">
        <v>3605</v>
      </c>
      <c r="R13" s="389"/>
      <c r="S13" s="389"/>
    </row>
    <row r="14" spans="1:20" s="125" customFormat="1" ht="13.9" customHeight="1" outlineLevel="1" x14ac:dyDescent="0.25">
      <c r="A14" s="390">
        <f ca="1">IF($H14="UNIDADE CONSTRUTIVA",OFFSET(A14,-1,0)+1,LARGE(A$3:A13,1))</f>
        <v>0</v>
      </c>
      <c r="B14" s="390">
        <f t="shared" ca="1" si="6"/>
        <v>1</v>
      </c>
      <c r="C14" s="390">
        <f t="shared" ca="1" si="7"/>
        <v>1</v>
      </c>
      <c r="D14" s="391">
        <f t="shared" ca="1" si="8"/>
        <v>1</v>
      </c>
      <c r="E14" s="391">
        <f t="shared" ca="1" si="9"/>
        <v>4</v>
      </c>
      <c r="G14" s="398"/>
      <c r="H14" s="399" t="s">
        <v>433</v>
      </c>
      <c r="I14" s="400" t="str">
        <f t="shared" ca="1" si="4"/>
        <v>01.001.001.004</v>
      </c>
      <c r="J14" s="401" t="s">
        <v>153</v>
      </c>
      <c r="K14" s="403" t="s">
        <v>74</v>
      </c>
      <c r="L14" s="403">
        <v>1</v>
      </c>
      <c r="M14" s="403">
        <v>14111.163000000002</v>
      </c>
      <c r="N14" s="404">
        <f t="shared" si="5"/>
        <v>14111.163000000002</v>
      </c>
      <c r="O14" s="403" t="s">
        <v>168</v>
      </c>
      <c r="P14" s="406" t="s">
        <v>3605</v>
      </c>
      <c r="R14" s="389"/>
      <c r="S14" s="389"/>
    </row>
    <row r="15" spans="1:20" s="125" customFormat="1" ht="13.9" customHeight="1" outlineLevel="1" x14ac:dyDescent="0.25">
      <c r="A15" s="390">
        <f ca="1">IF($H15="UNIDADE CONSTRUTIVA",OFFSET(A15,-1,0)+1,LARGE(A$3:A14,1))</f>
        <v>0</v>
      </c>
      <c r="B15" s="390">
        <f t="shared" ca="1" si="6"/>
        <v>1</v>
      </c>
      <c r="C15" s="390">
        <f t="shared" ca="1" si="7"/>
        <v>1</v>
      </c>
      <c r="D15" s="391">
        <f t="shared" ca="1" si="8"/>
        <v>1</v>
      </c>
      <c r="E15" s="391">
        <f t="shared" ca="1" si="9"/>
        <v>5</v>
      </c>
      <c r="G15" s="398"/>
      <c r="H15" s="399" t="s">
        <v>433</v>
      </c>
      <c r="I15" s="400" t="str">
        <f t="shared" ca="1" si="4"/>
        <v>01.001.001.005</v>
      </c>
      <c r="J15" s="401" t="s">
        <v>154</v>
      </c>
      <c r="K15" s="403" t="s">
        <v>74</v>
      </c>
      <c r="L15" s="403">
        <v>1</v>
      </c>
      <c r="M15" s="403">
        <v>5003.0487000000012</v>
      </c>
      <c r="N15" s="404">
        <f t="shared" si="5"/>
        <v>5003.0487000000012</v>
      </c>
      <c r="O15" s="403" t="s">
        <v>168</v>
      </c>
      <c r="P15" s="406" t="s">
        <v>3605</v>
      </c>
      <c r="R15" s="389"/>
      <c r="S15" s="389"/>
    </row>
    <row r="16" spans="1:20" s="125" customFormat="1" ht="13.9" customHeight="1" x14ac:dyDescent="0.25">
      <c r="A16" s="390">
        <f ca="1">IF($H16="UNIDADE CONSTRUTIVA",OFFSET(A16,-1,0)+1,LARGE(A$3:A15,1))</f>
        <v>0</v>
      </c>
      <c r="B16" s="390">
        <f t="shared" ca="1" si="6"/>
        <v>1</v>
      </c>
      <c r="C16" s="390">
        <f t="shared" ca="1" si="7"/>
        <v>1</v>
      </c>
      <c r="D16" s="391">
        <f t="shared" ca="1" si="8"/>
        <v>2</v>
      </c>
      <c r="E16" s="391">
        <f t="shared" ca="1" si="9"/>
        <v>0</v>
      </c>
      <c r="G16" s="398"/>
      <c r="H16" s="399" t="s">
        <v>432</v>
      </c>
      <c r="I16" s="400" t="str">
        <f t="shared" ca="1" si="4"/>
        <v>01.001.002</v>
      </c>
      <c r="J16" s="401" t="s">
        <v>99</v>
      </c>
      <c r="K16" s="402"/>
      <c r="L16" s="403"/>
      <c r="M16" s="403"/>
      <c r="N16" s="404">
        <f t="shared" ca="1" si="5"/>
        <v>378243.31005000009</v>
      </c>
      <c r="O16" s="405"/>
      <c r="P16" s="406"/>
      <c r="R16" s="389"/>
      <c r="S16" s="389"/>
    </row>
    <row r="17" spans="1:19" s="125" customFormat="1" ht="13.9" customHeight="1" outlineLevel="1" x14ac:dyDescent="0.25">
      <c r="A17" s="390">
        <f ca="1">IF($H17="UNIDADE CONSTRUTIVA",OFFSET(A17,-1,0)+1,LARGE(A$3:A16,1))</f>
        <v>0</v>
      </c>
      <c r="B17" s="390">
        <f t="shared" ca="1" si="6"/>
        <v>1</v>
      </c>
      <c r="C17" s="390">
        <f t="shared" ca="1" si="7"/>
        <v>1</v>
      </c>
      <c r="D17" s="391">
        <f t="shared" ca="1" si="8"/>
        <v>2</v>
      </c>
      <c r="E17" s="391">
        <f t="shared" ca="1" si="9"/>
        <v>1</v>
      </c>
      <c r="G17" s="398"/>
      <c r="H17" s="399" t="s">
        <v>433</v>
      </c>
      <c r="I17" s="400" t="str">
        <f t="shared" ca="1" si="4"/>
        <v>01.001.002.001</v>
      </c>
      <c r="J17" s="401" t="s">
        <v>155</v>
      </c>
      <c r="K17" s="403" t="s">
        <v>74</v>
      </c>
      <c r="L17" s="403">
        <v>1</v>
      </c>
      <c r="M17" s="403">
        <v>20781.894600000003</v>
      </c>
      <c r="N17" s="404">
        <f t="shared" si="5"/>
        <v>20781.894600000003</v>
      </c>
      <c r="O17" s="403" t="s">
        <v>168</v>
      </c>
      <c r="P17" s="406" t="s">
        <v>3605</v>
      </c>
      <c r="R17" s="389"/>
      <c r="S17" s="389"/>
    </row>
    <row r="18" spans="1:19" s="125" customFormat="1" ht="13.9" customHeight="1" outlineLevel="1" x14ac:dyDescent="0.25">
      <c r="A18" s="390">
        <f ca="1">IF($H18="UNIDADE CONSTRUTIVA",OFFSET(A18,-1,0)+1,LARGE(A$3:A17,1))</f>
        <v>0</v>
      </c>
      <c r="B18" s="390">
        <f t="shared" ca="1" si="6"/>
        <v>1</v>
      </c>
      <c r="C18" s="390">
        <f t="shared" ca="1" si="7"/>
        <v>1</v>
      </c>
      <c r="D18" s="391">
        <f t="shared" ca="1" si="8"/>
        <v>2</v>
      </c>
      <c r="E18" s="391">
        <f t="shared" ca="1" si="9"/>
        <v>2</v>
      </c>
      <c r="G18" s="398"/>
      <c r="H18" s="399" t="s">
        <v>433</v>
      </c>
      <c r="I18" s="400" t="str">
        <f t="shared" ca="1" si="4"/>
        <v>01.001.002.002</v>
      </c>
      <c r="J18" s="401" t="s">
        <v>169</v>
      </c>
      <c r="K18" s="403" t="s">
        <v>74</v>
      </c>
      <c r="L18" s="403">
        <v>1</v>
      </c>
      <c r="M18" s="403">
        <v>89541.743400000021</v>
      </c>
      <c r="N18" s="404">
        <f t="shared" si="5"/>
        <v>89541.743400000021</v>
      </c>
      <c r="O18" s="403" t="s">
        <v>168</v>
      </c>
      <c r="P18" s="406" t="s">
        <v>3605</v>
      </c>
      <c r="R18" s="389"/>
      <c r="S18" s="389"/>
    </row>
    <row r="19" spans="1:19" s="125" customFormat="1" ht="13.9" customHeight="1" outlineLevel="1" x14ac:dyDescent="0.25">
      <c r="A19" s="390">
        <f ca="1">IF($H19="UNIDADE CONSTRUTIVA",OFFSET(A19,-1,0)+1,LARGE(A$3:A18,1))</f>
        <v>0</v>
      </c>
      <c r="B19" s="390">
        <f t="shared" ca="1" si="6"/>
        <v>1</v>
      </c>
      <c r="C19" s="390">
        <f t="shared" ca="1" si="7"/>
        <v>1</v>
      </c>
      <c r="D19" s="391">
        <f t="shared" ca="1" si="8"/>
        <v>2</v>
      </c>
      <c r="E19" s="391">
        <f t="shared" ca="1" si="9"/>
        <v>3</v>
      </c>
      <c r="G19" s="398"/>
      <c r="H19" s="399" t="s">
        <v>433</v>
      </c>
      <c r="I19" s="400" t="str">
        <f t="shared" ca="1" si="4"/>
        <v>01.001.002.003</v>
      </c>
      <c r="J19" s="401" t="s">
        <v>145</v>
      </c>
      <c r="K19" s="403" t="s">
        <v>74</v>
      </c>
      <c r="L19" s="403">
        <v>1</v>
      </c>
      <c r="M19" s="403">
        <v>64141.650000000009</v>
      </c>
      <c r="N19" s="404">
        <f t="shared" si="5"/>
        <v>64141.650000000009</v>
      </c>
      <c r="O19" s="403" t="s">
        <v>168</v>
      </c>
      <c r="P19" s="406" t="s">
        <v>3605</v>
      </c>
      <c r="R19" s="389"/>
      <c r="S19" s="389"/>
    </row>
    <row r="20" spans="1:19" s="125" customFormat="1" ht="13.9" customHeight="1" outlineLevel="1" x14ac:dyDescent="0.25">
      <c r="A20" s="390">
        <f ca="1">IF($H20="UNIDADE CONSTRUTIVA",OFFSET(A20,-1,0)+1,LARGE(A$3:A19,1))</f>
        <v>0</v>
      </c>
      <c r="B20" s="390">
        <f t="shared" ca="1" si="6"/>
        <v>1</v>
      </c>
      <c r="C20" s="390">
        <f t="shared" ca="1" si="7"/>
        <v>1</v>
      </c>
      <c r="D20" s="391">
        <f t="shared" ca="1" si="8"/>
        <v>2</v>
      </c>
      <c r="E20" s="391">
        <f t="shared" ca="1" si="9"/>
        <v>4</v>
      </c>
      <c r="G20" s="398"/>
      <c r="H20" s="399" t="s">
        <v>433</v>
      </c>
      <c r="I20" s="400" t="str">
        <f t="shared" ca="1" si="4"/>
        <v>01.001.002.004</v>
      </c>
      <c r="J20" s="401" t="s">
        <v>107</v>
      </c>
      <c r="K20" s="403" t="s">
        <v>74</v>
      </c>
      <c r="L20" s="403">
        <v>1</v>
      </c>
      <c r="M20" s="403">
        <v>24373.827000000001</v>
      </c>
      <c r="N20" s="404">
        <f t="shared" si="5"/>
        <v>24373.827000000001</v>
      </c>
      <c r="O20" s="403" t="s">
        <v>168</v>
      </c>
      <c r="P20" s="406" t="s">
        <v>3605</v>
      </c>
      <c r="R20" s="389"/>
      <c r="S20" s="389"/>
    </row>
    <row r="21" spans="1:19" s="125" customFormat="1" ht="13.9" customHeight="1" outlineLevel="1" x14ac:dyDescent="0.25">
      <c r="A21" s="390">
        <f ca="1">IF($H21="UNIDADE CONSTRUTIVA",OFFSET(A21,-1,0)+1,LARGE(A$3:A20,1))</f>
        <v>0</v>
      </c>
      <c r="B21" s="390">
        <f t="shared" ca="1" si="6"/>
        <v>1</v>
      </c>
      <c r="C21" s="390">
        <f t="shared" ca="1" si="7"/>
        <v>1</v>
      </c>
      <c r="D21" s="391">
        <f t="shared" ca="1" si="8"/>
        <v>2</v>
      </c>
      <c r="E21" s="391">
        <f t="shared" ca="1" si="9"/>
        <v>5</v>
      </c>
      <c r="G21" s="398"/>
      <c r="H21" s="399" t="s">
        <v>433</v>
      </c>
      <c r="I21" s="400" t="str">
        <f t="shared" ca="1" si="4"/>
        <v>01.001.002.005</v>
      </c>
      <c r="J21" s="401" t="s">
        <v>164</v>
      </c>
      <c r="K21" s="403" t="s">
        <v>74</v>
      </c>
      <c r="L21" s="403">
        <v>1</v>
      </c>
      <c r="M21" s="403">
        <v>79920.495900000024</v>
      </c>
      <c r="N21" s="404">
        <f t="shared" si="5"/>
        <v>79920.495900000024</v>
      </c>
      <c r="O21" s="403" t="s">
        <v>168</v>
      </c>
      <c r="P21" s="406" t="s">
        <v>3605</v>
      </c>
      <c r="R21" s="389"/>
      <c r="S21" s="389"/>
    </row>
    <row r="22" spans="1:19" s="125" customFormat="1" ht="13.9" customHeight="1" outlineLevel="1" x14ac:dyDescent="0.25">
      <c r="A22" s="390">
        <f ca="1">IF($H22="UNIDADE CONSTRUTIVA",OFFSET(A22,-1,0)+1,LARGE(A$3:A21,1))</f>
        <v>0</v>
      </c>
      <c r="B22" s="390">
        <f t="shared" ca="1" si="6"/>
        <v>1</v>
      </c>
      <c r="C22" s="390">
        <f t="shared" ca="1" si="7"/>
        <v>1</v>
      </c>
      <c r="D22" s="391">
        <f t="shared" ca="1" si="8"/>
        <v>2</v>
      </c>
      <c r="E22" s="391">
        <f t="shared" ca="1" si="9"/>
        <v>6</v>
      </c>
      <c r="G22" s="398"/>
      <c r="H22" s="399" t="s">
        <v>433</v>
      </c>
      <c r="I22" s="400" t="str">
        <f t="shared" ca="1" si="4"/>
        <v>01.001.002.006</v>
      </c>
      <c r="J22" s="401" t="s">
        <v>394</v>
      </c>
      <c r="K22" s="403" t="s">
        <v>74</v>
      </c>
      <c r="L22" s="403">
        <v>1</v>
      </c>
      <c r="M22" s="403">
        <v>31942.541700000009</v>
      </c>
      <c r="N22" s="404">
        <f t="shared" si="5"/>
        <v>31942.541700000009</v>
      </c>
      <c r="O22" s="403" t="s">
        <v>168</v>
      </c>
      <c r="P22" s="406" t="s">
        <v>3605</v>
      </c>
      <c r="R22" s="389"/>
      <c r="S22" s="389"/>
    </row>
    <row r="23" spans="1:19" s="125" customFormat="1" ht="13.9" customHeight="1" outlineLevel="1" x14ac:dyDescent="0.25">
      <c r="A23" s="390">
        <f ca="1">IF($H23="UNIDADE CONSTRUTIVA",OFFSET(A23,-1,0)+1,LARGE(A$3:A22,1))</f>
        <v>0</v>
      </c>
      <c r="B23" s="390">
        <f t="shared" ca="1" si="6"/>
        <v>1</v>
      </c>
      <c r="C23" s="390">
        <f t="shared" ca="1" si="7"/>
        <v>1</v>
      </c>
      <c r="D23" s="391">
        <f t="shared" ca="1" si="8"/>
        <v>2</v>
      </c>
      <c r="E23" s="391">
        <f t="shared" ca="1" si="9"/>
        <v>7</v>
      </c>
      <c r="G23" s="398"/>
      <c r="H23" s="399" t="s">
        <v>433</v>
      </c>
      <c r="I23" s="400" t="str">
        <f t="shared" ca="1" si="4"/>
        <v>01.001.002.007</v>
      </c>
      <c r="J23" s="401" t="s">
        <v>156</v>
      </c>
      <c r="K23" s="403" t="s">
        <v>74</v>
      </c>
      <c r="L23" s="403">
        <v>1</v>
      </c>
      <c r="M23" s="403">
        <v>15971.270850000004</v>
      </c>
      <c r="N23" s="404">
        <f t="shared" si="5"/>
        <v>15971.270850000004</v>
      </c>
      <c r="O23" s="403" t="s">
        <v>168</v>
      </c>
      <c r="P23" s="406" t="s">
        <v>3605</v>
      </c>
      <c r="R23" s="389"/>
      <c r="S23" s="389"/>
    </row>
    <row r="24" spans="1:19" s="125" customFormat="1" ht="13.9" customHeight="1" outlineLevel="1" x14ac:dyDescent="0.25">
      <c r="A24" s="390">
        <f ca="1">IF($H24="UNIDADE CONSTRUTIVA",OFFSET(A24,-1,0)+1,LARGE(A$3:A23,1))</f>
        <v>0</v>
      </c>
      <c r="B24" s="390">
        <f t="shared" ca="1" si="6"/>
        <v>1</v>
      </c>
      <c r="C24" s="390">
        <f t="shared" ca="1" si="7"/>
        <v>1</v>
      </c>
      <c r="D24" s="391">
        <f t="shared" ca="1" si="8"/>
        <v>2</v>
      </c>
      <c r="E24" s="391">
        <f t="shared" ca="1" si="9"/>
        <v>8</v>
      </c>
      <c r="G24" s="398"/>
      <c r="H24" s="399" t="s">
        <v>433</v>
      </c>
      <c r="I24" s="400" t="str">
        <f t="shared" ca="1" si="4"/>
        <v>01.001.002.008</v>
      </c>
      <c r="J24" s="401" t="s">
        <v>157</v>
      </c>
      <c r="K24" s="403" t="s">
        <v>74</v>
      </c>
      <c r="L24" s="403">
        <v>1</v>
      </c>
      <c r="M24" s="403">
        <v>20910.177900000002</v>
      </c>
      <c r="N24" s="404">
        <f t="shared" si="5"/>
        <v>20910.177900000002</v>
      </c>
      <c r="O24" s="403" t="s">
        <v>168</v>
      </c>
      <c r="P24" s="406" t="s">
        <v>3605</v>
      </c>
      <c r="R24" s="389"/>
      <c r="S24" s="389"/>
    </row>
    <row r="25" spans="1:19" s="125" customFormat="1" ht="13.9" customHeight="1" outlineLevel="1" x14ac:dyDescent="0.25">
      <c r="A25" s="390">
        <f ca="1">IF($H25="UNIDADE CONSTRUTIVA",OFFSET(A25,-1,0)+1,LARGE(A$3:A24,1))</f>
        <v>0</v>
      </c>
      <c r="B25" s="390">
        <f t="shared" ca="1" si="6"/>
        <v>1</v>
      </c>
      <c r="C25" s="390">
        <f t="shared" ca="1" si="7"/>
        <v>1</v>
      </c>
      <c r="D25" s="391">
        <f t="shared" ca="1" si="8"/>
        <v>2</v>
      </c>
      <c r="E25" s="391">
        <f t="shared" ca="1" si="9"/>
        <v>9</v>
      </c>
      <c r="G25" s="398"/>
      <c r="H25" s="399" t="s">
        <v>433</v>
      </c>
      <c r="I25" s="400" t="str">
        <f t="shared" ca="1" si="4"/>
        <v>01.001.002.009</v>
      </c>
      <c r="J25" s="401" t="s">
        <v>171</v>
      </c>
      <c r="K25" s="403" t="s">
        <v>74</v>
      </c>
      <c r="L25" s="403">
        <v>1</v>
      </c>
      <c r="M25" s="403">
        <v>16420.262400000003</v>
      </c>
      <c r="N25" s="404">
        <f t="shared" si="5"/>
        <v>16420.262400000003</v>
      </c>
      <c r="O25" s="403" t="s">
        <v>168</v>
      </c>
      <c r="P25" s="406" t="s">
        <v>3605</v>
      </c>
      <c r="R25" s="389"/>
      <c r="S25" s="389"/>
    </row>
    <row r="26" spans="1:19" s="125" customFormat="1" ht="13.9" customHeight="1" outlineLevel="1" x14ac:dyDescent="0.25">
      <c r="A26" s="390">
        <f ca="1">IF($H26="UNIDADE CONSTRUTIVA",OFFSET(A26,-1,0)+1,LARGE(A$3:A25,1))</f>
        <v>0</v>
      </c>
      <c r="B26" s="390">
        <f t="shared" ca="1" si="6"/>
        <v>1</v>
      </c>
      <c r="C26" s="390">
        <f t="shared" ca="1" si="7"/>
        <v>1</v>
      </c>
      <c r="D26" s="391">
        <f t="shared" ca="1" si="8"/>
        <v>2</v>
      </c>
      <c r="E26" s="391">
        <f t="shared" ca="1" si="9"/>
        <v>10</v>
      </c>
      <c r="G26" s="398"/>
      <c r="H26" s="399" t="s">
        <v>433</v>
      </c>
      <c r="I26" s="400" t="str">
        <f t="shared" ca="1" si="4"/>
        <v>01.001.002.010</v>
      </c>
      <c r="J26" s="401" t="s">
        <v>108</v>
      </c>
      <c r="K26" s="403" t="s">
        <v>74</v>
      </c>
      <c r="L26" s="403">
        <v>1</v>
      </c>
      <c r="M26" s="403">
        <v>14239.446300000003</v>
      </c>
      <c r="N26" s="404">
        <f t="shared" si="5"/>
        <v>14239.446300000003</v>
      </c>
      <c r="O26" s="403" t="s">
        <v>168</v>
      </c>
      <c r="P26" s="406" t="s">
        <v>3605</v>
      </c>
      <c r="R26" s="389"/>
      <c r="S26" s="389"/>
    </row>
    <row r="27" spans="1:19" s="125" customFormat="1" ht="13.9" customHeight="1" x14ac:dyDescent="0.25">
      <c r="A27" s="390">
        <f ca="1">IF($H27="UNIDADE CONSTRUTIVA",OFFSET(A27,-1,0)+1,LARGE(A$3:A26,1))</f>
        <v>0</v>
      </c>
      <c r="B27" s="390">
        <f t="shared" ca="1" si="6"/>
        <v>1</v>
      </c>
      <c r="C27" s="390">
        <f t="shared" ca="1" si="7"/>
        <v>1</v>
      </c>
      <c r="D27" s="391">
        <f t="shared" ca="1" si="8"/>
        <v>3</v>
      </c>
      <c r="E27" s="391">
        <f t="shared" ca="1" si="9"/>
        <v>0</v>
      </c>
      <c r="G27" s="398"/>
      <c r="H27" s="399" t="s">
        <v>432</v>
      </c>
      <c r="I27" s="400" t="str">
        <f t="shared" ca="1" si="4"/>
        <v>01.001.003</v>
      </c>
      <c r="J27" s="401" t="s">
        <v>100</v>
      </c>
      <c r="K27" s="402"/>
      <c r="L27" s="403"/>
      <c r="M27" s="403"/>
      <c r="N27" s="404">
        <f t="shared" ca="1" si="5"/>
        <v>96000</v>
      </c>
      <c r="O27" s="405"/>
      <c r="P27" s="406"/>
      <c r="R27" s="389"/>
      <c r="S27" s="389"/>
    </row>
    <row r="28" spans="1:19" s="125" customFormat="1" ht="13.9" customHeight="1" outlineLevel="1" x14ac:dyDescent="0.25">
      <c r="A28" s="390">
        <f ca="1">IF($H28="UNIDADE CONSTRUTIVA",OFFSET(A28,-1,0)+1,LARGE(A$3:A27,1))</f>
        <v>0</v>
      </c>
      <c r="B28" s="390">
        <f t="shared" ca="1" si="6"/>
        <v>1</v>
      </c>
      <c r="C28" s="390">
        <f t="shared" ca="1" si="7"/>
        <v>1</v>
      </c>
      <c r="D28" s="391">
        <f t="shared" ca="1" si="8"/>
        <v>3</v>
      </c>
      <c r="E28" s="391">
        <f t="shared" ca="1" si="9"/>
        <v>1</v>
      </c>
      <c r="G28" s="398"/>
      <c r="H28" s="399" t="s">
        <v>433</v>
      </c>
      <c r="I28" s="400" t="str">
        <f t="shared" ca="1" si="4"/>
        <v>01.001.003.001</v>
      </c>
      <c r="J28" s="401" t="s">
        <v>109</v>
      </c>
      <c r="K28" s="403" t="s">
        <v>74</v>
      </c>
      <c r="L28" s="403">
        <v>1</v>
      </c>
      <c r="M28" s="403">
        <v>51000</v>
      </c>
      <c r="N28" s="404">
        <f t="shared" si="5"/>
        <v>51000</v>
      </c>
      <c r="O28" s="403" t="s">
        <v>146</v>
      </c>
      <c r="P28" s="406" t="s">
        <v>3605</v>
      </c>
      <c r="R28" s="389"/>
      <c r="S28" s="389"/>
    </row>
    <row r="29" spans="1:19" s="125" customFormat="1" ht="13.9" customHeight="1" outlineLevel="1" x14ac:dyDescent="0.25">
      <c r="A29" s="390">
        <f ca="1">IF($H29="UNIDADE CONSTRUTIVA",OFFSET(A29,-1,0)+1,LARGE(A$3:A28,1))</f>
        <v>0</v>
      </c>
      <c r="B29" s="390">
        <f t="shared" ca="1" si="6"/>
        <v>1</v>
      </c>
      <c r="C29" s="390">
        <f t="shared" ca="1" si="7"/>
        <v>1</v>
      </c>
      <c r="D29" s="391">
        <f t="shared" ca="1" si="8"/>
        <v>3</v>
      </c>
      <c r="E29" s="391">
        <f t="shared" ca="1" si="9"/>
        <v>2</v>
      </c>
      <c r="G29" s="398"/>
      <c r="H29" s="399" t="s">
        <v>433</v>
      </c>
      <c r="I29" s="400" t="str">
        <f t="shared" ca="1" si="4"/>
        <v>01.001.003.002</v>
      </c>
      <c r="J29" s="401" t="s">
        <v>110</v>
      </c>
      <c r="K29" s="403" t="s">
        <v>74</v>
      </c>
      <c r="L29" s="403">
        <v>1</v>
      </c>
      <c r="M29" s="403">
        <v>45000</v>
      </c>
      <c r="N29" s="404">
        <f t="shared" si="5"/>
        <v>45000</v>
      </c>
      <c r="O29" s="403" t="s">
        <v>146</v>
      </c>
      <c r="P29" s="406" t="s">
        <v>3605</v>
      </c>
      <c r="R29" s="389"/>
      <c r="S29" s="389"/>
    </row>
    <row r="30" spans="1:19" s="125" customFormat="1" ht="13.9" customHeight="1" x14ac:dyDescent="0.25">
      <c r="A30" s="390">
        <f ca="1">IF($H30="UNIDADE CONSTRUTIVA",OFFSET(A30,-1,0)+1,LARGE(A$3:A29,1))</f>
        <v>0</v>
      </c>
      <c r="B30" s="390">
        <f t="shared" ca="1" si="6"/>
        <v>1</v>
      </c>
      <c r="C30" s="390">
        <f t="shared" ca="1" si="7"/>
        <v>1</v>
      </c>
      <c r="D30" s="391">
        <f t="shared" ca="1" si="8"/>
        <v>4</v>
      </c>
      <c r="E30" s="391">
        <f t="shared" ca="1" si="9"/>
        <v>0</v>
      </c>
      <c r="G30" s="398"/>
      <c r="H30" s="399" t="s">
        <v>432</v>
      </c>
      <c r="I30" s="400" t="str">
        <f t="shared" ca="1" si="4"/>
        <v>01.001.004</v>
      </c>
      <c r="J30" s="401" t="s">
        <v>4164</v>
      </c>
      <c r="K30" s="402"/>
      <c r="L30" s="403"/>
      <c r="M30" s="403"/>
      <c r="N30" s="404">
        <f t="shared" ca="1" si="5"/>
        <v>31924.825988034063</v>
      </c>
      <c r="O30" s="405"/>
      <c r="P30" s="406"/>
      <c r="R30" s="389"/>
      <c r="S30" s="389"/>
    </row>
    <row r="31" spans="1:19" s="125" customFormat="1" ht="13.9" customHeight="1" outlineLevel="1" x14ac:dyDescent="0.25">
      <c r="A31" s="390">
        <f ca="1">IF($H31="UNIDADE CONSTRUTIVA",OFFSET(A31,-1,0)+1,LARGE(A$3:A30,1))</f>
        <v>0</v>
      </c>
      <c r="B31" s="390">
        <f t="shared" ca="1" si="6"/>
        <v>1</v>
      </c>
      <c r="C31" s="390">
        <f t="shared" ca="1" si="7"/>
        <v>1</v>
      </c>
      <c r="D31" s="391">
        <f t="shared" ca="1" si="8"/>
        <v>4</v>
      </c>
      <c r="E31" s="391">
        <f t="shared" ca="1" si="9"/>
        <v>1</v>
      </c>
      <c r="G31" s="398"/>
      <c r="H31" s="399" t="s">
        <v>433</v>
      </c>
      <c r="I31" s="400" t="str">
        <f t="shared" ca="1" si="4"/>
        <v>01.001.004.001</v>
      </c>
      <c r="J31" s="401" t="s">
        <v>111</v>
      </c>
      <c r="K31" s="403" t="s">
        <v>147</v>
      </c>
      <c r="L31" s="403">
        <v>2553.9860790427251</v>
      </c>
      <c r="M31" s="403">
        <v>12.5</v>
      </c>
      <c r="N31" s="404">
        <f t="shared" si="5"/>
        <v>31924.825988034063</v>
      </c>
      <c r="O31" s="403" t="s">
        <v>168</v>
      </c>
      <c r="P31" s="406" t="s">
        <v>3605</v>
      </c>
      <c r="R31" s="389"/>
      <c r="S31" s="389"/>
    </row>
    <row r="32" spans="1:19" s="125" customFormat="1" ht="13.9" customHeight="1" x14ac:dyDescent="0.25">
      <c r="A32" s="390">
        <f ca="1">IF($H32="UNIDADE CONSTRUTIVA",OFFSET(A32,-1,0)+1,LARGE(A$3:A31,1))</f>
        <v>0</v>
      </c>
      <c r="B32" s="390">
        <f t="shared" ca="1" si="6"/>
        <v>1</v>
      </c>
      <c r="C32" s="390">
        <f t="shared" ca="1" si="7"/>
        <v>2</v>
      </c>
      <c r="D32" s="391">
        <f t="shared" ca="1" si="8"/>
        <v>0</v>
      </c>
      <c r="E32" s="391">
        <f t="shared" ca="1" si="9"/>
        <v>1</v>
      </c>
      <c r="G32" s="398"/>
      <c r="H32" s="399" t="s">
        <v>229</v>
      </c>
      <c r="I32" s="400" t="str">
        <f t="shared" ca="1" si="4"/>
        <v>01.002</v>
      </c>
      <c r="J32" s="401" t="s">
        <v>609</v>
      </c>
      <c r="K32" s="402"/>
      <c r="L32" s="403"/>
      <c r="M32" s="403"/>
      <c r="N32" s="404">
        <f t="shared" ca="1" si="5"/>
        <v>354943.9938</v>
      </c>
      <c r="O32" s="405"/>
      <c r="P32" s="406" t="s">
        <v>188</v>
      </c>
      <c r="R32" s="389"/>
      <c r="S32" s="389"/>
    </row>
    <row r="33" spans="1:19" s="125" customFormat="1" ht="13.9" customHeight="1" x14ac:dyDescent="0.25">
      <c r="A33" s="390">
        <f ca="1">IF($H33="UNIDADE CONSTRUTIVA",OFFSET(A33,-1,0)+1,LARGE(A$3:A32,1))</f>
        <v>0</v>
      </c>
      <c r="B33" s="390">
        <f t="shared" ca="1" si="6"/>
        <v>1</v>
      </c>
      <c r="C33" s="390">
        <f t="shared" ca="1" si="7"/>
        <v>2</v>
      </c>
      <c r="D33" s="391">
        <f t="shared" ca="1" si="8"/>
        <v>1</v>
      </c>
      <c r="E33" s="391">
        <f t="shared" ca="1" si="9"/>
        <v>0</v>
      </c>
      <c r="G33" s="398"/>
      <c r="H33" s="399" t="s">
        <v>432</v>
      </c>
      <c r="I33" s="400" t="str">
        <f t="shared" ca="1" si="4"/>
        <v>01.002.001</v>
      </c>
      <c r="J33" s="401" t="s">
        <v>624</v>
      </c>
      <c r="K33" s="402"/>
      <c r="L33" s="403"/>
      <c r="M33" s="403"/>
      <c r="N33" s="404">
        <f t="shared" ca="1" si="5"/>
        <v>25000</v>
      </c>
      <c r="O33" s="405"/>
      <c r="P33" s="406"/>
      <c r="R33" s="389"/>
      <c r="S33" s="389"/>
    </row>
    <row r="34" spans="1:19" s="125" customFormat="1" ht="13.9" customHeight="1" outlineLevel="1" x14ac:dyDescent="0.25">
      <c r="A34" s="390">
        <f ca="1">IF($H34="UNIDADE CONSTRUTIVA",OFFSET(A34,-1,0)+1,LARGE(A$3:A33,1))</f>
        <v>0</v>
      </c>
      <c r="B34" s="390">
        <f t="shared" ca="1" si="6"/>
        <v>1</v>
      </c>
      <c r="C34" s="390">
        <f t="shared" ca="1" si="7"/>
        <v>2</v>
      </c>
      <c r="D34" s="391">
        <f t="shared" ca="1" si="8"/>
        <v>1</v>
      </c>
      <c r="E34" s="391">
        <f t="shared" ca="1" si="9"/>
        <v>1</v>
      </c>
      <c r="G34" s="398"/>
      <c r="H34" s="399" t="s">
        <v>433</v>
      </c>
      <c r="I34" s="400" t="str">
        <f t="shared" ca="1" si="4"/>
        <v>01.002.001.001</v>
      </c>
      <c r="J34" s="401" t="s">
        <v>73</v>
      </c>
      <c r="K34" s="403" t="s">
        <v>74</v>
      </c>
      <c r="L34" s="403">
        <v>1</v>
      </c>
      <c r="M34" s="403">
        <v>25000</v>
      </c>
      <c r="N34" s="404">
        <f t="shared" si="5"/>
        <v>25000</v>
      </c>
      <c r="O34" s="403" t="s">
        <v>146</v>
      </c>
      <c r="P34" s="406" t="s">
        <v>3605</v>
      </c>
      <c r="R34" s="389"/>
      <c r="S34" s="389"/>
    </row>
    <row r="35" spans="1:19" s="125" customFormat="1" ht="13.9" customHeight="1" x14ac:dyDescent="0.25">
      <c r="A35" s="390">
        <f ca="1">IF($H35="UNIDADE CONSTRUTIVA",OFFSET(A35,-1,0)+1,LARGE(A$3:A34,1))</f>
        <v>0</v>
      </c>
      <c r="B35" s="390">
        <f t="shared" ca="1" si="6"/>
        <v>1</v>
      </c>
      <c r="C35" s="390">
        <f t="shared" ca="1" si="7"/>
        <v>2</v>
      </c>
      <c r="D35" s="391">
        <f t="shared" ca="1" si="8"/>
        <v>2</v>
      </c>
      <c r="E35" s="391">
        <f t="shared" ca="1" si="9"/>
        <v>0</v>
      </c>
      <c r="G35" s="398"/>
      <c r="H35" s="399" t="s">
        <v>432</v>
      </c>
      <c r="I35" s="400" t="str">
        <f t="shared" ca="1" si="4"/>
        <v>01.002.002</v>
      </c>
      <c r="J35" s="401" t="s">
        <v>610</v>
      </c>
      <c r="K35" s="402"/>
      <c r="L35" s="403"/>
      <c r="M35" s="403"/>
      <c r="N35" s="404">
        <f t="shared" ca="1" si="5"/>
        <v>272986.20860000001</v>
      </c>
      <c r="O35" s="405"/>
      <c r="P35" s="406"/>
      <c r="R35" s="389"/>
      <c r="S35" s="389"/>
    </row>
    <row r="36" spans="1:19" s="125" customFormat="1" ht="13.9" customHeight="1" outlineLevel="1" x14ac:dyDescent="0.25">
      <c r="A36" s="390">
        <f ca="1">IF($H36="UNIDADE CONSTRUTIVA",OFFSET(A36,-1,0)+1,LARGE(A$3:A35,1))</f>
        <v>0</v>
      </c>
      <c r="B36" s="390">
        <f t="shared" ca="1" si="6"/>
        <v>1</v>
      </c>
      <c r="C36" s="390">
        <f t="shared" ca="1" si="7"/>
        <v>2</v>
      </c>
      <c r="D36" s="391">
        <f t="shared" ca="1" si="8"/>
        <v>2</v>
      </c>
      <c r="E36" s="391">
        <f t="shared" ca="1" si="9"/>
        <v>1</v>
      </c>
      <c r="G36" s="398"/>
      <c r="H36" s="399" t="s">
        <v>433</v>
      </c>
      <c r="I36" s="400" t="str">
        <f t="shared" ca="1" si="4"/>
        <v>01.002.002.001</v>
      </c>
      <c r="J36" s="401" t="s">
        <v>158</v>
      </c>
      <c r="K36" s="403" t="s">
        <v>74</v>
      </c>
      <c r="L36" s="403">
        <v>1</v>
      </c>
      <c r="M36" s="403">
        <v>1000</v>
      </c>
      <c r="N36" s="404">
        <f t="shared" si="5"/>
        <v>1000</v>
      </c>
      <c r="O36" s="403" t="s">
        <v>146</v>
      </c>
      <c r="P36" s="406" t="s">
        <v>3605</v>
      </c>
      <c r="R36" s="389"/>
      <c r="S36" s="389"/>
    </row>
    <row r="37" spans="1:19" s="125" customFormat="1" ht="13.9" customHeight="1" outlineLevel="1" x14ac:dyDescent="0.25">
      <c r="A37" s="390">
        <f ca="1">IF($H37="UNIDADE CONSTRUTIVA",OFFSET(A37,-1,0)+1,LARGE(A$3:A36,1))</f>
        <v>0</v>
      </c>
      <c r="B37" s="390">
        <f t="shared" ca="1" si="6"/>
        <v>1</v>
      </c>
      <c r="C37" s="390">
        <f t="shared" ca="1" si="7"/>
        <v>2</v>
      </c>
      <c r="D37" s="391">
        <f t="shared" ca="1" si="8"/>
        <v>2</v>
      </c>
      <c r="E37" s="391">
        <f t="shared" ca="1" si="9"/>
        <v>2</v>
      </c>
      <c r="G37" s="398"/>
      <c r="H37" s="399" t="s">
        <v>433</v>
      </c>
      <c r="I37" s="400" t="str">
        <f t="shared" ca="1" si="4"/>
        <v>01.002.002.002</v>
      </c>
      <c r="J37" s="401" t="s">
        <v>159</v>
      </c>
      <c r="K37" s="403" t="s">
        <v>74</v>
      </c>
      <c r="L37" s="403">
        <v>1</v>
      </c>
      <c r="M37" s="403">
        <v>115200</v>
      </c>
      <c r="N37" s="404">
        <f t="shared" si="5"/>
        <v>115200</v>
      </c>
      <c r="O37" s="403" t="s">
        <v>146</v>
      </c>
      <c r="P37" s="406" t="s">
        <v>3605</v>
      </c>
      <c r="R37" s="389"/>
      <c r="S37" s="389"/>
    </row>
    <row r="38" spans="1:19" s="125" customFormat="1" ht="13.9" customHeight="1" outlineLevel="1" x14ac:dyDescent="0.25">
      <c r="A38" s="390">
        <f ca="1">IF($H38="UNIDADE CONSTRUTIVA",OFFSET(A38,-1,0)+1,LARGE(A$3:A37,1))</f>
        <v>0</v>
      </c>
      <c r="B38" s="390">
        <f t="shared" ca="1" si="6"/>
        <v>1</v>
      </c>
      <c r="C38" s="390">
        <f t="shared" ca="1" si="7"/>
        <v>2</v>
      </c>
      <c r="D38" s="391">
        <f t="shared" ca="1" si="8"/>
        <v>2</v>
      </c>
      <c r="E38" s="391">
        <f t="shared" ca="1" si="9"/>
        <v>3</v>
      </c>
      <c r="G38" s="398"/>
      <c r="H38" s="399" t="s">
        <v>433</v>
      </c>
      <c r="I38" s="400" t="str">
        <f t="shared" ca="1" si="4"/>
        <v>01.002.002.003</v>
      </c>
      <c r="J38" s="401" t="s">
        <v>116</v>
      </c>
      <c r="K38" s="403" t="s">
        <v>74</v>
      </c>
      <c r="L38" s="403">
        <v>1</v>
      </c>
      <c r="M38" s="403">
        <v>20781.894600000003</v>
      </c>
      <c r="N38" s="404">
        <f t="shared" si="5"/>
        <v>20781.894600000003</v>
      </c>
      <c r="O38" s="403" t="s">
        <v>168</v>
      </c>
      <c r="P38" s="406" t="s">
        <v>3605</v>
      </c>
      <c r="R38" s="389"/>
      <c r="S38" s="389"/>
    </row>
    <row r="39" spans="1:19" s="125" customFormat="1" ht="13.9" customHeight="1" outlineLevel="1" x14ac:dyDescent="0.25">
      <c r="A39" s="390">
        <f ca="1">IF($H39="UNIDADE CONSTRUTIVA",OFFSET(A39,-1,0)+1,LARGE(A$3:A38,1))</f>
        <v>0</v>
      </c>
      <c r="B39" s="390">
        <f t="shared" ca="1" si="6"/>
        <v>1</v>
      </c>
      <c r="C39" s="390">
        <f t="shared" ca="1" si="7"/>
        <v>2</v>
      </c>
      <c r="D39" s="391">
        <f t="shared" ca="1" si="8"/>
        <v>2</v>
      </c>
      <c r="E39" s="391">
        <f t="shared" ca="1" si="9"/>
        <v>4</v>
      </c>
      <c r="G39" s="398"/>
      <c r="H39" s="399" t="s">
        <v>433</v>
      </c>
      <c r="I39" s="400" t="str">
        <f t="shared" ca="1" si="4"/>
        <v>01.002.002.004</v>
      </c>
      <c r="J39" s="401" t="s">
        <v>117</v>
      </c>
      <c r="K39" s="403" t="s">
        <v>74</v>
      </c>
      <c r="L39" s="403">
        <v>1</v>
      </c>
      <c r="M39" s="403">
        <v>36689.023800000003</v>
      </c>
      <c r="N39" s="404">
        <f t="shared" si="5"/>
        <v>36689.023800000003</v>
      </c>
      <c r="O39" s="403" t="s">
        <v>168</v>
      </c>
      <c r="P39" s="406" t="s">
        <v>3605</v>
      </c>
      <c r="R39" s="389"/>
      <c r="S39" s="389"/>
    </row>
    <row r="40" spans="1:19" s="125" customFormat="1" ht="13.9" customHeight="1" outlineLevel="1" x14ac:dyDescent="0.25">
      <c r="A40" s="390">
        <f ca="1">IF($H40="UNIDADE CONSTRUTIVA",OFFSET(A40,-1,0)+1,LARGE(A$3:A39,1))</f>
        <v>0</v>
      </c>
      <c r="B40" s="390">
        <f t="shared" ca="1" si="6"/>
        <v>1</v>
      </c>
      <c r="C40" s="390">
        <f t="shared" ca="1" si="7"/>
        <v>2</v>
      </c>
      <c r="D40" s="391">
        <f t="shared" ca="1" si="8"/>
        <v>2</v>
      </c>
      <c r="E40" s="391">
        <f t="shared" ca="1" si="9"/>
        <v>5</v>
      </c>
      <c r="G40" s="398"/>
      <c r="H40" s="399" t="s">
        <v>433</v>
      </c>
      <c r="I40" s="400" t="str">
        <f t="shared" ca="1" si="4"/>
        <v>01.002.002.005</v>
      </c>
      <c r="J40" s="401" t="s">
        <v>118</v>
      </c>
      <c r="K40" s="403" t="s">
        <v>74</v>
      </c>
      <c r="L40" s="403">
        <v>1</v>
      </c>
      <c r="M40" s="403">
        <v>37715.290200000003</v>
      </c>
      <c r="N40" s="404">
        <f t="shared" ref="N40:N71" si="10">IF(H40="Serviço",M40*L40,IF(H40="CÉLULA CONSTRUTIVA",SUMIFS($N$8:$N$410,$B$8:$B$410,B40,$H$8:$H$410,"Serviço"),IF(H40="ETAPA",SUMIFS($N$8:$N$410,$B$8:$B$410,B40,$C$8:$C$410,C40,$H$8:$H$410,"Serviço"),IF(H40="SUBETAPA",SUMIFS($N$8:$N$410,$B$8:$B$410,B40,$C$8:$C$410,C40,$D$8:$D$410,D40,$H$8:$H$410,"Serviço"),0))))</f>
        <v>37715.290200000003</v>
      </c>
      <c r="O40" s="403" t="s">
        <v>168</v>
      </c>
      <c r="P40" s="406" t="s">
        <v>3605</v>
      </c>
      <c r="R40" s="389"/>
      <c r="S40" s="389"/>
    </row>
    <row r="41" spans="1:19" s="125" customFormat="1" ht="13.9" customHeight="1" outlineLevel="1" x14ac:dyDescent="0.25">
      <c r="A41" s="390">
        <f ca="1">IF($H41="UNIDADE CONSTRUTIVA",OFFSET(A41,-1,0)+1,LARGE(A$3:A40,1))</f>
        <v>0</v>
      </c>
      <c r="B41" s="390">
        <f t="shared" ca="1" si="6"/>
        <v>1</v>
      </c>
      <c r="C41" s="390">
        <f t="shared" ca="1" si="7"/>
        <v>2</v>
      </c>
      <c r="D41" s="391">
        <f t="shared" ca="1" si="8"/>
        <v>2</v>
      </c>
      <c r="E41" s="391">
        <f t="shared" ca="1" si="9"/>
        <v>6</v>
      </c>
      <c r="G41" s="398"/>
      <c r="H41" s="399" t="s">
        <v>433</v>
      </c>
      <c r="I41" s="400" t="str">
        <f t="shared" ca="1" si="4"/>
        <v>01.002.002.006</v>
      </c>
      <c r="J41" s="401" t="s">
        <v>112</v>
      </c>
      <c r="K41" s="403" t="s">
        <v>74</v>
      </c>
      <c r="L41" s="403">
        <v>1</v>
      </c>
      <c r="M41" s="403">
        <v>11700</v>
      </c>
      <c r="N41" s="404">
        <f t="shared" si="10"/>
        <v>11700</v>
      </c>
      <c r="O41" s="403" t="s">
        <v>146</v>
      </c>
      <c r="P41" s="406" t="s">
        <v>3605</v>
      </c>
      <c r="R41" s="389"/>
      <c r="S41" s="389"/>
    </row>
    <row r="42" spans="1:19" s="125" customFormat="1" ht="13.9" customHeight="1" outlineLevel="1" x14ac:dyDescent="0.25">
      <c r="A42" s="390">
        <f ca="1">IF($H42="UNIDADE CONSTRUTIVA",OFFSET(A42,-1,0)+1,LARGE(A$3:A41,1))</f>
        <v>0</v>
      </c>
      <c r="B42" s="390">
        <f t="shared" ca="1" si="6"/>
        <v>1</v>
      </c>
      <c r="C42" s="390">
        <f t="shared" ca="1" si="7"/>
        <v>2</v>
      </c>
      <c r="D42" s="391">
        <f t="shared" ca="1" si="8"/>
        <v>2</v>
      </c>
      <c r="E42" s="391">
        <f t="shared" ca="1" si="9"/>
        <v>7</v>
      </c>
      <c r="G42" s="398"/>
      <c r="H42" s="399" t="s">
        <v>433</v>
      </c>
      <c r="I42" s="400" t="str">
        <f t="shared" ca="1" si="4"/>
        <v>01.002.002.007</v>
      </c>
      <c r="J42" s="401" t="s">
        <v>113</v>
      </c>
      <c r="K42" s="403" t="s">
        <v>74</v>
      </c>
      <c r="L42" s="403">
        <v>1</v>
      </c>
      <c r="M42" s="403">
        <v>28700</v>
      </c>
      <c r="N42" s="404">
        <f t="shared" si="10"/>
        <v>28700</v>
      </c>
      <c r="O42" s="403" t="s">
        <v>146</v>
      </c>
      <c r="P42" s="406" t="s">
        <v>3605</v>
      </c>
      <c r="R42" s="389"/>
      <c r="S42" s="389"/>
    </row>
    <row r="43" spans="1:19" s="125" customFormat="1" ht="13.9" customHeight="1" outlineLevel="1" x14ac:dyDescent="0.25">
      <c r="A43" s="390">
        <f ca="1">IF($H43="UNIDADE CONSTRUTIVA",OFFSET(A43,-1,0)+1,LARGE(A$3:A42,1))</f>
        <v>0</v>
      </c>
      <c r="B43" s="390">
        <f t="shared" ca="1" si="6"/>
        <v>1</v>
      </c>
      <c r="C43" s="390">
        <f t="shared" ca="1" si="7"/>
        <v>2</v>
      </c>
      <c r="D43" s="391">
        <f t="shared" ca="1" si="8"/>
        <v>2</v>
      </c>
      <c r="E43" s="391">
        <f t="shared" ca="1" si="9"/>
        <v>8</v>
      </c>
      <c r="G43" s="398"/>
      <c r="H43" s="399" t="s">
        <v>433</v>
      </c>
      <c r="I43" s="400" t="str">
        <f t="shared" ca="1" si="4"/>
        <v>01.002.002.008</v>
      </c>
      <c r="J43" s="401" t="s">
        <v>114</v>
      </c>
      <c r="K43" s="403" t="s">
        <v>74</v>
      </c>
      <c r="L43" s="403">
        <v>1</v>
      </c>
      <c r="M43" s="403">
        <v>11500</v>
      </c>
      <c r="N43" s="404">
        <f t="shared" si="10"/>
        <v>11500</v>
      </c>
      <c r="O43" s="403" t="s">
        <v>146</v>
      </c>
      <c r="P43" s="406" t="s">
        <v>3605</v>
      </c>
      <c r="R43" s="389"/>
      <c r="S43" s="389"/>
    </row>
    <row r="44" spans="1:19" s="125" customFormat="1" ht="13.9" customHeight="1" outlineLevel="1" x14ac:dyDescent="0.25">
      <c r="A44" s="390">
        <f ca="1">IF($H44="UNIDADE CONSTRUTIVA",OFFSET(A44,-1,0)+1,LARGE(A$3:A43,1))</f>
        <v>0</v>
      </c>
      <c r="B44" s="390">
        <f t="shared" ca="1" si="6"/>
        <v>1</v>
      </c>
      <c r="C44" s="390">
        <f t="shared" ca="1" si="7"/>
        <v>2</v>
      </c>
      <c r="D44" s="391">
        <f t="shared" ca="1" si="8"/>
        <v>2</v>
      </c>
      <c r="E44" s="391">
        <f t="shared" ca="1" si="9"/>
        <v>9</v>
      </c>
      <c r="G44" s="398"/>
      <c r="H44" s="399" t="s">
        <v>433</v>
      </c>
      <c r="I44" s="400" t="str">
        <f t="shared" ca="1" si="4"/>
        <v>01.002.002.009</v>
      </c>
      <c r="J44" s="401" t="s">
        <v>115</v>
      </c>
      <c r="K44" s="403" t="s">
        <v>74</v>
      </c>
      <c r="L44" s="403">
        <v>1</v>
      </c>
      <c r="M44" s="403">
        <v>9700</v>
      </c>
      <c r="N44" s="404">
        <f t="shared" si="10"/>
        <v>9700</v>
      </c>
      <c r="O44" s="403" t="s">
        <v>146</v>
      </c>
      <c r="P44" s="406" t="s">
        <v>3605</v>
      </c>
      <c r="R44" s="389"/>
      <c r="S44" s="389"/>
    </row>
    <row r="45" spans="1:19" s="125" customFormat="1" ht="13.9" customHeight="1" x14ac:dyDescent="0.25">
      <c r="A45" s="390">
        <f ca="1">IF($H45="UNIDADE CONSTRUTIVA",OFFSET(A45,-1,0)+1,LARGE(A$3:A44,1))</f>
        <v>0</v>
      </c>
      <c r="B45" s="390">
        <f t="shared" ca="1" si="6"/>
        <v>1</v>
      </c>
      <c r="C45" s="390">
        <f t="shared" ca="1" si="7"/>
        <v>2</v>
      </c>
      <c r="D45" s="391">
        <f t="shared" ca="1" si="8"/>
        <v>3</v>
      </c>
      <c r="E45" s="391">
        <f t="shared" ca="1" si="9"/>
        <v>0</v>
      </c>
      <c r="G45" s="398"/>
      <c r="H45" s="399" t="s">
        <v>432</v>
      </c>
      <c r="I45" s="400" t="str">
        <f t="shared" ca="1" si="4"/>
        <v>01.002.003</v>
      </c>
      <c r="J45" s="401" t="s">
        <v>101</v>
      </c>
      <c r="K45" s="402"/>
      <c r="L45" s="403"/>
      <c r="M45" s="403"/>
      <c r="N45" s="404">
        <f t="shared" ca="1" si="10"/>
        <v>56957.785200000013</v>
      </c>
      <c r="O45" s="405"/>
      <c r="P45" s="406"/>
      <c r="R45" s="389"/>
      <c r="S45" s="389"/>
    </row>
    <row r="46" spans="1:19" s="125" customFormat="1" ht="13.9" customHeight="1" outlineLevel="1" x14ac:dyDescent="0.25">
      <c r="A46" s="390">
        <f ca="1">IF($H46="UNIDADE CONSTRUTIVA",OFFSET(A46,-1,0)+1,LARGE(A$3:A45,1))</f>
        <v>0</v>
      </c>
      <c r="B46" s="390">
        <f t="shared" ca="1" si="6"/>
        <v>1</v>
      </c>
      <c r="C46" s="390">
        <f t="shared" ca="1" si="7"/>
        <v>2</v>
      </c>
      <c r="D46" s="391">
        <f t="shared" ca="1" si="8"/>
        <v>3</v>
      </c>
      <c r="E46" s="391">
        <f t="shared" ca="1" si="9"/>
        <v>1</v>
      </c>
      <c r="G46" s="398"/>
      <c r="H46" s="399" t="s">
        <v>433</v>
      </c>
      <c r="I46" s="400" t="str">
        <f t="shared" ca="1" si="4"/>
        <v>01.002.003.001</v>
      </c>
      <c r="J46" s="401" t="s">
        <v>119</v>
      </c>
      <c r="K46" s="403" t="s">
        <v>74</v>
      </c>
      <c r="L46" s="403">
        <v>1</v>
      </c>
      <c r="M46" s="403">
        <v>43616.322000000007</v>
      </c>
      <c r="N46" s="404">
        <f t="shared" si="10"/>
        <v>43616.322000000007</v>
      </c>
      <c r="O46" s="403" t="s">
        <v>168</v>
      </c>
      <c r="P46" s="406" t="s">
        <v>3605</v>
      </c>
      <c r="R46" s="389"/>
      <c r="S46" s="389"/>
    </row>
    <row r="47" spans="1:19" s="125" customFormat="1" ht="13.9" customHeight="1" outlineLevel="1" x14ac:dyDescent="0.25">
      <c r="A47" s="390">
        <f ca="1">IF($H47="UNIDADE CONSTRUTIVA",OFFSET(A47,-1,0)+1,LARGE(A$3:A46,1))</f>
        <v>0</v>
      </c>
      <c r="B47" s="390">
        <f t="shared" ca="1" si="6"/>
        <v>1</v>
      </c>
      <c r="C47" s="390">
        <f t="shared" ca="1" si="7"/>
        <v>2</v>
      </c>
      <c r="D47" s="391">
        <f t="shared" ca="1" si="8"/>
        <v>3</v>
      </c>
      <c r="E47" s="391">
        <f t="shared" ca="1" si="9"/>
        <v>2</v>
      </c>
      <c r="G47" s="398"/>
      <c r="H47" s="399" t="s">
        <v>433</v>
      </c>
      <c r="I47" s="400" t="str">
        <f t="shared" ca="1" si="4"/>
        <v>01.002.003.002</v>
      </c>
      <c r="J47" s="401" t="s">
        <v>120</v>
      </c>
      <c r="K47" s="403" t="s">
        <v>74</v>
      </c>
      <c r="L47" s="403">
        <v>1</v>
      </c>
      <c r="M47" s="403">
        <v>13341.463200000002</v>
      </c>
      <c r="N47" s="404">
        <f t="shared" si="10"/>
        <v>13341.463200000002</v>
      </c>
      <c r="O47" s="403" t="s">
        <v>168</v>
      </c>
      <c r="P47" s="406" t="s">
        <v>3605</v>
      </c>
      <c r="R47" s="389"/>
      <c r="S47" s="389"/>
    </row>
    <row r="48" spans="1:19" s="125" customFormat="1" ht="13.9" customHeight="1" x14ac:dyDescent="0.25">
      <c r="A48" s="390">
        <f ca="1">IF($H48="UNIDADE CONSTRUTIVA",OFFSET(A48,-1,0)+1,LARGE(A$3:A47,1))</f>
        <v>0</v>
      </c>
      <c r="B48" s="390">
        <f t="shared" ca="1" si="6"/>
        <v>2</v>
      </c>
      <c r="C48" s="390">
        <f t="shared" ca="1" si="7"/>
        <v>0</v>
      </c>
      <c r="D48" s="391">
        <f t="shared" ca="1" si="8"/>
        <v>3</v>
      </c>
      <c r="E48" s="391">
        <f t="shared" ca="1" si="9"/>
        <v>2</v>
      </c>
      <c r="G48" s="398"/>
      <c r="H48" s="399" t="s">
        <v>430</v>
      </c>
      <c r="I48" s="400" t="str">
        <f t="shared" ca="1" si="4"/>
        <v>02</v>
      </c>
      <c r="J48" s="401" t="s">
        <v>174</v>
      </c>
      <c r="K48" s="402"/>
      <c r="L48" s="403"/>
      <c r="M48" s="403"/>
      <c r="N48" s="404">
        <f t="shared" ca="1" si="10"/>
        <v>2158143.8738858667</v>
      </c>
      <c r="O48" s="405"/>
      <c r="P48" s="406"/>
      <c r="R48" s="389"/>
      <c r="S48" s="389"/>
    </row>
    <row r="49" spans="1:19" s="125" customFormat="1" ht="13.9" customHeight="1" x14ac:dyDescent="0.25">
      <c r="A49" s="390">
        <f ca="1">IF($H49="UNIDADE CONSTRUTIVA",OFFSET(A49,-1,0)+1,LARGE(A$3:A48,1))</f>
        <v>0</v>
      </c>
      <c r="B49" s="390">
        <f t="shared" ca="1" si="6"/>
        <v>2</v>
      </c>
      <c r="C49" s="390">
        <f t="shared" ca="1" si="7"/>
        <v>1</v>
      </c>
      <c r="D49" s="391">
        <f t="shared" ca="1" si="8"/>
        <v>0</v>
      </c>
      <c r="E49" s="391">
        <f t="shared" ca="1" si="9"/>
        <v>2</v>
      </c>
      <c r="G49" s="398"/>
      <c r="H49" s="399" t="s">
        <v>229</v>
      </c>
      <c r="I49" s="400" t="str">
        <f t="shared" ca="1" si="4"/>
        <v>02.001</v>
      </c>
      <c r="J49" s="401" t="s">
        <v>611</v>
      </c>
      <c r="K49" s="402"/>
      <c r="L49" s="403"/>
      <c r="M49" s="403"/>
      <c r="N49" s="404">
        <f t="shared" ca="1" si="10"/>
        <v>873329.25950086687</v>
      </c>
      <c r="O49" s="405"/>
      <c r="P49" s="406"/>
      <c r="R49" s="389"/>
      <c r="S49" s="389"/>
    </row>
    <row r="50" spans="1:19" s="125" customFormat="1" ht="13.9" customHeight="1" x14ac:dyDescent="0.25">
      <c r="A50" s="390">
        <f ca="1">IF($H50="UNIDADE CONSTRUTIVA",OFFSET(A50,-1,0)+1,LARGE(A$3:A49,1))</f>
        <v>0</v>
      </c>
      <c r="B50" s="390">
        <f t="shared" ca="1" si="6"/>
        <v>2</v>
      </c>
      <c r="C50" s="390">
        <f t="shared" ca="1" si="7"/>
        <v>1</v>
      </c>
      <c r="D50" s="391">
        <f t="shared" ca="1" si="8"/>
        <v>1</v>
      </c>
      <c r="E50" s="391">
        <f t="shared" ca="1" si="9"/>
        <v>0</v>
      </c>
      <c r="G50" s="398"/>
      <c r="H50" s="399" t="s">
        <v>432</v>
      </c>
      <c r="I50" s="400" t="str">
        <f t="shared" ca="1" si="4"/>
        <v>02.001.001</v>
      </c>
      <c r="J50" s="401" t="s">
        <v>612</v>
      </c>
      <c r="K50" s="402"/>
      <c r="L50" s="403"/>
      <c r="M50" s="403"/>
      <c r="N50" s="404">
        <f t="shared" ca="1" si="10"/>
        <v>167916.66666666666</v>
      </c>
      <c r="O50" s="405"/>
      <c r="P50" s="406"/>
      <c r="R50" s="389"/>
      <c r="S50" s="389"/>
    </row>
    <row r="51" spans="1:19" s="125" customFormat="1" ht="13.9" customHeight="1" outlineLevel="1" x14ac:dyDescent="0.25">
      <c r="A51" s="390">
        <f ca="1">IF($H51="UNIDADE CONSTRUTIVA",OFFSET(A51,-1,0)+1,LARGE(A$3:A50,1))</f>
        <v>0</v>
      </c>
      <c r="B51" s="390">
        <f t="shared" ca="1" si="6"/>
        <v>2</v>
      </c>
      <c r="C51" s="390">
        <f t="shared" ca="1" si="7"/>
        <v>1</v>
      </c>
      <c r="D51" s="391">
        <f t="shared" ca="1" si="8"/>
        <v>1</v>
      </c>
      <c r="E51" s="391">
        <f t="shared" ca="1" si="9"/>
        <v>1</v>
      </c>
      <c r="G51" s="398"/>
      <c r="H51" s="399" t="s">
        <v>433</v>
      </c>
      <c r="I51" s="400" t="str">
        <f t="shared" ca="1" si="4"/>
        <v>02.001.001.001</v>
      </c>
      <c r="J51" s="401" t="s">
        <v>122</v>
      </c>
      <c r="K51" s="403" t="s">
        <v>75</v>
      </c>
      <c r="L51" s="403">
        <v>65</v>
      </c>
      <c r="M51" s="403">
        <v>500</v>
      </c>
      <c r="N51" s="404">
        <f t="shared" si="10"/>
        <v>32500</v>
      </c>
      <c r="O51" s="403" t="s">
        <v>146</v>
      </c>
      <c r="P51" s="406" t="s">
        <v>3605</v>
      </c>
      <c r="R51" s="389"/>
      <c r="S51" s="389"/>
    </row>
    <row r="52" spans="1:19" s="125" customFormat="1" ht="13.9" customHeight="1" outlineLevel="1" x14ac:dyDescent="0.25">
      <c r="A52" s="390">
        <f ca="1">IF($H52="UNIDADE CONSTRUTIVA",OFFSET(A52,-1,0)+1,LARGE(A$3:A51,1))</f>
        <v>0</v>
      </c>
      <c r="B52" s="390">
        <f t="shared" ca="1" si="6"/>
        <v>2</v>
      </c>
      <c r="C52" s="390">
        <f t="shared" ca="1" si="7"/>
        <v>1</v>
      </c>
      <c r="D52" s="391">
        <f t="shared" ca="1" si="8"/>
        <v>1</v>
      </c>
      <c r="E52" s="391">
        <f t="shared" ca="1" si="9"/>
        <v>2</v>
      </c>
      <c r="G52" s="398"/>
      <c r="H52" s="399" t="s">
        <v>433</v>
      </c>
      <c r="I52" s="400" t="str">
        <f t="shared" ref="I52" ca="1" si="11">IF(H52="Unidade Construtiva",TEXT(A52,"00"),IF(H52="Célula Construtiva",TEXT(B52,"00"),IF(H52="Etapa",CONCATENATE(TEXT(B52,"00"),".",TEXT(C52,"000")),IF(H52="Subetapa",CONCATENATE(TEXT(B52,"00"),".",TEXT(C52,"000"),".",TEXT(D52,"000")),IF(H52="Serviço",CONCATENATE(TEXT(B52,"00"),".",TEXT(C52,"000"),".",TEXT(D52,"000"),".",TEXT(E52,"000")),"")))))</f>
        <v>02.001.001.002</v>
      </c>
      <c r="J52" s="401" t="s">
        <v>121</v>
      </c>
      <c r="K52" s="403" t="s">
        <v>75</v>
      </c>
      <c r="L52" s="403">
        <v>65</v>
      </c>
      <c r="M52" s="403">
        <v>2000</v>
      </c>
      <c r="N52" s="404">
        <f t="shared" si="10"/>
        <v>130000</v>
      </c>
      <c r="O52" s="403" t="s">
        <v>168</v>
      </c>
      <c r="P52" s="406" t="s">
        <v>3605</v>
      </c>
      <c r="R52" s="389"/>
      <c r="S52" s="389"/>
    </row>
    <row r="53" spans="1:19" s="125" customFormat="1" ht="13.9" customHeight="1" outlineLevel="1" x14ac:dyDescent="0.25">
      <c r="A53" s="390">
        <f ca="1">IF($H53="UNIDADE CONSTRUTIVA",OFFSET(A53,-1,0)+1,LARGE(A$3:A52,1))</f>
        <v>0</v>
      </c>
      <c r="B53" s="390">
        <f t="shared" ca="1" si="6"/>
        <v>2</v>
      </c>
      <c r="C53" s="390">
        <f t="shared" ca="1" si="7"/>
        <v>1</v>
      </c>
      <c r="D53" s="391">
        <f t="shared" ca="1" si="8"/>
        <v>1</v>
      </c>
      <c r="E53" s="391">
        <f t="shared" ca="1" si="9"/>
        <v>3</v>
      </c>
      <c r="G53" s="398"/>
      <c r="H53" s="399" t="s">
        <v>433</v>
      </c>
      <c r="I53" s="400" t="str">
        <f t="shared" ca="1" si="4"/>
        <v>02.001.001.003</v>
      </c>
      <c r="J53" s="401" t="s">
        <v>613</v>
      </c>
      <c r="K53" s="403" t="s">
        <v>75</v>
      </c>
      <c r="L53" s="403">
        <v>65</v>
      </c>
      <c r="M53" s="403">
        <v>83.333333333333329</v>
      </c>
      <c r="N53" s="404">
        <f t="shared" si="10"/>
        <v>5416.6666666666661</v>
      </c>
      <c r="O53" s="403" t="s">
        <v>168</v>
      </c>
      <c r="P53" s="406" t="s">
        <v>3605</v>
      </c>
      <c r="R53" s="389"/>
      <c r="S53" s="389"/>
    </row>
    <row r="54" spans="1:19" s="125" customFormat="1" ht="13.9" customHeight="1" x14ac:dyDescent="0.25">
      <c r="A54" s="390">
        <f ca="1">IF($H54="UNIDADE CONSTRUTIVA",OFFSET(A54,-1,0)+1,LARGE(A$3:A53,1))</f>
        <v>0</v>
      </c>
      <c r="B54" s="390">
        <f t="shared" ca="1" si="6"/>
        <v>2</v>
      </c>
      <c r="C54" s="390">
        <f t="shared" ca="1" si="7"/>
        <v>1</v>
      </c>
      <c r="D54" s="391">
        <f t="shared" ca="1" si="8"/>
        <v>2</v>
      </c>
      <c r="E54" s="391">
        <f t="shared" ca="1" si="9"/>
        <v>0</v>
      </c>
      <c r="G54" s="398"/>
      <c r="H54" s="399" t="s">
        <v>432</v>
      </c>
      <c r="I54" s="400" t="str">
        <f t="shared" ca="1" si="4"/>
        <v>02.001.002</v>
      </c>
      <c r="J54" s="401" t="s">
        <v>614</v>
      </c>
      <c r="K54" s="402"/>
      <c r="L54" s="403"/>
      <c r="M54" s="407"/>
      <c r="N54" s="404">
        <f t="shared" ca="1" si="10"/>
        <v>560236.79563419998</v>
      </c>
      <c r="O54" s="405"/>
      <c r="P54" s="406"/>
      <c r="R54" s="389"/>
      <c r="S54" s="389"/>
    </row>
    <row r="55" spans="1:19" s="125" customFormat="1" ht="13.9" customHeight="1" outlineLevel="1" x14ac:dyDescent="0.25">
      <c r="A55" s="390">
        <f ca="1">IF($H55="UNIDADE CONSTRUTIVA",OFFSET(A55,-1,0)+1,LARGE(A$3:A54,1))</f>
        <v>0</v>
      </c>
      <c r="B55" s="390">
        <f t="shared" ca="1" si="6"/>
        <v>2</v>
      </c>
      <c r="C55" s="390">
        <f t="shared" ca="1" si="7"/>
        <v>1</v>
      </c>
      <c r="D55" s="391">
        <f t="shared" ca="1" si="8"/>
        <v>2</v>
      </c>
      <c r="E55" s="391">
        <f t="shared" ca="1" si="9"/>
        <v>1</v>
      </c>
      <c r="G55" s="398"/>
      <c r="H55" s="399" t="s">
        <v>433</v>
      </c>
      <c r="I55" s="400" t="str">
        <f t="shared" ca="1" si="4"/>
        <v>02.001.002.001</v>
      </c>
      <c r="J55" s="401" t="s">
        <v>84</v>
      </c>
      <c r="K55" s="403" t="s">
        <v>54</v>
      </c>
      <c r="L55" s="403">
        <v>314.48349999999999</v>
      </c>
      <c r="M55" s="403">
        <v>403.2912</v>
      </c>
      <c r="N55" s="404">
        <f t="shared" si="10"/>
        <v>126828.4280952</v>
      </c>
      <c r="O55" s="405" t="s">
        <v>615</v>
      </c>
      <c r="P55" s="406" t="s">
        <v>3605</v>
      </c>
      <c r="R55" s="389"/>
      <c r="S55" s="389"/>
    </row>
    <row r="56" spans="1:19" s="125" customFormat="1" ht="13.9" customHeight="1" outlineLevel="1" x14ac:dyDescent="0.25">
      <c r="A56" s="390">
        <f ca="1">IF($H56="UNIDADE CONSTRUTIVA",OFFSET(A56,-1,0)+1,LARGE(A$3:A55,1))</f>
        <v>0</v>
      </c>
      <c r="B56" s="390">
        <f t="shared" ca="1" si="6"/>
        <v>2</v>
      </c>
      <c r="C56" s="390">
        <f t="shared" ca="1" si="7"/>
        <v>1</v>
      </c>
      <c r="D56" s="391">
        <f t="shared" ca="1" si="8"/>
        <v>2</v>
      </c>
      <c r="E56" s="391">
        <f t="shared" ca="1" si="9"/>
        <v>2</v>
      </c>
      <c r="G56" s="398"/>
      <c r="H56" s="399" t="s">
        <v>433</v>
      </c>
      <c r="I56" s="400" t="str">
        <f t="shared" ca="1" si="4"/>
        <v>02.001.002.002</v>
      </c>
      <c r="J56" s="401" t="s">
        <v>85</v>
      </c>
      <c r="K56" s="403" t="s">
        <v>54</v>
      </c>
      <c r="L56" s="403">
        <v>732.95</v>
      </c>
      <c r="M56" s="403">
        <v>364.47489999999999</v>
      </c>
      <c r="N56" s="404">
        <f t="shared" si="10"/>
        <v>267141.87795500003</v>
      </c>
      <c r="O56" s="405" t="s">
        <v>615</v>
      </c>
      <c r="P56" s="406" t="s">
        <v>3605</v>
      </c>
      <c r="R56" s="389"/>
      <c r="S56" s="389"/>
    </row>
    <row r="57" spans="1:19" s="125" customFormat="1" ht="13.9" customHeight="1" outlineLevel="1" x14ac:dyDescent="0.25">
      <c r="A57" s="390">
        <f ca="1">IF($H57="UNIDADE CONSTRUTIVA",OFFSET(A57,-1,0)+1,LARGE(A$3:A56,1))</f>
        <v>0</v>
      </c>
      <c r="B57" s="390">
        <f t="shared" ca="1" si="6"/>
        <v>2</v>
      </c>
      <c r="C57" s="390">
        <f t="shared" ca="1" si="7"/>
        <v>1</v>
      </c>
      <c r="D57" s="391">
        <f t="shared" ca="1" si="8"/>
        <v>2</v>
      </c>
      <c r="E57" s="391">
        <f t="shared" ca="1" si="9"/>
        <v>3</v>
      </c>
      <c r="G57" s="398"/>
      <c r="H57" s="399" t="s">
        <v>433</v>
      </c>
      <c r="I57" s="400" t="str">
        <f t="shared" ca="1" si="4"/>
        <v>02.001.002.003</v>
      </c>
      <c r="J57" s="401" t="s">
        <v>198</v>
      </c>
      <c r="K57" s="403" t="s">
        <v>66</v>
      </c>
      <c r="L57" s="403">
        <v>1389.6000000000001</v>
      </c>
      <c r="M57" s="403">
        <v>16.09</v>
      </c>
      <c r="N57" s="404">
        <f t="shared" si="10"/>
        <v>22358.664000000001</v>
      </c>
      <c r="O57" s="405" t="s">
        <v>615</v>
      </c>
      <c r="P57" s="406" t="s">
        <v>3605</v>
      </c>
      <c r="R57" s="389"/>
      <c r="S57" s="389"/>
    </row>
    <row r="58" spans="1:19" s="125" customFormat="1" ht="13.9" customHeight="1" outlineLevel="1" x14ac:dyDescent="0.25">
      <c r="A58" s="390">
        <f ca="1">IF($H58="UNIDADE CONSTRUTIVA",OFFSET(A58,-1,0)+1,LARGE(A$3:A57,1))</f>
        <v>0</v>
      </c>
      <c r="B58" s="390">
        <f t="shared" ca="1" si="6"/>
        <v>2</v>
      </c>
      <c r="C58" s="390">
        <f t="shared" ca="1" si="7"/>
        <v>1</v>
      </c>
      <c r="D58" s="391">
        <f t="shared" ca="1" si="8"/>
        <v>2</v>
      </c>
      <c r="E58" s="391">
        <f t="shared" ca="1" si="9"/>
        <v>4</v>
      </c>
      <c r="G58" s="398"/>
      <c r="H58" s="399" t="s">
        <v>433</v>
      </c>
      <c r="I58" s="400" t="str">
        <f t="shared" ca="1" si="4"/>
        <v>02.001.002.004</v>
      </c>
      <c r="J58" s="401" t="s">
        <v>265</v>
      </c>
      <c r="K58" s="403" t="s">
        <v>54</v>
      </c>
      <c r="L58" s="403">
        <v>586.36</v>
      </c>
      <c r="M58" s="403">
        <v>16.22</v>
      </c>
      <c r="N58" s="404">
        <f t="shared" si="10"/>
        <v>9510.7592000000004</v>
      </c>
      <c r="O58" s="405" t="s">
        <v>615</v>
      </c>
      <c r="P58" s="406" t="s">
        <v>3605</v>
      </c>
      <c r="R58" s="389"/>
      <c r="S58" s="389"/>
    </row>
    <row r="59" spans="1:19" s="125" customFormat="1" ht="13.9" customHeight="1" outlineLevel="1" x14ac:dyDescent="0.25">
      <c r="A59" s="390">
        <f ca="1">IF($H59="UNIDADE CONSTRUTIVA",OFFSET(A59,-1,0)+1,LARGE(A$3:A58,1))</f>
        <v>0</v>
      </c>
      <c r="B59" s="390">
        <f t="shared" ca="1" si="6"/>
        <v>2</v>
      </c>
      <c r="C59" s="390">
        <f t="shared" ca="1" si="7"/>
        <v>1</v>
      </c>
      <c r="D59" s="391">
        <f t="shared" ca="1" si="8"/>
        <v>2</v>
      </c>
      <c r="E59" s="391">
        <f t="shared" ca="1" si="9"/>
        <v>5</v>
      </c>
      <c r="G59" s="398"/>
      <c r="H59" s="399" t="s">
        <v>433</v>
      </c>
      <c r="I59" s="400" t="str">
        <f t="shared" ca="1" si="4"/>
        <v>02.001.002.005</v>
      </c>
      <c r="J59" s="401" t="s">
        <v>89</v>
      </c>
      <c r="K59" s="403" t="s">
        <v>66</v>
      </c>
      <c r="L59" s="403">
        <v>6411.8466000000017</v>
      </c>
      <c r="M59" s="403">
        <v>11.24</v>
      </c>
      <c r="N59" s="404">
        <f t="shared" si="10"/>
        <v>72069.155784000017</v>
      </c>
      <c r="O59" s="405" t="s">
        <v>615</v>
      </c>
      <c r="P59" s="406" t="s">
        <v>3605</v>
      </c>
      <c r="R59" s="389"/>
      <c r="S59" s="389"/>
    </row>
    <row r="60" spans="1:19" s="125" customFormat="1" ht="13.9" customHeight="1" outlineLevel="1" x14ac:dyDescent="0.25">
      <c r="A60" s="390">
        <f ca="1">IF($H60="UNIDADE CONSTRUTIVA",OFFSET(A60,-1,0)+1,LARGE(A$3:A59,1))</f>
        <v>0</v>
      </c>
      <c r="B60" s="390">
        <f t="shared" ca="1" si="6"/>
        <v>2</v>
      </c>
      <c r="C60" s="390">
        <f t="shared" ca="1" si="7"/>
        <v>1</v>
      </c>
      <c r="D60" s="391">
        <f t="shared" ca="1" si="8"/>
        <v>2</v>
      </c>
      <c r="E60" s="391">
        <f t="shared" ca="1" si="9"/>
        <v>6</v>
      </c>
      <c r="G60" s="398"/>
      <c r="H60" s="399" t="s">
        <v>433</v>
      </c>
      <c r="I60" s="400" t="str">
        <f t="shared" ca="1" si="4"/>
        <v>02.001.002.006</v>
      </c>
      <c r="J60" s="401" t="s">
        <v>91</v>
      </c>
      <c r="K60" s="403" t="s">
        <v>66</v>
      </c>
      <c r="L60" s="403">
        <v>107.73</v>
      </c>
      <c r="M60" s="403">
        <v>15.22</v>
      </c>
      <c r="N60" s="404">
        <f t="shared" si="10"/>
        <v>1639.6506000000002</v>
      </c>
      <c r="O60" s="405" t="s">
        <v>615</v>
      </c>
      <c r="P60" s="406" t="s">
        <v>3605</v>
      </c>
      <c r="R60" s="389"/>
      <c r="S60" s="389"/>
    </row>
    <row r="61" spans="1:19" s="125" customFormat="1" ht="13.9" customHeight="1" outlineLevel="1" x14ac:dyDescent="0.25">
      <c r="A61" s="390">
        <f ca="1">IF($H61="UNIDADE CONSTRUTIVA",OFFSET(A61,-1,0)+1,LARGE(A$3:A60,1))</f>
        <v>0</v>
      </c>
      <c r="B61" s="390">
        <f t="shared" ca="1" si="6"/>
        <v>2</v>
      </c>
      <c r="C61" s="390">
        <f t="shared" ca="1" si="7"/>
        <v>1</v>
      </c>
      <c r="D61" s="391">
        <f t="shared" ca="1" si="8"/>
        <v>2</v>
      </c>
      <c r="E61" s="391">
        <f t="shared" ca="1" si="9"/>
        <v>7</v>
      </c>
      <c r="G61" s="398"/>
      <c r="H61" s="399" t="s">
        <v>433</v>
      </c>
      <c r="I61" s="400" t="str">
        <f t="shared" ca="1" si="4"/>
        <v>02.001.002.007</v>
      </c>
      <c r="J61" s="401" t="s">
        <v>172</v>
      </c>
      <c r="K61" s="403" t="s">
        <v>54</v>
      </c>
      <c r="L61" s="403">
        <v>586.36</v>
      </c>
      <c r="M61" s="403">
        <v>103.5</v>
      </c>
      <c r="N61" s="404">
        <f t="shared" si="10"/>
        <v>60688.26</v>
      </c>
      <c r="O61" s="405" t="s">
        <v>615</v>
      </c>
      <c r="P61" s="406" t="s">
        <v>3605</v>
      </c>
      <c r="R61" s="389"/>
      <c r="S61" s="389"/>
    </row>
    <row r="62" spans="1:19" s="125" customFormat="1" ht="13.9" customHeight="1" x14ac:dyDescent="0.25">
      <c r="A62" s="390">
        <f ca="1">IF($H62="UNIDADE CONSTRUTIVA",OFFSET(A62,-1,0)+1,LARGE(A$3:A61,1))</f>
        <v>0</v>
      </c>
      <c r="B62" s="390">
        <f t="shared" ca="1" si="6"/>
        <v>2</v>
      </c>
      <c r="C62" s="390">
        <f t="shared" ca="1" si="7"/>
        <v>1</v>
      </c>
      <c r="D62" s="391">
        <f t="shared" ca="1" si="8"/>
        <v>3</v>
      </c>
      <c r="E62" s="391">
        <f t="shared" ca="1" si="9"/>
        <v>0</v>
      </c>
      <c r="G62" s="398"/>
      <c r="H62" s="399" t="s">
        <v>432</v>
      </c>
      <c r="I62" s="400" t="str">
        <f t="shared" ca="1" si="4"/>
        <v>02.001.003</v>
      </c>
      <c r="J62" s="401" t="s">
        <v>616</v>
      </c>
      <c r="K62" s="402"/>
      <c r="L62" s="403"/>
      <c r="M62" s="407"/>
      <c r="N62" s="404">
        <f t="shared" ca="1" si="10"/>
        <v>135644.46520000001</v>
      </c>
      <c r="O62" s="405"/>
      <c r="P62" s="406"/>
      <c r="R62" s="389"/>
      <c r="S62" s="389"/>
    </row>
    <row r="63" spans="1:19" s="125" customFormat="1" ht="22.5" outlineLevel="1" x14ac:dyDescent="0.25">
      <c r="A63" s="390">
        <f ca="1">IF($H63="UNIDADE CONSTRUTIVA",OFFSET(A63,-1,0)+1,LARGE(A$3:A62,1))</f>
        <v>0</v>
      </c>
      <c r="B63" s="390">
        <f t="shared" ca="1" si="6"/>
        <v>2</v>
      </c>
      <c r="C63" s="390">
        <f t="shared" ca="1" si="7"/>
        <v>1</v>
      </c>
      <c r="D63" s="391">
        <f t="shared" ca="1" si="8"/>
        <v>3</v>
      </c>
      <c r="E63" s="391">
        <f t="shared" ca="1" si="9"/>
        <v>1</v>
      </c>
      <c r="G63" s="398"/>
      <c r="H63" s="399" t="s">
        <v>433</v>
      </c>
      <c r="I63" s="400" t="str">
        <f t="shared" ca="1" si="4"/>
        <v>02.001.003.001</v>
      </c>
      <c r="J63" s="412" t="s">
        <v>124</v>
      </c>
      <c r="K63" s="403" t="s">
        <v>74</v>
      </c>
      <c r="L63" s="403">
        <v>1</v>
      </c>
      <c r="M63" s="403">
        <v>5644.4652000000006</v>
      </c>
      <c r="N63" s="404">
        <f t="shared" si="10"/>
        <v>5644.4652000000006</v>
      </c>
      <c r="O63" s="405" t="s">
        <v>615</v>
      </c>
      <c r="P63" s="406" t="s">
        <v>3605</v>
      </c>
      <c r="R63" s="389"/>
      <c r="S63" s="389"/>
    </row>
    <row r="64" spans="1:19" s="125" customFormat="1" ht="13.9" customHeight="1" outlineLevel="1" x14ac:dyDescent="0.25">
      <c r="A64" s="390">
        <f ca="1">IF($H64="UNIDADE CONSTRUTIVA",OFFSET(A64,-1,0)+1,LARGE(A$3:A63,1))</f>
        <v>0</v>
      </c>
      <c r="B64" s="390">
        <f t="shared" ca="1" si="6"/>
        <v>2</v>
      </c>
      <c r="C64" s="390">
        <f t="shared" ca="1" si="7"/>
        <v>1</v>
      </c>
      <c r="D64" s="391">
        <f t="shared" ca="1" si="8"/>
        <v>3</v>
      </c>
      <c r="E64" s="391">
        <f t="shared" ca="1" si="9"/>
        <v>2</v>
      </c>
      <c r="G64" s="398"/>
      <c r="H64" s="399" t="s">
        <v>433</v>
      </c>
      <c r="I64" s="400" t="str">
        <f t="shared" ca="1" si="4"/>
        <v>02.001.003.002</v>
      </c>
      <c r="J64" s="401" t="s">
        <v>126</v>
      </c>
      <c r="K64" s="403" t="s">
        <v>75</v>
      </c>
      <c r="L64" s="403">
        <v>65</v>
      </c>
      <c r="M64" s="403">
        <v>2000</v>
      </c>
      <c r="N64" s="404">
        <f t="shared" si="10"/>
        <v>130000</v>
      </c>
      <c r="O64" s="405" t="s">
        <v>615</v>
      </c>
      <c r="P64" s="406" t="s">
        <v>3605</v>
      </c>
      <c r="R64" s="389"/>
      <c r="S64" s="389"/>
    </row>
    <row r="65" spans="1:19" s="125" customFormat="1" ht="13.9" customHeight="1" x14ac:dyDescent="0.25">
      <c r="A65" s="390">
        <f ca="1">IF($H65="UNIDADE CONSTRUTIVA",OFFSET(A65,-1,0)+1,LARGE(A$3:A64,1))</f>
        <v>0</v>
      </c>
      <c r="B65" s="390">
        <f t="shared" ca="1" si="6"/>
        <v>2</v>
      </c>
      <c r="C65" s="390">
        <f t="shared" ca="1" si="7"/>
        <v>1</v>
      </c>
      <c r="D65" s="391">
        <f t="shared" ca="1" si="8"/>
        <v>4</v>
      </c>
      <c r="E65" s="391">
        <f t="shared" ca="1" si="9"/>
        <v>0</v>
      </c>
      <c r="G65" s="398"/>
      <c r="H65" s="399" t="s">
        <v>432</v>
      </c>
      <c r="I65" s="400" t="str">
        <f t="shared" ca="1" si="4"/>
        <v>02.001.004</v>
      </c>
      <c r="J65" s="401" t="s">
        <v>617</v>
      </c>
      <c r="K65" s="402"/>
      <c r="L65" s="403"/>
      <c r="M65" s="403"/>
      <c r="N65" s="404">
        <f t="shared" ca="1" si="10"/>
        <v>9531.3320000000022</v>
      </c>
      <c r="O65" s="405"/>
      <c r="P65" s="406"/>
      <c r="R65" s="389"/>
      <c r="S65" s="389"/>
    </row>
    <row r="66" spans="1:19" s="125" customFormat="1" ht="22.5" outlineLevel="1" x14ac:dyDescent="0.25">
      <c r="A66" s="390">
        <f ca="1">IF($H66="UNIDADE CONSTRUTIVA",OFFSET(A66,-1,0)+1,LARGE(A$3:A65,1))</f>
        <v>0</v>
      </c>
      <c r="B66" s="390">
        <f t="shared" ca="1" si="6"/>
        <v>2</v>
      </c>
      <c r="C66" s="390">
        <f t="shared" ca="1" si="7"/>
        <v>1</v>
      </c>
      <c r="D66" s="391">
        <f t="shared" ca="1" si="8"/>
        <v>4</v>
      </c>
      <c r="E66" s="391">
        <f t="shared" ca="1" si="9"/>
        <v>1</v>
      </c>
      <c r="G66" s="398"/>
      <c r="H66" s="399" t="s">
        <v>433</v>
      </c>
      <c r="I66" s="400" t="str">
        <f t="shared" ca="1" si="4"/>
        <v>02.001.004.001</v>
      </c>
      <c r="J66" s="412" t="s">
        <v>123</v>
      </c>
      <c r="K66" s="403" t="s">
        <v>74</v>
      </c>
      <c r="L66" s="403">
        <v>1</v>
      </c>
      <c r="M66" s="403">
        <v>4400</v>
      </c>
      <c r="N66" s="404">
        <f t="shared" si="10"/>
        <v>4400</v>
      </c>
      <c r="O66" s="403" t="s">
        <v>146</v>
      </c>
      <c r="P66" s="406" t="s">
        <v>3605</v>
      </c>
      <c r="R66" s="389"/>
      <c r="S66" s="389"/>
    </row>
    <row r="67" spans="1:19" s="125" customFormat="1" ht="11.25" outlineLevel="1" x14ac:dyDescent="0.25">
      <c r="A67" s="390">
        <f ca="1">IF($H67="UNIDADE CONSTRUTIVA",OFFSET(A67,-1,0)+1,LARGE(A$3:A66,1))</f>
        <v>0</v>
      </c>
      <c r="B67" s="390">
        <f t="shared" ca="1" si="6"/>
        <v>2</v>
      </c>
      <c r="C67" s="390">
        <f t="shared" ca="1" si="7"/>
        <v>1</v>
      </c>
      <c r="D67" s="391">
        <f t="shared" ca="1" si="8"/>
        <v>4</v>
      </c>
      <c r="E67" s="391">
        <f t="shared" ca="1" si="9"/>
        <v>2</v>
      </c>
      <c r="G67" s="398"/>
      <c r="H67" s="399" t="s">
        <v>433</v>
      </c>
      <c r="I67" s="400" t="str">
        <f t="shared" ca="1" si="4"/>
        <v>02.001.004.002</v>
      </c>
      <c r="J67" s="401" t="s">
        <v>125</v>
      </c>
      <c r="K67" s="403" t="s">
        <v>74</v>
      </c>
      <c r="L67" s="403">
        <v>1</v>
      </c>
      <c r="M67" s="403">
        <v>5131.3320000000012</v>
      </c>
      <c r="N67" s="404">
        <f t="shared" si="10"/>
        <v>5131.3320000000012</v>
      </c>
      <c r="O67" s="403" t="s">
        <v>168</v>
      </c>
      <c r="P67" s="406" t="s">
        <v>3605</v>
      </c>
      <c r="R67" s="389"/>
      <c r="S67" s="389"/>
    </row>
    <row r="68" spans="1:19" s="125" customFormat="1" ht="17.25" customHeight="1" x14ac:dyDescent="0.25">
      <c r="A68" s="390">
        <f ca="1">IF($H68="UNIDADE CONSTRUTIVA",OFFSET(A68,-1,0)+1,LARGE(A$3:A67,1))</f>
        <v>0</v>
      </c>
      <c r="B68" s="390">
        <f t="shared" ca="1" si="6"/>
        <v>2</v>
      </c>
      <c r="C68" s="390">
        <f t="shared" ca="1" si="7"/>
        <v>2</v>
      </c>
      <c r="D68" s="391">
        <f t="shared" ca="1" si="8"/>
        <v>0</v>
      </c>
      <c r="E68" s="391">
        <f t="shared" ca="1" si="9"/>
        <v>2</v>
      </c>
      <c r="G68" s="398"/>
      <c r="H68" s="399" t="s">
        <v>229</v>
      </c>
      <c r="I68" s="400" t="str">
        <f t="shared" ca="1" si="4"/>
        <v>02.002</v>
      </c>
      <c r="J68" s="401" t="s">
        <v>102</v>
      </c>
      <c r="K68" s="402"/>
      <c r="L68" s="403"/>
      <c r="M68" s="403"/>
      <c r="N68" s="404">
        <f t="shared" ca="1" si="10"/>
        <v>1284814.6143849997</v>
      </c>
      <c r="O68" s="405"/>
      <c r="P68" s="406"/>
      <c r="R68" s="389"/>
      <c r="S68" s="389"/>
    </row>
    <row r="69" spans="1:19" s="125" customFormat="1" ht="13.9" customHeight="1" x14ac:dyDescent="0.25">
      <c r="A69" s="390">
        <f ca="1">IF($H69="UNIDADE CONSTRUTIVA",OFFSET(A69,-1,0)+1,LARGE(A$3:A68,1))</f>
        <v>0</v>
      </c>
      <c r="B69" s="390">
        <f t="shared" ca="1" si="6"/>
        <v>2</v>
      </c>
      <c r="C69" s="390">
        <f t="shared" ca="1" si="7"/>
        <v>2</v>
      </c>
      <c r="D69" s="391">
        <f t="shared" ca="1" si="8"/>
        <v>1</v>
      </c>
      <c r="E69" s="391">
        <f t="shared" ca="1" si="9"/>
        <v>0</v>
      </c>
      <c r="G69" s="398"/>
      <c r="H69" s="399" t="s">
        <v>432</v>
      </c>
      <c r="I69" s="400" t="str">
        <f t="shared" ca="1" si="4"/>
        <v>02.002.001</v>
      </c>
      <c r="J69" s="401" t="s">
        <v>103</v>
      </c>
      <c r="K69" s="402"/>
      <c r="L69" s="403"/>
      <c r="M69" s="403"/>
      <c r="N69" s="404">
        <f t="shared" ca="1" si="10"/>
        <v>643200</v>
      </c>
      <c r="O69" s="405"/>
      <c r="P69" s="406"/>
      <c r="R69" s="389"/>
      <c r="S69" s="389"/>
    </row>
    <row r="70" spans="1:19" s="125" customFormat="1" ht="13.9" customHeight="1" outlineLevel="1" x14ac:dyDescent="0.25">
      <c r="A70" s="390">
        <f ca="1">IF($H70="UNIDADE CONSTRUTIVA",OFFSET(A70,-1,0)+1,LARGE(A$3:A69,1))</f>
        <v>0</v>
      </c>
      <c r="B70" s="390">
        <f t="shared" ca="1" si="6"/>
        <v>2</v>
      </c>
      <c r="C70" s="390">
        <f t="shared" ca="1" si="7"/>
        <v>2</v>
      </c>
      <c r="D70" s="391">
        <f t="shared" ca="1" si="8"/>
        <v>1</v>
      </c>
      <c r="E70" s="391">
        <f t="shared" ca="1" si="9"/>
        <v>1</v>
      </c>
      <c r="G70" s="398"/>
      <c r="H70" s="399" t="s">
        <v>433</v>
      </c>
      <c r="I70" s="400" t="str">
        <f t="shared" ca="1" si="4"/>
        <v>02.002.001.001</v>
      </c>
      <c r="J70" s="401" t="s">
        <v>76</v>
      </c>
      <c r="K70" s="403" t="s">
        <v>75</v>
      </c>
      <c r="L70" s="403">
        <v>72</v>
      </c>
      <c r="M70" s="403">
        <v>5000</v>
      </c>
      <c r="N70" s="404">
        <f t="shared" si="10"/>
        <v>360000</v>
      </c>
      <c r="O70" s="403" t="s">
        <v>146</v>
      </c>
      <c r="P70" s="406" t="s">
        <v>3605</v>
      </c>
      <c r="R70" s="389"/>
      <c r="S70" s="389"/>
    </row>
    <row r="71" spans="1:19" s="125" customFormat="1" ht="13.9" customHeight="1" outlineLevel="1" x14ac:dyDescent="0.25">
      <c r="A71" s="390">
        <f ca="1">IF($H71="UNIDADE CONSTRUTIVA",OFFSET(A71,-1,0)+1,LARGE(A$3:A70,1))</f>
        <v>0</v>
      </c>
      <c r="B71" s="390">
        <f t="shared" ca="1" si="6"/>
        <v>2</v>
      </c>
      <c r="C71" s="390">
        <f t="shared" ca="1" si="7"/>
        <v>2</v>
      </c>
      <c r="D71" s="391">
        <f t="shared" ca="1" si="8"/>
        <v>1</v>
      </c>
      <c r="E71" s="391">
        <f t="shared" ca="1" si="9"/>
        <v>2</v>
      </c>
      <c r="G71" s="398"/>
      <c r="H71" s="399" t="s">
        <v>433</v>
      </c>
      <c r="I71" s="400" t="str">
        <f t="shared" ref="I71:I114" ca="1" si="12">IF(H71="Unidade Construtiva",TEXT(A71,"00"),IF(H71="Célula Construtiva",TEXT(B71,"00"),IF(H71="Etapa",CONCATENATE(TEXT(B71,"00"),".",TEXT(C71,"000")),IF(H71="Subetapa",CONCATENATE(TEXT(B71,"00"),".",TEXT(C71,"000"),".",TEXT(D71,"000")),IF(H71="Serviço",CONCATENATE(TEXT(B71,"00"),".",TEXT(C71,"000"),".",TEXT(D71,"000"),".",TEXT(E71,"000")),"")))))</f>
        <v>02.002.001.002</v>
      </c>
      <c r="J71" s="401" t="s">
        <v>77</v>
      </c>
      <c r="K71" s="403" t="s">
        <v>75</v>
      </c>
      <c r="L71" s="403">
        <v>48</v>
      </c>
      <c r="M71" s="403">
        <v>2400</v>
      </c>
      <c r="N71" s="404">
        <f t="shared" si="10"/>
        <v>115200</v>
      </c>
      <c r="O71" s="403" t="s">
        <v>146</v>
      </c>
      <c r="P71" s="406" t="s">
        <v>3605</v>
      </c>
      <c r="R71" s="389"/>
      <c r="S71" s="389"/>
    </row>
    <row r="72" spans="1:19" s="125" customFormat="1" ht="13.9" customHeight="1" outlineLevel="1" x14ac:dyDescent="0.25">
      <c r="A72" s="390">
        <f ca="1">IF($H72="UNIDADE CONSTRUTIVA",OFFSET(A72,-1,0)+1,LARGE(A$3:A71,1))</f>
        <v>0</v>
      </c>
      <c r="B72" s="390">
        <f t="shared" ca="1" si="6"/>
        <v>2</v>
      </c>
      <c r="C72" s="390">
        <f t="shared" ca="1" si="7"/>
        <v>2</v>
      </c>
      <c r="D72" s="391">
        <f t="shared" ca="1" si="8"/>
        <v>1</v>
      </c>
      <c r="E72" s="391">
        <f t="shared" ca="1" si="9"/>
        <v>3</v>
      </c>
      <c r="G72" s="398"/>
      <c r="H72" s="399" t="s">
        <v>433</v>
      </c>
      <c r="I72" s="400" t="str">
        <f t="shared" ca="1" si="12"/>
        <v>02.002.001.003</v>
      </c>
      <c r="J72" s="401" t="s">
        <v>160</v>
      </c>
      <c r="K72" s="403" t="s">
        <v>75</v>
      </c>
      <c r="L72" s="403">
        <v>48</v>
      </c>
      <c r="M72" s="403">
        <v>3500</v>
      </c>
      <c r="N72" s="404">
        <f t="shared" ref="N72:N103" si="13">IF(H72="Serviço",M72*L72,IF(H72="CÉLULA CONSTRUTIVA",SUMIFS($N$8:$N$410,$B$8:$B$410,B72,$H$8:$H$410,"Serviço"),IF(H72="ETAPA",SUMIFS($N$8:$N$410,$B$8:$B$410,B72,$C$8:$C$410,C72,$H$8:$H$410,"Serviço"),IF(H72="SUBETAPA",SUMIFS($N$8:$N$410,$B$8:$B$410,B72,$C$8:$C$410,C72,$D$8:$D$410,D72,$H$8:$H$410,"Serviço"),0))))</f>
        <v>168000</v>
      </c>
      <c r="O72" s="403" t="s">
        <v>146</v>
      </c>
      <c r="P72" s="406" t="s">
        <v>3605</v>
      </c>
      <c r="R72" s="389"/>
      <c r="S72" s="389"/>
    </row>
    <row r="73" spans="1:19" s="125" customFormat="1" ht="13.9" customHeight="1" x14ac:dyDescent="0.25">
      <c r="A73" s="390">
        <f ca="1">IF($H73="UNIDADE CONSTRUTIVA",OFFSET(A73,-1,0)+1,LARGE(A$3:A72,1))</f>
        <v>0</v>
      </c>
      <c r="B73" s="390">
        <f t="shared" ref="B73:B136" ca="1" si="14">IF(H73="UNIDADE CONSTRUTIVA",0,IF(H73="CÉLULA CONSTRUTIVA",OFFSET(B73,-1,0)+1,OFFSET(B73,-1,0)))</f>
        <v>2</v>
      </c>
      <c r="C73" s="390">
        <f t="shared" ref="C73:C136" ca="1" si="15">IF(H73="CÉLULA CONSTRUTIVA",0,IF(H73="ETAPA",OFFSET(C73,-1,0)+1,OFFSET(C73,-1,0)))</f>
        <v>2</v>
      </c>
      <c r="D73" s="391">
        <f t="shared" ref="D73:D136" ca="1" si="16">IF(H73="ETAPA",0,IF(H73="SUBETAPA",OFFSET(D73,-1,0)+1,OFFSET(D73,-1,0)))</f>
        <v>2</v>
      </c>
      <c r="E73" s="391">
        <f t="shared" ref="E73:E136" ca="1" si="17">IF(H73="Subetapa",0,IF(H73="serviço",OFFSET(E73,-1,0)+1,OFFSET(E73,-1,0)))</f>
        <v>0</v>
      </c>
      <c r="G73" s="398"/>
      <c r="H73" s="399" t="s">
        <v>432</v>
      </c>
      <c r="I73" s="400" t="str">
        <f t="shared" ca="1" si="12"/>
        <v>02.002.002</v>
      </c>
      <c r="J73" s="401" t="s">
        <v>618</v>
      </c>
      <c r="K73" s="402"/>
      <c r="L73" s="403"/>
      <c r="M73" s="403"/>
      <c r="N73" s="404">
        <f t="shared" ca="1" si="13"/>
        <v>49998.714144999998</v>
      </c>
      <c r="O73" s="405"/>
      <c r="P73" s="406"/>
      <c r="R73" s="389"/>
      <c r="S73" s="389"/>
    </row>
    <row r="74" spans="1:19" s="125" customFormat="1" ht="13.9" customHeight="1" outlineLevel="1" x14ac:dyDescent="0.25">
      <c r="A74" s="390">
        <f ca="1">IF($H74="UNIDADE CONSTRUTIVA",OFFSET(A74,-1,0)+1,LARGE(A$3:A73,1))</f>
        <v>0</v>
      </c>
      <c r="B74" s="390">
        <f t="shared" ca="1" si="14"/>
        <v>2</v>
      </c>
      <c r="C74" s="390">
        <f t="shared" ca="1" si="15"/>
        <v>2</v>
      </c>
      <c r="D74" s="391">
        <f t="shared" ca="1" si="16"/>
        <v>2</v>
      </c>
      <c r="E74" s="391">
        <f t="shared" ca="1" si="17"/>
        <v>1</v>
      </c>
      <c r="G74" s="398"/>
      <c r="H74" s="399" t="s">
        <v>433</v>
      </c>
      <c r="I74" s="400" t="str">
        <f t="shared" ca="1" si="12"/>
        <v>02.002.002.001</v>
      </c>
      <c r="J74" s="401" t="s">
        <v>79</v>
      </c>
      <c r="K74" s="403" t="s">
        <v>127</v>
      </c>
      <c r="L74" s="403">
        <v>1</v>
      </c>
      <c r="M74" s="403">
        <f>37630-N75</f>
        <v>18590.95</v>
      </c>
      <c r="N74" s="404">
        <f t="shared" si="13"/>
        <v>18590.95</v>
      </c>
      <c r="O74" s="403" t="s">
        <v>168</v>
      </c>
      <c r="P74" s="406" t="s">
        <v>3605</v>
      </c>
      <c r="R74" s="389"/>
      <c r="S74" s="389"/>
    </row>
    <row r="75" spans="1:19" s="125" customFormat="1" ht="13.9" customHeight="1" outlineLevel="1" x14ac:dyDescent="0.25">
      <c r="A75" s="390">
        <f ca="1">IF($H75="UNIDADE CONSTRUTIVA",OFFSET(A75,-1,0)+1,LARGE(A$3:A74,1))</f>
        <v>0</v>
      </c>
      <c r="B75" s="390">
        <f t="shared" ca="1" si="14"/>
        <v>2</v>
      </c>
      <c r="C75" s="390">
        <f t="shared" ca="1" si="15"/>
        <v>2</v>
      </c>
      <c r="D75" s="391">
        <f t="shared" ca="1" si="16"/>
        <v>2</v>
      </c>
      <c r="E75" s="391">
        <f t="shared" ca="1" si="17"/>
        <v>2</v>
      </c>
      <c r="G75" s="398"/>
      <c r="H75" s="399" t="s">
        <v>433</v>
      </c>
      <c r="I75" s="400" t="str">
        <f t="shared" ca="1" si="12"/>
        <v>02.002.002.002</v>
      </c>
      <c r="J75" s="401" t="s">
        <v>78</v>
      </c>
      <c r="K75" s="403" t="s">
        <v>66</v>
      </c>
      <c r="L75" s="403">
        <v>1410.3</v>
      </c>
      <c r="M75" s="403">
        <v>13.5</v>
      </c>
      <c r="N75" s="404">
        <f t="shared" si="13"/>
        <v>19039.05</v>
      </c>
      <c r="O75" s="403" t="s">
        <v>168</v>
      </c>
      <c r="P75" s="406" t="s">
        <v>3605</v>
      </c>
      <c r="R75" s="389"/>
      <c r="S75" s="389"/>
    </row>
    <row r="76" spans="1:19" s="125" customFormat="1" ht="13.9" customHeight="1" outlineLevel="1" x14ac:dyDescent="0.25">
      <c r="A76" s="390">
        <f ca="1">IF($H76="UNIDADE CONSTRUTIVA",OFFSET(A76,-1,0)+1,LARGE(A$3:A75,1))</f>
        <v>0</v>
      </c>
      <c r="B76" s="390">
        <f t="shared" ca="1" si="14"/>
        <v>2</v>
      </c>
      <c r="C76" s="390">
        <f t="shared" ca="1" si="15"/>
        <v>2</v>
      </c>
      <c r="D76" s="391">
        <f t="shared" ca="1" si="16"/>
        <v>2</v>
      </c>
      <c r="E76" s="391">
        <f t="shared" ca="1" si="17"/>
        <v>3</v>
      </c>
      <c r="G76" s="398"/>
      <c r="H76" s="399" t="s">
        <v>433</v>
      </c>
      <c r="I76" s="400" t="str">
        <f t="shared" ca="1" si="12"/>
        <v>02.002.002.003</v>
      </c>
      <c r="J76" s="401" t="s">
        <v>619</v>
      </c>
      <c r="K76" s="403" t="s">
        <v>54</v>
      </c>
      <c r="L76" s="403">
        <v>167.89349999999999</v>
      </c>
      <c r="M76" s="403">
        <v>73.67</v>
      </c>
      <c r="N76" s="404">
        <f t="shared" si="13"/>
        <v>12368.714145</v>
      </c>
      <c r="O76" s="403" t="s">
        <v>168</v>
      </c>
      <c r="P76" s="406" t="s">
        <v>3605</v>
      </c>
      <c r="R76" s="389"/>
      <c r="S76" s="389"/>
    </row>
    <row r="77" spans="1:19" s="125" customFormat="1" ht="13.9" customHeight="1" x14ac:dyDescent="0.25">
      <c r="A77" s="390">
        <f ca="1">IF($H77="UNIDADE CONSTRUTIVA",OFFSET(A77,-1,0)+1,LARGE(A$3:A76,1))</f>
        <v>0</v>
      </c>
      <c r="B77" s="390">
        <f t="shared" ca="1" si="14"/>
        <v>2</v>
      </c>
      <c r="C77" s="390">
        <f t="shared" ca="1" si="15"/>
        <v>2</v>
      </c>
      <c r="D77" s="391">
        <f t="shared" ca="1" si="16"/>
        <v>3</v>
      </c>
      <c r="E77" s="391">
        <f t="shared" ca="1" si="17"/>
        <v>0</v>
      </c>
      <c r="G77" s="398"/>
      <c r="H77" s="399" t="s">
        <v>432</v>
      </c>
      <c r="I77" s="400" t="str">
        <f t="shared" ca="1" si="12"/>
        <v>02.002.003</v>
      </c>
      <c r="J77" s="401" t="s">
        <v>620</v>
      </c>
      <c r="K77" s="402"/>
      <c r="L77" s="403"/>
      <c r="M77" s="403"/>
      <c r="N77" s="404">
        <f t="shared" ca="1" si="13"/>
        <v>260636.96020000003</v>
      </c>
      <c r="O77" s="405"/>
      <c r="P77" s="406"/>
      <c r="R77" s="389"/>
      <c r="S77" s="389"/>
    </row>
    <row r="78" spans="1:19" s="125" customFormat="1" ht="13.9" customHeight="1" outlineLevel="1" x14ac:dyDescent="0.25">
      <c r="A78" s="390">
        <f ca="1">IF($H78="UNIDADE CONSTRUTIVA",OFFSET(A78,-1,0)+1,LARGE(A$3:A77,1))</f>
        <v>0</v>
      </c>
      <c r="B78" s="390">
        <f t="shared" ca="1" si="14"/>
        <v>2</v>
      </c>
      <c r="C78" s="390">
        <f t="shared" ca="1" si="15"/>
        <v>2</v>
      </c>
      <c r="D78" s="391">
        <f t="shared" ca="1" si="16"/>
        <v>3</v>
      </c>
      <c r="E78" s="391">
        <f t="shared" ca="1" si="17"/>
        <v>1</v>
      </c>
      <c r="G78" s="398"/>
      <c r="H78" s="399" t="s">
        <v>433</v>
      </c>
      <c r="I78" s="400" t="str">
        <f t="shared" ca="1" si="12"/>
        <v>02.002.003.001</v>
      </c>
      <c r="J78" s="401" t="s">
        <v>130</v>
      </c>
      <c r="K78" s="403" t="s">
        <v>75</v>
      </c>
      <c r="L78" s="403">
        <v>65</v>
      </c>
      <c r="M78" s="403">
        <v>500</v>
      </c>
      <c r="N78" s="404">
        <f t="shared" si="13"/>
        <v>32500</v>
      </c>
      <c r="O78" s="403" t="s">
        <v>146</v>
      </c>
      <c r="P78" s="406" t="s">
        <v>3605</v>
      </c>
      <c r="R78" s="389"/>
      <c r="S78" s="389"/>
    </row>
    <row r="79" spans="1:19" s="125" customFormat="1" ht="13.9" customHeight="1" outlineLevel="1" x14ac:dyDescent="0.25">
      <c r="A79" s="390">
        <f ca="1">IF($H79="UNIDADE CONSTRUTIVA",OFFSET(A79,-1,0)+1,LARGE(A$3:A78,1))</f>
        <v>0</v>
      </c>
      <c r="B79" s="390">
        <f t="shared" ca="1" si="14"/>
        <v>2</v>
      </c>
      <c r="C79" s="390">
        <f t="shared" ca="1" si="15"/>
        <v>2</v>
      </c>
      <c r="D79" s="391">
        <f t="shared" ca="1" si="16"/>
        <v>3</v>
      </c>
      <c r="E79" s="391">
        <f t="shared" ca="1" si="17"/>
        <v>2</v>
      </c>
      <c r="G79" s="398"/>
      <c r="H79" s="399" t="s">
        <v>433</v>
      </c>
      <c r="I79" s="400" t="str">
        <f t="shared" ca="1" si="12"/>
        <v>02.002.003.002</v>
      </c>
      <c r="J79" s="401" t="s">
        <v>131</v>
      </c>
      <c r="K79" s="403" t="s">
        <v>75</v>
      </c>
      <c r="L79" s="403">
        <v>65</v>
      </c>
      <c r="M79" s="403">
        <v>500</v>
      </c>
      <c r="N79" s="404">
        <f t="shared" si="13"/>
        <v>32500</v>
      </c>
      <c r="O79" s="403" t="s">
        <v>146</v>
      </c>
      <c r="P79" s="406" t="s">
        <v>3605</v>
      </c>
      <c r="R79" s="389"/>
      <c r="S79" s="389"/>
    </row>
    <row r="80" spans="1:19" s="125" customFormat="1" ht="13.9" customHeight="1" outlineLevel="1" x14ac:dyDescent="0.25">
      <c r="A80" s="390">
        <f ca="1">IF($H80="UNIDADE CONSTRUTIVA",OFFSET(A80,-1,0)+1,LARGE(A$3:A79,1))</f>
        <v>0</v>
      </c>
      <c r="B80" s="390">
        <f t="shared" ca="1" si="14"/>
        <v>2</v>
      </c>
      <c r="C80" s="390">
        <f t="shared" ca="1" si="15"/>
        <v>2</v>
      </c>
      <c r="D80" s="391">
        <f t="shared" ca="1" si="16"/>
        <v>3</v>
      </c>
      <c r="E80" s="391">
        <f t="shared" ca="1" si="17"/>
        <v>3</v>
      </c>
      <c r="G80" s="398"/>
      <c r="H80" s="399" t="s">
        <v>433</v>
      </c>
      <c r="I80" s="400" t="str">
        <f t="shared" ca="1" si="12"/>
        <v>02.002.003.003</v>
      </c>
      <c r="J80" s="401" t="s">
        <v>132</v>
      </c>
      <c r="K80" s="403" t="s">
        <v>75</v>
      </c>
      <c r="L80" s="403">
        <v>65</v>
      </c>
      <c r="M80" s="403">
        <v>128.28330000000003</v>
      </c>
      <c r="N80" s="404">
        <f t="shared" si="13"/>
        <v>8338.4145000000008</v>
      </c>
      <c r="O80" s="403" t="s">
        <v>168</v>
      </c>
      <c r="P80" s="406" t="s">
        <v>3605</v>
      </c>
      <c r="R80" s="389"/>
      <c r="S80" s="389"/>
    </row>
    <row r="81" spans="1:19" s="125" customFormat="1" ht="13.9" customHeight="1" outlineLevel="1" x14ac:dyDescent="0.25">
      <c r="A81" s="390">
        <f ca="1">IF($H81="UNIDADE CONSTRUTIVA",OFFSET(A81,-1,0)+1,LARGE(A$3:A80,1))</f>
        <v>0</v>
      </c>
      <c r="B81" s="390">
        <f t="shared" ca="1" si="14"/>
        <v>2</v>
      </c>
      <c r="C81" s="390">
        <f t="shared" ca="1" si="15"/>
        <v>2</v>
      </c>
      <c r="D81" s="391">
        <f t="shared" ca="1" si="16"/>
        <v>3</v>
      </c>
      <c r="E81" s="391">
        <f t="shared" ca="1" si="17"/>
        <v>4</v>
      </c>
      <c r="G81" s="398"/>
      <c r="H81" s="399" t="s">
        <v>433</v>
      </c>
      <c r="I81" s="400" t="str">
        <f t="shared" ca="1" si="12"/>
        <v>02.002.003.004</v>
      </c>
      <c r="J81" s="401" t="s">
        <v>133</v>
      </c>
      <c r="K81" s="403" t="s">
        <v>75</v>
      </c>
      <c r="L81" s="403">
        <v>65</v>
      </c>
      <c r="M81" s="403">
        <v>64.141650000000013</v>
      </c>
      <c r="N81" s="404">
        <f t="shared" si="13"/>
        <v>4169.2072500000004</v>
      </c>
      <c r="O81" s="403" t="s">
        <v>168</v>
      </c>
      <c r="P81" s="406" t="s">
        <v>3605</v>
      </c>
      <c r="R81" s="389"/>
      <c r="S81" s="389"/>
    </row>
    <row r="82" spans="1:19" s="125" customFormat="1" ht="13.9" customHeight="1" outlineLevel="1" x14ac:dyDescent="0.25">
      <c r="A82" s="390">
        <f ca="1">IF($H82="UNIDADE CONSTRUTIVA",OFFSET(A82,-1,0)+1,LARGE(A$3:A81,1))</f>
        <v>0</v>
      </c>
      <c r="B82" s="390">
        <f t="shared" ca="1" si="14"/>
        <v>2</v>
      </c>
      <c r="C82" s="390">
        <f t="shared" ca="1" si="15"/>
        <v>2</v>
      </c>
      <c r="D82" s="391">
        <f t="shared" ca="1" si="16"/>
        <v>3</v>
      </c>
      <c r="E82" s="391">
        <f t="shared" ca="1" si="17"/>
        <v>5</v>
      </c>
      <c r="G82" s="398"/>
      <c r="H82" s="399" t="s">
        <v>433</v>
      </c>
      <c r="I82" s="400" t="str">
        <f t="shared" ca="1" si="12"/>
        <v>02.002.003.005</v>
      </c>
      <c r="J82" s="401" t="s">
        <v>134</v>
      </c>
      <c r="K82" s="403" t="s">
        <v>75</v>
      </c>
      <c r="L82" s="403">
        <v>65</v>
      </c>
      <c r="M82" s="403">
        <v>64.141650000000013</v>
      </c>
      <c r="N82" s="404">
        <f t="shared" si="13"/>
        <v>4169.2072500000004</v>
      </c>
      <c r="O82" s="403" t="s">
        <v>168</v>
      </c>
      <c r="P82" s="406" t="s">
        <v>3605</v>
      </c>
      <c r="R82" s="389"/>
      <c r="S82" s="389"/>
    </row>
    <row r="83" spans="1:19" s="125" customFormat="1" ht="13.9" customHeight="1" outlineLevel="1" x14ac:dyDescent="0.25">
      <c r="A83" s="390">
        <f ca="1">IF($H83="UNIDADE CONSTRUTIVA",OFFSET(A83,-1,0)+1,LARGE(A$3:A82,1))</f>
        <v>0</v>
      </c>
      <c r="B83" s="390">
        <f t="shared" ca="1" si="14"/>
        <v>2</v>
      </c>
      <c r="C83" s="390">
        <f t="shared" ca="1" si="15"/>
        <v>2</v>
      </c>
      <c r="D83" s="391">
        <f t="shared" ca="1" si="16"/>
        <v>3</v>
      </c>
      <c r="E83" s="391">
        <f t="shared" ca="1" si="17"/>
        <v>6</v>
      </c>
      <c r="G83" s="398"/>
      <c r="H83" s="399" t="s">
        <v>433</v>
      </c>
      <c r="I83" s="400" t="str">
        <f t="shared" ca="1" si="12"/>
        <v>02.002.003.006</v>
      </c>
      <c r="J83" s="401" t="s">
        <v>135</v>
      </c>
      <c r="K83" s="403" t="s">
        <v>75</v>
      </c>
      <c r="L83" s="403">
        <v>65</v>
      </c>
      <c r="M83" s="403">
        <v>70</v>
      </c>
      <c r="N83" s="404">
        <f t="shared" si="13"/>
        <v>4550</v>
      </c>
      <c r="O83" s="403" t="s">
        <v>168</v>
      </c>
      <c r="P83" s="406" t="s">
        <v>3605</v>
      </c>
      <c r="R83" s="389"/>
      <c r="S83" s="389"/>
    </row>
    <row r="84" spans="1:19" s="125" customFormat="1" ht="13.9" customHeight="1" outlineLevel="1" x14ac:dyDescent="0.25">
      <c r="A84" s="390">
        <f ca="1">IF($H84="UNIDADE CONSTRUTIVA",OFFSET(A84,-1,0)+1,LARGE(A$3:A83,1))</f>
        <v>0</v>
      </c>
      <c r="B84" s="390">
        <f t="shared" ca="1" si="14"/>
        <v>2</v>
      </c>
      <c r="C84" s="390">
        <f t="shared" ca="1" si="15"/>
        <v>2</v>
      </c>
      <c r="D84" s="391">
        <f t="shared" ca="1" si="16"/>
        <v>3</v>
      </c>
      <c r="E84" s="391">
        <f t="shared" ca="1" si="17"/>
        <v>7</v>
      </c>
      <c r="G84" s="398"/>
      <c r="H84" s="399" t="s">
        <v>433</v>
      </c>
      <c r="I84" s="400" t="str">
        <f t="shared" ca="1" si="12"/>
        <v>02.002.003.007</v>
      </c>
      <c r="J84" s="401" t="s">
        <v>136</v>
      </c>
      <c r="K84" s="403" t="s">
        <v>75</v>
      </c>
      <c r="L84" s="403">
        <v>65</v>
      </c>
      <c r="M84" s="403">
        <v>200</v>
      </c>
      <c r="N84" s="404">
        <f t="shared" si="13"/>
        <v>13000</v>
      </c>
      <c r="O84" s="403" t="s">
        <v>146</v>
      </c>
      <c r="P84" s="406" t="s">
        <v>3605</v>
      </c>
      <c r="R84" s="389"/>
      <c r="S84" s="389"/>
    </row>
    <row r="85" spans="1:19" s="125" customFormat="1" ht="13.9" customHeight="1" outlineLevel="1" x14ac:dyDescent="0.25">
      <c r="A85" s="390">
        <f ca="1">IF($H85="UNIDADE CONSTRUTIVA",OFFSET(A85,-1,0)+1,LARGE(A$3:A84,1))</f>
        <v>0</v>
      </c>
      <c r="B85" s="390">
        <f t="shared" ca="1" si="14"/>
        <v>2</v>
      </c>
      <c r="C85" s="390">
        <f t="shared" ca="1" si="15"/>
        <v>2</v>
      </c>
      <c r="D85" s="391">
        <f t="shared" ca="1" si="16"/>
        <v>3</v>
      </c>
      <c r="E85" s="391">
        <f t="shared" ca="1" si="17"/>
        <v>8</v>
      </c>
      <c r="G85" s="398"/>
      <c r="H85" s="399" t="s">
        <v>433</v>
      </c>
      <c r="I85" s="400" t="str">
        <f t="shared" ca="1" si="12"/>
        <v>02.002.003.008</v>
      </c>
      <c r="J85" s="401" t="s">
        <v>137</v>
      </c>
      <c r="K85" s="403" t="s">
        <v>75</v>
      </c>
      <c r="L85" s="403">
        <v>65</v>
      </c>
      <c r="M85" s="403">
        <v>500</v>
      </c>
      <c r="N85" s="404">
        <f t="shared" si="13"/>
        <v>32500</v>
      </c>
      <c r="O85" s="403" t="s">
        <v>146</v>
      </c>
      <c r="P85" s="406" t="s">
        <v>3605</v>
      </c>
      <c r="R85" s="389"/>
      <c r="S85" s="389"/>
    </row>
    <row r="86" spans="1:19" s="125" customFormat="1" ht="13.9" customHeight="1" outlineLevel="1" x14ac:dyDescent="0.25">
      <c r="A86" s="390">
        <f ca="1">IF($H86="UNIDADE CONSTRUTIVA",OFFSET(A86,-1,0)+1,LARGE(A$3:A85,1))</f>
        <v>0</v>
      </c>
      <c r="B86" s="390">
        <f t="shared" ca="1" si="14"/>
        <v>2</v>
      </c>
      <c r="C86" s="390">
        <f t="shared" ca="1" si="15"/>
        <v>2</v>
      </c>
      <c r="D86" s="391">
        <f t="shared" ca="1" si="16"/>
        <v>3</v>
      </c>
      <c r="E86" s="391">
        <f t="shared" ca="1" si="17"/>
        <v>9</v>
      </c>
      <c r="G86" s="398"/>
      <c r="H86" s="399" t="s">
        <v>433</v>
      </c>
      <c r="I86" s="400" t="str">
        <f t="shared" ca="1" si="12"/>
        <v>02.002.003.009</v>
      </c>
      <c r="J86" s="401" t="s">
        <v>138</v>
      </c>
      <c r="K86" s="403" t="s">
        <v>75</v>
      </c>
      <c r="L86" s="403">
        <v>65</v>
      </c>
      <c r="M86" s="403">
        <v>126.30971076923079</v>
      </c>
      <c r="N86" s="404">
        <f t="shared" si="13"/>
        <v>8210.1312000000016</v>
      </c>
      <c r="O86" s="403" t="s">
        <v>168</v>
      </c>
      <c r="P86" s="406" t="s">
        <v>3605</v>
      </c>
      <c r="R86" s="389"/>
      <c r="S86" s="389"/>
    </row>
    <row r="87" spans="1:19" s="125" customFormat="1" ht="13.9" customHeight="1" outlineLevel="1" x14ac:dyDescent="0.25">
      <c r="A87" s="390">
        <f ca="1">IF($H87="UNIDADE CONSTRUTIVA",OFFSET(A87,-1,0)+1,LARGE(A$3:A86,1))</f>
        <v>0</v>
      </c>
      <c r="B87" s="390">
        <f t="shared" ca="1" si="14"/>
        <v>2</v>
      </c>
      <c r="C87" s="390">
        <f t="shared" ca="1" si="15"/>
        <v>2</v>
      </c>
      <c r="D87" s="391">
        <f t="shared" ca="1" si="16"/>
        <v>3</v>
      </c>
      <c r="E87" s="391">
        <f t="shared" ca="1" si="17"/>
        <v>10</v>
      </c>
      <c r="G87" s="398"/>
      <c r="H87" s="399" t="s">
        <v>433</v>
      </c>
      <c r="I87" s="400" t="str">
        <f t="shared" ca="1" si="12"/>
        <v>02.002.003.010</v>
      </c>
      <c r="J87" s="401" t="s">
        <v>139</v>
      </c>
      <c r="K87" s="403" t="s">
        <v>75</v>
      </c>
      <c r="L87" s="403">
        <v>65</v>
      </c>
      <c r="M87" s="403">
        <v>1000</v>
      </c>
      <c r="N87" s="404">
        <f t="shared" si="13"/>
        <v>65000</v>
      </c>
      <c r="O87" s="403" t="s">
        <v>146</v>
      </c>
      <c r="P87" s="406" t="s">
        <v>3605</v>
      </c>
      <c r="R87" s="389"/>
      <c r="S87" s="389"/>
    </row>
    <row r="88" spans="1:19" s="125" customFormat="1" ht="13.9" customHeight="1" outlineLevel="1" x14ac:dyDescent="0.25">
      <c r="A88" s="390">
        <f ca="1">IF($H88="UNIDADE CONSTRUTIVA",OFFSET(A88,-1,0)+1,LARGE(A$3:A87,1))</f>
        <v>0</v>
      </c>
      <c r="B88" s="390">
        <f t="shared" ca="1" si="14"/>
        <v>2</v>
      </c>
      <c r="C88" s="390">
        <f t="shared" ca="1" si="15"/>
        <v>2</v>
      </c>
      <c r="D88" s="391">
        <f t="shared" ca="1" si="16"/>
        <v>3</v>
      </c>
      <c r="E88" s="391">
        <f t="shared" ca="1" si="17"/>
        <v>11</v>
      </c>
      <c r="G88" s="398"/>
      <c r="H88" s="399" t="s">
        <v>433</v>
      </c>
      <c r="I88" s="400" t="str">
        <f t="shared" ca="1" si="12"/>
        <v>02.002.003.011</v>
      </c>
      <c r="J88" s="401" t="s">
        <v>161</v>
      </c>
      <c r="K88" s="403" t="s">
        <v>74</v>
      </c>
      <c r="L88" s="403">
        <v>1</v>
      </c>
      <c r="M88" s="403">
        <v>20200</v>
      </c>
      <c r="N88" s="404">
        <f t="shared" si="13"/>
        <v>20200</v>
      </c>
      <c r="O88" s="403" t="s">
        <v>168</v>
      </c>
      <c r="P88" s="406" t="s">
        <v>3605</v>
      </c>
      <c r="R88" s="389"/>
      <c r="S88" s="389"/>
    </row>
    <row r="89" spans="1:19" s="125" customFormat="1" ht="13.9" customHeight="1" outlineLevel="1" x14ac:dyDescent="0.25">
      <c r="A89" s="390">
        <f ca="1">IF($H89="UNIDADE CONSTRUTIVA",OFFSET(A89,-1,0)+1,LARGE(A$3:A88,1))</f>
        <v>0</v>
      </c>
      <c r="B89" s="390">
        <f t="shared" ca="1" si="14"/>
        <v>2</v>
      </c>
      <c r="C89" s="390">
        <f t="shared" ca="1" si="15"/>
        <v>2</v>
      </c>
      <c r="D89" s="391">
        <f t="shared" ca="1" si="16"/>
        <v>3</v>
      </c>
      <c r="E89" s="391">
        <f t="shared" ca="1" si="17"/>
        <v>12</v>
      </c>
      <c r="G89" s="398"/>
      <c r="H89" s="399" t="s">
        <v>433</v>
      </c>
      <c r="I89" s="400" t="str">
        <f t="shared" ca="1" si="12"/>
        <v>02.002.003.012</v>
      </c>
      <c r="J89" s="401" t="s">
        <v>162</v>
      </c>
      <c r="K89" s="403" t="s">
        <v>74</v>
      </c>
      <c r="L89" s="403">
        <v>1</v>
      </c>
      <c r="M89" s="403">
        <v>35500</v>
      </c>
      <c r="N89" s="404">
        <f t="shared" si="13"/>
        <v>35500</v>
      </c>
      <c r="O89" s="403" t="s">
        <v>168</v>
      </c>
      <c r="P89" s="406" t="s">
        <v>3605</v>
      </c>
      <c r="R89" s="389"/>
      <c r="S89" s="389"/>
    </row>
    <row r="90" spans="1:19" s="125" customFormat="1" ht="13.9" customHeight="1" x14ac:dyDescent="0.25">
      <c r="A90" s="390">
        <f ca="1">IF($H90="UNIDADE CONSTRUTIVA",OFFSET(A90,-1,0)+1,LARGE(A$3:A89,1))</f>
        <v>0</v>
      </c>
      <c r="B90" s="390">
        <f t="shared" ca="1" si="14"/>
        <v>2</v>
      </c>
      <c r="C90" s="390">
        <f t="shared" ca="1" si="15"/>
        <v>2</v>
      </c>
      <c r="D90" s="391">
        <f t="shared" ca="1" si="16"/>
        <v>4</v>
      </c>
      <c r="E90" s="391">
        <f t="shared" ca="1" si="17"/>
        <v>0</v>
      </c>
      <c r="G90" s="398"/>
      <c r="H90" s="399" t="s">
        <v>432</v>
      </c>
      <c r="I90" s="400" t="str">
        <f t="shared" ca="1" si="12"/>
        <v>02.002.004</v>
      </c>
      <c r="J90" s="401" t="s">
        <v>621</v>
      </c>
      <c r="K90" s="402"/>
      <c r="L90" s="403"/>
      <c r="M90" s="403"/>
      <c r="N90" s="404">
        <f t="shared" ca="1" si="13"/>
        <v>133609.93234000003</v>
      </c>
      <c r="O90" s="405"/>
      <c r="P90" s="406"/>
      <c r="R90" s="389"/>
      <c r="S90" s="389"/>
    </row>
    <row r="91" spans="1:19" s="125" customFormat="1" ht="11.25" outlineLevel="1" x14ac:dyDescent="0.25">
      <c r="A91" s="390">
        <f ca="1">IF($H91="UNIDADE CONSTRUTIVA",OFFSET(A91,-1,0)+1,LARGE(A$3:A90,1))</f>
        <v>0</v>
      </c>
      <c r="B91" s="390">
        <f t="shared" ca="1" si="14"/>
        <v>2</v>
      </c>
      <c r="C91" s="390">
        <f t="shared" ca="1" si="15"/>
        <v>2</v>
      </c>
      <c r="D91" s="391">
        <f t="shared" ca="1" si="16"/>
        <v>4</v>
      </c>
      <c r="E91" s="391">
        <f t="shared" ca="1" si="17"/>
        <v>1</v>
      </c>
      <c r="G91" s="398"/>
      <c r="H91" s="399" t="s">
        <v>433</v>
      </c>
      <c r="I91" s="400" t="str">
        <f t="shared" ca="1" si="12"/>
        <v>02.002.004.001</v>
      </c>
      <c r="J91" s="401" t="s">
        <v>95</v>
      </c>
      <c r="K91" s="403" t="s">
        <v>66</v>
      </c>
      <c r="L91" s="403">
        <v>386.08800000000002</v>
      </c>
      <c r="M91" s="403">
        <v>189.68</v>
      </c>
      <c r="N91" s="404">
        <f t="shared" si="13"/>
        <v>73233.17184000001</v>
      </c>
      <c r="O91" s="403" t="s">
        <v>168</v>
      </c>
      <c r="P91" s="406" t="s">
        <v>3605</v>
      </c>
      <c r="R91" s="389"/>
      <c r="S91" s="389"/>
    </row>
    <row r="92" spans="1:19" s="125" customFormat="1" ht="11.25" outlineLevel="1" x14ac:dyDescent="0.25">
      <c r="A92" s="390">
        <f ca="1">IF($H92="UNIDADE CONSTRUTIVA",OFFSET(A92,-1,0)+1,LARGE(A$3:A91,1))</f>
        <v>0</v>
      </c>
      <c r="B92" s="390">
        <f t="shared" ca="1" si="14"/>
        <v>2</v>
      </c>
      <c r="C92" s="390">
        <f t="shared" ca="1" si="15"/>
        <v>2</v>
      </c>
      <c r="D92" s="391">
        <f t="shared" ca="1" si="16"/>
        <v>4</v>
      </c>
      <c r="E92" s="391">
        <f t="shared" ca="1" si="17"/>
        <v>2</v>
      </c>
      <c r="G92" s="398"/>
      <c r="H92" s="399" t="s">
        <v>433</v>
      </c>
      <c r="I92" s="400" t="str">
        <f t="shared" ca="1" si="12"/>
        <v>02.002.004.002</v>
      </c>
      <c r="J92" s="401" t="s">
        <v>80</v>
      </c>
      <c r="K92" s="403" t="s">
        <v>75</v>
      </c>
      <c r="L92" s="403">
        <v>16.25</v>
      </c>
      <c r="M92" s="403">
        <v>980</v>
      </c>
      <c r="N92" s="404">
        <f t="shared" si="13"/>
        <v>15925</v>
      </c>
      <c r="O92" s="403" t="s">
        <v>168</v>
      </c>
      <c r="P92" s="406" t="s">
        <v>3605</v>
      </c>
      <c r="R92" s="389"/>
      <c r="S92" s="389"/>
    </row>
    <row r="93" spans="1:19" s="125" customFormat="1" ht="11.25" outlineLevel="1" x14ac:dyDescent="0.25">
      <c r="A93" s="390">
        <f ca="1">IF($H93="UNIDADE CONSTRUTIVA",OFFSET(A93,-1,0)+1,LARGE(A$3:A92,1))</f>
        <v>0</v>
      </c>
      <c r="B93" s="390">
        <f t="shared" ca="1" si="14"/>
        <v>2</v>
      </c>
      <c r="C93" s="390">
        <f t="shared" ca="1" si="15"/>
        <v>2</v>
      </c>
      <c r="D93" s="391">
        <f t="shared" ca="1" si="16"/>
        <v>4</v>
      </c>
      <c r="E93" s="391">
        <f t="shared" ca="1" si="17"/>
        <v>3</v>
      </c>
      <c r="G93" s="398"/>
      <c r="H93" s="399" t="s">
        <v>433</v>
      </c>
      <c r="I93" s="400" t="str">
        <f t="shared" ca="1" si="12"/>
        <v>02.002.004.003</v>
      </c>
      <c r="J93" s="401" t="s">
        <v>397</v>
      </c>
      <c r="K93" s="403" t="s">
        <v>74</v>
      </c>
      <c r="L93" s="403">
        <v>1</v>
      </c>
      <c r="M93" s="403">
        <v>7891.02</v>
      </c>
      <c r="N93" s="404">
        <f t="shared" si="13"/>
        <v>7891.02</v>
      </c>
      <c r="O93" s="403" t="s">
        <v>168</v>
      </c>
      <c r="P93" s="406" t="s">
        <v>3605</v>
      </c>
      <c r="R93" s="389"/>
      <c r="S93" s="389"/>
    </row>
    <row r="94" spans="1:19" s="125" customFormat="1" ht="11.25" outlineLevel="1" x14ac:dyDescent="0.25">
      <c r="A94" s="390">
        <f ca="1">IF($H94="UNIDADE CONSTRUTIVA",OFFSET(A94,-1,0)+1,LARGE(A$3:A93,1))</f>
        <v>0</v>
      </c>
      <c r="B94" s="390">
        <f t="shared" ca="1" si="14"/>
        <v>2</v>
      </c>
      <c r="C94" s="390">
        <f t="shared" ca="1" si="15"/>
        <v>2</v>
      </c>
      <c r="D94" s="391">
        <f t="shared" ca="1" si="16"/>
        <v>4</v>
      </c>
      <c r="E94" s="391">
        <f t="shared" ca="1" si="17"/>
        <v>4</v>
      </c>
      <c r="G94" s="398"/>
      <c r="H94" s="399" t="s">
        <v>433</v>
      </c>
      <c r="I94" s="400" t="str">
        <f t="shared" ca="1" si="12"/>
        <v>02.002.004.004</v>
      </c>
      <c r="J94" s="401" t="s">
        <v>167</v>
      </c>
      <c r="K94" s="403" t="s">
        <v>74</v>
      </c>
      <c r="L94" s="403">
        <v>1</v>
      </c>
      <c r="M94" s="403">
        <v>11545.497000000001</v>
      </c>
      <c r="N94" s="404">
        <f t="shared" si="13"/>
        <v>11545.497000000001</v>
      </c>
      <c r="O94" s="403" t="s">
        <v>168</v>
      </c>
      <c r="P94" s="406" t="s">
        <v>3605</v>
      </c>
      <c r="R94" s="389"/>
      <c r="S94" s="389"/>
    </row>
    <row r="95" spans="1:19" s="125" customFormat="1" ht="13.9" customHeight="1" outlineLevel="1" x14ac:dyDescent="0.25">
      <c r="A95" s="390">
        <f ca="1">IF($H95="UNIDADE CONSTRUTIVA",OFFSET(A95,-1,0)+1,LARGE(A$3:A94,1))</f>
        <v>0</v>
      </c>
      <c r="B95" s="390">
        <f t="shared" ca="1" si="14"/>
        <v>2</v>
      </c>
      <c r="C95" s="390">
        <f t="shared" ca="1" si="15"/>
        <v>2</v>
      </c>
      <c r="D95" s="391">
        <f t="shared" ca="1" si="16"/>
        <v>4</v>
      </c>
      <c r="E95" s="391">
        <f t="shared" ca="1" si="17"/>
        <v>5</v>
      </c>
      <c r="G95" s="398"/>
      <c r="H95" s="399" t="s">
        <v>433</v>
      </c>
      <c r="I95" s="400" t="str">
        <f t="shared" ca="1" si="12"/>
        <v>02.002.004.005</v>
      </c>
      <c r="J95" s="401" t="s">
        <v>140</v>
      </c>
      <c r="K95" s="403" t="s">
        <v>75</v>
      </c>
      <c r="L95" s="403">
        <v>65</v>
      </c>
      <c r="M95" s="403">
        <v>384.84990000000005</v>
      </c>
      <c r="N95" s="404">
        <f t="shared" si="13"/>
        <v>25015.243500000004</v>
      </c>
      <c r="O95" s="403" t="s">
        <v>168</v>
      </c>
      <c r="P95" s="406" t="s">
        <v>3605</v>
      </c>
      <c r="R95" s="389"/>
      <c r="S95" s="389"/>
    </row>
    <row r="96" spans="1:19" s="125" customFormat="1" ht="13.9" customHeight="1" x14ac:dyDescent="0.25">
      <c r="A96" s="390">
        <f ca="1">IF($H96="UNIDADE CONSTRUTIVA",OFFSET(A96,-1,0)+1,LARGE(A$3:A95,1))</f>
        <v>0</v>
      </c>
      <c r="B96" s="390">
        <f t="shared" ca="1" si="14"/>
        <v>2</v>
      </c>
      <c r="C96" s="390">
        <f t="shared" ca="1" si="15"/>
        <v>2</v>
      </c>
      <c r="D96" s="391">
        <f t="shared" ca="1" si="16"/>
        <v>5</v>
      </c>
      <c r="E96" s="391">
        <f t="shared" ca="1" si="17"/>
        <v>0</v>
      </c>
      <c r="G96" s="398"/>
      <c r="H96" s="399" t="s">
        <v>432</v>
      </c>
      <c r="I96" s="400" t="str">
        <f t="shared" ca="1" si="12"/>
        <v>02.002.005</v>
      </c>
      <c r="J96" s="401" t="s">
        <v>189</v>
      </c>
      <c r="K96" s="402"/>
      <c r="L96" s="403"/>
      <c r="M96" s="403"/>
      <c r="N96" s="404">
        <f t="shared" ca="1" si="13"/>
        <v>34508.207700000006</v>
      </c>
      <c r="O96" s="405"/>
      <c r="P96" s="406"/>
      <c r="R96" s="389"/>
      <c r="S96" s="389"/>
    </row>
    <row r="97" spans="1:19" s="125" customFormat="1" ht="13.9" customHeight="1" outlineLevel="1" x14ac:dyDescent="0.25">
      <c r="A97" s="390">
        <f ca="1">IF($H97="UNIDADE CONSTRUTIVA",OFFSET(A97,-1,0)+1,LARGE(A$3:A96,1))</f>
        <v>0</v>
      </c>
      <c r="B97" s="390">
        <f t="shared" ca="1" si="14"/>
        <v>2</v>
      </c>
      <c r="C97" s="390">
        <f t="shared" ca="1" si="15"/>
        <v>2</v>
      </c>
      <c r="D97" s="391">
        <f t="shared" ca="1" si="16"/>
        <v>5</v>
      </c>
      <c r="E97" s="391">
        <f t="shared" ca="1" si="17"/>
        <v>1</v>
      </c>
      <c r="G97" s="398"/>
      <c r="H97" s="399" t="s">
        <v>433</v>
      </c>
      <c r="I97" s="400" t="str">
        <f t="shared" ca="1" si="12"/>
        <v>02.002.005.001</v>
      </c>
      <c r="J97" s="401" t="s">
        <v>128</v>
      </c>
      <c r="K97" s="403" t="s">
        <v>74</v>
      </c>
      <c r="L97" s="403">
        <v>1</v>
      </c>
      <c r="M97" s="403">
        <v>20525.328000000005</v>
      </c>
      <c r="N97" s="404">
        <f t="shared" si="13"/>
        <v>20525.328000000005</v>
      </c>
      <c r="O97" s="403" t="s">
        <v>168</v>
      </c>
      <c r="P97" s="406" t="s">
        <v>3605</v>
      </c>
      <c r="R97" s="389"/>
      <c r="S97" s="389"/>
    </row>
    <row r="98" spans="1:19" s="125" customFormat="1" ht="13.9" customHeight="1" outlineLevel="1" x14ac:dyDescent="0.25">
      <c r="A98" s="390">
        <f ca="1">IF($H98="UNIDADE CONSTRUTIVA",OFFSET(A98,-1,0)+1,LARGE(A$3:A97,1))</f>
        <v>0</v>
      </c>
      <c r="B98" s="390">
        <f t="shared" ca="1" si="14"/>
        <v>2</v>
      </c>
      <c r="C98" s="390">
        <f t="shared" ca="1" si="15"/>
        <v>2</v>
      </c>
      <c r="D98" s="391">
        <f t="shared" ca="1" si="16"/>
        <v>5</v>
      </c>
      <c r="E98" s="391">
        <f t="shared" ca="1" si="17"/>
        <v>2</v>
      </c>
      <c r="G98" s="398"/>
      <c r="H98" s="399" t="s">
        <v>433</v>
      </c>
      <c r="I98" s="400" t="str">
        <f t="shared" ca="1" si="12"/>
        <v>02.002.005.002</v>
      </c>
      <c r="J98" s="401" t="s">
        <v>129</v>
      </c>
      <c r="K98" s="403" t="s">
        <v>74</v>
      </c>
      <c r="L98" s="403">
        <v>1</v>
      </c>
      <c r="M98" s="403">
        <v>13982.879700000003</v>
      </c>
      <c r="N98" s="404">
        <f t="shared" si="13"/>
        <v>13982.879700000003</v>
      </c>
      <c r="O98" s="403" t="s">
        <v>168</v>
      </c>
      <c r="P98" s="406" t="s">
        <v>3605</v>
      </c>
      <c r="R98" s="389"/>
      <c r="S98" s="389"/>
    </row>
    <row r="99" spans="1:19" s="125" customFormat="1" ht="13.9" customHeight="1" x14ac:dyDescent="0.25">
      <c r="A99" s="390">
        <f ca="1">IF($H99="UNIDADE CONSTRUTIVA",OFFSET(A99,-1,0)+1,LARGE(A$3:A98,1))</f>
        <v>0</v>
      </c>
      <c r="B99" s="390">
        <f t="shared" ca="1" si="14"/>
        <v>2</v>
      </c>
      <c r="C99" s="390">
        <f t="shared" ca="1" si="15"/>
        <v>2</v>
      </c>
      <c r="D99" s="391">
        <f t="shared" ca="1" si="16"/>
        <v>6</v>
      </c>
      <c r="E99" s="391">
        <f t="shared" ca="1" si="17"/>
        <v>0</v>
      </c>
      <c r="G99" s="398"/>
      <c r="H99" s="399" t="s">
        <v>432</v>
      </c>
      <c r="I99" s="400" t="str">
        <f t="shared" ca="1" si="12"/>
        <v>02.002.006</v>
      </c>
      <c r="J99" s="401" t="s">
        <v>1025</v>
      </c>
      <c r="K99" s="402"/>
      <c r="L99" s="403"/>
      <c r="M99" s="403"/>
      <c r="N99" s="404">
        <f t="shared" ca="1" si="13"/>
        <v>162860.80000000002</v>
      </c>
      <c r="O99" s="405"/>
      <c r="P99" s="406"/>
      <c r="R99" s="389"/>
      <c r="S99" s="389"/>
    </row>
    <row r="100" spans="1:19" s="125" customFormat="1" ht="13.9" customHeight="1" outlineLevel="1" x14ac:dyDescent="0.25">
      <c r="A100" s="390">
        <f ca="1">IF($H100="UNIDADE CONSTRUTIVA",OFFSET(A100,-1,0)+1,LARGE(A$3:A99,1))</f>
        <v>0</v>
      </c>
      <c r="B100" s="390">
        <f t="shared" ca="1" si="14"/>
        <v>2</v>
      </c>
      <c r="C100" s="390">
        <f t="shared" ca="1" si="15"/>
        <v>2</v>
      </c>
      <c r="D100" s="391">
        <f t="shared" ca="1" si="16"/>
        <v>6</v>
      </c>
      <c r="E100" s="391">
        <f t="shared" ca="1" si="17"/>
        <v>1</v>
      </c>
      <c r="G100" s="398"/>
      <c r="H100" s="399" t="s">
        <v>433</v>
      </c>
      <c r="I100" s="400" t="str">
        <f t="shared" ca="1" si="12"/>
        <v>02.002.006.001</v>
      </c>
      <c r="J100" s="401" t="s">
        <v>1026</v>
      </c>
      <c r="K100" s="403" t="s">
        <v>74</v>
      </c>
      <c r="L100" s="403">
        <v>1</v>
      </c>
      <c r="M100" s="403">
        <f>'Custos Serviços'!$D$4/L100</f>
        <v>162860.80000000002</v>
      </c>
      <c r="N100" s="404">
        <f t="shared" si="13"/>
        <v>162860.80000000002</v>
      </c>
      <c r="O100" s="999" t="s">
        <v>4192</v>
      </c>
      <c r="P100" s="406" t="s">
        <v>3605</v>
      </c>
      <c r="R100" s="389"/>
      <c r="S100" s="389"/>
    </row>
    <row r="101" spans="1:19" s="125" customFormat="1" ht="13.9" customHeight="1" x14ac:dyDescent="0.25">
      <c r="A101" s="390">
        <f ca="1">IF($H101="UNIDADE CONSTRUTIVA",OFFSET(A101,-1,0)+1,LARGE(A$3:A100,1))</f>
        <v>0</v>
      </c>
      <c r="B101" s="390">
        <f t="shared" ca="1" si="14"/>
        <v>3</v>
      </c>
      <c r="C101" s="390">
        <f t="shared" ca="1" si="15"/>
        <v>0</v>
      </c>
      <c r="D101" s="391">
        <f t="shared" ca="1" si="16"/>
        <v>6</v>
      </c>
      <c r="E101" s="391">
        <f t="shared" ca="1" si="17"/>
        <v>1</v>
      </c>
      <c r="G101" s="398"/>
      <c r="H101" s="399" t="s">
        <v>430</v>
      </c>
      <c r="I101" s="400" t="str">
        <f t="shared" ca="1" si="12"/>
        <v>03</v>
      </c>
      <c r="J101" s="401" t="s">
        <v>104</v>
      </c>
      <c r="K101" s="402"/>
      <c r="L101" s="403"/>
      <c r="M101" s="403"/>
      <c r="N101" s="404">
        <f t="shared" ca="1" si="13"/>
        <v>638350</v>
      </c>
      <c r="O101" s="405"/>
      <c r="P101" s="406"/>
      <c r="R101" s="389"/>
      <c r="S101" s="389"/>
    </row>
    <row r="102" spans="1:19" s="125" customFormat="1" ht="13.9" customHeight="1" x14ac:dyDescent="0.25">
      <c r="A102" s="390">
        <f ca="1">IF($H102="UNIDADE CONSTRUTIVA",OFFSET(A102,-1,0)+1,LARGE(A$3:A101,1))</f>
        <v>0</v>
      </c>
      <c r="B102" s="390">
        <f t="shared" ca="1" si="14"/>
        <v>3</v>
      </c>
      <c r="C102" s="390">
        <f t="shared" ca="1" si="15"/>
        <v>1</v>
      </c>
      <c r="D102" s="391">
        <f t="shared" ca="1" si="16"/>
        <v>0</v>
      </c>
      <c r="E102" s="391">
        <f t="shared" ca="1" si="17"/>
        <v>1</v>
      </c>
      <c r="G102" s="398"/>
      <c r="H102" s="399" t="s">
        <v>229</v>
      </c>
      <c r="I102" s="400" t="str">
        <f t="shared" ca="1" si="12"/>
        <v>03.001</v>
      </c>
      <c r="J102" s="401" t="s">
        <v>104</v>
      </c>
      <c r="K102" s="402"/>
      <c r="L102" s="403"/>
      <c r="M102" s="403"/>
      <c r="N102" s="404">
        <f t="shared" ca="1" si="13"/>
        <v>638350</v>
      </c>
      <c r="O102" s="405"/>
      <c r="P102" s="406"/>
      <c r="R102" s="389"/>
      <c r="S102" s="389"/>
    </row>
    <row r="103" spans="1:19" s="125" customFormat="1" ht="13.9" customHeight="1" x14ac:dyDescent="0.25">
      <c r="A103" s="390">
        <f ca="1">IF($H103="UNIDADE CONSTRUTIVA",OFFSET(A103,-1,0)+1,LARGE(A$3:A102,1))</f>
        <v>0</v>
      </c>
      <c r="B103" s="390">
        <f t="shared" ca="1" si="14"/>
        <v>3</v>
      </c>
      <c r="C103" s="390">
        <f t="shared" ca="1" si="15"/>
        <v>1</v>
      </c>
      <c r="D103" s="391">
        <f t="shared" ca="1" si="16"/>
        <v>1</v>
      </c>
      <c r="E103" s="391">
        <f t="shared" ca="1" si="17"/>
        <v>0</v>
      </c>
      <c r="G103" s="398"/>
      <c r="H103" s="399" t="s">
        <v>432</v>
      </c>
      <c r="I103" s="400" t="str">
        <f t="shared" ca="1" si="12"/>
        <v>03.001.001</v>
      </c>
      <c r="J103" s="401" t="s">
        <v>141</v>
      </c>
      <c r="K103" s="402"/>
      <c r="L103" s="403"/>
      <c r="M103" s="403"/>
      <c r="N103" s="404">
        <f t="shared" ca="1" si="13"/>
        <v>36000</v>
      </c>
      <c r="O103" s="405"/>
      <c r="P103" s="406"/>
      <c r="R103" s="389"/>
      <c r="S103" s="389"/>
    </row>
    <row r="104" spans="1:19" s="125" customFormat="1" ht="13.9" customHeight="1" outlineLevel="1" x14ac:dyDescent="0.25">
      <c r="A104" s="390">
        <f ca="1">IF($H104="UNIDADE CONSTRUTIVA",OFFSET(A104,-1,0)+1,LARGE(A$3:A103,1))</f>
        <v>0</v>
      </c>
      <c r="B104" s="390">
        <f t="shared" ca="1" si="14"/>
        <v>3</v>
      </c>
      <c r="C104" s="390">
        <f t="shared" ca="1" si="15"/>
        <v>1</v>
      </c>
      <c r="D104" s="391">
        <f t="shared" ca="1" si="16"/>
        <v>1</v>
      </c>
      <c r="E104" s="391">
        <f t="shared" ca="1" si="17"/>
        <v>1</v>
      </c>
      <c r="G104" s="398"/>
      <c r="H104" s="399" t="s">
        <v>433</v>
      </c>
      <c r="I104" s="400" t="str">
        <f t="shared" ca="1" si="12"/>
        <v>03.001.001.001</v>
      </c>
      <c r="J104" s="401" t="s">
        <v>163</v>
      </c>
      <c r="K104" s="403" t="s">
        <v>75</v>
      </c>
      <c r="L104" s="403">
        <v>65</v>
      </c>
      <c r="M104" s="403">
        <f>'Custos Serviços'!$D$5/L104</f>
        <v>553.84615384615381</v>
      </c>
      <c r="N104" s="404">
        <f t="shared" ref="N104:N116" si="18">IF(H104="Serviço",M104*L104,IF(H104="CÉLULA CONSTRUTIVA",SUMIFS($N$8:$N$410,$B$8:$B$410,B104,$H$8:$H$410,"Serviço"),IF(H104="ETAPA",SUMIFS($N$8:$N$410,$B$8:$B$410,B104,$C$8:$C$410,C104,$H$8:$H$410,"Serviço"),IF(H104="SUBETAPA",SUMIFS($N$8:$N$410,$B$8:$B$410,B104,$C$8:$C$410,C104,$D$8:$D$410,D104,$H$8:$H$410,"Serviço"),0))))</f>
        <v>36000</v>
      </c>
      <c r="O104" s="999" t="s">
        <v>4192</v>
      </c>
      <c r="P104" s="406" t="s">
        <v>3605</v>
      </c>
      <c r="R104" s="389"/>
      <c r="S104" s="389"/>
    </row>
    <row r="105" spans="1:19" s="125" customFormat="1" ht="13.9" customHeight="1" x14ac:dyDescent="0.25">
      <c r="A105" s="390">
        <f ca="1">IF($H105="UNIDADE CONSTRUTIVA",OFFSET(A105,-1,0)+1,LARGE(A$3:A104,1))</f>
        <v>0</v>
      </c>
      <c r="B105" s="390">
        <f t="shared" ca="1" si="14"/>
        <v>3</v>
      </c>
      <c r="C105" s="390">
        <f t="shared" ca="1" si="15"/>
        <v>1</v>
      </c>
      <c r="D105" s="391">
        <f t="shared" ca="1" si="16"/>
        <v>2</v>
      </c>
      <c r="E105" s="391">
        <f t="shared" ca="1" si="17"/>
        <v>0</v>
      </c>
      <c r="G105" s="398"/>
      <c r="H105" s="399" t="s">
        <v>432</v>
      </c>
      <c r="I105" s="400" t="str">
        <f t="shared" ca="1" si="12"/>
        <v>03.001.002</v>
      </c>
      <c r="J105" s="401" t="s">
        <v>623</v>
      </c>
      <c r="K105" s="402"/>
      <c r="L105" s="403"/>
      <c r="M105" s="403"/>
      <c r="N105" s="404">
        <f t="shared" ca="1" si="18"/>
        <v>602350</v>
      </c>
      <c r="O105" s="405"/>
      <c r="P105" s="406"/>
      <c r="R105" s="389"/>
      <c r="S105" s="389"/>
    </row>
    <row r="106" spans="1:19" s="125" customFormat="1" ht="13.9" customHeight="1" outlineLevel="1" x14ac:dyDescent="0.25">
      <c r="A106" s="390">
        <f ca="1">IF($H106="UNIDADE CONSTRUTIVA",OFFSET(A106,-1,0)+1,LARGE(A$3:A105,1))</f>
        <v>0</v>
      </c>
      <c r="B106" s="390">
        <f t="shared" ca="1" si="14"/>
        <v>3</v>
      </c>
      <c r="C106" s="390">
        <f t="shared" ca="1" si="15"/>
        <v>1</v>
      </c>
      <c r="D106" s="391">
        <f t="shared" ca="1" si="16"/>
        <v>2</v>
      </c>
      <c r="E106" s="391">
        <f t="shared" ca="1" si="17"/>
        <v>1</v>
      </c>
      <c r="G106" s="398"/>
      <c r="H106" s="399" t="s">
        <v>433</v>
      </c>
      <c r="I106" s="400" t="str">
        <f t="shared" ca="1" si="12"/>
        <v>03.001.002.001</v>
      </c>
      <c r="J106" s="401" t="s">
        <v>176</v>
      </c>
      <c r="K106" s="403" t="s">
        <v>9</v>
      </c>
      <c r="L106" s="403">
        <v>20</v>
      </c>
      <c r="M106" s="403">
        <v>9000</v>
      </c>
      <c r="N106" s="404">
        <f t="shared" si="18"/>
        <v>180000</v>
      </c>
      <c r="O106" s="403" t="s">
        <v>168</v>
      </c>
      <c r="P106" s="406" t="s">
        <v>3605</v>
      </c>
      <c r="R106" s="389"/>
      <c r="S106" s="389"/>
    </row>
    <row r="107" spans="1:19" s="125" customFormat="1" ht="13.9" customHeight="1" outlineLevel="1" x14ac:dyDescent="0.25">
      <c r="A107" s="390">
        <f ca="1">IF($H107="UNIDADE CONSTRUTIVA",OFFSET(A107,-1,0)+1,LARGE(A$3:A106,1))</f>
        <v>0</v>
      </c>
      <c r="B107" s="390">
        <f t="shared" ca="1" si="14"/>
        <v>3</v>
      </c>
      <c r="C107" s="390">
        <f t="shared" ca="1" si="15"/>
        <v>1</v>
      </c>
      <c r="D107" s="391">
        <f t="shared" ca="1" si="16"/>
        <v>2</v>
      </c>
      <c r="E107" s="391">
        <f t="shared" ca="1" si="17"/>
        <v>2</v>
      </c>
      <c r="G107" s="398"/>
      <c r="H107" s="399" t="s">
        <v>433</v>
      </c>
      <c r="I107" s="400" t="str">
        <f t="shared" ca="1" si="12"/>
        <v>03.001.002.002</v>
      </c>
      <c r="J107" s="401" t="s">
        <v>142</v>
      </c>
      <c r="K107" s="403" t="s">
        <v>75</v>
      </c>
      <c r="L107" s="403">
        <v>20</v>
      </c>
      <c r="M107" s="403">
        <v>1250</v>
      </c>
      <c r="N107" s="404">
        <f t="shared" si="18"/>
        <v>25000</v>
      </c>
      <c r="O107" s="403" t="s">
        <v>168</v>
      </c>
      <c r="P107" s="406" t="s">
        <v>3605</v>
      </c>
      <c r="R107" s="389"/>
      <c r="S107" s="389"/>
    </row>
    <row r="108" spans="1:19" s="125" customFormat="1" ht="13.9" customHeight="1" outlineLevel="1" x14ac:dyDescent="0.25">
      <c r="A108" s="390">
        <f ca="1">IF($H108="UNIDADE CONSTRUTIVA",OFFSET(A108,-1,0)+1,LARGE(A$3:A107,1))</f>
        <v>0</v>
      </c>
      <c r="B108" s="390">
        <f t="shared" ca="1" si="14"/>
        <v>3</v>
      </c>
      <c r="C108" s="390">
        <f t="shared" ca="1" si="15"/>
        <v>1</v>
      </c>
      <c r="D108" s="391">
        <f t="shared" ca="1" si="16"/>
        <v>2</v>
      </c>
      <c r="E108" s="391">
        <f t="shared" ca="1" si="17"/>
        <v>3</v>
      </c>
      <c r="G108" s="398"/>
      <c r="H108" s="399" t="s">
        <v>433</v>
      </c>
      <c r="I108" s="400" t="str">
        <f t="shared" ca="1" si="12"/>
        <v>03.001.002.003</v>
      </c>
      <c r="J108" s="401" t="s">
        <v>150</v>
      </c>
      <c r="K108" s="403" t="s">
        <v>9</v>
      </c>
      <c r="L108" s="403">
        <v>1</v>
      </c>
      <c r="M108" s="403">
        <v>7000</v>
      </c>
      <c r="N108" s="404">
        <f t="shared" si="18"/>
        <v>7000</v>
      </c>
      <c r="O108" s="403" t="s">
        <v>168</v>
      </c>
      <c r="P108" s="406" t="s">
        <v>3605</v>
      </c>
      <c r="R108" s="389"/>
      <c r="S108" s="389"/>
    </row>
    <row r="109" spans="1:19" s="125" customFormat="1" ht="13.9" customHeight="1" outlineLevel="1" x14ac:dyDescent="0.25">
      <c r="A109" s="390">
        <f ca="1">IF($H109="UNIDADE CONSTRUTIVA",OFFSET(A109,-1,0)+1,LARGE(A$3:A108,1))</f>
        <v>0</v>
      </c>
      <c r="B109" s="390">
        <f t="shared" ca="1" si="14"/>
        <v>3</v>
      </c>
      <c r="C109" s="390">
        <f t="shared" ca="1" si="15"/>
        <v>1</v>
      </c>
      <c r="D109" s="391">
        <f t="shared" ca="1" si="16"/>
        <v>2</v>
      </c>
      <c r="E109" s="391">
        <f t="shared" ca="1" si="17"/>
        <v>4</v>
      </c>
      <c r="G109" s="398"/>
      <c r="H109" s="399" t="s">
        <v>433</v>
      </c>
      <c r="I109" s="400" t="str">
        <f t="shared" ca="1" si="12"/>
        <v>03.001.002.004</v>
      </c>
      <c r="J109" s="401" t="s">
        <v>149</v>
      </c>
      <c r="K109" s="403" t="s">
        <v>9</v>
      </c>
      <c r="L109" s="403">
        <v>1</v>
      </c>
      <c r="M109" s="403">
        <v>5600</v>
      </c>
      <c r="N109" s="404">
        <f t="shared" si="18"/>
        <v>5600</v>
      </c>
      <c r="O109" s="403" t="s">
        <v>168</v>
      </c>
      <c r="P109" s="406" t="s">
        <v>3605</v>
      </c>
      <c r="R109" s="389"/>
      <c r="S109" s="389"/>
    </row>
    <row r="110" spans="1:19" s="125" customFormat="1" ht="13.9" customHeight="1" outlineLevel="1" x14ac:dyDescent="0.25">
      <c r="A110" s="390">
        <f ca="1">IF($H110="UNIDADE CONSTRUTIVA",OFFSET(A110,-1,0)+1,LARGE(A$3:A109,1))</f>
        <v>0</v>
      </c>
      <c r="B110" s="390">
        <f t="shared" ca="1" si="14"/>
        <v>3</v>
      </c>
      <c r="C110" s="390">
        <f t="shared" ca="1" si="15"/>
        <v>1</v>
      </c>
      <c r="D110" s="391">
        <f t="shared" ca="1" si="16"/>
        <v>2</v>
      </c>
      <c r="E110" s="391">
        <f t="shared" ca="1" si="17"/>
        <v>5</v>
      </c>
      <c r="G110" s="398"/>
      <c r="H110" s="399" t="s">
        <v>433</v>
      </c>
      <c r="I110" s="400" t="str">
        <f t="shared" ca="1" si="12"/>
        <v>03.001.002.005</v>
      </c>
      <c r="J110" s="401" t="s">
        <v>170</v>
      </c>
      <c r="K110" s="403" t="s">
        <v>75</v>
      </c>
      <c r="L110" s="403">
        <v>19</v>
      </c>
      <c r="M110" s="403">
        <v>8500</v>
      </c>
      <c r="N110" s="404">
        <f t="shared" si="18"/>
        <v>161500</v>
      </c>
      <c r="O110" s="403" t="s">
        <v>168</v>
      </c>
      <c r="P110" s="406" t="s">
        <v>3605</v>
      </c>
      <c r="R110" s="389"/>
      <c r="S110" s="389"/>
    </row>
    <row r="111" spans="1:19" s="125" customFormat="1" ht="13.9" customHeight="1" outlineLevel="1" x14ac:dyDescent="0.25">
      <c r="A111" s="390">
        <f ca="1">IF($H111="UNIDADE CONSTRUTIVA",OFFSET(A111,-1,0)+1,LARGE(A$3:A110,1))</f>
        <v>0</v>
      </c>
      <c r="B111" s="390">
        <f t="shared" ca="1" si="14"/>
        <v>3</v>
      </c>
      <c r="C111" s="390">
        <f t="shared" ca="1" si="15"/>
        <v>1</v>
      </c>
      <c r="D111" s="391">
        <f t="shared" ca="1" si="16"/>
        <v>2</v>
      </c>
      <c r="E111" s="391">
        <f t="shared" ca="1" si="17"/>
        <v>6</v>
      </c>
      <c r="G111" s="398"/>
      <c r="H111" s="399" t="s">
        <v>433</v>
      </c>
      <c r="I111" s="400" t="str">
        <f t="shared" ca="1" si="12"/>
        <v>03.001.002.006</v>
      </c>
      <c r="J111" s="401" t="s">
        <v>143</v>
      </c>
      <c r="K111" s="403" t="s">
        <v>9</v>
      </c>
      <c r="L111" s="403">
        <v>19</v>
      </c>
      <c r="M111" s="403">
        <v>1000</v>
      </c>
      <c r="N111" s="404">
        <f t="shared" si="18"/>
        <v>19000</v>
      </c>
      <c r="O111" s="403" t="s">
        <v>168</v>
      </c>
      <c r="P111" s="406" t="s">
        <v>3605</v>
      </c>
      <c r="R111" s="389"/>
      <c r="S111" s="389"/>
    </row>
    <row r="112" spans="1:19" s="125" customFormat="1" ht="13.9" customHeight="1" outlineLevel="1" x14ac:dyDescent="0.25">
      <c r="A112" s="390">
        <f ca="1">IF($H112="UNIDADE CONSTRUTIVA",OFFSET(A112,-1,0)+1,LARGE(A$3:A111,1))</f>
        <v>0</v>
      </c>
      <c r="B112" s="390">
        <f t="shared" ca="1" si="14"/>
        <v>3</v>
      </c>
      <c r="C112" s="390">
        <f t="shared" ca="1" si="15"/>
        <v>1</v>
      </c>
      <c r="D112" s="391">
        <f t="shared" ca="1" si="16"/>
        <v>2</v>
      </c>
      <c r="E112" s="391">
        <f t="shared" ca="1" si="17"/>
        <v>7</v>
      </c>
      <c r="G112" s="398"/>
      <c r="H112" s="399" t="s">
        <v>433</v>
      </c>
      <c r="I112" s="400" t="str">
        <f t="shared" ca="1" si="12"/>
        <v>03.001.002.007</v>
      </c>
      <c r="J112" s="401" t="s">
        <v>144</v>
      </c>
      <c r="K112" s="403" t="s">
        <v>9</v>
      </c>
      <c r="L112" s="403">
        <v>1</v>
      </c>
      <c r="M112" s="403">
        <v>7000</v>
      </c>
      <c r="N112" s="404">
        <f t="shared" si="18"/>
        <v>7000</v>
      </c>
      <c r="O112" s="403" t="s">
        <v>168</v>
      </c>
      <c r="P112" s="406" t="s">
        <v>3605</v>
      </c>
      <c r="R112" s="389"/>
      <c r="S112" s="389"/>
    </row>
    <row r="113" spans="1:20" s="125" customFormat="1" ht="13.9" customHeight="1" outlineLevel="1" x14ac:dyDescent="0.25">
      <c r="A113" s="390">
        <f ca="1">IF($H113="UNIDADE CONSTRUTIVA",OFFSET(A113,-1,0)+1,LARGE(A$3:A112,1))</f>
        <v>0</v>
      </c>
      <c r="B113" s="390">
        <f t="shared" ca="1" si="14"/>
        <v>3</v>
      </c>
      <c r="C113" s="390">
        <f t="shared" ca="1" si="15"/>
        <v>1</v>
      </c>
      <c r="D113" s="391">
        <f t="shared" ca="1" si="16"/>
        <v>2</v>
      </c>
      <c r="E113" s="391">
        <f t="shared" ca="1" si="17"/>
        <v>8</v>
      </c>
      <c r="G113" s="398"/>
      <c r="H113" s="399" t="s">
        <v>433</v>
      </c>
      <c r="I113" s="400" t="str">
        <f t="shared" ca="1" si="12"/>
        <v>03.001.002.008</v>
      </c>
      <c r="J113" s="401" t="s">
        <v>148</v>
      </c>
      <c r="K113" s="403" t="s">
        <v>9</v>
      </c>
      <c r="L113" s="403">
        <v>1</v>
      </c>
      <c r="M113" s="403">
        <v>5600</v>
      </c>
      <c r="N113" s="404">
        <f t="shared" si="18"/>
        <v>5600</v>
      </c>
      <c r="O113" s="403" t="s">
        <v>168</v>
      </c>
      <c r="P113" s="406" t="s">
        <v>3605</v>
      </c>
      <c r="R113" s="389"/>
      <c r="S113" s="389"/>
    </row>
    <row r="114" spans="1:20" s="125" customFormat="1" ht="13.9" customHeight="1" outlineLevel="1" x14ac:dyDescent="0.25">
      <c r="A114" s="390">
        <f ca="1">IF($H114="UNIDADE CONSTRUTIVA",OFFSET(A114,-1,0)+1,LARGE(A$3:A113,1))</f>
        <v>0</v>
      </c>
      <c r="B114" s="390">
        <f t="shared" ca="1" si="14"/>
        <v>3</v>
      </c>
      <c r="C114" s="390">
        <f t="shared" ca="1" si="15"/>
        <v>1</v>
      </c>
      <c r="D114" s="391">
        <f t="shared" ca="1" si="16"/>
        <v>2</v>
      </c>
      <c r="E114" s="391">
        <f t="shared" ca="1" si="17"/>
        <v>9</v>
      </c>
      <c r="G114" s="398"/>
      <c r="H114" s="399" t="s">
        <v>433</v>
      </c>
      <c r="I114" s="400" t="str">
        <f t="shared" ca="1" si="12"/>
        <v>03.001.002.009</v>
      </c>
      <c r="J114" s="401" t="s">
        <v>175</v>
      </c>
      <c r="K114" s="403" t="s">
        <v>75</v>
      </c>
      <c r="L114" s="403">
        <v>65</v>
      </c>
      <c r="M114" s="403">
        <v>250</v>
      </c>
      <c r="N114" s="404">
        <f t="shared" si="18"/>
        <v>16250</v>
      </c>
      <c r="O114" s="403" t="s">
        <v>168</v>
      </c>
      <c r="P114" s="406" t="s">
        <v>3605</v>
      </c>
      <c r="R114" s="389"/>
      <c r="S114" s="389"/>
    </row>
    <row r="115" spans="1:20" s="125" customFormat="1" ht="13.9" customHeight="1" outlineLevel="1" x14ac:dyDescent="0.25">
      <c r="A115" s="390">
        <f ca="1">IF($H115="UNIDADE CONSTRUTIVA",OFFSET(A115,-1,0)+1,LARGE(A$3:A114,1))</f>
        <v>0</v>
      </c>
      <c r="B115" s="390">
        <f t="shared" ca="1" si="14"/>
        <v>3</v>
      </c>
      <c r="C115" s="390">
        <f t="shared" ca="1" si="15"/>
        <v>1</v>
      </c>
      <c r="D115" s="391">
        <f t="shared" ca="1" si="16"/>
        <v>2</v>
      </c>
      <c r="E115" s="391">
        <f t="shared" ca="1" si="17"/>
        <v>10</v>
      </c>
      <c r="G115" s="398"/>
      <c r="H115" s="399" t="s">
        <v>433</v>
      </c>
      <c r="I115" s="400" t="str">
        <f t="shared" ref="I115:I116" ca="1" si="19">IF(H115="Unidade Construtiva",TEXT(A115,"00"),IF(H115="Célula Construtiva",TEXT(B115,"00"),IF(H115="Etapa",CONCATENATE(TEXT(B115,"00"),".",TEXT(C115,"000")),IF(H115="Subetapa",CONCATENATE(TEXT(B115,"00"),".",TEXT(C115,"000"),".",TEXT(D115,"000")),IF(H115="Serviço",CONCATENATE(TEXT(B115,"00"),".",TEXT(C115,"000"),".",TEXT(D115,"000"),".",TEXT(E115,"000")),"")))))</f>
        <v>03.001.002.010</v>
      </c>
      <c r="J115" s="401" t="s">
        <v>165</v>
      </c>
      <c r="K115" s="403" t="s">
        <v>75</v>
      </c>
      <c r="L115" s="403">
        <v>17</v>
      </c>
      <c r="M115" s="403">
        <f>'Custos Serviços'!$D$6/L115</f>
        <v>9000</v>
      </c>
      <c r="N115" s="404">
        <f t="shared" si="18"/>
        <v>153000</v>
      </c>
      <c r="O115" s="999" t="s">
        <v>4192</v>
      </c>
      <c r="P115" s="406" t="s">
        <v>3605</v>
      </c>
      <c r="R115" s="389"/>
      <c r="S115" s="389"/>
    </row>
    <row r="116" spans="1:20" s="125" customFormat="1" ht="13.9" customHeight="1" outlineLevel="1" x14ac:dyDescent="0.25">
      <c r="A116" s="390">
        <f ca="1">IF($H116="UNIDADE CONSTRUTIVA",OFFSET(A116,-1,0)+1,LARGE(A$3:A115,1))</f>
        <v>0</v>
      </c>
      <c r="B116" s="390">
        <f t="shared" ca="1" si="14"/>
        <v>3</v>
      </c>
      <c r="C116" s="390">
        <f t="shared" ca="1" si="15"/>
        <v>1</v>
      </c>
      <c r="D116" s="391">
        <f t="shared" ca="1" si="16"/>
        <v>2</v>
      </c>
      <c r="E116" s="391">
        <f t="shared" ca="1" si="17"/>
        <v>11</v>
      </c>
      <c r="G116" s="398"/>
      <c r="H116" s="399" t="s">
        <v>433</v>
      </c>
      <c r="I116" s="400" t="str">
        <f t="shared" ca="1" si="19"/>
        <v>03.001.002.011</v>
      </c>
      <c r="J116" s="401" t="s">
        <v>166</v>
      </c>
      <c r="K116" s="403" t="s">
        <v>74</v>
      </c>
      <c r="L116" s="403">
        <v>28</v>
      </c>
      <c r="M116" s="403">
        <f>'Custos Serviços'!$D$7/L116</f>
        <v>800</v>
      </c>
      <c r="N116" s="404">
        <f t="shared" si="18"/>
        <v>22400</v>
      </c>
      <c r="O116" s="999" t="s">
        <v>4192</v>
      </c>
      <c r="P116" s="406" t="s">
        <v>3605</v>
      </c>
      <c r="R116" s="389"/>
      <c r="S116" s="389"/>
    </row>
    <row r="117" spans="1:20" s="424" customFormat="1" ht="11.25" x14ac:dyDescent="0.25">
      <c r="A117" s="390">
        <f ca="1">IF($H117="UNIDADE CONSTRUTIVA",OFFSET(A117,-1,0)+1,LARGE(A$3:A116,1))</f>
        <v>0</v>
      </c>
      <c r="B117" s="390">
        <f t="shared" ca="1" si="14"/>
        <v>3</v>
      </c>
      <c r="C117" s="390">
        <f t="shared" ca="1" si="15"/>
        <v>1</v>
      </c>
      <c r="D117" s="391">
        <f t="shared" ca="1" si="16"/>
        <v>2</v>
      </c>
      <c r="E117" s="391">
        <f t="shared" ca="1" si="17"/>
        <v>11</v>
      </c>
      <c r="F117" s="417"/>
      <c r="G117" s="418"/>
      <c r="H117" s="418"/>
      <c r="I117" s="418"/>
      <c r="J117" s="419" t="s">
        <v>56</v>
      </c>
      <c r="K117" s="420"/>
      <c r="L117" s="421"/>
      <c r="M117" s="421"/>
      <c r="N117" s="422">
        <f ca="1">SUM(N8:N116)/4</f>
        <v>3704814.2581239017</v>
      </c>
      <c r="O117" s="421"/>
      <c r="P117" s="420"/>
      <c r="Q117" s="987">
        <f ca="1">N117/Obra!$E$9</f>
        <v>288.7994195755723</v>
      </c>
      <c r="R117" s="423"/>
      <c r="S117" s="423"/>
      <c r="T117" s="417"/>
    </row>
    <row r="118" spans="1:20" s="131" customFormat="1" ht="14.1" customHeight="1" x14ac:dyDescent="0.25">
      <c r="A118" s="390">
        <f ca="1">IF($H118="UNIDADE CONSTRUTIVA",OFFSET(A118,-1,0)+1,LARGE(A$3:A117,1))</f>
        <v>0</v>
      </c>
      <c r="B118" s="390">
        <f t="shared" ca="1" si="14"/>
        <v>3</v>
      </c>
      <c r="C118" s="390">
        <f t="shared" ca="1" si="15"/>
        <v>1</v>
      </c>
      <c r="D118" s="391">
        <f t="shared" ca="1" si="16"/>
        <v>2</v>
      </c>
      <c r="E118" s="391">
        <f t="shared" ca="1" si="17"/>
        <v>11</v>
      </c>
      <c r="F118" s="125"/>
      <c r="J118" s="130"/>
      <c r="K118" s="132"/>
      <c r="L118" s="413"/>
      <c r="M118" s="971">
        <f ca="1">SUMIFS($N$7:$N$410,$H$7:$H$410,N118)</f>
        <v>3704814.2581239007</v>
      </c>
      <c r="N118" s="972" t="s">
        <v>430</v>
      </c>
      <c r="O118" s="415"/>
      <c r="P118" s="133"/>
      <c r="Q118" s="130"/>
      <c r="R118" s="132"/>
      <c r="S118" s="132"/>
      <c r="T118" s="130"/>
    </row>
    <row r="119" spans="1:20" s="131" customFormat="1" ht="14.1" customHeight="1" x14ac:dyDescent="0.25">
      <c r="A119" s="390">
        <f ca="1">IF($H119="UNIDADE CONSTRUTIVA",OFFSET(A119,-1,0)+1,LARGE(A$3:A118,1))</f>
        <v>0</v>
      </c>
      <c r="B119" s="390">
        <f t="shared" ca="1" si="14"/>
        <v>3</v>
      </c>
      <c r="C119" s="390">
        <f t="shared" ca="1" si="15"/>
        <v>1</v>
      </c>
      <c r="D119" s="391">
        <f t="shared" ca="1" si="16"/>
        <v>2</v>
      </c>
      <c r="E119" s="391">
        <f t="shared" ca="1" si="17"/>
        <v>11</v>
      </c>
      <c r="F119" s="125"/>
      <c r="J119" s="130"/>
      <c r="K119" s="132"/>
      <c r="L119" s="413"/>
      <c r="M119" s="971">
        <f ca="1">SUMIFS($N$7:$N$410,$H$7:$H$410,N119)</f>
        <v>3704814.2581239007</v>
      </c>
      <c r="N119" s="972" t="s">
        <v>229</v>
      </c>
      <c r="O119" s="415"/>
      <c r="P119" s="133"/>
      <c r="Q119" s="130"/>
      <c r="R119" s="132"/>
      <c r="S119" s="132"/>
      <c r="T119" s="130"/>
    </row>
    <row r="120" spans="1:20" s="131" customFormat="1" ht="14.1" customHeight="1" x14ac:dyDescent="0.25">
      <c r="A120" s="390">
        <f ca="1">IF($H120="UNIDADE CONSTRUTIVA",OFFSET(A120,-1,0)+1,LARGE(A$3:A119,1))</f>
        <v>0</v>
      </c>
      <c r="B120" s="390">
        <f t="shared" ca="1" si="14"/>
        <v>3</v>
      </c>
      <c r="C120" s="390">
        <f t="shared" ca="1" si="15"/>
        <v>1</v>
      </c>
      <c r="D120" s="391">
        <f t="shared" ca="1" si="16"/>
        <v>2</v>
      </c>
      <c r="E120" s="391">
        <f t="shared" ca="1" si="17"/>
        <v>11</v>
      </c>
      <c r="F120" s="125"/>
      <c r="J120" s="130"/>
      <c r="K120" s="132"/>
      <c r="L120" s="413"/>
      <c r="M120" s="971">
        <f ca="1">SUMIFS($N$7:$N$410,$H$7:$H$410,N120)</f>
        <v>3704814.2581239007</v>
      </c>
      <c r="N120" s="972" t="s">
        <v>432</v>
      </c>
      <c r="O120" s="415"/>
      <c r="P120" s="133"/>
      <c r="Q120" s="130"/>
      <c r="R120" s="132"/>
      <c r="S120" s="132"/>
      <c r="T120" s="130"/>
    </row>
    <row r="121" spans="1:20" s="131" customFormat="1" ht="14.1" customHeight="1" x14ac:dyDescent="0.25">
      <c r="A121" s="390">
        <f ca="1">IF($H121="UNIDADE CONSTRUTIVA",OFFSET(A121,-1,0)+1,LARGE(A$3:A120,1))</f>
        <v>0</v>
      </c>
      <c r="B121" s="390">
        <f t="shared" ca="1" si="14"/>
        <v>3</v>
      </c>
      <c r="C121" s="390">
        <f t="shared" ca="1" si="15"/>
        <v>1</v>
      </c>
      <c r="D121" s="391">
        <f t="shared" ca="1" si="16"/>
        <v>2</v>
      </c>
      <c r="E121" s="391">
        <f t="shared" ca="1" si="17"/>
        <v>11</v>
      </c>
      <c r="F121" s="125"/>
      <c r="J121" s="130"/>
      <c r="K121" s="132"/>
      <c r="L121" s="413"/>
      <c r="M121" s="971">
        <f>SUMIFS($N$7:$N$410,$H$7:$H$410,N121)</f>
        <v>3704814.2581239012</v>
      </c>
      <c r="N121" s="972" t="s">
        <v>433</v>
      </c>
      <c r="O121" s="415"/>
      <c r="P121" s="133"/>
      <c r="Q121" s="130"/>
      <c r="R121" s="132"/>
      <c r="S121" s="132"/>
      <c r="T121" s="130"/>
    </row>
    <row r="122" spans="1:20" s="131" customFormat="1" ht="14.1" customHeight="1" x14ac:dyDescent="0.25">
      <c r="A122" s="390">
        <f ca="1">IF($H122="UNIDADE CONSTRUTIVA",OFFSET(A122,-1,0)+1,LARGE(A$3:A121,1))</f>
        <v>0</v>
      </c>
      <c r="B122" s="390">
        <f t="shared" ca="1" si="14"/>
        <v>3</v>
      </c>
      <c r="C122" s="390">
        <f t="shared" ca="1" si="15"/>
        <v>1</v>
      </c>
      <c r="D122" s="391">
        <f t="shared" ca="1" si="16"/>
        <v>2</v>
      </c>
      <c r="E122" s="391">
        <f t="shared" ca="1" si="17"/>
        <v>11</v>
      </c>
      <c r="F122" s="125"/>
      <c r="J122" s="130"/>
      <c r="K122" s="132"/>
      <c r="L122" s="413"/>
      <c r="M122" s="971">
        <f ca="1">Obra!C32</f>
        <v>3704814.2581239017</v>
      </c>
      <c r="N122" s="972" t="s">
        <v>4162</v>
      </c>
      <c r="O122" s="415"/>
      <c r="P122" s="133"/>
      <c r="Q122" s="130"/>
      <c r="R122" s="132"/>
      <c r="S122" s="132"/>
      <c r="T122" s="130"/>
    </row>
    <row r="123" spans="1:20" s="131" customFormat="1" ht="14.1" customHeight="1" x14ac:dyDescent="0.25">
      <c r="A123" s="390">
        <f ca="1">IF($H123="UNIDADE CONSTRUTIVA",OFFSET(A123,-1,0)+1,LARGE(A$3:A122,1))</f>
        <v>0</v>
      </c>
      <c r="B123" s="390">
        <f t="shared" ca="1" si="14"/>
        <v>3</v>
      </c>
      <c r="C123" s="390">
        <f t="shared" ca="1" si="15"/>
        <v>1</v>
      </c>
      <c r="D123" s="391">
        <f t="shared" ca="1" si="16"/>
        <v>2</v>
      </c>
      <c r="E123" s="391">
        <f t="shared" ca="1" si="17"/>
        <v>11</v>
      </c>
      <c r="F123" s="125"/>
      <c r="J123" s="130"/>
      <c r="K123" s="132"/>
      <c r="L123" s="413"/>
      <c r="M123" s="413"/>
      <c r="N123" s="414"/>
      <c r="O123" s="415"/>
      <c r="P123" s="133"/>
      <c r="Q123" s="130"/>
      <c r="R123" s="132"/>
      <c r="S123" s="132"/>
      <c r="T123" s="130"/>
    </row>
    <row r="124" spans="1:20" s="131" customFormat="1" ht="14.1" customHeight="1" x14ac:dyDescent="0.25">
      <c r="A124" s="390">
        <f ca="1">IF($H124="UNIDADE CONSTRUTIVA",OFFSET(A124,-1,0)+1,LARGE(A$3:A123,1))</f>
        <v>0</v>
      </c>
      <c r="B124" s="390">
        <f t="shared" ca="1" si="14"/>
        <v>3</v>
      </c>
      <c r="C124" s="390">
        <f t="shared" ca="1" si="15"/>
        <v>1</v>
      </c>
      <c r="D124" s="391">
        <f t="shared" ca="1" si="16"/>
        <v>2</v>
      </c>
      <c r="E124" s="391">
        <f t="shared" ca="1" si="17"/>
        <v>11</v>
      </c>
      <c r="F124" s="125"/>
      <c r="J124" s="130"/>
      <c r="K124" s="132"/>
      <c r="L124" s="413"/>
      <c r="M124" s="414"/>
      <c r="N124" s="414"/>
      <c r="O124" s="415"/>
      <c r="P124" s="133"/>
      <c r="Q124" s="130"/>
      <c r="R124" s="132"/>
      <c r="S124" s="132"/>
      <c r="T124" s="130"/>
    </row>
    <row r="125" spans="1:20" s="131" customFormat="1" ht="14.1" customHeight="1" x14ac:dyDescent="0.25">
      <c r="A125" s="390">
        <f ca="1">IF($H125="UNIDADE CONSTRUTIVA",OFFSET(A125,-1,0)+1,LARGE(A$3:A124,1))</f>
        <v>0</v>
      </c>
      <c r="B125" s="390">
        <f t="shared" ca="1" si="14"/>
        <v>3</v>
      </c>
      <c r="C125" s="390">
        <f t="shared" ca="1" si="15"/>
        <v>1</v>
      </c>
      <c r="D125" s="391">
        <f t="shared" ca="1" si="16"/>
        <v>2</v>
      </c>
      <c r="E125" s="391">
        <f t="shared" ca="1" si="17"/>
        <v>11</v>
      </c>
      <c r="F125" s="125"/>
      <c r="J125" s="130"/>
      <c r="K125" s="132"/>
      <c r="L125" s="413"/>
      <c r="M125" s="413"/>
      <c r="N125" s="414"/>
      <c r="O125" s="415"/>
      <c r="P125" s="133"/>
      <c r="Q125" s="130"/>
      <c r="R125" s="132"/>
      <c r="S125" s="132"/>
      <c r="T125" s="130"/>
    </row>
    <row r="126" spans="1:20" s="131" customFormat="1" ht="14.1" customHeight="1" x14ac:dyDescent="0.25">
      <c r="A126" s="390">
        <f ca="1">IF($H126="UNIDADE CONSTRUTIVA",OFFSET(A126,-1,0)+1,LARGE(A$3:A125,1))</f>
        <v>0</v>
      </c>
      <c r="B126" s="390">
        <f t="shared" ca="1" si="14"/>
        <v>3</v>
      </c>
      <c r="C126" s="390">
        <f t="shared" ca="1" si="15"/>
        <v>1</v>
      </c>
      <c r="D126" s="391">
        <f t="shared" ca="1" si="16"/>
        <v>2</v>
      </c>
      <c r="E126" s="391">
        <f t="shared" ca="1" si="17"/>
        <v>11</v>
      </c>
      <c r="F126" s="125"/>
      <c r="J126" s="130"/>
      <c r="K126" s="132"/>
      <c r="L126" s="413"/>
      <c r="M126" s="413"/>
      <c r="N126" s="414"/>
      <c r="O126" s="415"/>
      <c r="P126" s="133"/>
      <c r="Q126" s="130"/>
      <c r="R126" s="132"/>
      <c r="S126" s="132"/>
      <c r="T126" s="130"/>
    </row>
    <row r="127" spans="1:20" s="131" customFormat="1" ht="14.1" customHeight="1" x14ac:dyDescent="0.25">
      <c r="A127" s="390">
        <f ca="1">IF($H127="UNIDADE CONSTRUTIVA",OFFSET(A127,-1,0)+1,LARGE(A$3:A126,1))</f>
        <v>0</v>
      </c>
      <c r="B127" s="390">
        <f t="shared" ca="1" si="14"/>
        <v>3</v>
      </c>
      <c r="C127" s="390">
        <f t="shared" ca="1" si="15"/>
        <v>1</v>
      </c>
      <c r="D127" s="391">
        <f t="shared" ca="1" si="16"/>
        <v>2</v>
      </c>
      <c r="E127" s="391">
        <f t="shared" ca="1" si="17"/>
        <v>11</v>
      </c>
      <c r="F127" s="125"/>
      <c r="J127" s="130"/>
      <c r="K127" s="132"/>
      <c r="L127" s="413"/>
      <c r="M127" s="992"/>
      <c r="N127" s="414"/>
      <c r="O127" s="415"/>
      <c r="P127" s="133"/>
      <c r="Q127" s="130"/>
      <c r="R127" s="132"/>
      <c r="S127" s="132"/>
      <c r="T127" s="130"/>
    </row>
    <row r="128" spans="1:20" s="131" customFormat="1" ht="14.1" customHeight="1" x14ac:dyDescent="0.25">
      <c r="A128" s="390">
        <f ca="1">IF($H128="UNIDADE CONSTRUTIVA",OFFSET(A128,-1,0)+1,LARGE(A$3:A127,1))</f>
        <v>0</v>
      </c>
      <c r="B128" s="390">
        <f t="shared" ca="1" si="14"/>
        <v>3</v>
      </c>
      <c r="C128" s="390">
        <f t="shared" ca="1" si="15"/>
        <v>1</v>
      </c>
      <c r="D128" s="391">
        <f t="shared" ca="1" si="16"/>
        <v>2</v>
      </c>
      <c r="E128" s="391">
        <f t="shared" ca="1" si="17"/>
        <v>11</v>
      </c>
      <c r="F128" s="125"/>
      <c r="J128" s="130"/>
      <c r="K128" s="132"/>
      <c r="L128" s="413"/>
      <c r="M128" s="413"/>
      <c r="N128" s="414"/>
      <c r="O128" s="415"/>
      <c r="P128" s="133"/>
      <c r="Q128" s="130"/>
      <c r="R128" s="132"/>
      <c r="S128" s="132"/>
      <c r="T128" s="130"/>
    </row>
    <row r="129" spans="1:20" s="131" customFormat="1" ht="14.1" customHeight="1" x14ac:dyDescent="0.25">
      <c r="A129" s="390">
        <f ca="1">IF($H129="UNIDADE CONSTRUTIVA",OFFSET(A129,-1,0)+1,LARGE(A$3:A128,1))</f>
        <v>0</v>
      </c>
      <c r="B129" s="390">
        <f t="shared" ca="1" si="14"/>
        <v>3</v>
      </c>
      <c r="C129" s="390">
        <f t="shared" ca="1" si="15"/>
        <v>1</v>
      </c>
      <c r="D129" s="391">
        <f t="shared" ca="1" si="16"/>
        <v>2</v>
      </c>
      <c r="E129" s="391">
        <f t="shared" ca="1" si="17"/>
        <v>11</v>
      </c>
      <c r="F129" s="125"/>
      <c r="J129" s="130"/>
      <c r="K129" s="132"/>
      <c r="L129" s="413"/>
      <c r="M129" s="992"/>
      <c r="N129" s="414"/>
      <c r="O129" s="415"/>
      <c r="P129" s="133"/>
      <c r="Q129" s="130"/>
      <c r="R129" s="132"/>
      <c r="S129" s="132"/>
      <c r="T129" s="130"/>
    </row>
    <row r="130" spans="1:20" s="131" customFormat="1" ht="14.1" customHeight="1" x14ac:dyDescent="0.25">
      <c r="A130" s="390">
        <f ca="1">IF($H130="UNIDADE CONSTRUTIVA",OFFSET(A130,-1,0)+1,LARGE(A$3:A129,1))</f>
        <v>0</v>
      </c>
      <c r="B130" s="390">
        <f t="shared" ca="1" si="14"/>
        <v>3</v>
      </c>
      <c r="C130" s="390">
        <f t="shared" ca="1" si="15"/>
        <v>1</v>
      </c>
      <c r="D130" s="391">
        <f t="shared" ca="1" si="16"/>
        <v>2</v>
      </c>
      <c r="E130" s="391">
        <f t="shared" ca="1" si="17"/>
        <v>11</v>
      </c>
      <c r="F130" s="125"/>
      <c r="J130" s="130"/>
      <c r="K130" s="132"/>
      <c r="L130" s="413"/>
      <c r="M130" s="413"/>
      <c r="N130" s="414"/>
      <c r="O130" s="415"/>
      <c r="P130" s="133"/>
      <c r="Q130" s="130"/>
      <c r="R130" s="132"/>
      <c r="S130" s="132"/>
      <c r="T130" s="130"/>
    </row>
    <row r="131" spans="1:20" s="131" customFormat="1" ht="14.1" customHeight="1" x14ac:dyDescent="0.25">
      <c r="A131" s="390">
        <f ca="1">IF($H131="UNIDADE CONSTRUTIVA",OFFSET(A131,-1,0)+1,LARGE(A$3:A130,1))</f>
        <v>0</v>
      </c>
      <c r="B131" s="390">
        <f t="shared" ca="1" si="14"/>
        <v>3</v>
      </c>
      <c r="C131" s="390">
        <f t="shared" ca="1" si="15"/>
        <v>1</v>
      </c>
      <c r="D131" s="391">
        <f t="shared" ca="1" si="16"/>
        <v>2</v>
      </c>
      <c r="E131" s="391">
        <f t="shared" ca="1" si="17"/>
        <v>11</v>
      </c>
      <c r="F131" s="125"/>
      <c r="J131" s="130"/>
      <c r="K131" s="132"/>
      <c r="L131" s="413"/>
      <c r="M131" s="413"/>
      <c r="O131" s="415"/>
      <c r="P131" s="133"/>
      <c r="Q131" s="130"/>
      <c r="R131" s="132"/>
      <c r="S131" s="132"/>
      <c r="T131" s="130"/>
    </row>
    <row r="132" spans="1:20" s="131" customFormat="1" ht="14.1" customHeight="1" x14ac:dyDescent="0.25">
      <c r="A132" s="390">
        <f ca="1">IF($H132="UNIDADE CONSTRUTIVA",OFFSET(A132,-1,0)+1,LARGE(A$3:A131,1))</f>
        <v>0</v>
      </c>
      <c r="B132" s="390">
        <f t="shared" ca="1" si="14"/>
        <v>3</v>
      </c>
      <c r="C132" s="390">
        <f t="shared" ca="1" si="15"/>
        <v>1</v>
      </c>
      <c r="D132" s="391">
        <f t="shared" ca="1" si="16"/>
        <v>2</v>
      </c>
      <c r="E132" s="391">
        <f t="shared" ca="1" si="17"/>
        <v>11</v>
      </c>
      <c r="F132" s="125"/>
      <c r="J132" s="130"/>
      <c r="K132" s="132"/>
      <c r="L132" s="413"/>
      <c r="M132" s="413"/>
      <c r="N132" s="414"/>
      <c r="O132" s="415"/>
      <c r="P132" s="133"/>
      <c r="Q132" s="130"/>
      <c r="R132" s="132"/>
      <c r="S132" s="132"/>
      <c r="T132" s="130"/>
    </row>
    <row r="133" spans="1:20" s="131" customFormat="1" ht="14.1" customHeight="1" x14ac:dyDescent="0.25">
      <c r="A133" s="390">
        <f ca="1">IF($H133="UNIDADE CONSTRUTIVA",OFFSET(A133,-1,0)+1,LARGE(A$3:A132,1))</f>
        <v>0</v>
      </c>
      <c r="B133" s="390">
        <f t="shared" ca="1" si="14"/>
        <v>3</v>
      </c>
      <c r="C133" s="390">
        <f t="shared" ca="1" si="15"/>
        <v>1</v>
      </c>
      <c r="D133" s="391">
        <f t="shared" ca="1" si="16"/>
        <v>2</v>
      </c>
      <c r="E133" s="391">
        <f t="shared" ca="1" si="17"/>
        <v>11</v>
      </c>
      <c r="F133" s="125"/>
      <c r="J133" s="130"/>
      <c r="K133" s="132"/>
      <c r="L133" s="413"/>
      <c r="M133" s="413"/>
      <c r="N133" s="414"/>
      <c r="O133" s="415"/>
      <c r="P133" s="133"/>
      <c r="Q133" s="130"/>
      <c r="R133" s="132"/>
      <c r="S133" s="132"/>
      <c r="T133" s="130"/>
    </row>
    <row r="134" spans="1:20" s="131" customFormat="1" ht="14.1" customHeight="1" x14ac:dyDescent="0.25">
      <c r="A134" s="390">
        <f ca="1">IF($H134="UNIDADE CONSTRUTIVA",OFFSET(A134,-1,0)+1,LARGE(A$3:A133,1))</f>
        <v>0</v>
      </c>
      <c r="B134" s="390">
        <f t="shared" ca="1" si="14"/>
        <v>3</v>
      </c>
      <c r="C134" s="390">
        <f t="shared" ca="1" si="15"/>
        <v>1</v>
      </c>
      <c r="D134" s="391">
        <f t="shared" ca="1" si="16"/>
        <v>2</v>
      </c>
      <c r="E134" s="391">
        <f t="shared" ca="1" si="17"/>
        <v>11</v>
      </c>
      <c r="F134" s="125"/>
      <c r="J134" s="130"/>
      <c r="K134" s="132"/>
      <c r="L134" s="413"/>
      <c r="M134" s="413"/>
      <c r="N134" s="414"/>
      <c r="O134" s="415"/>
      <c r="P134" s="133"/>
      <c r="Q134" s="130"/>
      <c r="R134" s="132"/>
      <c r="S134" s="132"/>
      <c r="T134" s="130"/>
    </row>
    <row r="135" spans="1:20" s="131" customFormat="1" ht="14.1" customHeight="1" x14ac:dyDescent="0.25">
      <c r="A135" s="390">
        <f ca="1">IF($H135="UNIDADE CONSTRUTIVA",OFFSET(A135,-1,0)+1,LARGE(A$3:A134,1))</f>
        <v>0</v>
      </c>
      <c r="B135" s="390">
        <f t="shared" ca="1" si="14"/>
        <v>3</v>
      </c>
      <c r="C135" s="390">
        <f t="shared" ca="1" si="15"/>
        <v>1</v>
      </c>
      <c r="D135" s="391">
        <f t="shared" ca="1" si="16"/>
        <v>2</v>
      </c>
      <c r="E135" s="391">
        <f t="shared" ca="1" si="17"/>
        <v>11</v>
      </c>
      <c r="F135" s="125"/>
      <c r="J135" s="130"/>
      <c r="K135" s="132"/>
      <c r="L135" s="413"/>
      <c r="M135" s="413"/>
      <c r="N135" s="414"/>
      <c r="O135" s="415"/>
      <c r="P135" s="133"/>
      <c r="Q135" s="130"/>
      <c r="R135" s="132"/>
      <c r="S135" s="132"/>
      <c r="T135" s="130"/>
    </row>
    <row r="136" spans="1:20" s="131" customFormat="1" ht="14.1" customHeight="1" x14ac:dyDescent="0.25">
      <c r="A136" s="390">
        <f ca="1">IF($H136="UNIDADE CONSTRUTIVA",OFFSET(A136,-1,0)+1,LARGE(A$3:A135,1))</f>
        <v>0</v>
      </c>
      <c r="B136" s="390">
        <f t="shared" ca="1" si="14"/>
        <v>3</v>
      </c>
      <c r="C136" s="390">
        <f t="shared" ca="1" si="15"/>
        <v>1</v>
      </c>
      <c r="D136" s="391">
        <f t="shared" ca="1" si="16"/>
        <v>2</v>
      </c>
      <c r="E136" s="391">
        <f t="shared" ca="1" si="17"/>
        <v>11</v>
      </c>
      <c r="F136" s="125"/>
      <c r="J136" s="130"/>
      <c r="K136" s="132"/>
      <c r="L136" s="413"/>
      <c r="M136" s="413"/>
      <c r="N136" s="414"/>
      <c r="O136" s="415"/>
      <c r="P136" s="133"/>
      <c r="Q136" s="130"/>
      <c r="R136" s="132"/>
      <c r="S136" s="132"/>
      <c r="T136" s="130"/>
    </row>
    <row r="137" spans="1:20" s="131" customFormat="1" ht="14.1" customHeight="1" x14ac:dyDescent="0.25">
      <c r="A137" s="390">
        <f ca="1">IF($H137="UNIDADE CONSTRUTIVA",OFFSET(A137,-1,0)+1,LARGE(A$3:A136,1))</f>
        <v>0</v>
      </c>
      <c r="B137" s="390">
        <f t="shared" ref="B137:B200" ca="1" si="20">IF(H137="UNIDADE CONSTRUTIVA",0,IF(H137="CÉLULA CONSTRUTIVA",OFFSET(B137,-1,0)+1,OFFSET(B137,-1,0)))</f>
        <v>3</v>
      </c>
      <c r="C137" s="390">
        <f t="shared" ref="C137:C200" ca="1" si="21">IF(H137="CÉLULA CONSTRUTIVA",0,IF(H137="ETAPA",OFFSET(C137,-1,0)+1,OFFSET(C137,-1,0)))</f>
        <v>1</v>
      </c>
      <c r="D137" s="391">
        <f t="shared" ref="D137:D200" ca="1" si="22">IF(H137="ETAPA",0,IF(H137="SUBETAPA",OFFSET(D137,-1,0)+1,OFFSET(D137,-1,0)))</f>
        <v>2</v>
      </c>
      <c r="E137" s="391">
        <f t="shared" ref="E137:E200" ca="1" si="23">IF(H137="Subetapa",0,IF(H137="serviço",OFFSET(E137,-1,0)+1,OFFSET(E137,-1,0)))</f>
        <v>11</v>
      </c>
      <c r="F137" s="125"/>
      <c r="J137" s="130"/>
      <c r="K137" s="132"/>
      <c r="L137" s="413"/>
      <c r="M137" s="413"/>
      <c r="N137" s="414"/>
      <c r="O137" s="415"/>
      <c r="P137" s="133"/>
      <c r="Q137" s="130"/>
      <c r="R137" s="132"/>
      <c r="S137" s="132"/>
      <c r="T137" s="130"/>
    </row>
    <row r="138" spans="1:20" s="131" customFormat="1" ht="14.1" customHeight="1" x14ac:dyDescent="0.25">
      <c r="A138" s="390">
        <f ca="1">IF($H138="UNIDADE CONSTRUTIVA",OFFSET(A138,-1,0)+1,LARGE(A$3:A137,1))</f>
        <v>0</v>
      </c>
      <c r="B138" s="390">
        <f t="shared" ca="1" si="20"/>
        <v>3</v>
      </c>
      <c r="C138" s="390">
        <f t="shared" ca="1" si="21"/>
        <v>1</v>
      </c>
      <c r="D138" s="391">
        <f t="shared" ca="1" si="22"/>
        <v>2</v>
      </c>
      <c r="E138" s="391">
        <f t="shared" ca="1" si="23"/>
        <v>11</v>
      </c>
      <c r="F138" s="125"/>
      <c r="J138" s="130"/>
      <c r="K138" s="132"/>
      <c r="L138" s="413"/>
      <c r="M138" s="413"/>
      <c r="N138" s="414"/>
      <c r="O138" s="415"/>
      <c r="P138" s="133"/>
      <c r="Q138" s="130"/>
      <c r="R138" s="132"/>
      <c r="S138" s="132"/>
      <c r="T138" s="130"/>
    </row>
    <row r="139" spans="1:20" s="131" customFormat="1" ht="14.1" customHeight="1" x14ac:dyDescent="0.25">
      <c r="A139" s="390">
        <f ca="1">IF($H139="UNIDADE CONSTRUTIVA",OFFSET(A139,-1,0)+1,LARGE(A$3:A138,1))</f>
        <v>0</v>
      </c>
      <c r="B139" s="390">
        <f t="shared" ca="1" si="20"/>
        <v>3</v>
      </c>
      <c r="C139" s="390">
        <f t="shared" ca="1" si="21"/>
        <v>1</v>
      </c>
      <c r="D139" s="391">
        <f t="shared" ca="1" si="22"/>
        <v>2</v>
      </c>
      <c r="E139" s="391">
        <f t="shared" ca="1" si="23"/>
        <v>11</v>
      </c>
      <c r="F139" s="125"/>
      <c r="J139" s="130"/>
      <c r="K139" s="132"/>
      <c r="L139" s="413"/>
      <c r="M139" s="413"/>
      <c r="N139" s="414"/>
      <c r="O139" s="415"/>
      <c r="P139" s="133"/>
      <c r="Q139" s="130"/>
      <c r="R139" s="132"/>
      <c r="S139" s="132"/>
      <c r="T139" s="130"/>
    </row>
    <row r="140" spans="1:20" s="131" customFormat="1" ht="14.1" customHeight="1" x14ac:dyDescent="0.25">
      <c r="A140" s="390">
        <f ca="1">IF($H140="UNIDADE CONSTRUTIVA",OFFSET(A140,-1,0)+1,LARGE(A$3:A139,1))</f>
        <v>0</v>
      </c>
      <c r="B140" s="390">
        <f t="shared" ca="1" si="20"/>
        <v>3</v>
      </c>
      <c r="C140" s="390">
        <f t="shared" ca="1" si="21"/>
        <v>1</v>
      </c>
      <c r="D140" s="391">
        <f t="shared" ca="1" si="22"/>
        <v>2</v>
      </c>
      <c r="E140" s="391">
        <f t="shared" ca="1" si="23"/>
        <v>11</v>
      </c>
      <c r="F140" s="125"/>
      <c r="J140" s="130"/>
      <c r="K140" s="132"/>
      <c r="L140" s="413"/>
      <c r="M140" s="413"/>
      <c r="N140" s="414"/>
      <c r="O140" s="415"/>
      <c r="P140" s="133"/>
      <c r="Q140" s="130"/>
      <c r="R140" s="132"/>
      <c r="S140" s="132"/>
      <c r="T140" s="130"/>
    </row>
    <row r="141" spans="1:20" s="131" customFormat="1" ht="14.1" customHeight="1" x14ac:dyDescent="0.25">
      <c r="A141" s="390">
        <f ca="1">IF($H141="UNIDADE CONSTRUTIVA",OFFSET(A141,-1,0)+1,LARGE(A$3:A140,1))</f>
        <v>0</v>
      </c>
      <c r="B141" s="390">
        <f t="shared" ca="1" si="20"/>
        <v>3</v>
      </c>
      <c r="C141" s="390">
        <f t="shared" ca="1" si="21"/>
        <v>1</v>
      </c>
      <c r="D141" s="391">
        <f t="shared" ca="1" si="22"/>
        <v>2</v>
      </c>
      <c r="E141" s="391">
        <f t="shared" ca="1" si="23"/>
        <v>11</v>
      </c>
      <c r="F141" s="125"/>
      <c r="J141" s="130"/>
      <c r="K141" s="132"/>
      <c r="L141" s="413"/>
      <c r="M141" s="413"/>
      <c r="N141" s="414"/>
      <c r="O141" s="415"/>
      <c r="P141" s="133"/>
      <c r="Q141" s="130"/>
      <c r="R141" s="132"/>
      <c r="S141" s="132"/>
      <c r="T141" s="130"/>
    </row>
    <row r="142" spans="1:20" s="131" customFormat="1" ht="14.1" customHeight="1" x14ac:dyDescent="0.25">
      <c r="A142" s="390">
        <f ca="1">IF($H142="UNIDADE CONSTRUTIVA",OFFSET(A142,-1,0)+1,LARGE(A$3:A141,1))</f>
        <v>0</v>
      </c>
      <c r="B142" s="390">
        <f t="shared" ca="1" si="20"/>
        <v>3</v>
      </c>
      <c r="C142" s="390">
        <f t="shared" ca="1" si="21"/>
        <v>1</v>
      </c>
      <c r="D142" s="391">
        <f t="shared" ca="1" si="22"/>
        <v>2</v>
      </c>
      <c r="E142" s="391">
        <f t="shared" ca="1" si="23"/>
        <v>11</v>
      </c>
      <c r="F142" s="125"/>
      <c r="J142" s="130"/>
      <c r="K142" s="132"/>
      <c r="L142" s="413"/>
      <c r="M142" s="413"/>
      <c r="N142" s="414"/>
      <c r="O142" s="415"/>
      <c r="P142" s="133"/>
      <c r="Q142" s="130"/>
      <c r="R142" s="132"/>
      <c r="S142" s="132"/>
      <c r="T142" s="130"/>
    </row>
    <row r="143" spans="1:20" s="131" customFormat="1" ht="14.1" customHeight="1" x14ac:dyDescent="0.25">
      <c r="A143" s="390">
        <f ca="1">IF($H143="UNIDADE CONSTRUTIVA",OFFSET(A143,-1,0)+1,LARGE(A$3:A142,1))</f>
        <v>0</v>
      </c>
      <c r="B143" s="390">
        <f t="shared" ca="1" si="20"/>
        <v>3</v>
      </c>
      <c r="C143" s="390">
        <f t="shared" ca="1" si="21"/>
        <v>1</v>
      </c>
      <c r="D143" s="391">
        <f t="shared" ca="1" si="22"/>
        <v>2</v>
      </c>
      <c r="E143" s="391">
        <f t="shared" ca="1" si="23"/>
        <v>11</v>
      </c>
      <c r="F143" s="125"/>
      <c r="J143" s="130"/>
      <c r="K143" s="132"/>
      <c r="L143" s="413"/>
      <c r="M143" s="413"/>
      <c r="N143" s="414"/>
      <c r="O143" s="415"/>
      <c r="P143" s="133"/>
      <c r="Q143" s="130"/>
      <c r="R143" s="132"/>
      <c r="S143" s="132"/>
      <c r="T143" s="130"/>
    </row>
    <row r="144" spans="1:20" s="131" customFormat="1" ht="14.1" customHeight="1" x14ac:dyDescent="0.25">
      <c r="A144" s="390">
        <f ca="1">IF($H144="UNIDADE CONSTRUTIVA",OFFSET(A144,-1,0)+1,LARGE(A$3:A143,1))</f>
        <v>0</v>
      </c>
      <c r="B144" s="390">
        <f t="shared" ca="1" si="20"/>
        <v>3</v>
      </c>
      <c r="C144" s="390">
        <f t="shared" ca="1" si="21"/>
        <v>1</v>
      </c>
      <c r="D144" s="391">
        <f t="shared" ca="1" si="22"/>
        <v>2</v>
      </c>
      <c r="E144" s="391">
        <f t="shared" ca="1" si="23"/>
        <v>11</v>
      </c>
      <c r="F144" s="125"/>
      <c r="J144" s="130"/>
      <c r="K144" s="132"/>
      <c r="L144" s="413"/>
      <c r="M144" s="413"/>
      <c r="N144" s="414"/>
      <c r="O144" s="415"/>
      <c r="P144" s="133"/>
      <c r="Q144" s="130"/>
      <c r="R144" s="132"/>
      <c r="S144" s="132"/>
      <c r="T144" s="130"/>
    </row>
    <row r="145" spans="1:20" s="131" customFormat="1" ht="14.1" customHeight="1" x14ac:dyDescent="0.25">
      <c r="A145" s="390">
        <f ca="1">IF($H145="UNIDADE CONSTRUTIVA",OFFSET(A145,-1,0)+1,LARGE(A$3:A144,1))</f>
        <v>0</v>
      </c>
      <c r="B145" s="390">
        <f t="shared" ca="1" si="20"/>
        <v>3</v>
      </c>
      <c r="C145" s="390">
        <f t="shared" ca="1" si="21"/>
        <v>1</v>
      </c>
      <c r="D145" s="391">
        <f t="shared" ca="1" si="22"/>
        <v>2</v>
      </c>
      <c r="E145" s="391">
        <f t="shared" ca="1" si="23"/>
        <v>11</v>
      </c>
      <c r="F145" s="125"/>
      <c r="J145" s="130"/>
      <c r="K145" s="132"/>
      <c r="L145" s="413"/>
      <c r="M145" s="413"/>
      <c r="N145" s="414"/>
      <c r="O145" s="415"/>
      <c r="P145" s="133"/>
      <c r="Q145" s="130"/>
      <c r="R145" s="132"/>
      <c r="S145" s="132"/>
      <c r="T145" s="130"/>
    </row>
    <row r="146" spans="1:20" s="131" customFormat="1" ht="14.1" customHeight="1" x14ac:dyDescent="0.25">
      <c r="A146" s="390">
        <f ca="1">IF($H146="UNIDADE CONSTRUTIVA",OFFSET(A146,-1,0)+1,LARGE(A$3:A145,1))</f>
        <v>0</v>
      </c>
      <c r="B146" s="390">
        <f t="shared" ca="1" si="20"/>
        <v>3</v>
      </c>
      <c r="C146" s="390">
        <f t="shared" ca="1" si="21"/>
        <v>1</v>
      </c>
      <c r="D146" s="391">
        <f t="shared" ca="1" si="22"/>
        <v>2</v>
      </c>
      <c r="E146" s="391">
        <f t="shared" ca="1" si="23"/>
        <v>11</v>
      </c>
      <c r="F146" s="125"/>
      <c r="J146" s="130"/>
      <c r="K146" s="132"/>
      <c r="L146" s="413"/>
      <c r="M146" s="413"/>
      <c r="N146" s="414"/>
      <c r="O146" s="415"/>
      <c r="P146" s="133"/>
      <c r="Q146" s="130"/>
      <c r="R146" s="132"/>
      <c r="S146" s="132"/>
      <c r="T146" s="130"/>
    </row>
    <row r="147" spans="1:20" s="131" customFormat="1" ht="14.1" customHeight="1" x14ac:dyDescent="0.25">
      <c r="A147" s="390">
        <f ca="1">IF($H147="UNIDADE CONSTRUTIVA",OFFSET(A147,-1,0)+1,LARGE(A$3:A146,1))</f>
        <v>0</v>
      </c>
      <c r="B147" s="390">
        <f t="shared" ca="1" si="20"/>
        <v>3</v>
      </c>
      <c r="C147" s="390">
        <f t="shared" ca="1" si="21"/>
        <v>1</v>
      </c>
      <c r="D147" s="391">
        <f t="shared" ca="1" si="22"/>
        <v>2</v>
      </c>
      <c r="E147" s="391">
        <f t="shared" ca="1" si="23"/>
        <v>11</v>
      </c>
      <c r="F147" s="125"/>
      <c r="J147" s="130"/>
      <c r="K147" s="132"/>
      <c r="L147" s="413"/>
      <c r="M147" s="413"/>
      <c r="N147" s="414"/>
      <c r="O147" s="415"/>
      <c r="P147" s="133"/>
      <c r="Q147" s="130"/>
      <c r="R147" s="132"/>
      <c r="S147" s="132"/>
      <c r="T147" s="130"/>
    </row>
    <row r="148" spans="1:20" s="131" customFormat="1" ht="14.1" customHeight="1" x14ac:dyDescent="0.25">
      <c r="A148" s="390">
        <f ca="1">IF($H148="UNIDADE CONSTRUTIVA",OFFSET(A148,-1,0)+1,LARGE(A$3:A147,1))</f>
        <v>0</v>
      </c>
      <c r="B148" s="390">
        <f t="shared" ca="1" si="20"/>
        <v>3</v>
      </c>
      <c r="C148" s="390">
        <f t="shared" ca="1" si="21"/>
        <v>1</v>
      </c>
      <c r="D148" s="391">
        <f t="shared" ca="1" si="22"/>
        <v>2</v>
      </c>
      <c r="E148" s="391">
        <f t="shared" ca="1" si="23"/>
        <v>11</v>
      </c>
      <c r="F148" s="125"/>
      <c r="J148" s="130"/>
      <c r="K148" s="132"/>
      <c r="L148" s="413"/>
      <c r="M148" s="413"/>
      <c r="N148" s="414"/>
      <c r="O148" s="415"/>
      <c r="P148" s="133"/>
      <c r="Q148" s="130"/>
      <c r="R148" s="132"/>
      <c r="S148" s="132"/>
      <c r="T148" s="130"/>
    </row>
    <row r="149" spans="1:20" s="131" customFormat="1" ht="14.1" customHeight="1" x14ac:dyDescent="0.25">
      <c r="A149" s="390">
        <f ca="1">IF($H149="UNIDADE CONSTRUTIVA",OFFSET(A149,-1,0)+1,LARGE(A$3:A148,1))</f>
        <v>0</v>
      </c>
      <c r="B149" s="390">
        <f t="shared" ca="1" si="20"/>
        <v>3</v>
      </c>
      <c r="C149" s="390">
        <f t="shared" ca="1" si="21"/>
        <v>1</v>
      </c>
      <c r="D149" s="391">
        <f t="shared" ca="1" si="22"/>
        <v>2</v>
      </c>
      <c r="E149" s="391">
        <f t="shared" ca="1" si="23"/>
        <v>11</v>
      </c>
      <c r="F149" s="125"/>
      <c r="J149" s="130"/>
      <c r="K149" s="132"/>
      <c r="L149" s="413"/>
      <c r="M149" s="413"/>
      <c r="N149" s="414"/>
      <c r="O149" s="415"/>
      <c r="P149" s="133"/>
      <c r="Q149" s="130"/>
      <c r="R149" s="132"/>
      <c r="S149" s="132"/>
      <c r="T149" s="130"/>
    </row>
    <row r="150" spans="1:20" s="131" customFormat="1" ht="14.1" customHeight="1" x14ac:dyDescent="0.25">
      <c r="A150" s="390">
        <f ca="1">IF($H150="UNIDADE CONSTRUTIVA",OFFSET(A150,-1,0)+1,LARGE(A$3:A149,1))</f>
        <v>0</v>
      </c>
      <c r="B150" s="390">
        <f t="shared" ca="1" si="20"/>
        <v>3</v>
      </c>
      <c r="C150" s="390">
        <f t="shared" ca="1" si="21"/>
        <v>1</v>
      </c>
      <c r="D150" s="391">
        <f t="shared" ca="1" si="22"/>
        <v>2</v>
      </c>
      <c r="E150" s="391">
        <f t="shared" ca="1" si="23"/>
        <v>11</v>
      </c>
      <c r="F150" s="125"/>
      <c r="J150" s="130"/>
      <c r="K150" s="132"/>
      <c r="L150" s="413"/>
      <c r="M150" s="413"/>
      <c r="N150" s="414"/>
      <c r="O150" s="415"/>
      <c r="P150" s="133"/>
      <c r="Q150" s="130"/>
      <c r="R150" s="132"/>
      <c r="S150" s="132"/>
      <c r="T150" s="130"/>
    </row>
    <row r="151" spans="1:20" s="131" customFormat="1" ht="14.1" customHeight="1" x14ac:dyDescent="0.25">
      <c r="A151" s="390">
        <f ca="1">IF($H151="UNIDADE CONSTRUTIVA",OFFSET(A151,-1,0)+1,LARGE(A$3:A150,1))</f>
        <v>0</v>
      </c>
      <c r="B151" s="390">
        <f t="shared" ca="1" si="20"/>
        <v>3</v>
      </c>
      <c r="C151" s="390">
        <f t="shared" ca="1" si="21"/>
        <v>1</v>
      </c>
      <c r="D151" s="391">
        <f t="shared" ca="1" si="22"/>
        <v>2</v>
      </c>
      <c r="E151" s="391">
        <f t="shared" ca="1" si="23"/>
        <v>11</v>
      </c>
      <c r="F151" s="125"/>
      <c r="J151" s="130"/>
      <c r="K151" s="132"/>
      <c r="L151" s="413"/>
      <c r="M151" s="413"/>
      <c r="N151" s="414"/>
      <c r="O151" s="415"/>
      <c r="P151" s="133"/>
      <c r="Q151" s="130"/>
      <c r="R151" s="132"/>
      <c r="S151" s="132"/>
      <c r="T151" s="130"/>
    </row>
    <row r="152" spans="1:20" s="131" customFormat="1" ht="14.1" customHeight="1" x14ac:dyDescent="0.25">
      <c r="A152" s="390">
        <f ca="1">IF($H152="UNIDADE CONSTRUTIVA",OFFSET(A152,-1,0)+1,LARGE(A$3:A151,1))</f>
        <v>0</v>
      </c>
      <c r="B152" s="390">
        <f t="shared" ca="1" si="20"/>
        <v>3</v>
      </c>
      <c r="C152" s="390">
        <f t="shared" ca="1" si="21"/>
        <v>1</v>
      </c>
      <c r="D152" s="391">
        <f t="shared" ca="1" si="22"/>
        <v>2</v>
      </c>
      <c r="E152" s="391">
        <f t="shared" ca="1" si="23"/>
        <v>11</v>
      </c>
      <c r="F152" s="125"/>
      <c r="J152" s="130"/>
      <c r="K152" s="132"/>
      <c r="L152" s="413"/>
      <c r="M152" s="413"/>
      <c r="N152" s="414"/>
      <c r="O152" s="415"/>
      <c r="P152" s="133"/>
      <c r="Q152" s="130"/>
      <c r="R152" s="132"/>
      <c r="S152" s="132"/>
      <c r="T152" s="130"/>
    </row>
    <row r="153" spans="1:20" s="131" customFormat="1" ht="14.1" customHeight="1" x14ac:dyDescent="0.25">
      <c r="A153" s="390">
        <f ca="1">IF($H153="UNIDADE CONSTRUTIVA",OFFSET(A153,-1,0)+1,LARGE(A$3:A152,1))</f>
        <v>0</v>
      </c>
      <c r="B153" s="390">
        <f t="shared" ca="1" si="20"/>
        <v>3</v>
      </c>
      <c r="C153" s="390">
        <f t="shared" ca="1" si="21"/>
        <v>1</v>
      </c>
      <c r="D153" s="391">
        <f t="shared" ca="1" si="22"/>
        <v>2</v>
      </c>
      <c r="E153" s="391">
        <f t="shared" ca="1" si="23"/>
        <v>11</v>
      </c>
      <c r="F153" s="125"/>
      <c r="J153" s="130"/>
      <c r="K153" s="132"/>
      <c r="L153" s="413"/>
      <c r="M153" s="413"/>
      <c r="N153" s="414"/>
      <c r="O153" s="415"/>
      <c r="P153" s="133"/>
      <c r="Q153" s="130"/>
      <c r="R153" s="132"/>
      <c r="S153" s="132"/>
      <c r="T153" s="130"/>
    </row>
    <row r="154" spans="1:20" s="131" customFormat="1" ht="14.1" customHeight="1" x14ac:dyDescent="0.25">
      <c r="A154" s="390">
        <f ca="1">IF($H154="UNIDADE CONSTRUTIVA",OFFSET(A154,-1,0)+1,LARGE(A$3:A153,1))</f>
        <v>0</v>
      </c>
      <c r="B154" s="390">
        <f t="shared" ca="1" si="20"/>
        <v>3</v>
      </c>
      <c r="C154" s="390">
        <f t="shared" ca="1" si="21"/>
        <v>1</v>
      </c>
      <c r="D154" s="391">
        <f t="shared" ca="1" si="22"/>
        <v>2</v>
      </c>
      <c r="E154" s="391">
        <f t="shared" ca="1" si="23"/>
        <v>11</v>
      </c>
      <c r="F154" s="125"/>
      <c r="J154" s="130"/>
      <c r="K154" s="132"/>
      <c r="L154" s="413"/>
      <c r="M154" s="413"/>
      <c r="N154" s="414"/>
      <c r="O154" s="415"/>
      <c r="P154" s="133"/>
      <c r="Q154" s="130"/>
      <c r="R154" s="132"/>
      <c r="S154" s="132"/>
      <c r="T154" s="130"/>
    </row>
    <row r="155" spans="1:20" s="131" customFormat="1" ht="14.1" customHeight="1" x14ac:dyDescent="0.25">
      <c r="A155" s="390">
        <f ca="1">IF($H155="UNIDADE CONSTRUTIVA",OFFSET(A155,-1,0)+1,LARGE(A$3:A154,1))</f>
        <v>0</v>
      </c>
      <c r="B155" s="390">
        <f t="shared" ca="1" si="20"/>
        <v>3</v>
      </c>
      <c r="C155" s="390">
        <f t="shared" ca="1" si="21"/>
        <v>1</v>
      </c>
      <c r="D155" s="391">
        <f t="shared" ca="1" si="22"/>
        <v>2</v>
      </c>
      <c r="E155" s="391">
        <f t="shared" ca="1" si="23"/>
        <v>11</v>
      </c>
      <c r="F155" s="125"/>
      <c r="J155" s="130"/>
      <c r="K155" s="132"/>
      <c r="L155" s="413"/>
      <c r="M155" s="413"/>
      <c r="N155" s="414"/>
      <c r="O155" s="415"/>
      <c r="P155" s="133"/>
      <c r="Q155" s="130"/>
      <c r="R155" s="132"/>
      <c r="S155" s="132"/>
      <c r="T155" s="130"/>
    </row>
    <row r="156" spans="1:20" s="131" customFormat="1" ht="14.1" customHeight="1" x14ac:dyDescent="0.25">
      <c r="A156" s="390">
        <f ca="1">IF($H156="UNIDADE CONSTRUTIVA",OFFSET(A156,-1,0)+1,LARGE(A$3:A155,1))</f>
        <v>0</v>
      </c>
      <c r="B156" s="390">
        <f t="shared" ca="1" si="20"/>
        <v>3</v>
      </c>
      <c r="C156" s="390">
        <f t="shared" ca="1" si="21"/>
        <v>1</v>
      </c>
      <c r="D156" s="391">
        <f t="shared" ca="1" si="22"/>
        <v>2</v>
      </c>
      <c r="E156" s="391">
        <f t="shared" ca="1" si="23"/>
        <v>11</v>
      </c>
      <c r="F156" s="125"/>
      <c r="J156" s="130"/>
      <c r="K156" s="132"/>
      <c r="L156" s="413"/>
      <c r="M156" s="413"/>
      <c r="N156" s="414"/>
      <c r="O156" s="415"/>
      <c r="P156" s="133"/>
      <c r="Q156" s="130"/>
      <c r="R156" s="132"/>
      <c r="S156" s="132"/>
      <c r="T156" s="130"/>
    </row>
    <row r="157" spans="1:20" s="131" customFormat="1" ht="14.1" customHeight="1" x14ac:dyDescent="0.25">
      <c r="A157" s="390">
        <f ca="1">IF($H157="UNIDADE CONSTRUTIVA",OFFSET(A157,-1,0)+1,LARGE(A$3:A156,1))</f>
        <v>0</v>
      </c>
      <c r="B157" s="390">
        <f t="shared" ca="1" si="20"/>
        <v>3</v>
      </c>
      <c r="C157" s="390">
        <f t="shared" ca="1" si="21"/>
        <v>1</v>
      </c>
      <c r="D157" s="391">
        <f t="shared" ca="1" si="22"/>
        <v>2</v>
      </c>
      <c r="E157" s="391">
        <f t="shared" ca="1" si="23"/>
        <v>11</v>
      </c>
      <c r="F157" s="125"/>
      <c r="J157" s="130"/>
      <c r="K157" s="132"/>
      <c r="L157" s="413"/>
      <c r="M157" s="413"/>
      <c r="N157" s="414"/>
      <c r="O157" s="415"/>
      <c r="P157" s="133"/>
      <c r="Q157" s="130"/>
      <c r="R157" s="132"/>
      <c r="S157" s="132"/>
      <c r="T157" s="130"/>
    </row>
    <row r="158" spans="1:20" s="131" customFormat="1" ht="14.1" customHeight="1" x14ac:dyDescent="0.25">
      <c r="A158" s="390">
        <f ca="1">IF($H158="UNIDADE CONSTRUTIVA",OFFSET(A158,-1,0)+1,LARGE(A$3:A157,1))</f>
        <v>0</v>
      </c>
      <c r="B158" s="390">
        <f t="shared" ca="1" si="20"/>
        <v>3</v>
      </c>
      <c r="C158" s="390">
        <f t="shared" ca="1" si="21"/>
        <v>1</v>
      </c>
      <c r="D158" s="391">
        <f t="shared" ca="1" si="22"/>
        <v>2</v>
      </c>
      <c r="E158" s="391">
        <f t="shared" ca="1" si="23"/>
        <v>11</v>
      </c>
      <c r="F158" s="125"/>
      <c r="J158" s="130"/>
      <c r="K158" s="132"/>
      <c r="L158" s="413"/>
      <c r="M158" s="413"/>
      <c r="N158" s="414"/>
      <c r="O158" s="415"/>
      <c r="P158" s="133"/>
      <c r="Q158" s="130"/>
      <c r="R158" s="132"/>
      <c r="S158" s="132"/>
      <c r="T158" s="130"/>
    </row>
    <row r="159" spans="1:20" s="131" customFormat="1" ht="14.1" customHeight="1" x14ac:dyDescent="0.25">
      <c r="A159" s="390">
        <f ca="1">IF($H159="UNIDADE CONSTRUTIVA",OFFSET(A159,-1,0)+1,LARGE(A$3:A158,1))</f>
        <v>0</v>
      </c>
      <c r="B159" s="390">
        <f t="shared" ca="1" si="20"/>
        <v>3</v>
      </c>
      <c r="C159" s="390">
        <f t="shared" ca="1" si="21"/>
        <v>1</v>
      </c>
      <c r="D159" s="391">
        <f t="shared" ca="1" si="22"/>
        <v>2</v>
      </c>
      <c r="E159" s="391">
        <f t="shared" ca="1" si="23"/>
        <v>11</v>
      </c>
      <c r="F159" s="125"/>
      <c r="J159" s="130"/>
      <c r="K159" s="132"/>
      <c r="L159" s="413"/>
      <c r="M159" s="413"/>
      <c r="N159" s="414"/>
      <c r="O159" s="415"/>
      <c r="P159" s="133"/>
      <c r="Q159" s="130"/>
      <c r="R159" s="132"/>
      <c r="S159" s="132"/>
      <c r="T159" s="130"/>
    </row>
    <row r="160" spans="1:20" s="131" customFormat="1" ht="14.1" customHeight="1" x14ac:dyDescent="0.25">
      <c r="A160" s="390">
        <f ca="1">IF($H160="UNIDADE CONSTRUTIVA",OFFSET(A160,-1,0)+1,LARGE(A$3:A159,1))</f>
        <v>0</v>
      </c>
      <c r="B160" s="390">
        <f t="shared" ca="1" si="20"/>
        <v>3</v>
      </c>
      <c r="C160" s="390">
        <f t="shared" ca="1" si="21"/>
        <v>1</v>
      </c>
      <c r="D160" s="391">
        <f t="shared" ca="1" si="22"/>
        <v>2</v>
      </c>
      <c r="E160" s="391">
        <f t="shared" ca="1" si="23"/>
        <v>11</v>
      </c>
      <c r="F160" s="125"/>
      <c r="J160" s="130"/>
      <c r="K160" s="132"/>
      <c r="L160" s="413"/>
      <c r="M160" s="413"/>
      <c r="N160" s="414"/>
      <c r="O160" s="415"/>
      <c r="P160" s="133"/>
      <c r="Q160" s="130"/>
      <c r="R160" s="132"/>
      <c r="S160" s="132"/>
      <c r="T160" s="130"/>
    </row>
    <row r="161" spans="1:20" s="131" customFormat="1" ht="14.1" customHeight="1" x14ac:dyDescent="0.25">
      <c r="A161" s="390">
        <f ca="1">IF($H161="UNIDADE CONSTRUTIVA",OFFSET(A161,-1,0)+1,LARGE(A$3:A160,1))</f>
        <v>0</v>
      </c>
      <c r="B161" s="390">
        <f t="shared" ca="1" si="20"/>
        <v>3</v>
      </c>
      <c r="C161" s="390">
        <f t="shared" ca="1" si="21"/>
        <v>1</v>
      </c>
      <c r="D161" s="391">
        <f t="shared" ca="1" si="22"/>
        <v>2</v>
      </c>
      <c r="E161" s="391">
        <f t="shared" ca="1" si="23"/>
        <v>11</v>
      </c>
      <c r="F161" s="125"/>
      <c r="J161" s="130"/>
      <c r="K161" s="132"/>
      <c r="L161" s="413"/>
      <c r="M161" s="413"/>
      <c r="N161" s="414"/>
      <c r="O161" s="415"/>
      <c r="P161" s="133"/>
      <c r="Q161" s="130"/>
      <c r="R161" s="132"/>
      <c r="S161" s="132"/>
      <c r="T161" s="130"/>
    </row>
    <row r="162" spans="1:20" s="131" customFormat="1" ht="14.1" customHeight="1" x14ac:dyDescent="0.25">
      <c r="A162" s="390">
        <f ca="1">IF($H162="UNIDADE CONSTRUTIVA",OFFSET(A162,-1,0)+1,LARGE(A$3:A161,1))</f>
        <v>0</v>
      </c>
      <c r="B162" s="390">
        <f t="shared" ca="1" si="20"/>
        <v>3</v>
      </c>
      <c r="C162" s="390">
        <f t="shared" ca="1" si="21"/>
        <v>1</v>
      </c>
      <c r="D162" s="391">
        <f t="shared" ca="1" si="22"/>
        <v>2</v>
      </c>
      <c r="E162" s="391">
        <f t="shared" ca="1" si="23"/>
        <v>11</v>
      </c>
      <c r="F162" s="125"/>
      <c r="J162" s="130"/>
      <c r="K162" s="132"/>
      <c r="L162" s="413"/>
      <c r="M162" s="413"/>
      <c r="N162" s="414"/>
      <c r="O162" s="415"/>
      <c r="P162" s="133"/>
      <c r="Q162" s="130"/>
      <c r="R162" s="132"/>
      <c r="S162" s="132"/>
      <c r="T162" s="130"/>
    </row>
    <row r="163" spans="1:20" s="131" customFormat="1" ht="14.1" customHeight="1" x14ac:dyDescent="0.25">
      <c r="A163" s="390">
        <f ca="1">IF($H163="UNIDADE CONSTRUTIVA",OFFSET(A163,-1,0)+1,LARGE(A$3:A162,1))</f>
        <v>0</v>
      </c>
      <c r="B163" s="390">
        <f t="shared" ca="1" si="20"/>
        <v>3</v>
      </c>
      <c r="C163" s="390">
        <f t="shared" ca="1" si="21"/>
        <v>1</v>
      </c>
      <c r="D163" s="391">
        <f t="shared" ca="1" si="22"/>
        <v>2</v>
      </c>
      <c r="E163" s="391">
        <f t="shared" ca="1" si="23"/>
        <v>11</v>
      </c>
      <c r="F163" s="125"/>
      <c r="J163" s="130"/>
      <c r="K163" s="132"/>
      <c r="L163" s="413"/>
      <c r="M163" s="413"/>
      <c r="N163" s="414"/>
      <c r="O163" s="415"/>
      <c r="P163" s="133"/>
      <c r="Q163" s="130"/>
      <c r="R163" s="132"/>
      <c r="S163" s="132"/>
      <c r="T163" s="130"/>
    </row>
    <row r="164" spans="1:20" s="131" customFormat="1" ht="14.1" customHeight="1" x14ac:dyDescent="0.25">
      <c r="A164" s="390">
        <f ca="1">IF($H164="UNIDADE CONSTRUTIVA",OFFSET(A164,-1,0)+1,LARGE(A$3:A163,1))</f>
        <v>0</v>
      </c>
      <c r="B164" s="390">
        <f t="shared" ca="1" si="20"/>
        <v>3</v>
      </c>
      <c r="C164" s="390">
        <f t="shared" ca="1" si="21"/>
        <v>1</v>
      </c>
      <c r="D164" s="391">
        <f t="shared" ca="1" si="22"/>
        <v>2</v>
      </c>
      <c r="E164" s="391">
        <f t="shared" ca="1" si="23"/>
        <v>11</v>
      </c>
      <c r="F164" s="125"/>
      <c r="J164" s="130"/>
      <c r="K164" s="132"/>
      <c r="L164" s="413"/>
      <c r="M164" s="413"/>
      <c r="N164" s="414"/>
      <c r="O164" s="415"/>
      <c r="P164" s="133"/>
      <c r="Q164" s="130"/>
      <c r="R164" s="132"/>
      <c r="S164" s="132"/>
      <c r="T164" s="130"/>
    </row>
    <row r="165" spans="1:20" s="131" customFormat="1" ht="14.1" customHeight="1" x14ac:dyDescent="0.25">
      <c r="A165" s="390">
        <f ca="1">IF($H165="UNIDADE CONSTRUTIVA",OFFSET(A165,-1,0)+1,LARGE(A$3:A164,1))</f>
        <v>0</v>
      </c>
      <c r="B165" s="390">
        <f t="shared" ca="1" si="20"/>
        <v>3</v>
      </c>
      <c r="C165" s="390">
        <f t="shared" ca="1" si="21"/>
        <v>1</v>
      </c>
      <c r="D165" s="391">
        <f t="shared" ca="1" si="22"/>
        <v>2</v>
      </c>
      <c r="E165" s="391">
        <f t="shared" ca="1" si="23"/>
        <v>11</v>
      </c>
      <c r="F165" s="125"/>
      <c r="J165" s="130"/>
      <c r="K165" s="132"/>
      <c r="L165" s="413"/>
      <c r="M165" s="413"/>
      <c r="N165" s="414"/>
      <c r="O165" s="415"/>
      <c r="P165" s="133"/>
      <c r="Q165" s="130"/>
      <c r="R165" s="132"/>
      <c r="S165" s="132"/>
      <c r="T165" s="130"/>
    </row>
    <row r="166" spans="1:20" s="131" customFormat="1" ht="14.1" customHeight="1" x14ac:dyDescent="0.25">
      <c r="A166" s="390">
        <f ca="1">IF($H166="UNIDADE CONSTRUTIVA",OFFSET(A166,-1,0)+1,LARGE(A$3:A165,1))</f>
        <v>0</v>
      </c>
      <c r="B166" s="390">
        <f t="shared" ca="1" si="20"/>
        <v>3</v>
      </c>
      <c r="C166" s="390">
        <f t="shared" ca="1" si="21"/>
        <v>1</v>
      </c>
      <c r="D166" s="391">
        <f t="shared" ca="1" si="22"/>
        <v>2</v>
      </c>
      <c r="E166" s="391">
        <f t="shared" ca="1" si="23"/>
        <v>11</v>
      </c>
      <c r="F166" s="125"/>
      <c r="J166" s="130"/>
      <c r="K166" s="132"/>
      <c r="L166" s="413"/>
      <c r="M166" s="413"/>
      <c r="N166" s="414"/>
      <c r="O166" s="415"/>
      <c r="P166" s="133"/>
      <c r="Q166" s="130"/>
      <c r="R166" s="132"/>
      <c r="S166" s="132"/>
      <c r="T166" s="130"/>
    </row>
    <row r="167" spans="1:20" s="131" customFormat="1" ht="14.1" customHeight="1" x14ac:dyDescent="0.25">
      <c r="A167" s="390">
        <f ca="1">IF($H167="UNIDADE CONSTRUTIVA",OFFSET(A167,-1,0)+1,LARGE(A$3:A166,1))</f>
        <v>0</v>
      </c>
      <c r="B167" s="390">
        <f t="shared" ca="1" si="20"/>
        <v>3</v>
      </c>
      <c r="C167" s="390">
        <f t="shared" ca="1" si="21"/>
        <v>1</v>
      </c>
      <c r="D167" s="391">
        <f t="shared" ca="1" si="22"/>
        <v>2</v>
      </c>
      <c r="E167" s="391">
        <f t="shared" ca="1" si="23"/>
        <v>11</v>
      </c>
      <c r="F167" s="125"/>
      <c r="J167" s="130"/>
      <c r="K167" s="132"/>
      <c r="L167" s="413"/>
      <c r="M167" s="413"/>
      <c r="N167" s="414"/>
      <c r="O167" s="415"/>
      <c r="P167" s="133"/>
      <c r="Q167" s="130"/>
      <c r="R167" s="132"/>
      <c r="S167" s="132"/>
      <c r="T167" s="130"/>
    </row>
    <row r="168" spans="1:20" s="131" customFormat="1" ht="14.1" customHeight="1" x14ac:dyDescent="0.25">
      <c r="A168" s="390">
        <f ca="1">IF($H168="UNIDADE CONSTRUTIVA",OFFSET(A168,-1,0)+1,LARGE(A$3:A167,1))</f>
        <v>0</v>
      </c>
      <c r="B168" s="390">
        <f t="shared" ca="1" si="20"/>
        <v>3</v>
      </c>
      <c r="C168" s="390">
        <f t="shared" ca="1" si="21"/>
        <v>1</v>
      </c>
      <c r="D168" s="391">
        <f t="shared" ca="1" si="22"/>
        <v>2</v>
      </c>
      <c r="E168" s="391">
        <f t="shared" ca="1" si="23"/>
        <v>11</v>
      </c>
      <c r="F168" s="125"/>
      <c r="J168" s="130"/>
      <c r="K168" s="132"/>
      <c r="L168" s="413"/>
      <c r="M168" s="413"/>
      <c r="N168" s="414"/>
      <c r="O168" s="415"/>
      <c r="P168" s="133"/>
      <c r="Q168" s="130"/>
      <c r="R168" s="132"/>
      <c r="S168" s="132"/>
      <c r="T168" s="130"/>
    </row>
    <row r="169" spans="1:20" s="131" customFormat="1" ht="14.1" customHeight="1" x14ac:dyDescent="0.25">
      <c r="A169" s="390">
        <f ca="1">IF($H169="UNIDADE CONSTRUTIVA",OFFSET(A169,-1,0)+1,LARGE(A$3:A168,1))</f>
        <v>0</v>
      </c>
      <c r="B169" s="390">
        <f t="shared" ca="1" si="20"/>
        <v>3</v>
      </c>
      <c r="C169" s="390">
        <f t="shared" ca="1" si="21"/>
        <v>1</v>
      </c>
      <c r="D169" s="391">
        <f t="shared" ca="1" si="22"/>
        <v>2</v>
      </c>
      <c r="E169" s="391">
        <f t="shared" ca="1" si="23"/>
        <v>11</v>
      </c>
      <c r="F169" s="125"/>
      <c r="J169" s="130"/>
      <c r="K169" s="132"/>
      <c r="L169" s="413"/>
      <c r="M169" s="413"/>
      <c r="N169" s="414"/>
      <c r="O169" s="415"/>
      <c r="P169" s="133"/>
      <c r="Q169" s="130"/>
      <c r="R169" s="132"/>
      <c r="S169" s="132"/>
      <c r="T169" s="130"/>
    </row>
    <row r="170" spans="1:20" s="131" customFormat="1" ht="14.1" customHeight="1" x14ac:dyDescent="0.25">
      <c r="A170" s="390">
        <f ca="1">IF($H170="UNIDADE CONSTRUTIVA",OFFSET(A170,-1,0)+1,LARGE(A$3:A169,1))</f>
        <v>0</v>
      </c>
      <c r="B170" s="390">
        <f t="shared" ca="1" si="20"/>
        <v>3</v>
      </c>
      <c r="C170" s="390">
        <f t="shared" ca="1" si="21"/>
        <v>1</v>
      </c>
      <c r="D170" s="391">
        <f t="shared" ca="1" si="22"/>
        <v>2</v>
      </c>
      <c r="E170" s="391">
        <f t="shared" ca="1" si="23"/>
        <v>11</v>
      </c>
      <c r="F170" s="125"/>
      <c r="J170" s="130"/>
      <c r="K170" s="132"/>
      <c r="L170" s="413"/>
      <c r="M170" s="413"/>
      <c r="N170" s="414"/>
      <c r="O170" s="415"/>
      <c r="P170" s="133"/>
      <c r="Q170" s="130"/>
      <c r="R170" s="132"/>
      <c r="S170" s="132"/>
      <c r="T170" s="130"/>
    </row>
    <row r="171" spans="1:20" s="131" customFormat="1" ht="14.1" customHeight="1" x14ac:dyDescent="0.25">
      <c r="A171" s="390">
        <f ca="1">IF($H171="UNIDADE CONSTRUTIVA",OFFSET(A171,-1,0)+1,LARGE(A$3:A170,1))</f>
        <v>0</v>
      </c>
      <c r="B171" s="390">
        <f t="shared" ca="1" si="20"/>
        <v>3</v>
      </c>
      <c r="C171" s="390">
        <f t="shared" ca="1" si="21"/>
        <v>1</v>
      </c>
      <c r="D171" s="391">
        <f t="shared" ca="1" si="22"/>
        <v>2</v>
      </c>
      <c r="E171" s="391">
        <f t="shared" ca="1" si="23"/>
        <v>11</v>
      </c>
      <c r="F171" s="125"/>
      <c r="J171" s="130"/>
      <c r="K171" s="132"/>
      <c r="L171" s="413"/>
      <c r="M171" s="413"/>
      <c r="N171" s="414"/>
      <c r="O171" s="415"/>
      <c r="P171" s="133"/>
      <c r="Q171" s="130"/>
      <c r="R171" s="132"/>
      <c r="S171" s="132"/>
      <c r="T171" s="130"/>
    </row>
    <row r="172" spans="1:20" s="131" customFormat="1" ht="14.1" customHeight="1" x14ac:dyDescent="0.25">
      <c r="A172" s="390">
        <f ca="1">IF($H172="UNIDADE CONSTRUTIVA",OFFSET(A172,-1,0)+1,LARGE(A$3:A171,1))</f>
        <v>0</v>
      </c>
      <c r="B172" s="390">
        <f t="shared" ca="1" si="20"/>
        <v>3</v>
      </c>
      <c r="C172" s="390">
        <f t="shared" ca="1" si="21"/>
        <v>1</v>
      </c>
      <c r="D172" s="391">
        <f t="shared" ca="1" si="22"/>
        <v>2</v>
      </c>
      <c r="E172" s="391">
        <f t="shared" ca="1" si="23"/>
        <v>11</v>
      </c>
      <c r="F172" s="125"/>
      <c r="J172" s="130"/>
      <c r="K172" s="132"/>
      <c r="L172" s="413"/>
      <c r="M172" s="413"/>
      <c r="N172" s="414"/>
      <c r="O172" s="415"/>
      <c r="P172" s="133"/>
      <c r="Q172" s="130"/>
      <c r="R172" s="132"/>
      <c r="S172" s="132"/>
      <c r="T172" s="130"/>
    </row>
    <row r="173" spans="1:20" s="131" customFormat="1" ht="14.1" customHeight="1" x14ac:dyDescent="0.25">
      <c r="A173" s="390">
        <f ca="1">IF($H173="UNIDADE CONSTRUTIVA",OFFSET(A173,-1,0)+1,LARGE(A$3:A172,1))</f>
        <v>0</v>
      </c>
      <c r="B173" s="390">
        <f t="shared" ca="1" si="20"/>
        <v>3</v>
      </c>
      <c r="C173" s="390">
        <f t="shared" ca="1" si="21"/>
        <v>1</v>
      </c>
      <c r="D173" s="391">
        <f t="shared" ca="1" si="22"/>
        <v>2</v>
      </c>
      <c r="E173" s="391">
        <f t="shared" ca="1" si="23"/>
        <v>11</v>
      </c>
      <c r="F173" s="125"/>
      <c r="J173" s="130"/>
      <c r="K173" s="132"/>
      <c r="L173" s="413"/>
      <c r="M173" s="413"/>
      <c r="N173" s="414"/>
      <c r="O173" s="415"/>
      <c r="P173" s="133"/>
      <c r="Q173" s="130"/>
      <c r="R173" s="132"/>
      <c r="S173" s="132"/>
      <c r="T173" s="130"/>
    </row>
    <row r="174" spans="1:20" s="131" customFormat="1" ht="14.1" customHeight="1" x14ac:dyDescent="0.25">
      <c r="A174" s="390">
        <f ca="1">IF($H174="UNIDADE CONSTRUTIVA",OFFSET(A174,-1,0)+1,LARGE(A$3:A173,1))</f>
        <v>0</v>
      </c>
      <c r="B174" s="390">
        <f t="shared" ca="1" si="20"/>
        <v>3</v>
      </c>
      <c r="C174" s="390">
        <f t="shared" ca="1" si="21"/>
        <v>1</v>
      </c>
      <c r="D174" s="391">
        <f t="shared" ca="1" si="22"/>
        <v>2</v>
      </c>
      <c r="E174" s="391">
        <f t="shared" ca="1" si="23"/>
        <v>11</v>
      </c>
      <c r="F174" s="125"/>
      <c r="J174" s="130"/>
      <c r="K174" s="132"/>
      <c r="L174" s="413"/>
      <c r="M174" s="413"/>
      <c r="N174" s="414"/>
      <c r="O174" s="415"/>
      <c r="P174" s="133"/>
      <c r="Q174" s="130"/>
      <c r="R174" s="132"/>
      <c r="S174" s="132"/>
      <c r="T174" s="130"/>
    </row>
    <row r="175" spans="1:20" s="131" customFormat="1" ht="14.1" customHeight="1" x14ac:dyDescent="0.25">
      <c r="A175" s="390">
        <f ca="1">IF($H175="UNIDADE CONSTRUTIVA",OFFSET(A175,-1,0)+1,LARGE(A$3:A174,1))</f>
        <v>0</v>
      </c>
      <c r="B175" s="390">
        <f t="shared" ca="1" si="20"/>
        <v>3</v>
      </c>
      <c r="C175" s="390">
        <f t="shared" ca="1" si="21"/>
        <v>1</v>
      </c>
      <c r="D175" s="391">
        <f t="shared" ca="1" si="22"/>
        <v>2</v>
      </c>
      <c r="E175" s="391">
        <f t="shared" ca="1" si="23"/>
        <v>11</v>
      </c>
      <c r="F175" s="125"/>
      <c r="J175" s="130"/>
      <c r="K175" s="132"/>
      <c r="L175" s="413"/>
      <c r="M175" s="413"/>
      <c r="N175" s="414"/>
      <c r="O175" s="415"/>
      <c r="P175" s="133"/>
      <c r="Q175" s="130"/>
      <c r="R175" s="132"/>
      <c r="S175" s="132"/>
      <c r="T175" s="130"/>
    </row>
    <row r="176" spans="1:20" s="131" customFormat="1" ht="14.1" customHeight="1" x14ac:dyDescent="0.25">
      <c r="A176" s="390">
        <f ca="1">IF($H176="UNIDADE CONSTRUTIVA",OFFSET(A176,-1,0)+1,LARGE(A$3:A175,1))</f>
        <v>0</v>
      </c>
      <c r="B176" s="390">
        <f t="shared" ca="1" si="20"/>
        <v>3</v>
      </c>
      <c r="C176" s="390">
        <f t="shared" ca="1" si="21"/>
        <v>1</v>
      </c>
      <c r="D176" s="391">
        <f t="shared" ca="1" si="22"/>
        <v>2</v>
      </c>
      <c r="E176" s="391">
        <f t="shared" ca="1" si="23"/>
        <v>11</v>
      </c>
      <c r="F176" s="125"/>
      <c r="J176" s="130"/>
      <c r="K176" s="132"/>
      <c r="L176" s="413"/>
      <c r="M176" s="413"/>
      <c r="N176" s="414"/>
      <c r="O176" s="415"/>
      <c r="P176" s="133"/>
      <c r="Q176" s="130"/>
      <c r="R176" s="132"/>
      <c r="S176" s="132"/>
      <c r="T176" s="130"/>
    </row>
    <row r="177" spans="1:20" s="131" customFormat="1" ht="14.1" customHeight="1" x14ac:dyDescent="0.25">
      <c r="A177" s="390">
        <f ca="1">IF($H177="UNIDADE CONSTRUTIVA",OFFSET(A177,-1,0)+1,LARGE(A$3:A176,1))</f>
        <v>0</v>
      </c>
      <c r="B177" s="390">
        <f t="shared" ca="1" si="20"/>
        <v>3</v>
      </c>
      <c r="C177" s="390">
        <f t="shared" ca="1" si="21"/>
        <v>1</v>
      </c>
      <c r="D177" s="391">
        <f t="shared" ca="1" si="22"/>
        <v>2</v>
      </c>
      <c r="E177" s="391">
        <f t="shared" ca="1" si="23"/>
        <v>11</v>
      </c>
      <c r="F177" s="125"/>
      <c r="J177" s="130"/>
      <c r="K177" s="132"/>
      <c r="L177" s="413"/>
      <c r="M177" s="413"/>
      <c r="N177" s="414"/>
      <c r="O177" s="415"/>
      <c r="P177" s="133"/>
      <c r="Q177" s="130"/>
      <c r="R177" s="132"/>
      <c r="S177" s="132"/>
      <c r="T177" s="130"/>
    </row>
    <row r="178" spans="1:20" s="131" customFormat="1" ht="14.1" customHeight="1" x14ac:dyDescent="0.25">
      <c r="A178" s="390">
        <f ca="1">IF($H178="UNIDADE CONSTRUTIVA",OFFSET(A178,-1,0)+1,LARGE(A$3:A177,1))</f>
        <v>0</v>
      </c>
      <c r="B178" s="390">
        <f t="shared" ca="1" si="20"/>
        <v>3</v>
      </c>
      <c r="C178" s="390">
        <f t="shared" ca="1" si="21"/>
        <v>1</v>
      </c>
      <c r="D178" s="391">
        <f t="shared" ca="1" si="22"/>
        <v>2</v>
      </c>
      <c r="E178" s="391">
        <f t="shared" ca="1" si="23"/>
        <v>11</v>
      </c>
      <c r="F178" s="125"/>
      <c r="J178" s="130"/>
      <c r="K178" s="132"/>
      <c r="L178" s="413"/>
      <c r="M178" s="413"/>
      <c r="N178" s="414"/>
      <c r="O178" s="415"/>
      <c r="P178" s="133"/>
      <c r="Q178" s="130"/>
      <c r="R178" s="132"/>
      <c r="S178" s="132"/>
      <c r="T178" s="130"/>
    </row>
    <row r="179" spans="1:20" s="131" customFormat="1" ht="14.1" customHeight="1" x14ac:dyDescent="0.25">
      <c r="A179" s="390">
        <f ca="1">IF($H179="UNIDADE CONSTRUTIVA",OFFSET(A179,-1,0)+1,LARGE(A$3:A178,1))</f>
        <v>0</v>
      </c>
      <c r="B179" s="390">
        <f t="shared" ca="1" si="20"/>
        <v>3</v>
      </c>
      <c r="C179" s="390">
        <f t="shared" ca="1" si="21"/>
        <v>1</v>
      </c>
      <c r="D179" s="391">
        <f t="shared" ca="1" si="22"/>
        <v>2</v>
      </c>
      <c r="E179" s="391">
        <f t="shared" ca="1" si="23"/>
        <v>11</v>
      </c>
      <c r="F179" s="125"/>
      <c r="J179" s="130"/>
      <c r="K179" s="132"/>
      <c r="L179" s="413"/>
      <c r="M179" s="413"/>
      <c r="N179" s="414"/>
      <c r="O179" s="415"/>
      <c r="P179" s="133"/>
      <c r="Q179" s="130"/>
      <c r="R179" s="132"/>
      <c r="S179" s="132"/>
      <c r="T179" s="130"/>
    </row>
    <row r="180" spans="1:20" s="131" customFormat="1" ht="14.1" customHeight="1" x14ac:dyDescent="0.25">
      <c r="A180" s="390">
        <f ca="1">IF($H180="UNIDADE CONSTRUTIVA",OFFSET(A180,-1,0)+1,LARGE(A$3:A179,1))</f>
        <v>0</v>
      </c>
      <c r="B180" s="390">
        <f t="shared" ca="1" si="20"/>
        <v>3</v>
      </c>
      <c r="C180" s="390">
        <f t="shared" ca="1" si="21"/>
        <v>1</v>
      </c>
      <c r="D180" s="391">
        <f t="shared" ca="1" si="22"/>
        <v>2</v>
      </c>
      <c r="E180" s="391">
        <f t="shared" ca="1" si="23"/>
        <v>11</v>
      </c>
      <c r="F180" s="125"/>
      <c r="J180" s="130"/>
      <c r="K180" s="132"/>
      <c r="L180" s="413"/>
      <c r="M180" s="413"/>
      <c r="N180" s="414"/>
      <c r="O180" s="415"/>
      <c r="P180" s="133"/>
      <c r="Q180" s="130"/>
      <c r="R180" s="132"/>
      <c r="S180" s="132"/>
      <c r="T180" s="130"/>
    </row>
    <row r="181" spans="1:20" s="131" customFormat="1" ht="14.1" customHeight="1" x14ac:dyDescent="0.25">
      <c r="A181" s="390">
        <f ca="1">IF($H181="UNIDADE CONSTRUTIVA",OFFSET(A181,-1,0)+1,LARGE(A$3:A180,1))</f>
        <v>0</v>
      </c>
      <c r="B181" s="390">
        <f t="shared" ca="1" si="20"/>
        <v>3</v>
      </c>
      <c r="C181" s="390">
        <f t="shared" ca="1" si="21"/>
        <v>1</v>
      </c>
      <c r="D181" s="391">
        <f t="shared" ca="1" si="22"/>
        <v>2</v>
      </c>
      <c r="E181" s="391">
        <f t="shared" ca="1" si="23"/>
        <v>11</v>
      </c>
      <c r="F181" s="125"/>
      <c r="J181" s="130"/>
      <c r="K181" s="132"/>
      <c r="L181" s="413"/>
      <c r="M181" s="413"/>
      <c r="N181" s="414"/>
      <c r="O181" s="415"/>
      <c r="P181" s="133"/>
      <c r="Q181" s="130"/>
      <c r="R181" s="132"/>
      <c r="S181" s="132"/>
      <c r="T181" s="130"/>
    </row>
    <row r="182" spans="1:20" s="131" customFormat="1" ht="14.1" customHeight="1" x14ac:dyDescent="0.25">
      <c r="A182" s="390">
        <f ca="1">IF($H182="UNIDADE CONSTRUTIVA",OFFSET(A182,-1,0)+1,LARGE(A$3:A181,1))</f>
        <v>0</v>
      </c>
      <c r="B182" s="390">
        <f t="shared" ca="1" si="20"/>
        <v>3</v>
      </c>
      <c r="C182" s="390">
        <f t="shared" ca="1" si="21"/>
        <v>1</v>
      </c>
      <c r="D182" s="391">
        <f t="shared" ca="1" si="22"/>
        <v>2</v>
      </c>
      <c r="E182" s="391">
        <f t="shared" ca="1" si="23"/>
        <v>11</v>
      </c>
      <c r="F182" s="125"/>
      <c r="J182" s="130"/>
      <c r="K182" s="132"/>
      <c r="L182" s="413"/>
      <c r="M182" s="413"/>
      <c r="N182" s="414"/>
      <c r="O182" s="415"/>
      <c r="P182" s="133"/>
      <c r="Q182" s="130"/>
      <c r="R182" s="132"/>
      <c r="S182" s="132"/>
      <c r="T182" s="130"/>
    </row>
    <row r="183" spans="1:20" s="131" customFormat="1" ht="14.1" customHeight="1" x14ac:dyDescent="0.25">
      <c r="A183" s="390">
        <f ca="1">IF($H183="UNIDADE CONSTRUTIVA",OFFSET(A183,-1,0)+1,LARGE(A$3:A182,1))</f>
        <v>0</v>
      </c>
      <c r="B183" s="390">
        <f t="shared" ca="1" si="20"/>
        <v>3</v>
      </c>
      <c r="C183" s="390">
        <f t="shared" ca="1" si="21"/>
        <v>1</v>
      </c>
      <c r="D183" s="391">
        <f t="shared" ca="1" si="22"/>
        <v>2</v>
      </c>
      <c r="E183" s="391">
        <f t="shared" ca="1" si="23"/>
        <v>11</v>
      </c>
      <c r="F183" s="125"/>
      <c r="J183" s="130"/>
      <c r="K183" s="132"/>
      <c r="L183" s="413"/>
      <c r="M183" s="413"/>
      <c r="N183" s="414"/>
      <c r="O183" s="415"/>
      <c r="P183" s="133"/>
      <c r="Q183" s="130"/>
      <c r="R183" s="132"/>
      <c r="S183" s="132"/>
      <c r="T183" s="130"/>
    </row>
    <row r="184" spans="1:20" s="131" customFormat="1" ht="14.1" customHeight="1" x14ac:dyDescent="0.25">
      <c r="A184" s="390">
        <f ca="1">IF($H184="UNIDADE CONSTRUTIVA",OFFSET(A184,-1,0)+1,LARGE(A$3:A183,1))</f>
        <v>0</v>
      </c>
      <c r="B184" s="390">
        <f t="shared" ca="1" si="20"/>
        <v>3</v>
      </c>
      <c r="C184" s="390">
        <f t="shared" ca="1" si="21"/>
        <v>1</v>
      </c>
      <c r="D184" s="391">
        <f t="shared" ca="1" si="22"/>
        <v>2</v>
      </c>
      <c r="E184" s="391">
        <f t="shared" ca="1" si="23"/>
        <v>11</v>
      </c>
      <c r="F184" s="125"/>
      <c r="J184" s="130"/>
      <c r="K184" s="132"/>
      <c r="L184" s="413"/>
      <c r="M184" s="413"/>
      <c r="N184" s="414"/>
      <c r="O184" s="415"/>
      <c r="P184" s="133"/>
      <c r="Q184" s="130"/>
      <c r="R184" s="132"/>
      <c r="S184" s="132"/>
      <c r="T184" s="130"/>
    </row>
    <row r="185" spans="1:20" s="131" customFormat="1" ht="14.1" customHeight="1" x14ac:dyDescent="0.25">
      <c r="A185" s="390">
        <f ca="1">IF($H185="UNIDADE CONSTRUTIVA",OFFSET(A185,-1,0)+1,LARGE(A$3:A184,1))</f>
        <v>0</v>
      </c>
      <c r="B185" s="390">
        <f t="shared" ca="1" si="20"/>
        <v>3</v>
      </c>
      <c r="C185" s="390">
        <f t="shared" ca="1" si="21"/>
        <v>1</v>
      </c>
      <c r="D185" s="391">
        <f t="shared" ca="1" si="22"/>
        <v>2</v>
      </c>
      <c r="E185" s="391">
        <f t="shared" ca="1" si="23"/>
        <v>11</v>
      </c>
      <c r="F185" s="125"/>
      <c r="J185" s="130"/>
      <c r="K185" s="132"/>
      <c r="L185" s="413"/>
      <c r="M185" s="413"/>
      <c r="N185" s="414"/>
      <c r="O185" s="415"/>
      <c r="P185" s="133"/>
      <c r="Q185" s="130"/>
      <c r="R185" s="132"/>
      <c r="S185" s="132"/>
      <c r="T185" s="130"/>
    </row>
    <row r="186" spans="1:20" s="131" customFormat="1" ht="14.1" customHeight="1" x14ac:dyDescent="0.25">
      <c r="A186" s="390">
        <f ca="1">IF($H186="UNIDADE CONSTRUTIVA",OFFSET(A186,-1,0)+1,LARGE(A$3:A185,1))</f>
        <v>0</v>
      </c>
      <c r="B186" s="390">
        <f t="shared" ca="1" si="20"/>
        <v>3</v>
      </c>
      <c r="C186" s="390">
        <f t="shared" ca="1" si="21"/>
        <v>1</v>
      </c>
      <c r="D186" s="391">
        <f t="shared" ca="1" si="22"/>
        <v>2</v>
      </c>
      <c r="E186" s="391">
        <f t="shared" ca="1" si="23"/>
        <v>11</v>
      </c>
      <c r="F186" s="125"/>
      <c r="J186" s="130"/>
      <c r="K186" s="132"/>
      <c r="L186" s="413"/>
      <c r="M186" s="413"/>
      <c r="N186" s="414"/>
      <c r="O186" s="415"/>
      <c r="P186" s="133"/>
      <c r="Q186" s="130"/>
      <c r="R186" s="132"/>
      <c r="S186" s="132"/>
      <c r="T186" s="130"/>
    </row>
    <row r="187" spans="1:20" s="131" customFormat="1" ht="14.1" customHeight="1" x14ac:dyDescent="0.25">
      <c r="A187" s="390">
        <f ca="1">IF($H187="UNIDADE CONSTRUTIVA",OFFSET(A187,-1,0)+1,LARGE(A$3:A186,1))</f>
        <v>0</v>
      </c>
      <c r="B187" s="390">
        <f t="shared" ca="1" si="20"/>
        <v>3</v>
      </c>
      <c r="C187" s="390">
        <f t="shared" ca="1" si="21"/>
        <v>1</v>
      </c>
      <c r="D187" s="391">
        <f t="shared" ca="1" si="22"/>
        <v>2</v>
      </c>
      <c r="E187" s="391">
        <f t="shared" ca="1" si="23"/>
        <v>11</v>
      </c>
      <c r="F187" s="125"/>
      <c r="J187" s="130"/>
      <c r="K187" s="132"/>
      <c r="L187" s="413"/>
      <c r="M187" s="413"/>
      <c r="N187" s="414"/>
      <c r="O187" s="415"/>
      <c r="P187" s="133"/>
      <c r="Q187" s="130"/>
      <c r="R187" s="132"/>
      <c r="S187" s="132"/>
      <c r="T187" s="130"/>
    </row>
    <row r="188" spans="1:20" s="131" customFormat="1" ht="14.1" customHeight="1" x14ac:dyDescent="0.25">
      <c r="A188" s="390">
        <f ca="1">IF($H188="UNIDADE CONSTRUTIVA",OFFSET(A188,-1,0)+1,LARGE(A$3:A187,1))</f>
        <v>0</v>
      </c>
      <c r="B188" s="390">
        <f t="shared" ca="1" si="20"/>
        <v>3</v>
      </c>
      <c r="C188" s="390">
        <f t="shared" ca="1" si="21"/>
        <v>1</v>
      </c>
      <c r="D188" s="391">
        <f t="shared" ca="1" si="22"/>
        <v>2</v>
      </c>
      <c r="E188" s="391">
        <f t="shared" ca="1" si="23"/>
        <v>11</v>
      </c>
      <c r="F188" s="125"/>
      <c r="J188" s="130"/>
      <c r="K188" s="132"/>
      <c r="L188" s="413"/>
      <c r="M188" s="413"/>
      <c r="N188" s="414"/>
      <c r="O188" s="415"/>
      <c r="P188" s="133"/>
      <c r="Q188" s="130"/>
      <c r="R188" s="132"/>
      <c r="S188" s="132"/>
      <c r="T188" s="130"/>
    </row>
    <row r="189" spans="1:20" s="131" customFormat="1" ht="14.1" customHeight="1" x14ac:dyDescent="0.25">
      <c r="A189" s="390">
        <f ca="1">IF($H189="UNIDADE CONSTRUTIVA",OFFSET(A189,-1,0)+1,LARGE(A$3:A188,1))</f>
        <v>0</v>
      </c>
      <c r="B189" s="390">
        <f t="shared" ca="1" si="20"/>
        <v>3</v>
      </c>
      <c r="C189" s="390">
        <f t="shared" ca="1" si="21"/>
        <v>1</v>
      </c>
      <c r="D189" s="391">
        <f t="shared" ca="1" si="22"/>
        <v>2</v>
      </c>
      <c r="E189" s="391">
        <f t="shared" ca="1" si="23"/>
        <v>11</v>
      </c>
      <c r="F189" s="125"/>
      <c r="J189" s="130"/>
      <c r="K189" s="132"/>
      <c r="L189" s="413"/>
      <c r="M189" s="413"/>
      <c r="N189" s="414"/>
      <c r="O189" s="415"/>
      <c r="P189" s="133"/>
      <c r="Q189" s="130"/>
      <c r="R189" s="132"/>
      <c r="S189" s="132"/>
      <c r="T189" s="130"/>
    </row>
    <row r="190" spans="1:20" s="131" customFormat="1" ht="14.1" customHeight="1" x14ac:dyDescent="0.25">
      <c r="A190" s="390">
        <f ca="1">IF($H190="UNIDADE CONSTRUTIVA",OFFSET(A190,-1,0)+1,LARGE(A$3:A189,1))</f>
        <v>0</v>
      </c>
      <c r="B190" s="390">
        <f t="shared" ca="1" si="20"/>
        <v>3</v>
      </c>
      <c r="C190" s="390">
        <f t="shared" ca="1" si="21"/>
        <v>1</v>
      </c>
      <c r="D190" s="391">
        <f t="shared" ca="1" si="22"/>
        <v>2</v>
      </c>
      <c r="E190" s="391">
        <f t="shared" ca="1" si="23"/>
        <v>11</v>
      </c>
      <c r="F190" s="125"/>
      <c r="J190" s="130"/>
      <c r="K190" s="132"/>
      <c r="L190" s="413"/>
      <c r="M190" s="413"/>
      <c r="N190" s="414"/>
      <c r="O190" s="415"/>
      <c r="P190" s="133"/>
      <c r="Q190" s="130"/>
      <c r="R190" s="132"/>
      <c r="S190" s="132"/>
      <c r="T190" s="130"/>
    </row>
    <row r="191" spans="1:20" s="131" customFormat="1" ht="14.1" customHeight="1" x14ac:dyDescent="0.25">
      <c r="A191" s="390">
        <f ca="1">IF($H191="UNIDADE CONSTRUTIVA",OFFSET(A191,-1,0)+1,LARGE(A$3:A190,1))</f>
        <v>0</v>
      </c>
      <c r="B191" s="390">
        <f t="shared" ca="1" si="20"/>
        <v>3</v>
      </c>
      <c r="C191" s="390">
        <f t="shared" ca="1" si="21"/>
        <v>1</v>
      </c>
      <c r="D191" s="391">
        <f t="shared" ca="1" si="22"/>
        <v>2</v>
      </c>
      <c r="E191" s="391">
        <f t="shared" ca="1" si="23"/>
        <v>11</v>
      </c>
      <c r="F191" s="125"/>
      <c r="J191" s="130"/>
      <c r="K191" s="132"/>
      <c r="L191" s="413"/>
      <c r="M191" s="413"/>
      <c r="N191" s="414"/>
      <c r="O191" s="415"/>
      <c r="P191" s="133"/>
      <c r="Q191" s="130"/>
      <c r="R191" s="132"/>
      <c r="S191" s="132"/>
      <c r="T191" s="130"/>
    </row>
    <row r="192" spans="1:20" s="131" customFormat="1" ht="14.1" customHeight="1" x14ac:dyDescent="0.25">
      <c r="A192" s="390">
        <f ca="1">IF($H192="UNIDADE CONSTRUTIVA",OFFSET(A192,-1,0)+1,LARGE(A$3:A191,1))</f>
        <v>0</v>
      </c>
      <c r="B192" s="390">
        <f t="shared" ca="1" si="20"/>
        <v>3</v>
      </c>
      <c r="C192" s="390">
        <f t="shared" ca="1" si="21"/>
        <v>1</v>
      </c>
      <c r="D192" s="391">
        <f t="shared" ca="1" si="22"/>
        <v>2</v>
      </c>
      <c r="E192" s="391">
        <f t="shared" ca="1" si="23"/>
        <v>11</v>
      </c>
      <c r="F192" s="125"/>
      <c r="J192" s="130"/>
      <c r="K192" s="132"/>
      <c r="L192" s="413"/>
      <c r="M192" s="413"/>
      <c r="N192" s="414"/>
      <c r="O192" s="415"/>
      <c r="P192" s="133"/>
      <c r="Q192" s="130"/>
      <c r="R192" s="132"/>
      <c r="S192" s="132"/>
      <c r="T192" s="130"/>
    </row>
    <row r="193" spans="1:20" s="131" customFormat="1" ht="14.1" customHeight="1" x14ac:dyDescent="0.25">
      <c r="A193" s="390">
        <f ca="1">IF($H193="UNIDADE CONSTRUTIVA",OFFSET(A193,-1,0)+1,LARGE(A$3:A192,1))</f>
        <v>0</v>
      </c>
      <c r="B193" s="390">
        <f t="shared" ca="1" si="20"/>
        <v>3</v>
      </c>
      <c r="C193" s="390">
        <f t="shared" ca="1" si="21"/>
        <v>1</v>
      </c>
      <c r="D193" s="391">
        <f t="shared" ca="1" si="22"/>
        <v>2</v>
      </c>
      <c r="E193" s="391">
        <f t="shared" ca="1" si="23"/>
        <v>11</v>
      </c>
      <c r="F193" s="125"/>
      <c r="J193" s="130"/>
      <c r="K193" s="132"/>
      <c r="L193" s="413"/>
      <c r="M193" s="413"/>
      <c r="N193" s="414"/>
      <c r="O193" s="415"/>
      <c r="P193" s="133"/>
      <c r="Q193" s="130"/>
      <c r="R193" s="132"/>
      <c r="S193" s="132"/>
      <c r="T193" s="130"/>
    </row>
    <row r="194" spans="1:20" s="131" customFormat="1" ht="14.1" customHeight="1" x14ac:dyDescent="0.25">
      <c r="A194" s="390">
        <f ca="1">IF($H194="UNIDADE CONSTRUTIVA",OFFSET(A194,-1,0)+1,LARGE(A$3:A193,1))</f>
        <v>0</v>
      </c>
      <c r="B194" s="390">
        <f t="shared" ca="1" si="20"/>
        <v>3</v>
      </c>
      <c r="C194" s="390">
        <f t="shared" ca="1" si="21"/>
        <v>1</v>
      </c>
      <c r="D194" s="391">
        <f t="shared" ca="1" si="22"/>
        <v>2</v>
      </c>
      <c r="E194" s="391">
        <f t="shared" ca="1" si="23"/>
        <v>11</v>
      </c>
      <c r="F194" s="125"/>
      <c r="J194" s="130"/>
      <c r="K194" s="132"/>
      <c r="L194" s="413"/>
      <c r="M194" s="413"/>
      <c r="N194" s="414"/>
      <c r="O194" s="415"/>
      <c r="P194" s="133"/>
      <c r="Q194" s="130"/>
      <c r="R194" s="132"/>
      <c r="S194" s="132"/>
      <c r="T194" s="130"/>
    </row>
    <row r="195" spans="1:20" s="131" customFormat="1" ht="14.1" customHeight="1" x14ac:dyDescent="0.25">
      <c r="A195" s="390">
        <f ca="1">IF($H195="UNIDADE CONSTRUTIVA",OFFSET(A195,-1,0)+1,LARGE(A$3:A194,1))</f>
        <v>0</v>
      </c>
      <c r="B195" s="390">
        <f t="shared" ca="1" si="20"/>
        <v>3</v>
      </c>
      <c r="C195" s="390">
        <f t="shared" ca="1" si="21"/>
        <v>1</v>
      </c>
      <c r="D195" s="391">
        <f t="shared" ca="1" si="22"/>
        <v>2</v>
      </c>
      <c r="E195" s="391">
        <f t="shared" ca="1" si="23"/>
        <v>11</v>
      </c>
      <c r="F195" s="125"/>
      <c r="J195" s="130"/>
      <c r="K195" s="132"/>
      <c r="L195" s="413"/>
      <c r="M195" s="413"/>
      <c r="N195" s="414"/>
      <c r="O195" s="415"/>
      <c r="P195" s="133"/>
      <c r="Q195" s="130"/>
      <c r="R195" s="132"/>
      <c r="S195" s="132"/>
      <c r="T195" s="130"/>
    </row>
    <row r="196" spans="1:20" s="131" customFormat="1" ht="14.1" customHeight="1" x14ac:dyDescent="0.25">
      <c r="A196" s="390">
        <f ca="1">IF($H196="UNIDADE CONSTRUTIVA",OFFSET(A196,-1,0)+1,LARGE(A$3:A195,1))</f>
        <v>0</v>
      </c>
      <c r="B196" s="390">
        <f t="shared" ca="1" si="20"/>
        <v>3</v>
      </c>
      <c r="C196" s="390">
        <f t="shared" ca="1" si="21"/>
        <v>1</v>
      </c>
      <c r="D196" s="391">
        <f t="shared" ca="1" si="22"/>
        <v>2</v>
      </c>
      <c r="E196" s="391">
        <f t="shared" ca="1" si="23"/>
        <v>11</v>
      </c>
      <c r="F196" s="125"/>
      <c r="J196" s="130"/>
      <c r="K196" s="132"/>
      <c r="L196" s="413"/>
      <c r="M196" s="413"/>
      <c r="N196" s="414"/>
      <c r="O196" s="415"/>
      <c r="P196" s="133"/>
      <c r="Q196" s="130"/>
      <c r="R196" s="132"/>
      <c r="S196" s="132"/>
      <c r="T196" s="130"/>
    </row>
    <row r="197" spans="1:20" s="131" customFormat="1" ht="14.1" customHeight="1" x14ac:dyDescent="0.25">
      <c r="A197" s="390">
        <f ca="1">IF($H197="UNIDADE CONSTRUTIVA",OFFSET(A197,-1,0)+1,LARGE(A$3:A196,1))</f>
        <v>0</v>
      </c>
      <c r="B197" s="390">
        <f t="shared" ca="1" si="20"/>
        <v>3</v>
      </c>
      <c r="C197" s="390">
        <f t="shared" ca="1" si="21"/>
        <v>1</v>
      </c>
      <c r="D197" s="391">
        <f t="shared" ca="1" si="22"/>
        <v>2</v>
      </c>
      <c r="E197" s="391">
        <f t="shared" ca="1" si="23"/>
        <v>11</v>
      </c>
      <c r="F197" s="125"/>
      <c r="J197" s="130"/>
      <c r="K197" s="132"/>
      <c r="L197" s="413"/>
      <c r="M197" s="413"/>
      <c r="N197" s="414"/>
      <c r="O197" s="415"/>
      <c r="P197" s="133"/>
      <c r="Q197" s="130"/>
      <c r="R197" s="132"/>
      <c r="S197" s="132"/>
      <c r="T197" s="130"/>
    </row>
    <row r="198" spans="1:20" s="131" customFormat="1" ht="14.1" customHeight="1" x14ac:dyDescent="0.25">
      <c r="A198" s="390">
        <f ca="1">IF($H198="UNIDADE CONSTRUTIVA",OFFSET(A198,-1,0)+1,LARGE(A$3:A197,1))</f>
        <v>0</v>
      </c>
      <c r="B198" s="390">
        <f t="shared" ca="1" si="20"/>
        <v>3</v>
      </c>
      <c r="C198" s="390">
        <f t="shared" ca="1" si="21"/>
        <v>1</v>
      </c>
      <c r="D198" s="391">
        <f t="shared" ca="1" si="22"/>
        <v>2</v>
      </c>
      <c r="E198" s="391">
        <f t="shared" ca="1" si="23"/>
        <v>11</v>
      </c>
      <c r="F198" s="125"/>
      <c r="J198" s="130"/>
      <c r="K198" s="132"/>
      <c r="L198" s="413"/>
      <c r="M198" s="413"/>
      <c r="N198" s="414"/>
      <c r="O198" s="415"/>
      <c r="P198" s="133"/>
      <c r="Q198" s="130"/>
      <c r="R198" s="132"/>
      <c r="S198" s="132"/>
      <c r="T198" s="130"/>
    </row>
    <row r="199" spans="1:20" s="131" customFormat="1" ht="14.1" customHeight="1" x14ac:dyDescent="0.25">
      <c r="A199" s="390">
        <f ca="1">IF($H199="UNIDADE CONSTRUTIVA",OFFSET(A199,-1,0)+1,LARGE(A$3:A198,1))</f>
        <v>0</v>
      </c>
      <c r="B199" s="390">
        <f t="shared" ca="1" si="20"/>
        <v>3</v>
      </c>
      <c r="C199" s="390">
        <f t="shared" ca="1" si="21"/>
        <v>1</v>
      </c>
      <c r="D199" s="391">
        <f t="shared" ca="1" si="22"/>
        <v>2</v>
      </c>
      <c r="E199" s="391">
        <f t="shared" ca="1" si="23"/>
        <v>11</v>
      </c>
      <c r="F199" s="125"/>
      <c r="J199" s="130"/>
      <c r="K199" s="132"/>
      <c r="L199" s="413"/>
      <c r="M199" s="413"/>
      <c r="N199" s="414"/>
      <c r="O199" s="415"/>
      <c r="P199" s="133"/>
      <c r="Q199" s="130"/>
      <c r="R199" s="132"/>
      <c r="S199" s="132"/>
      <c r="T199" s="130"/>
    </row>
    <row r="200" spans="1:20" s="131" customFormat="1" ht="14.1" customHeight="1" x14ac:dyDescent="0.25">
      <c r="A200" s="390">
        <f ca="1">IF($H200="UNIDADE CONSTRUTIVA",OFFSET(A200,-1,0)+1,LARGE(A$3:A199,1))</f>
        <v>0</v>
      </c>
      <c r="B200" s="390">
        <f t="shared" ca="1" si="20"/>
        <v>3</v>
      </c>
      <c r="C200" s="390">
        <f t="shared" ca="1" si="21"/>
        <v>1</v>
      </c>
      <c r="D200" s="391">
        <f t="shared" ca="1" si="22"/>
        <v>2</v>
      </c>
      <c r="E200" s="391">
        <f t="shared" ca="1" si="23"/>
        <v>11</v>
      </c>
      <c r="F200" s="125"/>
      <c r="J200" s="130"/>
      <c r="K200" s="132"/>
      <c r="L200" s="413"/>
      <c r="M200" s="413"/>
      <c r="N200" s="414"/>
      <c r="O200" s="415"/>
      <c r="P200" s="133"/>
      <c r="Q200" s="130"/>
      <c r="R200" s="132"/>
      <c r="S200" s="132"/>
      <c r="T200" s="130"/>
    </row>
    <row r="201" spans="1:20" s="131" customFormat="1" ht="14.1" customHeight="1" x14ac:dyDescent="0.25">
      <c r="A201" s="390">
        <f ca="1">IF($H201="UNIDADE CONSTRUTIVA",OFFSET(A201,-1,0)+1,LARGE(A$3:A200,1))</f>
        <v>0</v>
      </c>
      <c r="B201" s="390">
        <f t="shared" ref="B201:B264" ca="1" si="24">IF(H201="UNIDADE CONSTRUTIVA",0,IF(H201="CÉLULA CONSTRUTIVA",OFFSET(B201,-1,0)+1,OFFSET(B201,-1,0)))</f>
        <v>3</v>
      </c>
      <c r="C201" s="390">
        <f t="shared" ref="C201:C264" ca="1" si="25">IF(H201="CÉLULA CONSTRUTIVA",0,IF(H201="ETAPA",OFFSET(C201,-1,0)+1,OFFSET(C201,-1,0)))</f>
        <v>1</v>
      </c>
      <c r="D201" s="391">
        <f t="shared" ref="D201:D264" ca="1" si="26">IF(H201="ETAPA",0,IF(H201="SUBETAPA",OFFSET(D201,-1,0)+1,OFFSET(D201,-1,0)))</f>
        <v>2</v>
      </c>
      <c r="E201" s="391">
        <f t="shared" ref="E201:E264" ca="1" si="27">IF(H201="Subetapa",0,IF(H201="serviço",OFFSET(E201,-1,0)+1,OFFSET(E201,-1,0)))</f>
        <v>11</v>
      </c>
      <c r="F201" s="125"/>
      <c r="J201" s="130"/>
      <c r="K201" s="132"/>
      <c r="L201" s="413"/>
      <c r="M201" s="413"/>
      <c r="N201" s="414"/>
      <c r="O201" s="415"/>
      <c r="P201" s="133"/>
      <c r="Q201" s="130"/>
      <c r="R201" s="132"/>
      <c r="S201" s="132"/>
      <c r="T201" s="130"/>
    </row>
    <row r="202" spans="1:20" s="131" customFormat="1" ht="14.1" customHeight="1" x14ac:dyDescent="0.25">
      <c r="A202" s="390">
        <f ca="1">IF($H202="UNIDADE CONSTRUTIVA",OFFSET(A202,-1,0)+1,LARGE(A$3:A201,1))</f>
        <v>0</v>
      </c>
      <c r="B202" s="390">
        <f t="shared" ca="1" si="24"/>
        <v>3</v>
      </c>
      <c r="C202" s="390">
        <f t="shared" ca="1" si="25"/>
        <v>1</v>
      </c>
      <c r="D202" s="391">
        <f t="shared" ca="1" si="26"/>
        <v>2</v>
      </c>
      <c r="E202" s="391">
        <f t="shared" ca="1" si="27"/>
        <v>11</v>
      </c>
      <c r="F202" s="125"/>
      <c r="J202" s="130"/>
      <c r="K202" s="132"/>
      <c r="L202" s="413"/>
      <c r="M202" s="413"/>
      <c r="N202" s="414"/>
      <c r="O202" s="415"/>
      <c r="P202" s="133"/>
      <c r="Q202" s="130"/>
      <c r="R202" s="132"/>
      <c r="S202" s="132"/>
      <c r="T202" s="130"/>
    </row>
    <row r="203" spans="1:20" s="131" customFormat="1" ht="14.1" customHeight="1" x14ac:dyDescent="0.25">
      <c r="A203" s="390">
        <f ca="1">IF($H203="UNIDADE CONSTRUTIVA",OFFSET(A203,-1,0)+1,LARGE(A$3:A202,1))</f>
        <v>0</v>
      </c>
      <c r="B203" s="390">
        <f t="shared" ca="1" si="24"/>
        <v>3</v>
      </c>
      <c r="C203" s="390">
        <f t="shared" ca="1" si="25"/>
        <v>1</v>
      </c>
      <c r="D203" s="391">
        <f t="shared" ca="1" si="26"/>
        <v>2</v>
      </c>
      <c r="E203" s="391">
        <f t="shared" ca="1" si="27"/>
        <v>11</v>
      </c>
      <c r="F203" s="125"/>
      <c r="J203" s="130"/>
      <c r="K203" s="132"/>
      <c r="L203" s="413"/>
      <c r="M203" s="413"/>
      <c r="N203" s="414"/>
      <c r="O203" s="415"/>
      <c r="P203" s="133"/>
      <c r="Q203" s="130"/>
      <c r="R203" s="132"/>
      <c r="S203" s="132"/>
      <c r="T203" s="130"/>
    </row>
    <row r="204" spans="1:20" s="131" customFormat="1" ht="14.1" customHeight="1" x14ac:dyDescent="0.25">
      <c r="A204" s="390">
        <f ca="1">IF($H204="UNIDADE CONSTRUTIVA",OFFSET(A204,-1,0)+1,LARGE(A$3:A203,1))</f>
        <v>0</v>
      </c>
      <c r="B204" s="390">
        <f t="shared" ca="1" si="24"/>
        <v>3</v>
      </c>
      <c r="C204" s="390">
        <f t="shared" ca="1" si="25"/>
        <v>1</v>
      </c>
      <c r="D204" s="391">
        <f t="shared" ca="1" si="26"/>
        <v>2</v>
      </c>
      <c r="E204" s="391">
        <f t="shared" ca="1" si="27"/>
        <v>11</v>
      </c>
      <c r="F204" s="125"/>
      <c r="J204" s="130"/>
      <c r="K204" s="132"/>
      <c r="L204" s="413"/>
      <c r="M204" s="413"/>
      <c r="N204" s="414"/>
      <c r="O204" s="415"/>
      <c r="P204" s="133"/>
      <c r="Q204" s="130"/>
      <c r="R204" s="132"/>
      <c r="S204" s="132"/>
      <c r="T204" s="130"/>
    </row>
    <row r="205" spans="1:20" s="131" customFormat="1" ht="14.1" customHeight="1" x14ac:dyDescent="0.25">
      <c r="A205" s="390">
        <f ca="1">IF($H205="UNIDADE CONSTRUTIVA",OFFSET(A205,-1,0)+1,LARGE(A$3:A204,1))</f>
        <v>0</v>
      </c>
      <c r="B205" s="390">
        <f t="shared" ca="1" si="24"/>
        <v>3</v>
      </c>
      <c r="C205" s="390">
        <f t="shared" ca="1" si="25"/>
        <v>1</v>
      </c>
      <c r="D205" s="391">
        <f t="shared" ca="1" si="26"/>
        <v>2</v>
      </c>
      <c r="E205" s="391">
        <f t="shared" ca="1" si="27"/>
        <v>11</v>
      </c>
      <c r="F205" s="125"/>
      <c r="J205" s="130"/>
      <c r="K205" s="132"/>
      <c r="L205" s="413"/>
      <c r="M205" s="413"/>
      <c r="N205" s="414"/>
      <c r="O205" s="415"/>
      <c r="P205" s="133"/>
      <c r="Q205" s="130"/>
      <c r="R205" s="132"/>
      <c r="S205" s="132"/>
      <c r="T205" s="130"/>
    </row>
    <row r="206" spans="1:20" s="131" customFormat="1" ht="14.1" customHeight="1" x14ac:dyDescent="0.25">
      <c r="A206" s="390">
        <f ca="1">IF($H206="UNIDADE CONSTRUTIVA",OFFSET(A206,-1,0)+1,LARGE(A$3:A205,1))</f>
        <v>0</v>
      </c>
      <c r="B206" s="390">
        <f t="shared" ca="1" si="24"/>
        <v>3</v>
      </c>
      <c r="C206" s="390">
        <f t="shared" ca="1" si="25"/>
        <v>1</v>
      </c>
      <c r="D206" s="391">
        <f t="shared" ca="1" si="26"/>
        <v>2</v>
      </c>
      <c r="E206" s="391">
        <f t="shared" ca="1" si="27"/>
        <v>11</v>
      </c>
      <c r="F206" s="125"/>
      <c r="J206" s="130"/>
      <c r="K206" s="132"/>
      <c r="L206" s="413"/>
      <c r="M206" s="413"/>
      <c r="N206" s="414"/>
      <c r="O206" s="415"/>
      <c r="P206" s="133"/>
      <c r="Q206" s="130"/>
      <c r="R206" s="132"/>
      <c r="S206" s="132"/>
      <c r="T206" s="130"/>
    </row>
    <row r="207" spans="1:20" s="131" customFormat="1" ht="14.1" customHeight="1" x14ac:dyDescent="0.25">
      <c r="A207" s="390">
        <f ca="1">IF($H207="UNIDADE CONSTRUTIVA",OFFSET(A207,-1,0)+1,LARGE(A$3:A206,1))</f>
        <v>0</v>
      </c>
      <c r="B207" s="390">
        <f t="shared" ca="1" si="24"/>
        <v>3</v>
      </c>
      <c r="C207" s="390">
        <f t="shared" ca="1" si="25"/>
        <v>1</v>
      </c>
      <c r="D207" s="391">
        <f t="shared" ca="1" si="26"/>
        <v>2</v>
      </c>
      <c r="E207" s="391">
        <f t="shared" ca="1" si="27"/>
        <v>11</v>
      </c>
      <c r="F207" s="125"/>
      <c r="J207" s="130"/>
      <c r="K207" s="132"/>
      <c r="L207" s="413"/>
      <c r="M207" s="413"/>
      <c r="N207" s="414"/>
      <c r="O207" s="415"/>
      <c r="P207" s="133"/>
      <c r="Q207" s="130"/>
      <c r="R207" s="132"/>
      <c r="S207" s="132"/>
      <c r="T207" s="130"/>
    </row>
    <row r="208" spans="1:20" s="131" customFormat="1" ht="14.1" customHeight="1" x14ac:dyDescent="0.25">
      <c r="A208" s="390">
        <f ca="1">IF($H208="UNIDADE CONSTRUTIVA",OFFSET(A208,-1,0)+1,LARGE(A$3:A207,1))</f>
        <v>0</v>
      </c>
      <c r="B208" s="390">
        <f t="shared" ca="1" si="24"/>
        <v>3</v>
      </c>
      <c r="C208" s="390">
        <f t="shared" ca="1" si="25"/>
        <v>1</v>
      </c>
      <c r="D208" s="391">
        <f t="shared" ca="1" si="26"/>
        <v>2</v>
      </c>
      <c r="E208" s="391">
        <f t="shared" ca="1" si="27"/>
        <v>11</v>
      </c>
      <c r="F208" s="125"/>
      <c r="J208" s="130"/>
      <c r="K208" s="132"/>
      <c r="L208" s="413"/>
      <c r="M208" s="413"/>
      <c r="N208" s="414"/>
      <c r="O208" s="415"/>
      <c r="P208" s="133"/>
      <c r="Q208" s="130"/>
      <c r="R208" s="132"/>
      <c r="S208" s="132"/>
      <c r="T208" s="130"/>
    </row>
    <row r="209" spans="1:20" s="131" customFormat="1" ht="14.1" customHeight="1" x14ac:dyDescent="0.25">
      <c r="A209" s="390">
        <f ca="1">IF($H209="UNIDADE CONSTRUTIVA",OFFSET(A209,-1,0)+1,LARGE(A$3:A208,1))</f>
        <v>0</v>
      </c>
      <c r="B209" s="390">
        <f t="shared" ca="1" si="24"/>
        <v>3</v>
      </c>
      <c r="C209" s="390">
        <f t="shared" ca="1" si="25"/>
        <v>1</v>
      </c>
      <c r="D209" s="391">
        <f t="shared" ca="1" si="26"/>
        <v>2</v>
      </c>
      <c r="E209" s="391">
        <f t="shared" ca="1" si="27"/>
        <v>11</v>
      </c>
      <c r="F209" s="125"/>
      <c r="J209" s="130"/>
      <c r="K209" s="132"/>
      <c r="L209" s="413"/>
      <c r="M209" s="413"/>
      <c r="N209" s="414"/>
      <c r="O209" s="415"/>
      <c r="P209" s="133"/>
      <c r="Q209" s="130"/>
      <c r="R209" s="132"/>
      <c r="S209" s="132"/>
      <c r="T209" s="130"/>
    </row>
    <row r="210" spans="1:20" s="131" customFormat="1" ht="14.1" customHeight="1" x14ac:dyDescent="0.25">
      <c r="A210" s="390">
        <f ca="1">IF($H210="UNIDADE CONSTRUTIVA",OFFSET(A210,-1,0)+1,LARGE(A$3:A209,1))</f>
        <v>0</v>
      </c>
      <c r="B210" s="390">
        <f t="shared" ca="1" si="24"/>
        <v>3</v>
      </c>
      <c r="C210" s="390">
        <f t="shared" ca="1" si="25"/>
        <v>1</v>
      </c>
      <c r="D210" s="391">
        <f t="shared" ca="1" si="26"/>
        <v>2</v>
      </c>
      <c r="E210" s="391">
        <f t="shared" ca="1" si="27"/>
        <v>11</v>
      </c>
      <c r="F210" s="125"/>
      <c r="J210" s="130"/>
      <c r="K210" s="132"/>
      <c r="L210" s="413"/>
      <c r="M210" s="413"/>
      <c r="N210" s="414"/>
      <c r="O210" s="415"/>
      <c r="P210" s="133"/>
      <c r="Q210" s="130"/>
      <c r="R210" s="132"/>
      <c r="S210" s="132"/>
      <c r="T210" s="130"/>
    </row>
    <row r="211" spans="1:20" s="131" customFormat="1" ht="14.1" customHeight="1" x14ac:dyDescent="0.25">
      <c r="A211" s="390">
        <f ca="1">IF($H211="UNIDADE CONSTRUTIVA",OFFSET(A211,-1,0)+1,LARGE(A$3:A210,1))</f>
        <v>0</v>
      </c>
      <c r="B211" s="390">
        <f t="shared" ca="1" si="24"/>
        <v>3</v>
      </c>
      <c r="C211" s="390">
        <f t="shared" ca="1" si="25"/>
        <v>1</v>
      </c>
      <c r="D211" s="391">
        <f t="shared" ca="1" si="26"/>
        <v>2</v>
      </c>
      <c r="E211" s="391">
        <f t="shared" ca="1" si="27"/>
        <v>11</v>
      </c>
      <c r="F211" s="125"/>
      <c r="J211" s="130"/>
      <c r="K211" s="132"/>
      <c r="L211" s="413"/>
      <c r="M211" s="413"/>
      <c r="N211" s="414"/>
      <c r="O211" s="415"/>
      <c r="P211" s="133"/>
      <c r="Q211" s="130"/>
      <c r="R211" s="132"/>
      <c r="S211" s="132"/>
      <c r="T211" s="130"/>
    </row>
    <row r="212" spans="1:20" s="131" customFormat="1" ht="14.1" customHeight="1" x14ac:dyDescent="0.25">
      <c r="A212" s="390">
        <f ca="1">IF($H212="UNIDADE CONSTRUTIVA",OFFSET(A212,-1,0)+1,LARGE(A$3:A211,1))</f>
        <v>0</v>
      </c>
      <c r="B212" s="390">
        <f t="shared" ca="1" si="24"/>
        <v>3</v>
      </c>
      <c r="C212" s="390">
        <f t="shared" ca="1" si="25"/>
        <v>1</v>
      </c>
      <c r="D212" s="391">
        <f t="shared" ca="1" si="26"/>
        <v>2</v>
      </c>
      <c r="E212" s="391">
        <f t="shared" ca="1" si="27"/>
        <v>11</v>
      </c>
      <c r="F212" s="125"/>
      <c r="J212" s="130"/>
      <c r="K212" s="132"/>
      <c r="L212" s="413"/>
      <c r="M212" s="413"/>
      <c r="N212" s="414"/>
      <c r="O212" s="415"/>
      <c r="P212" s="133"/>
      <c r="Q212" s="130"/>
      <c r="R212" s="132"/>
      <c r="S212" s="132"/>
      <c r="T212" s="130"/>
    </row>
    <row r="213" spans="1:20" s="131" customFormat="1" ht="14.1" customHeight="1" x14ac:dyDescent="0.25">
      <c r="A213" s="390">
        <f ca="1">IF($H213="UNIDADE CONSTRUTIVA",OFFSET(A213,-1,0)+1,LARGE(A$3:A212,1))</f>
        <v>0</v>
      </c>
      <c r="B213" s="390">
        <f t="shared" ca="1" si="24"/>
        <v>3</v>
      </c>
      <c r="C213" s="390">
        <f t="shared" ca="1" si="25"/>
        <v>1</v>
      </c>
      <c r="D213" s="391">
        <f t="shared" ca="1" si="26"/>
        <v>2</v>
      </c>
      <c r="E213" s="391">
        <f t="shared" ca="1" si="27"/>
        <v>11</v>
      </c>
      <c r="F213" s="125"/>
      <c r="J213" s="130"/>
      <c r="K213" s="132"/>
      <c r="L213" s="413"/>
      <c r="M213" s="413"/>
      <c r="N213" s="414"/>
      <c r="O213" s="415"/>
      <c r="P213" s="133"/>
      <c r="Q213" s="130"/>
      <c r="R213" s="132"/>
      <c r="S213" s="132"/>
      <c r="T213" s="130"/>
    </row>
    <row r="214" spans="1:20" s="131" customFormat="1" ht="14.1" customHeight="1" x14ac:dyDescent="0.25">
      <c r="A214" s="390">
        <f ca="1">IF($H214="UNIDADE CONSTRUTIVA",OFFSET(A214,-1,0)+1,LARGE(A$3:A213,1))</f>
        <v>0</v>
      </c>
      <c r="B214" s="390">
        <f t="shared" ca="1" si="24"/>
        <v>3</v>
      </c>
      <c r="C214" s="390">
        <f t="shared" ca="1" si="25"/>
        <v>1</v>
      </c>
      <c r="D214" s="391">
        <f t="shared" ca="1" si="26"/>
        <v>2</v>
      </c>
      <c r="E214" s="391">
        <f t="shared" ca="1" si="27"/>
        <v>11</v>
      </c>
      <c r="F214" s="125"/>
      <c r="J214" s="130"/>
      <c r="K214" s="132"/>
      <c r="L214" s="413"/>
      <c r="M214" s="413"/>
      <c r="N214" s="414"/>
      <c r="O214" s="415"/>
      <c r="P214" s="133"/>
      <c r="Q214" s="130"/>
      <c r="R214" s="132"/>
      <c r="S214" s="132"/>
      <c r="T214" s="130"/>
    </row>
    <row r="215" spans="1:20" s="131" customFormat="1" ht="14.1" customHeight="1" x14ac:dyDescent="0.25">
      <c r="A215" s="390">
        <f ca="1">IF($H215="UNIDADE CONSTRUTIVA",OFFSET(A215,-1,0)+1,LARGE(A$3:A214,1))</f>
        <v>0</v>
      </c>
      <c r="B215" s="390">
        <f t="shared" ca="1" si="24"/>
        <v>3</v>
      </c>
      <c r="C215" s="390">
        <f t="shared" ca="1" si="25"/>
        <v>1</v>
      </c>
      <c r="D215" s="391">
        <f t="shared" ca="1" si="26"/>
        <v>2</v>
      </c>
      <c r="E215" s="391">
        <f t="shared" ca="1" si="27"/>
        <v>11</v>
      </c>
      <c r="F215" s="125"/>
      <c r="J215" s="130"/>
      <c r="K215" s="132"/>
      <c r="L215" s="413"/>
      <c r="M215" s="413"/>
      <c r="N215" s="414"/>
      <c r="O215" s="415"/>
      <c r="P215" s="133"/>
      <c r="Q215" s="130"/>
      <c r="R215" s="132"/>
      <c r="S215" s="132"/>
      <c r="T215" s="130"/>
    </row>
    <row r="216" spans="1:20" s="131" customFormat="1" ht="14.1" customHeight="1" x14ac:dyDescent="0.25">
      <c r="A216" s="390">
        <f ca="1">IF($H216="UNIDADE CONSTRUTIVA",OFFSET(A216,-1,0)+1,LARGE(A$3:A215,1))</f>
        <v>0</v>
      </c>
      <c r="B216" s="390">
        <f t="shared" ca="1" si="24"/>
        <v>3</v>
      </c>
      <c r="C216" s="390">
        <f t="shared" ca="1" si="25"/>
        <v>1</v>
      </c>
      <c r="D216" s="391">
        <f t="shared" ca="1" si="26"/>
        <v>2</v>
      </c>
      <c r="E216" s="391">
        <f t="shared" ca="1" si="27"/>
        <v>11</v>
      </c>
      <c r="F216" s="125"/>
      <c r="J216" s="130"/>
      <c r="K216" s="132"/>
      <c r="L216" s="413"/>
      <c r="M216" s="413"/>
      <c r="N216" s="414"/>
      <c r="O216" s="415"/>
      <c r="P216" s="133"/>
      <c r="Q216" s="130"/>
      <c r="R216" s="132"/>
      <c r="S216" s="132"/>
      <c r="T216" s="130"/>
    </row>
    <row r="217" spans="1:20" s="131" customFormat="1" ht="14.1" customHeight="1" x14ac:dyDescent="0.25">
      <c r="A217" s="390">
        <f ca="1">IF($H217="UNIDADE CONSTRUTIVA",OFFSET(A217,-1,0)+1,LARGE(A$3:A216,1))</f>
        <v>0</v>
      </c>
      <c r="B217" s="390">
        <f t="shared" ca="1" si="24"/>
        <v>3</v>
      </c>
      <c r="C217" s="390">
        <f t="shared" ca="1" si="25"/>
        <v>1</v>
      </c>
      <c r="D217" s="391">
        <f t="shared" ca="1" si="26"/>
        <v>2</v>
      </c>
      <c r="E217" s="391">
        <f t="shared" ca="1" si="27"/>
        <v>11</v>
      </c>
      <c r="F217" s="125"/>
      <c r="J217" s="130"/>
      <c r="K217" s="132"/>
      <c r="L217" s="413"/>
      <c r="M217" s="413"/>
      <c r="N217" s="414"/>
      <c r="O217" s="415"/>
      <c r="P217" s="133"/>
      <c r="Q217" s="130"/>
      <c r="R217" s="132"/>
      <c r="S217" s="132"/>
      <c r="T217" s="130"/>
    </row>
    <row r="218" spans="1:20" s="131" customFormat="1" ht="14.1" customHeight="1" x14ac:dyDescent="0.25">
      <c r="A218" s="390">
        <f ca="1">IF($H218="UNIDADE CONSTRUTIVA",OFFSET(A218,-1,0)+1,LARGE(A$3:A217,1))</f>
        <v>0</v>
      </c>
      <c r="B218" s="390">
        <f t="shared" ca="1" si="24"/>
        <v>3</v>
      </c>
      <c r="C218" s="390">
        <f t="shared" ca="1" si="25"/>
        <v>1</v>
      </c>
      <c r="D218" s="391">
        <f t="shared" ca="1" si="26"/>
        <v>2</v>
      </c>
      <c r="E218" s="391">
        <f t="shared" ca="1" si="27"/>
        <v>11</v>
      </c>
      <c r="F218" s="125"/>
      <c r="J218" s="130"/>
      <c r="K218" s="132"/>
      <c r="L218" s="413"/>
      <c r="M218" s="413"/>
      <c r="N218" s="414"/>
      <c r="O218" s="415"/>
      <c r="P218" s="133"/>
      <c r="Q218" s="130"/>
      <c r="R218" s="132"/>
      <c r="S218" s="132"/>
      <c r="T218" s="130"/>
    </row>
    <row r="219" spans="1:20" s="131" customFormat="1" ht="14.1" customHeight="1" x14ac:dyDescent="0.25">
      <c r="A219" s="390">
        <f ca="1">IF($H219="UNIDADE CONSTRUTIVA",OFFSET(A219,-1,0)+1,LARGE(A$3:A218,1))</f>
        <v>0</v>
      </c>
      <c r="B219" s="390">
        <f t="shared" ca="1" si="24"/>
        <v>3</v>
      </c>
      <c r="C219" s="390">
        <f t="shared" ca="1" si="25"/>
        <v>1</v>
      </c>
      <c r="D219" s="391">
        <f t="shared" ca="1" si="26"/>
        <v>2</v>
      </c>
      <c r="E219" s="391">
        <f t="shared" ca="1" si="27"/>
        <v>11</v>
      </c>
      <c r="F219" s="125"/>
      <c r="J219" s="130"/>
      <c r="K219" s="132"/>
      <c r="L219" s="413"/>
      <c r="M219" s="413"/>
      <c r="N219" s="414"/>
      <c r="O219" s="415"/>
      <c r="P219" s="133"/>
      <c r="Q219" s="130"/>
      <c r="R219" s="132"/>
      <c r="S219" s="132"/>
      <c r="T219" s="130"/>
    </row>
    <row r="220" spans="1:20" s="131" customFormat="1" ht="14.1" customHeight="1" x14ac:dyDescent="0.25">
      <c r="A220" s="390">
        <f ca="1">IF($H220="UNIDADE CONSTRUTIVA",OFFSET(A220,-1,0)+1,LARGE(A$3:A219,1))</f>
        <v>0</v>
      </c>
      <c r="B220" s="390">
        <f t="shared" ca="1" si="24"/>
        <v>3</v>
      </c>
      <c r="C220" s="390">
        <f t="shared" ca="1" si="25"/>
        <v>1</v>
      </c>
      <c r="D220" s="391">
        <f t="shared" ca="1" si="26"/>
        <v>2</v>
      </c>
      <c r="E220" s="391">
        <f t="shared" ca="1" si="27"/>
        <v>11</v>
      </c>
      <c r="F220" s="125"/>
      <c r="J220" s="130"/>
      <c r="K220" s="132"/>
      <c r="L220" s="413"/>
      <c r="M220" s="413"/>
      <c r="N220" s="414"/>
      <c r="O220" s="415"/>
      <c r="P220" s="133"/>
      <c r="Q220" s="130"/>
      <c r="R220" s="132"/>
      <c r="S220" s="132"/>
      <c r="T220" s="130"/>
    </row>
    <row r="221" spans="1:20" s="131" customFormat="1" ht="14.1" customHeight="1" x14ac:dyDescent="0.25">
      <c r="A221" s="390">
        <f ca="1">IF($H221="UNIDADE CONSTRUTIVA",OFFSET(A221,-1,0)+1,LARGE(A$3:A220,1))</f>
        <v>0</v>
      </c>
      <c r="B221" s="390">
        <f t="shared" ca="1" si="24"/>
        <v>3</v>
      </c>
      <c r="C221" s="390">
        <f t="shared" ca="1" si="25"/>
        <v>1</v>
      </c>
      <c r="D221" s="391">
        <f t="shared" ca="1" si="26"/>
        <v>2</v>
      </c>
      <c r="E221" s="391">
        <f t="shared" ca="1" si="27"/>
        <v>11</v>
      </c>
      <c r="F221" s="125"/>
      <c r="J221" s="130"/>
      <c r="K221" s="132"/>
      <c r="L221" s="413"/>
      <c r="M221" s="413"/>
      <c r="N221" s="414"/>
      <c r="O221" s="415"/>
      <c r="P221" s="133"/>
      <c r="Q221" s="130"/>
      <c r="R221" s="132"/>
      <c r="S221" s="132"/>
      <c r="T221" s="130"/>
    </row>
    <row r="222" spans="1:20" s="131" customFormat="1" ht="14.1" customHeight="1" x14ac:dyDescent="0.25">
      <c r="A222" s="390">
        <f ca="1">IF($H222="UNIDADE CONSTRUTIVA",OFFSET(A222,-1,0)+1,LARGE(A$3:A221,1))</f>
        <v>0</v>
      </c>
      <c r="B222" s="390">
        <f t="shared" ca="1" si="24"/>
        <v>3</v>
      </c>
      <c r="C222" s="390">
        <f t="shared" ca="1" si="25"/>
        <v>1</v>
      </c>
      <c r="D222" s="391">
        <f t="shared" ca="1" si="26"/>
        <v>2</v>
      </c>
      <c r="E222" s="391">
        <f t="shared" ca="1" si="27"/>
        <v>11</v>
      </c>
      <c r="F222" s="125"/>
      <c r="J222" s="130"/>
      <c r="K222" s="132"/>
      <c r="L222" s="413"/>
      <c r="M222" s="413"/>
      <c r="N222" s="414"/>
      <c r="O222" s="415"/>
      <c r="P222" s="133"/>
      <c r="Q222" s="130"/>
      <c r="R222" s="132"/>
      <c r="S222" s="132"/>
      <c r="T222" s="130"/>
    </row>
    <row r="223" spans="1:20" s="131" customFormat="1" ht="14.1" customHeight="1" x14ac:dyDescent="0.25">
      <c r="A223" s="390">
        <f ca="1">IF($H223="UNIDADE CONSTRUTIVA",OFFSET(A223,-1,0)+1,LARGE(A$3:A222,1))</f>
        <v>0</v>
      </c>
      <c r="B223" s="390">
        <f t="shared" ca="1" si="24"/>
        <v>3</v>
      </c>
      <c r="C223" s="390">
        <f t="shared" ca="1" si="25"/>
        <v>1</v>
      </c>
      <c r="D223" s="391">
        <f t="shared" ca="1" si="26"/>
        <v>2</v>
      </c>
      <c r="E223" s="391">
        <f t="shared" ca="1" si="27"/>
        <v>11</v>
      </c>
      <c r="F223" s="125"/>
      <c r="J223" s="130"/>
      <c r="K223" s="132"/>
      <c r="L223" s="413"/>
      <c r="M223" s="413"/>
      <c r="N223" s="414"/>
      <c r="O223" s="415"/>
      <c r="P223" s="133"/>
      <c r="Q223" s="130"/>
      <c r="R223" s="132"/>
      <c r="S223" s="132"/>
      <c r="T223" s="130"/>
    </row>
    <row r="224" spans="1:20" s="131" customFormat="1" ht="14.1" customHeight="1" x14ac:dyDescent="0.25">
      <c r="A224" s="390">
        <f ca="1">IF($H224="UNIDADE CONSTRUTIVA",OFFSET(A224,-1,0)+1,LARGE(A$3:A223,1))</f>
        <v>0</v>
      </c>
      <c r="B224" s="390">
        <f t="shared" ca="1" si="24"/>
        <v>3</v>
      </c>
      <c r="C224" s="390">
        <f t="shared" ca="1" si="25"/>
        <v>1</v>
      </c>
      <c r="D224" s="391">
        <f t="shared" ca="1" si="26"/>
        <v>2</v>
      </c>
      <c r="E224" s="391">
        <f t="shared" ca="1" si="27"/>
        <v>11</v>
      </c>
      <c r="F224" s="125"/>
      <c r="J224" s="130"/>
      <c r="K224" s="132"/>
      <c r="L224" s="413"/>
      <c r="M224" s="413"/>
      <c r="N224" s="414"/>
      <c r="O224" s="415"/>
      <c r="P224" s="133"/>
      <c r="Q224" s="130"/>
      <c r="R224" s="132"/>
      <c r="S224" s="132"/>
      <c r="T224" s="130"/>
    </row>
    <row r="225" spans="1:20" s="131" customFormat="1" ht="14.1" customHeight="1" x14ac:dyDescent="0.25">
      <c r="A225" s="390">
        <f ca="1">IF($H225="UNIDADE CONSTRUTIVA",OFFSET(A225,-1,0)+1,LARGE(A$3:A224,1))</f>
        <v>0</v>
      </c>
      <c r="B225" s="390">
        <f t="shared" ca="1" si="24"/>
        <v>3</v>
      </c>
      <c r="C225" s="390">
        <f t="shared" ca="1" si="25"/>
        <v>1</v>
      </c>
      <c r="D225" s="391">
        <f t="shared" ca="1" si="26"/>
        <v>2</v>
      </c>
      <c r="E225" s="391">
        <f t="shared" ca="1" si="27"/>
        <v>11</v>
      </c>
      <c r="F225" s="125"/>
      <c r="J225" s="130"/>
      <c r="K225" s="132"/>
      <c r="L225" s="413"/>
      <c r="M225" s="413"/>
      <c r="N225" s="414"/>
      <c r="O225" s="415"/>
      <c r="P225" s="133"/>
      <c r="Q225" s="130"/>
      <c r="R225" s="132"/>
      <c r="S225" s="132"/>
      <c r="T225" s="130"/>
    </row>
    <row r="226" spans="1:20" s="131" customFormat="1" ht="14.1" customHeight="1" x14ac:dyDescent="0.25">
      <c r="A226" s="390">
        <f ca="1">IF($H226="UNIDADE CONSTRUTIVA",OFFSET(A226,-1,0)+1,LARGE(A$3:A225,1))</f>
        <v>0</v>
      </c>
      <c r="B226" s="390">
        <f t="shared" ca="1" si="24"/>
        <v>3</v>
      </c>
      <c r="C226" s="390">
        <f t="shared" ca="1" si="25"/>
        <v>1</v>
      </c>
      <c r="D226" s="391">
        <f t="shared" ca="1" si="26"/>
        <v>2</v>
      </c>
      <c r="E226" s="391">
        <f t="shared" ca="1" si="27"/>
        <v>11</v>
      </c>
      <c r="F226" s="125"/>
      <c r="J226" s="130"/>
      <c r="K226" s="132"/>
      <c r="L226" s="413"/>
      <c r="M226" s="413"/>
      <c r="N226" s="414"/>
      <c r="O226" s="415"/>
      <c r="P226" s="133"/>
      <c r="Q226" s="130"/>
      <c r="R226" s="132"/>
      <c r="S226" s="132"/>
      <c r="T226" s="130"/>
    </row>
    <row r="227" spans="1:20" s="131" customFormat="1" ht="14.1" customHeight="1" x14ac:dyDescent="0.25">
      <c r="A227" s="390">
        <f ca="1">IF($H227="UNIDADE CONSTRUTIVA",OFFSET(A227,-1,0)+1,LARGE(A$3:A226,1))</f>
        <v>0</v>
      </c>
      <c r="B227" s="390">
        <f t="shared" ca="1" si="24"/>
        <v>3</v>
      </c>
      <c r="C227" s="390">
        <f t="shared" ca="1" si="25"/>
        <v>1</v>
      </c>
      <c r="D227" s="391">
        <f t="shared" ca="1" si="26"/>
        <v>2</v>
      </c>
      <c r="E227" s="391">
        <f t="shared" ca="1" si="27"/>
        <v>11</v>
      </c>
      <c r="F227" s="125"/>
      <c r="J227" s="130"/>
      <c r="K227" s="132"/>
      <c r="L227" s="413"/>
      <c r="M227" s="413"/>
      <c r="N227" s="414"/>
      <c r="O227" s="415"/>
      <c r="P227" s="133"/>
      <c r="Q227" s="130"/>
      <c r="R227" s="132"/>
      <c r="S227" s="132"/>
      <c r="T227" s="130"/>
    </row>
    <row r="228" spans="1:20" s="131" customFormat="1" ht="14.1" customHeight="1" x14ac:dyDescent="0.25">
      <c r="A228" s="390">
        <f ca="1">IF($H228="UNIDADE CONSTRUTIVA",OFFSET(A228,-1,0)+1,LARGE(A$3:A227,1))</f>
        <v>0</v>
      </c>
      <c r="B228" s="390">
        <f t="shared" ca="1" si="24"/>
        <v>3</v>
      </c>
      <c r="C228" s="390">
        <f t="shared" ca="1" si="25"/>
        <v>1</v>
      </c>
      <c r="D228" s="391">
        <f t="shared" ca="1" si="26"/>
        <v>2</v>
      </c>
      <c r="E228" s="391">
        <f t="shared" ca="1" si="27"/>
        <v>11</v>
      </c>
      <c r="F228" s="125"/>
      <c r="J228" s="130"/>
      <c r="K228" s="132"/>
      <c r="L228" s="413"/>
      <c r="M228" s="413"/>
      <c r="N228" s="414"/>
      <c r="O228" s="415"/>
      <c r="P228" s="133"/>
      <c r="Q228" s="130"/>
      <c r="R228" s="132"/>
      <c r="S228" s="132"/>
      <c r="T228" s="130"/>
    </row>
    <row r="229" spans="1:20" s="131" customFormat="1" ht="14.1" customHeight="1" x14ac:dyDescent="0.25">
      <c r="A229" s="390">
        <f ca="1">IF($H229="UNIDADE CONSTRUTIVA",OFFSET(A229,-1,0)+1,LARGE(A$3:A228,1))</f>
        <v>0</v>
      </c>
      <c r="B229" s="390">
        <f t="shared" ca="1" si="24"/>
        <v>3</v>
      </c>
      <c r="C229" s="390">
        <f t="shared" ca="1" si="25"/>
        <v>1</v>
      </c>
      <c r="D229" s="391">
        <f t="shared" ca="1" si="26"/>
        <v>2</v>
      </c>
      <c r="E229" s="391">
        <f t="shared" ca="1" si="27"/>
        <v>11</v>
      </c>
      <c r="F229" s="125"/>
      <c r="J229" s="130"/>
      <c r="K229" s="132"/>
      <c r="L229" s="413"/>
      <c r="M229" s="413"/>
      <c r="N229" s="414"/>
      <c r="O229" s="415"/>
      <c r="P229" s="133"/>
      <c r="Q229" s="130"/>
      <c r="R229" s="132"/>
      <c r="S229" s="132"/>
      <c r="T229" s="130"/>
    </row>
    <row r="230" spans="1:20" s="131" customFormat="1" ht="14.1" customHeight="1" x14ac:dyDescent="0.25">
      <c r="A230" s="390">
        <f ca="1">IF($H230="UNIDADE CONSTRUTIVA",OFFSET(A230,-1,0)+1,LARGE(A$3:A229,1))</f>
        <v>0</v>
      </c>
      <c r="B230" s="390">
        <f t="shared" ca="1" si="24"/>
        <v>3</v>
      </c>
      <c r="C230" s="390">
        <f t="shared" ca="1" si="25"/>
        <v>1</v>
      </c>
      <c r="D230" s="391">
        <f t="shared" ca="1" si="26"/>
        <v>2</v>
      </c>
      <c r="E230" s="391">
        <f t="shared" ca="1" si="27"/>
        <v>11</v>
      </c>
      <c r="F230" s="125"/>
      <c r="J230" s="130"/>
      <c r="K230" s="132"/>
      <c r="L230" s="413"/>
      <c r="M230" s="413"/>
      <c r="N230" s="414"/>
      <c r="O230" s="415"/>
      <c r="P230" s="133"/>
      <c r="Q230" s="130"/>
      <c r="R230" s="132"/>
      <c r="S230" s="132"/>
      <c r="T230" s="130"/>
    </row>
    <row r="231" spans="1:20" s="131" customFormat="1" ht="14.1" customHeight="1" x14ac:dyDescent="0.25">
      <c r="A231" s="390">
        <f ca="1">IF($H231="UNIDADE CONSTRUTIVA",OFFSET(A231,-1,0)+1,LARGE(A$3:A230,1))</f>
        <v>0</v>
      </c>
      <c r="B231" s="390">
        <f t="shared" ca="1" si="24"/>
        <v>3</v>
      </c>
      <c r="C231" s="390">
        <f t="shared" ca="1" si="25"/>
        <v>1</v>
      </c>
      <c r="D231" s="391">
        <f t="shared" ca="1" si="26"/>
        <v>2</v>
      </c>
      <c r="E231" s="391">
        <f t="shared" ca="1" si="27"/>
        <v>11</v>
      </c>
      <c r="F231" s="125"/>
      <c r="J231" s="130"/>
      <c r="K231" s="132"/>
      <c r="L231" s="413"/>
      <c r="M231" s="413"/>
      <c r="N231" s="414"/>
      <c r="O231" s="415"/>
      <c r="P231" s="133"/>
      <c r="Q231" s="130"/>
      <c r="R231" s="132"/>
      <c r="S231" s="132"/>
      <c r="T231" s="130"/>
    </row>
    <row r="232" spans="1:20" s="131" customFormat="1" ht="14.1" customHeight="1" x14ac:dyDescent="0.25">
      <c r="A232" s="390">
        <f ca="1">IF($H232="UNIDADE CONSTRUTIVA",OFFSET(A232,-1,0)+1,LARGE(A$3:A231,1))</f>
        <v>0</v>
      </c>
      <c r="B232" s="390">
        <f t="shared" ca="1" si="24"/>
        <v>3</v>
      </c>
      <c r="C232" s="390">
        <f t="shared" ca="1" si="25"/>
        <v>1</v>
      </c>
      <c r="D232" s="391">
        <f t="shared" ca="1" si="26"/>
        <v>2</v>
      </c>
      <c r="E232" s="391">
        <f t="shared" ca="1" si="27"/>
        <v>11</v>
      </c>
      <c r="F232" s="125"/>
      <c r="J232" s="130"/>
      <c r="K232" s="132"/>
      <c r="L232" s="413"/>
      <c r="M232" s="413"/>
      <c r="N232" s="414"/>
      <c r="O232" s="415"/>
      <c r="P232" s="133"/>
      <c r="Q232" s="130"/>
      <c r="R232" s="132"/>
      <c r="S232" s="132"/>
      <c r="T232" s="130"/>
    </row>
    <row r="233" spans="1:20" s="131" customFormat="1" ht="14.1" customHeight="1" x14ac:dyDescent="0.25">
      <c r="A233" s="390">
        <f ca="1">IF($H233="UNIDADE CONSTRUTIVA",OFFSET(A233,-1,0)+1,LARGE(A$3:A232,1))</f>
        <v>0</v>
      </c>
      <c r="B233" s="390">
        <f t="shared" ca="1" si="24"/>
        <v>3</v>
      </c>
      <c r="C233" s="390">
        <f t="shared" ca="1" si="25"/>
        <v>1</v>
      </c>
      <c r="D233" s="391">
        <f t="shared" ca="1" si="26"/>
        <v>2</v>
      </c>
      <c r="E233" s="391">
        <f t="shared" ca="1" si="27"/>
        <v>11</v>
      </c>
      <c r="F233" s="125"/>
      <c r="J233" s="130"/>
      <c r="K233" s="132"/>
      <c r="L233" s="413"/>
      <c r="M233" s="413"/>
      <c r="N233" s="414"/>
      <c r="O233" s="415"/>
      <c r="P233" s="133"/>
      <c r="Q233" s="130"/>
      <c r="R233" s="132"/>
      <c r="S233" s="132"/>
      <c r="T233" s="130"/>
    </row>
    <row r="234" spans="1:20" s="131" customFormat="1" ht="14.1" customHeight="1" x14ac:dyDescent="0.25">
      <c r="A234" s="390">
        <f ca="1">IF($H234="UNIDADE CONSTRUTIVA",OFFSET(A234,-1,0)+1,LARGE(A$3:A233,1))</f>
        <v>0</v>
      </c>
      <c r="B234" s="390">
        <f t="shared" ca="1" si="24"/>
        <v>3</v>
      </c>
      <c r="C234" s="390">
        <f t="shared" ca="1" si="25"/>
        <v>1</v>
      </c>
      <c r="D234" s="391">
        <f t="shared" ca="1" si="26"/>
        <v>2</v>
      </c>
      <c r="E234" s="391">
        <f t="shared" ca="1" si="27"/>
        <v>11</v>
      </c>
      <c r="F234" s="125"/>
      <c r="J234" s="130"/>
      <c r="K234" s="132"/>
      <c r="L234" s="413"/>
      <c r="M234" s="413"/>
      <c r="N234" s="414"/>
      <c r="O234" s="415"/>
      <c r="P234" s="133"/>
      <c r="Q234" s="130"/>
      <c r="R234" s="132"/>
      <c r="S234" s="132"/>
      <c r="T234" s="130"/>
    </row>
    <row r="235" spans="1:20" s="131" customFormat="1" ht="14.1" customHeight="1" x14ac:dyDescent="0.25">
      <c r="A235" s="390">
        <f ca="1">IF($H235="UNIDADE CONSTRUTIVA",OFFSET(A235,-1,0)+1,LARGE(A$3:A234,1))</f>
        <v>0</v>
      </c>
      <c r="B235" s="390">
        <f t="shared" ca="1" si="24"/>
        <v>3</v>
      </c>
      <c r="C235" s="390">
        <f t="shared" ca="1" si="25"/>
        <v>1</v>
      </c>
      <c r="D235" s="391">
        <f t="shared" ca="1" si="26"/>
        <v>2</v>
      </c>
      <c r="E235" s="391">
        <f t="shared" ca="1" si="27"/>
        <v>11</v>
      </c>
      <c r="F235" s="125"/>
      <c r="J235" s="130"/>
      <c r="K235" s="132"/>
      <c r="L235" s="413"/>
      <c r="M235" s="413"/>
      <c r="N235" s="414"/>
      <c r="O235" s="415"/>
      <c r="P235" s="133"/>
      <c r="Q235" s="130"/>
      <c r="R235" s="132"/>
      <c r="S235" s="132"/>
      <c r="T235" s="130"/>
    </row>
    <row r="236" spans="1:20" s="131" customFormat="1" ht="14.1" customHeight="1" x14ac:dyDescent="0.25">
      <c r="A236" s="390">
        <f ca="1">IF($H236="UNIDADE CONSTRUTIVA",OFFSET(A236,-1,0)+1,LARGE(A$3:A235,1))</f>
        <v>0</v>
      </c>
      <c r="B236" s="390">
        <f t="shared" ca="1" si="24"/>
        <v>3</v>
      </c>
      <c r="C236" s="390">
        <f t="shared" ca="1" si="25"/>
        <v>1</v>
      </c>
      <c r="D236" s="391">
        <f t="shared" ca="1" si="26"/>
        <v>2</v>
      </c>
      <c r="E236" s="391">
        <f t="shared" ca="1" si="27"/>
        <v>11</v>
      </c>
      <c r="F236" s="125"/>
      <c r="J236" s="130"/>
      <c r="K236" s="132"/>
      <c r="L236" s="413"/>
      <c r="M236" s="413"/>
      <c r="N236" s="414"/>
      <c r="O236" s="415"/>
      <c r="P236" s="133"/>
      <c r="Q236" s="130"/>
      <c r="R236" s="132"/>
      <c r="S236" s="132"/>
      <c r="T236" s="130"/>
    </row>
    <row r="237" spans="1:20" s="131" customFormat="1" ht="14.1" customHeight="1" x14ac:dyDescent="0.25">
      <c r="A237" s="390">
        <f ca="1">IF($H237="UNIDADE CONSTRUTIVA",OFFSET(A237,-1,0)+1,LARGE(A$3:A236,1))</f>
        <v>0</v>
      </c>
      <c r="B237" s="390">
        <f t="shared" ca="1" si="24"/>
        <v>3</v>
      </c>
      <c r="C237" s="390">
        <f t="shared" ca="1" si="25"/>
        <v>1</v>
      </c>
      <c r="D237" s="391">
        <f t="shared" ca="1" si="26"/>
        <v>2</v>
      </c>
      <c r="E237" s="391">
        <f t="shared" ca="1" si="27"/>
        <v>11</v>
      </c>
      <c r="F237" s="125"/>
      <c r="J237" s="130"/>
      <c r="K237" s="132"/>
      <c r="L237" s="413"/>
      <c r="M237" s="413"/>
      <c r="N237" s="414"/>
      <c r="O237" s="415"/>
      <c r="P237" s="133"/>
      <c r="Q237" s="130"/>
      <c r="R237" s="132"/>
      <c r="S237" s="132"/>
      <c r="T237" s="130"/>
    </row>
    <row r="238" spans="1:20" s="131" customFormat="1" ht="14.1" customHeight="1" x14ac:dyDescent="0.25">
      <c r="A238" s="390">
        <f ca="1">IF($H238="UNIDADE CONSTRUTIVA",OFFSET(A238,-1,0)+1,LARGE(A$3:A237,1))</f>
        <v>0</v>
      </c>
      <c r="B238" s="390">
        <f t="shared" ca="1" si="24"/>
        <v>3</v>
      </c>
      <c r="C238" s="390">
        <f t="shared" ca="1" si="25"/>
        <v>1</v>
      </c>
      <c r="D238" s="391">
        <f t="shared" ca="1" si="26"/>
        <v>2</v>
      </c>
      <c r="E238" s="391">
        <f t="shared" ca="1" si="27"/>
        <v>11</v>
      </c>
      <c r="F238" s="125"/>
      <c r="J238" s="130"/>
      <c r="K238" s="132"/>
      <c r="L238" s="413"/>
      <c r="M238" s="413"/>
      <c r="N238" s="414"/>
      <c r="O238" s="415"/>
      <c r="P238" s="133"/>
      <c r="Q238" s="130"/>
      <c r="R238" s="132"/>
      <c r="S238" s="132"/>
      <c r="T238" s="130"/>
    </row>
    <row r="239" spans="1:20" s="131" customFormat="1" ht="14.1" customHeight="1" x14ac:dyDescent="0.25">
      <c r="A239" s="390">
        <f ca="1">IF($H239="UNIDADE CONSTRUTIVA",OFFSET(A239,-1,0)+1,LARGE(A$3:A238,1))</f>
        <v>0</v>
      </c>
      <c r="B239" s="390">
        <f t="shared" ca="1" si="24"/>
        <v>3</v>
      </c>
      <c r="C239" s="390">
        <f t="shared" ca="1" si="25"/>
        <v>1</v>
      </c>
      <c r="D239" s="391">
        <f t="shared" ca="1" si="26"/>
        <v>2</v>
      </c>
      <c r="E239" s="391">
        <f t="shared" ca="1" si="27"/>
        <v>11</v>
      </c>
      <c r="F239" s="125"/>
      <c r="J239" s="130"/>
      <c r="K239" s="132"/>
      <c r="L239" s="413"/>
      <c r="M239" s="413"/>
      <c r="N239" s="414"/>
      <c r="O239" s="415"/>
      <c r="P239" s="133"/>
      <c r="Q239" s="130"/>
      <c r="R239" s="132"/>
      <c r="S239" s="132"/>
      <c r="T239" s="130"/>
    </row>
    <row r="240" spans="1:20" s="131" customFormat="1" ht="14.1" customHeight="1" x14ac:dyDescent="0.25">
      <c r="A240" s="390">
        <f ca="1">IF($H240="UNIDADE CONSTRUTIVA",OFFSET(A240,-1,0)+1,LARGE(A$3:A239,1))</f>
        <v>0</v>
      </c>
      <c r="B240" s="390">
        <f t="shared" ca="1" si="24"/>
        <v>3</v>
      </c>
      <c r="C240" s="390">
        <f t="shared" ca="1" si="25"/>
        <v>1</v>
      </c>
      <c r="D240" s="391">
        <f t="shared" ca="1" si="26"/>
        <v>2</v>
      </c>
      <c r="E240" s="391">
        <f t="shared" ca="1" si="27"/>
        <v>11</v>
      </c>
      <c r="F240" s="125"/>
      <c r="J240" s="130"/>
      <c r="K240" s="132"/>
      <c r="L240" s="413"/>
      <c r="M240" s="413"/>
      <c r="N240" s="414"/>
      <c r="O240" s="415"/>
      <c r="P240" s="133"/>
      <c r="Q240" s="130"/>
      <c r="R240" s="132"/>
      <c r="S240" s="132"/>
      <c r="T240" s="130"/>
    </row>
    <row r="241" spans="1:20" s="131" customFormat="1" ht="14.1" customHeight="1" x14ac:dyDescent="0.25">
      <c r="A241" s="390">
        <f ca="1">IF($H241="UNIDADE CONSTRUTIVA",OFFSET(A241,-1,0)+1,LARGE(A$3:A240,1))</f>
        <v>0</v>
      </c>
      <c r="B241" s="390">
        <f t="shared" ca="1" si="24"/>
        <v>3</v>
      </c>
      <c r="C241" s="390">
        <f t="shared" ca="1" si="25"/>
        <v>1</v>
      </c>
      <c r="D241" s="391">
        <f t="shared" ca="1" si="26"/>
        <v>2</v>
      </c>
      <c r="E241" s="391">
        <f t="shared" ca="1" si="27"/>
        <v>11</v>
      </c>
      <c r="F241" s="125"/>
      <c r="J241" s="130"/>
      <c r="K241" s="132"/>
      <c r="L241" s="413"/>
      <c r="M241" s="413"/>
      <c r="N241" s="414"/>
      <c r="O241" s="415"/>
      <c r="P241" s="133"/>
      <c r="Q241" s="130"/>
      <c r="R241" s="132"/>
      <c r="S241" s="132"/>
      <c r="T241" s="130"/>
    </row>
    <row r="242" spans="1:20" s="131" customFormat="1" ht="14.1" customHeight="1" x14ac:dyDescent="0.25">
      <c r="A242" s="390">
        <f ca="1">IF($H242="UNIDADE CONSTRUTIVA",OFFSET(A242,-1,0)+1,LARGE(A$3:A241,1))</f>
        <v>0</v>
      </c>
      <c r="B242" s="390">
        <f t="shared" ca="1" si="24"/>
        <v>3</v>
      </c>
      <c r="C242" s="390">
        <f t="shared" ca="1" si="25"/>
        <v>1</v>
      </c>
      <c r="D242" s="391">
        <f t="shared" ca="1" si="26"/>
        <v>2</v>
      </c>
      <c r="E242" s="391">
        <f t="shared" ca="1" si="27"/>
        <v>11</v>
      </c>
      <c r="F242" s="125"/>
      <c r="J242" s="130"/>
      <c r="K242" s="132"/>
      <c r="L242" s="413"/>
      <c r="M242" s="413"/>
      <c r="N242" s="414"/>
      <c r="O242" s="415"/>
      <c r="P242" s="133"/>
      <c r="Q242" s="130"/>
      <c r="R242" s="132"/>
      <c r="S242" s="132"/>
      <c r="T242" s="130"/>
    </row>
    <row r="243" spans="1:20" s="131" customFormat="1" ht="14.1" customHeight="1" x14ac:dyDescent="0.25">
      <c r="A243" s="390">
        <f ca="1">IF($H243="UNIDADE CONSTRUTIVA",OFFSET(A243,-1,0)+1,LARGE(A$3:A242,1))</f>
        <v>0</v>
      </c>
      <c r="B243" s="390">
        <f t="shared" ca="1" si="24"/>
        <v>3</v>
      </c>
      <c r="C243" s="390">
        <f t="shared" ca="1" si="25"/>
        <v>1</v>
      </c>
      <c r="D243" s="391">
        <f t="shared" ca="1" si="26"/>
        <v>2</v>
      </c>
      <c r="E243" s="391">
        <f t="shared" ca="1" si="27"/>
        <v>11</v>
      </c>
      <c r="F243" s="125"/>
      <c r="J243" s="130"/>
      <c r="K243" s="132"/>
      <c r="L243" s="413"/>
      <c r="M243" s="413"/>
      <c r="N243" s="414"/>
      <c r="O243" s="415"/>
      <c r="P243" s="133"/>
      <c r="Q243" s="130"/>
      <c r="R243" s="132"/>
      <c r="S243" s="132"/>
      <c r="T243" s="130"/>
    </row>
    <row r="244" spans="1:20" s="131" customFormat="1" ht="14.1" customHeight="1" x14ac:dyDescent="0.25">
      <c r="A244" s="390">
        <f ca="1">IF($H244="UNIDADE CONSTRUTIVA",OFFSET(A244,-1,0)+1,LARGE(A$3:A243,1))</f>
        <v>0</v>
      </c>
      <c r="B244" s="390">
        <f t="shared" ca="1" si="24"/>
        <v>3</v>
      </c>
      <c r="C244" s="390">
        <f t="shared" ca="1" si="25"/>
        <v>1</v>
      </c>
      <c r="D244" s="391">
        <f t="shared" ca="1" si="26"/>
        <v>2</v>
      </c>
      <c r="E244" s="391">
        <f t="shared" ca="1" si="27"/>
        <v>11</v>
      </c>
      <c r="F244" s="125"/>
      <c r="J244" s="130"/>
      <c r="K244" s="132"/>
      <c r="L244" s="413"/>
      <c r="M244" s="413"/>
      <c r="N244" s="414"/>
      <c r="O244" s="415"/>
      <c r="P244" s="133"/>
      <c r="Q244" s="130"/>
      <c r="R244" s="132"/>
      <c r="S244" s="132"/>
      <c r="T244" s="130"/>
    </row>
    <row r="245" spans="1:20" s="131" customFormat="1" ht="14.1" customHeight="1" x14ac:dyDescent="0.25">
      <c r="A245" s="390">
        <f ca="1">IF($H245="UNIDADE CONSTRUTIVA",OFFSET(A245,-1,0)+1,LARGE(A$3:A244,1))</f>
        <v>0</v>
      </c>
      <c r="B245" s="390">
        <f t="shared" ca="1" si="24"/>
        <v>3</v>
      </c>
      <c r="C245" s="390">
        <f t="shared" ca="1" si="25"/>
        <v>1</v>
      </c>
      <c r="D245" s="391">
        <f t="shared" ca="1" si="26"/>
        <v>2</v>
      </c>
      <c r="E245" s="391">
        <f t="shared" ca="1" si="27"/>
        <v>11</v>
      </c>
      <c r="F245" s="125"/>
      <c r="J245" s="130"/>
      <c r="K245" s="132"/>
      <c r="L245" s="413"/>
      <c r="M245" s="413"/>
      <c r="N245" s="414"/>
      <c r="O245" s="415"/>
      <c r="P245" s="133"/>
      <c r="Q245" s="130"/>
      <c r="R245" s="132"/>
      <c r="S245" s="132"/>
      <c r="T245" s="130"/>
    </row>
    <row r="246" spans="1:20" s="131" customFormat="1" ht="14.1" customHeight="1" x14ac:dyDescent="0.25">
      <c r="A246" s="390">
        <f ca="1">IF($H246="UNIDADE CONSTRUTIVA",OFFSET(A246,-1,0)+1,LARGE(A$3:A245,1))</f>
        <v>0</v>
      </c>
      <c r="B246" s="390">
        <f t="shared" ca="1" si="24"/>
        <v>3</v>
      </c>
      <c r="C246" s="390">
        <f t="shared" ca="1" si="25"/>
        <v>1</v>
      </c>
      <c r="D246" s="391">
        <f t="shared" ca="1" si="26"/>
        <v>2</v>
      </c>
      <c r="E246" s="391">
        <f t="shared" ca="1" si="27"/>
        <v>11</v>
      </c>
      <c r="F246" s="125"/>
      <c r="J246" s="130"/>
      <c r="K246" s="132"/>
      <c r="L246" s="413"/>
      <c r="M246" s="413"/>
      <c r="N246" s="414"/>
      <c r="O246" s="415"/>
      <c r="P246" s="133"/>
      <c r="Q246" s="130"/>
      <c r="R246" s="132"/>
      <c r="S246" s="132"/>
      <c r="T246" s="130"/>
    </row>
    <row r="247" spans="1:20" s="131" customFormat="1" ht="14.1" customHeight="1" x14ac:dyDescent="0.25">
      <c r="A247" s="390">
        <f ca="1">IF($H247="UNIDADE CONSTRUTIVA",OFFSET(A247,-1,0)+1,LARGE(A$3:A246,1))</f>
        <v>0</v>
      </c>
      <c r="B247" s="390">
        <f t="shared" ca="1" si="24"/>
        <v>3</v>
      </c>
      <c r="C247" s="390">
        <f t="shared" ca="1" si="25"/>
        <v>1</v>
      </c>
      <c r="D247" s="391">
        <f t="shared" ca="1" si="26"/>
        <v>2</v>
      </c>
      <c r="E247" s="391">
        <f t="shared" ca="1" si="27"/>
        <v>11</v>
      </c>
      <c r="F247" s="125"/>
      <c r="J247" s="130"/>
      <c r="K247" s="132"/>
      <c r="L247" s="413"/>
      <c r="M247" s="413"/>
      <c r="N247" s="414"/>
      <c r="O247" s="415"/>
      <c r="P247" s="133"/>
      <c r="Q247" s="130"/>
      <c r="R247" s="132"/>
      <c r="S247" s="132"/>
      <c r="T247" s="130"/>
    </row>
    <row r="248" spans="1:20" s="131" customFormat="1" ht="14.1" customHeight="1" x14ac:dyDescent="0.25">
      <c r="A248" s="390">
        <f ca="1">IF($H248="UNIDADE CONSTRUTIVA",OFFSET(A248,-1,0)+1,LARGE(A$3:A247,1))</f>
        <v>0</v>
      </c>
      <c r="B248" s="390">
        <f t="shared" ca="1" si="24"/>
        <v>3</v>
      </c>
      <c r="C248" s="390">
        <f t="shared" ca="1" si="25"/>
        <v>1</v>
      </c>
      <c r="D248" s="391">
        <f t="shared" ca="1" si="26"/>
        <v>2</v>
      </c>
      <c r="E248" s="391">
        <f t="shared" ca="1" si="27"/>
        <v>11</v>
      </c>
      <c r="F248" s="125"/>
      <c r="J248" s="130"/>
      <c r="K248" s="132"/>
      <c r="L248" s="413"/>
      <c r="M248" s="413"/>
      <c r="N248" s="414"/>
      <c r="O248" s="415"/>
      <c r="P248" s="133"/>
      <c r="Q248" s="130"/>
      <c r="R248" s="132"/>
      <c r="S248" s="132"/>
      <c r="T248" s="130"/>
    </row>
    <row r="249" spans="1:20" s="131" customFormat="1" ht="14.1" customHeight="1" x14ac:dyDescent="0.25">
      <c r="A249" s="390">
        <f ca="1">IF($H249="UNIDADE CONSTRUTIVA",OFFSET(A249,-1,0)+1,LARGE(A$3:A248,1))</f>
        <v>0</v>
      </c>
      <c r="B249" s="390">
        <f t="shared" ca="1" si="24"/>
        <v>3</v>
      </c>
      <c r="C249" s="390">
        <f t="shared" ca="1" si="25"/>
        <v>1</v>
      </c>
      <c r="D249" s="391">
        <f t="shared" ca="1" si="26"/>
        <v>2</v>
      </c>
      <c r="E249" s="391">
        <f t="shared" ca="1" si="27"/>
        <v>11</v>
      </c>
      <c r="F249" s="125"/>
      <c r="J249" s="130"/>
      <c r="K249" s="132"/>
      <c r="L249" s="413"/>
      <c r="M249" s="413"/>
      <c r="N249" s="414"/>
      <c r="O249" s="415"/>
      <c r="P249" s="133"/>
      <c r="Q249" s="130"/>
      <c r="R249" s="132"/>
      <c r="S249" s="132"/>
      <c r="T249" s="130"/>
    </row>
    <row r="250" spans="1:20" s="131" customFormat="1" ht="14.1" customHeight="1" x14ac:dyDescent="0.25">
      <c r="A250" s="390">
        <f ca="1">IF($H250="UNIDADE CONSTRUTIVA",OFFSET(A250,-1,0)+1,LARGE(A$3:A249,1))</f>
        <v>0</v>
      </c>
      <c r="B250" s="390">
        <f t="shared" ca="1" si="24"/>
        <v>3</v>
      </c>
      <c r="C250" s="390">
        <f t="shared" ca="1" si="25"/>
        <v>1</v>
      </c>
      <c r="D250" s="391">
        <f t="shared" ca="1" si="26"/>
        <v>2</v>
      </c>
      <c r="E250" s="391">
        <f t="shared" ca="1" si="27"/>
        <v>11</v>
      </c>
      <c r="F250" s="125"/>
      <c r="J250" s="130"/>
      <c r="K250" s="132"/>
      <c r="L250" s="413"/>
      <c r="M250" s="413"/>
      <c r="N250" s="414"/>
      <c r="O250" s="415"/>
      <c r="P250" s="133"/>
      <c r="Q250" s="130"/>
      <c r="R250" s="132"/>
      <c r="S250" s="132"/>
      <c r="T250" s="130"/>
    </row>
    <row r="251" spans="1:20" s="131" customFormat="1" ht="14.1" customHeight="1" x14ac:dyDescent="0.25">
      <c r="A251" s="390">
        <f ca="1">IF($H251="UNIDADE CONSTRUTIVA",OFFSET(A251,-1,0)+1,LARGE(A$3:A250,1))</f>
        <v>0</v>
      </c>
      <c r="B251" s="390">
        <f t="shared" ca="1" si="24"/>
        <v>3</v>
      </c>
      <c r="C251" s="390">
        <f t="shared" ca="1" si="25"/>
        <v>1</v>
      </c>
      <c r="D251" s="391">
        <f t="shared" ca="1" si="26"/>
        <v>2</v>
      </c>
      <c r="E251" s="391">
        <f t="shared" ca="1" si="27"/>
        <v>11</v>
      </c>
      <c r="F251" s="125"/>
      <c r="J251" s="130"/>
      <c r="K251" s="132"/>
      <c r="L251" s="413"/>
      <c r="M251" s="413"/>
      <c r="N251" s="414"/>
      <c r="O251" s="415"/>
      <c r="P251" s="133"/>
      <c r="Q251" s="130"/>
      <c r="R251" s="132"/>
      <c r="S251" s="132"/>
      <c r="T251" s="130"/>
    </row>
    <row r="252" spans="1:20" s="131" customFormat="1" ht="14.1" customHeight="1" x14ac:dyDescent="0.25">
      <c r="A252" s="390">
        <f ca="1">IF($H252="UNIDADE CONSTRUTIVA",OFFSET(A252,-1,0)+1,LARGE(A$3:A251,1))</f>
        <v>0</v>
      </c>
      <c r="B252" s="390">
        <f t="shared" ca="1" si="24"/>
        <v>3</v>
      </c>
      <c r="C252" s="390">
        <f t="shared" ca="1" si="25"/>
        <v>1</v>
      </c>
      <c r="D252" s="391">
        <f t="shared" ca="1" si="26"/>
        <v>2</v>
      </c>
      <c r="E252" s="391">
        <f t="shared" ca="1" si="27"/>
        <v>11</v>
      </c>
      <c r="F252" s="125"/>
      <c r="J252" s="130"/>
      <c r="K252" s="132"/>
      <c r="L252" s="413"/>
      <c r="M252" s="413"/>
      <c r="N252" s="414"/>
      <c r="O252" s="415"/>
      <c r="P252" s="133"/>
      <c r="Q252" s="130"/>
      <c r="R252" s="132"/>
      <c r="S252" s="132"/>
      <c r="T252" s="130"/>
    </row>
    <row r="253" spans="1:20" s="131" customFormat="1" ht="14.1" customHeight="1" x14ac:dyDescent="0.25">
      <c r="A253" s="390">
        <f ca="1">IF($H253="UNIDADE CONSTRUTIVA",OFFSET(A253,-1,0)+1,LARGE(A$3:A252,1))</f>
        <v>0</v>
      </c>
      <c r="B253" s="390">
        <f t="shared" ca="1" si="24"/>
        <v>3</v>
      </c>
      <c r="C253" s="390">
        <f t="shared" ca="1" si="25"/>
        <v>1</v>
      </c>
      <c r="D253" s="391">
        <f t="shared" ca="1" si="26"/>
        <v>2</v>
      </c>
      <c r="E253" s="391">
        <f t="shared" ca="1" si="27"/>
        <v>11</v>
      </c>
      <c r="F253" s="125"/>
      <c r="J253" s="130"/>
      <c r="K253" s="132"/>
      <c r="L253" s="413"/>
      <c r="M253" s="413"/>
      <c r="N253" s="414"/>
      <c r="O253" s="415"/>
      <c r="P253" s="133"/>
      <c r="Q253" s="130"/>
      <c r="R253" s="132"/>
      <c r="S253" s="132"/>
      <c r="T253" s="130"/>
    </row>
    <row r="254" spans="1:20" s="131" customFormat="1" ht="14.1" customHeight="1" x14ac:dyDescent="0.25">
      <c r="A254" s="390">
        <f ca="1">IF($H254="UNIDADE CONSTRUTIVA",OFFSET(A254,-1,0)+1,LARGE(A$3:A253,1))</f>
        <v>0</v>
      </c>
      <c r="B254" s="390">
        <f t="shared" ca="1" si="24"/>
        <v>3</v>
      </c>
      <c r="C254" s="390">
        <f t="shared" ca="1" si="25"/>
        <v>1</v>
      </c>
      <c r="D254" s="391">
        <f t="shared" ca="1" si="26"/>
        <v>2</v>
      </c>
      <c r="E254" s="391">
        <f t="shared" ca="1" si="27"/>
        <v>11</v>
      </c>
      <c r="F254" s="125"/>
      <c r="J254" s="130"/>
      <c r="K254" s="132"/>
      <c r="L254" s="413"/>
      <c r="M254" s="413"/>
      <c r="N254" s="414"/>
      <c r="O254" s="415"/>
      <c r="P254" s="133"/>
      <c r="Q254" s="130"/>
      <c r="R254" s="132"/>
      <c r="S254" s="132"/>
      <c r="T254" s="130"/>
    </row>
    <row r="255" spans="1:20" s="131" customFormat="1" ht="14.1" customHeight="1" x14ac:dyDescent="0.25">
      <c r="A255" s="390">
        <f ca="1">IF($H255="UNIDADE CONSTRUTIVA",OFFSET(A255,-1,0)+1,LARGE(A$3:A254,1))</f>
        <v>0</v>
      </c>
      <c r="B255" s="390">
        <f t="shared" ca="1" si="24"/>
        <v>3</v>
      </c>
      <c r="C255" s="390">
        <f t="shared" ca="1" si="25"/>
        <v>1</v>
      </c>
      <c r="D255" s="391">
        <f t="shared" ca="1" si="26"/>
        <v>2</v>
      </c>
      <c r="E255" s="391">
        <f t="shared" ca="1" si="27"/>
        <v>11</v>
      </c>
      <c r="F255" s="125"/>
      <c r="J255" s="130"/>
      <c r="K255" s="132"/>
      <c r="L255" s="413"/>
      <c r="M255" s="413"/>
      <c r="N255" s="414"/>
      <c r="O255" s="415"/>
      <c r="P255" s="133"/>
      <c r="Q255" s="130"/>
      <c r="R255" s="132"/>
      <c r="S255" s="132"/>
      <c r="T255" s="130"/>
    </row>
    <row r="256" spans="1:20" s="131" customFormat="1" ht="14.1" customHeight="1" x14ac:dyDescent="0.25">
      <c r="A256" s="390">
        <f ca="1">IF($H256="UNIDADE CONSTRUTIVA",OFFSET(A256,-1,0)+1,LARGE(A$3:A255,1))</f>
        <v>0</v>
      </c>
      <c r="B256" s="390">
        <f t="shared" ca="1" si="24"/>
        <v>3</v>
      </c>
      <c r="C256" s="390">
        <f t="shared" ca="1" si="25"/>
        <v>1</v>
      </c>
      <c r="D256" s="391">
        <f t="shared" ca="1" si="26"/>
        <v>2</v>
      </c>
      <c r="E256" s="391">
        <f t="shared" ca="1" si="27"/>
        <v>11</v>
      </c>
      <c r="F256" s="125"/>
      <c r="J256" s="130"/>
      <c r="K256" s="132"/>
      <c r="L256" s="413"/>
      <c r="M256" s="413"/>
      <c r="N256" s="414"/>
      <c r="O256" s="415"/>
      <c r="P256" s="133"/>
      <c r="Q256" s="130"/>
      <c r="R256" s="132"/>
      <c r="S256" s="132"/>
      <c r="T256" s="130"/>
    </row>
    <row r="257" spans="1:20" s="131" customFormat="1" ht="14.1" customHeight="1" x14ac:dyDescent="0.25">
      <c r="A257" s="390">
        <f ca="1">IF($H257="UNIDADE CONSTRUTIVA",OFFSET(A257,-1,0)+1,LARGE(A$3:A256,1))</f>
        <v>0</v>
      </c>
      <c r="B257" s="390">
        <f t="shared" ca="1" si="24"/>
        <v>3</v>
      </c>
      <c r="C257" s="390">
        <f t="shared" ca="1" si="25"/>
        <v>1</v>
      </c>
      <c r="D257" s="391">
        <f t="shared" ca="1" si="26"/>
        <v>2</v>
      </c>
      <c r="E257" s="391">
        <f t="shared" ca="1" si="27"/>
        <v>11</v>
      </c>
      <c r="F257" s="125"/>
      <c r="J257" s="130"/>
      <c r="K257" s="132"/>
      <c r="L257" s="413"/>
      <c r="M257" s="413"/>
      <c r="N257" s="414"/>
      <c r="O257" s="415"/>
      <c r="P257" s="133"/>
      <c r="Q257" s="130"/>
      <c r="R257" s="132"/>
      <c r="S257" s="132"/>
      <c r="T257" s="130"/>
    </row>
    <row r="258" spans="1:20" s="131" customFormat="1" ht="14.1" customHeight="1" x14ac:dyDescent="0.25">
      <c r="A258" s="390">
        <f ca="1">IF($H258="UNIDADE CONSTRUTIVA",OFFSET(A258,-1,0)+1,LARGE(A$3:A257,1))</f>
        <v>0</v>
      </c>
      <c r="B258" s="390">
        <f t="shared" ca="1" si="24"/>
        <v>3</v>
      </c>
      <c r="C258" s="390">
        <f t="shared" ca="1" si="25"/>
        <v>1</v>
      </c>
      <c r="D258" s="391">
        <f t="shared" ca="1" si="26"/>
        <v>2</v>
      </c>
      <c r="E258" s="391">
        <f t="shared" ca="1" si="27"/>
        <v>11</v>
      </c>
      <c r="F258" s="125"/>
      <c r="J258" s="130"/>
      <c r="K258" s="132"/>
      <c r="L258" s="413"/>
      <c r="M258" s="413"/>
      <c r="N258" s="414"/>
      <c r="O258" s="415"/>
      <c r="P258" s="133"/>
      <c r="Q258" s="130"/>
      <c r="R258" s="132"/>
      <c r="S258" s="132"/>
      <c r="T258" s="130"/>
    </row>
    <row r="259" spans="1:20" s="131" customFormat="1" ht="14.1" customHeight="1" x14ac:dyDescent="0.25">
      <c r="A259" s="390">
        <f ca="1">IF($H259="UNIDADE CONSTRUTIVA",OFFSET(A259,-1,0)+1,LARGE(A$3:A258,1))</f>
        <v>0</v>
      </c>
      <c r="B259" s="390">
        <f t="shared" ca="1" si="24"/>
        <v>3</v>
      </c>
      <c r="C259" s="390">
        <f t="shared" ca="1" si="25"/>
        <v>1</v>
      </c>
      <c r="D259" s="391">
        <f t="shared" ca="1" si="26"/>
        <v>2</v>
      </c>
      <c r="E259" s="391">
        <f t="shared" ca="1" si="27"/>
        <v>11</v>
      </c>
      <c r="F259" s="125"/>
      <c r="J259" s="130"/>
      <c r="K259" s="132"/>
      <c r="L259" s="413"/>
      <c r="M259" s="413"/>
      <c r="N259" s="414"/>
      <c r="O259" s="415"/>
      <c r="P259" s="133"/>
      <c r="Q259" s="130"/>
      <c r="R259" s="132"/>
      <c r="S259" s="132"/>
      <c r="T259" s="130"/>
    </row>
    <row r="260" spans="1:20" s="131" customFormat="1" ht="14.1" customHeight="1" x14ac:dyDescent="0.25">
      <c r="A260" s="390">
        <f ca="1">IF($H260="UNIDADE CONSTRUTIVA",OFFSET(A260,-1,0)+1,LARGE(A$3:A259,1))</f>
        <v>0</v>
      </c>
      <c r="B260" s="390">
        <f t="shared" ca="1" si="24"/>
        <v>3</v>
      </c>
      <c r="C260" s="390">
        <f t="shared" ca="1" si="25"/>
        <v>1</v>
      </c>
      <c r="D260" s="391">
        <f t="shared" ca="1" si="26"/>
        <v>2</v>
      </c>
      <c r="E260" s="391">
        <f t="shared" ca="1" si="27"/>
        <v>11</v>
      </c>
      <c r="F260" s="125"/>
      <c r="J260" s="130"/>
      <c r="K260" s="132"/>
      <c r="L260" s="413"/>
      <c r="M260" s="413"/>
      <c r="N260" s="414"/>
      <c r="O260" s="415"/>
      <c r="P260" s="133"/>
      <c r="Q260" s="130"/>
      <c r="R260" s="132"/>
      <c r="S260" s="132"/>
      <c r="T260" s="130"/>
    </row>
    <row r="261" spans="1:20" s="131" customFormat="1" ht="14.1" customHeight="1" x14ac:dyDescent="0.25">
      <c r="A261" s="390">
        <f ca="1">IF($H261="UNIDADE CONSTRUTIVA",OFFSET(A261,-1,0)+1,LARGE(A$3:A260,1))</f>
        <v>0</v>
      </c>
      <c r="B261" s="390">
        <f t="shared" ca="1" si="24"/>
        <v>3</v>
      </c>
      <c r="C261" s="390">
        <f t="shared" ca="1" si="25"/>
        <v>1</v>
      </c>
      <c r="D261" s="391">
        <f t="shared" ca="1" si="26"/>
        <v>2</v>
      </c>
      <c r="E261" s="391">
        <f t="shared" ca="1" si="27"/>
        <v>11</v>
      </c>
      <c r="F261" s="125"/>
      <c r="J261" s="130"/>
      <c r="K261" s="132"/>
      <c r="L261" s="413"/>
      <c r="M261" s="413"/>
      <c r="N261" s="414"/>
      <c r="O261" s="415"/>
      <c r="P261" s="133"/>
      <c r="Q261" s="130"/>
      <c r="R261" s="132"/>
      <c r="S261" s="132"/>
      <c r="T261" s="130"/>
    </row>
    <row r="262" spans="1:20" s="131" customFormat="1" ht="14.1" customHeight="1" x14ac:dyDescent="0.25">
      <c r="A262" s="390">
        <f ca="1">IF($H262="UNIDADE CONSTRUTIVA",OFFSET(A262,-1,0)+1,LARGE(A$3:A261,1))</f>
        <v>0</v>
      </c>
      <c r="B262" s="390">
        <f t="shared" ca="1" si="24"/>
        <v>3</v>
      </c>
      <c r="C262" s="390">
        <f t="shared" ca="1" si="25"/>
        <v>1</v>
      </c>
      <c r="D262" s="391">
        <f t="shared" ca="1" si="26"/>
        <v>2</v>
      </c>
      <c r="E262" s="391">
        <f t="shared" ca="1" si="27"/>
        <v>11</v>
      </c>
      <c r="F262" s="125"/>
      <c r="J262" s="130"/>
      <c r="K262" s="132"/>
      <c r="L262" s="413"/>
      <c r="M262" s="413"/>
      <c r="N262" s="414"/>
      <c r="O262" s="415"/>
      <c r="P262" s="133"/>
      <c r="Q262" s="130"/>
      <c r="R262" s="132"/>
      <c r="S262" s="132"/>
      <c r="T262" s="130"/>
    </row>
    <row r="263" spans="1:20" s="131" customFormat="1" ht="14.1" customHeight="1" x14ac:dyDescent="0.25">
      <c r="A263" s="390">
        <f ca="1">IF($H263="UNIDADE CONSTRUTIVA",OFFSET(A263,-1,0)+1,LARGE(A$3:A262,1))</f>
        <v>0</v>
      </c>
      <c r="B263" s="390">
        <f t="shared" ca="1" si="24"/>
        <v>3</v>
      </c>
      <c r="C263" s="390">
        <f t="shared" ca="1" si="25"/>
        <v>1</v>
      </c>
      <c r="D263" s="391">
        <f t="shared" ca="1" si="26"/>
        <v>2</v>
      </c>
      <c r="E263" s="391">
        <f t="shared" ca="1" si="27"/>
        <v>11</v>
      </c>
      <c r="F263" s="125"/>
      <c r="J263" s="130"/>
      <c r="K263" s="132"/>
      <c r="L263" s="413"/>
      <c r="M263" s="413"/>
      <c r="N263" s="414"/>
      <c r="O263" s="415"/>
      <c r="P263" s="133"/>
      <c r="Q263" s="130"/>
      <c r="R263" s="132"/>
      <c r="S263" s="132"/>
      <c r="T263" s="130"/>
    </row>
    <row r="264" spans="1:20" s="131" customFormat="1" ht="14.1" customHeight="1" x14ac:dyDescent="0.25">
      <c r="A264" s="390">
        <f ca="1">IF($H264="UNIDADE CONSTRUTIVA",OFFSET(A264,-1,0)+1,LARGE(A$3:A263,1))</f>
        <v>0</v>
      </c>
      <c r="B264" s="390">
        <f t="shared" ca="1" si="24"/>
        <v>3</v>
      </c>
      <c r="C264" s="390">
        <f t="shared" ca="1" si="25"/>
        <v>1</v>
      </c>
      <c r="D264" s="391">
        <f t="shared" ca="1" si="26"/>
        <v>2</v>
      </c>
      <c r="E264" s="391">
        <f t="shared" ca="1" si="27"/>
        <v>11</v>
      </c>
      <c r="F264" s="125"/>
      <c r="J264" s="130"/>
      <c r="K264" s="132"/>
      <c r="L264" s="413"/>
      <c r="M264" s="413"/>
      <c r="N264" s="414"/>
      <c r="O264" s="415"/>
      <c r="P264" s="133"/>
      <c r="Q264" s="130"/>
      <c r="R264" s="132"/>
      <c r="S264" s="132"/>
      <c r="T264" s="130"/>
    </row>
    <row r="265" spans="1:20" s="131" customFormat="1" ht="14.1" customHeight="1" x14ac:dyDescent="0.25">
      <c r="A265" s="390">
        <f ca="1">IF($H265="UNIDADE CONSTRUTIVA",OFFSET(A265,-1,0)+1,LARGE(A$3:A264,1))</f>
        <v>0</v>
      </c>
      <c r="B265" s="390">
        <f t="shared" ref="B265:B328" ca="1" si="28">IF(H265="UNIDADE CONSTRUTIVA",0,IF(H265="CÉLULA CONSTRUTIVA",OFFSET(B265,-1,0)+1,OFFSET(B265,-1,0)))</f>
        <v>3</v>
      </c>
      <c r="C265" s="390">
        <f t="shared" ref="C265:C328" ca="1" si="29">IF(H265="CÉLULA CONSTRUTIVA",0,IF(H265="ETAPA",OFFSET(C265,-1,0)+1,OFFSET(C265,-1,0)))</f>
        <v>1</v>
      </c>
      <c r="D265" s="391">
        <f t="shared" ref="D265:D328" ca="1" si="30">IF(H265="ETAPA",0,IF(H265="SUBETAPA",OFFSET(D265,-1,0)+1,OFFSET(D265,-1,0)))</f>
        <v>2</v>
      </c>
      <c r="E265" s="391">
        <f t="shared" ref="E265:E328" ca="1" si="31">IF(H265="Subetapa",0,IF(H265="serviço",OFFSET(E265,-1,0)+1,OFFSET(E265,-1,0)))</f>
        <v>11</v>
      </c>
      <c r="F265" s="125"/>
      <c r="J265" s="130"/>
      <c r="K265" s="132"/>
      <c r="L265" s="413"/>
      <c r="M265" s="413"/>
      <c r="N265" s="414"/>
      <c r="O265" s="415"/>
      <c r="P265" s="133"/>
      <c r="Q265" s="130"/>
      <c r="R265" s="132"/>
      <c r="S265" s="132"/>
      <c r="T265" s="130"/>
    </row>
    <row r="266" spans="1:20" s="131" customFormat="1" ht="14.1" customHeight="1" x14ac:dyDescent="0.25">
      <c r="A266" s="390">
        <f ca="1">IF($H266="UNIDADE CONSTRUTIVA",OFFSET(A266,-1,0)+1,LARGE(A$3:A265,1))</f>
        <v>0</v>
      </c>
      <c r="B266" s="390">
        <f t="shared" ca="1" si="28"/>
        <v>3</v>
      </c>
      <c r="C266" s="390">
        <f t="shared" ca="1" si="29"/>
        <v>1</v>
      </c>
      <c r="D266" s="391">
        <f t="shared" ca="1" si="30"/>
        <v>2</v>
      </c>
      <c r="E266" s="391">
        <f t="shared" ca="1" si="31"/>
        <v>11</v>
      </c>
      <c r="F266" s="125"/>
      <c r="J266" s="130"/>
      <c r="K266" s="132"/>
      <c r="L266" s="413"/>
      <c r="M266" s="413"/>
      <c r="N266" s="414"/>
      <c r="O266" s="415"/>
      <c r="P266" s="133"/>
      <c r="Q266" s="130"/>
      <c r="R266" s="132"/>
      <c r="S266" s="132"/>
      <c r="T266" s="130"/>
    </row>
    <row r="267" spans="1:20" s="131" customFormat="1" ht="14.1" customHeight="1" x14ac:dyDescent="0.25">
      <c r="A267" s="390">
        <f ca="1">IF($H267="UNIDADE CONSTRUTIVA",OFFSET(A267,-1,0)+1,LARGE(A$3:A266,1))</f>
        <v>0</v>
      </c>
      <c r="B267" s="390">
        <f t="shared" ca="1" si="28"/>
        <v>3</v>
      </c>
      <c r="C267" s="390">
        <f t="shared" ca="1" si="29"/>
        <v>1</v>
      </c>
      <c r="D267" s="391">
        <f t="shared" ca="1" si="30"/>
        <v>2</v>
      </c>
      <c r="E267" s="391">
        <f t="shared" ca="1" si="31"/>
        <v>11</v>
      </c>
      <c r="F267" s="125"/>
      <c r="J267" s="130"/>
      <c r="K267" s="132"/>
      <c r="L267" s="413"/>
      <c r="M267" s="413"/>
      <c r="N267" s="414"/>
      <c r="O267" s="415"/>
      <c r="P267" s="133"/>
      <c r="Q267" s="130"/>
      <c r="R267" s="132"/>
      <c r="S267" s="132"/>
      <c r="T267" s="130"/>
    </row>
    <row r="268" spans="1:20" s="131" customFormat="1" ht="14.1" customHeight="1" x14ac:dyDescent="0.25">
      <c r="A268" s="390">
        <f ca="1">IF($H268="UNIDADE CONSTRUTIVA",OFFSET(A268,-1,0)+1,LARGE(A$3:A267,1))</f>
        <v>0</v>
      </c>
      <c r="B268" s="390">
        <f t="shared" ca="1" si="28"/>
        <v>3</v>
      </c>
      <c r="C268" s="390">
        <f t="shared" ca="1" si="29"/>
        <v>1</v>
      </c>
      <c r="D268" s="391">
        <f t="shared" ca="1" si="30"/>
        <v>2</v>
      </c>
      <c r="E268" s="391">
        <f t="shared" ca="1" si="31"/>
        <v>11</v>
      </c>
      <c r="F268" s="125"/>
      <c r="J268" s="130"/>
      <c r="K268" s="132"/>
      <c r="L268" s="413"/>
      <c r="M268" s="413"/>
      <c r="N268" s="414"/>
      <c r="O268" s="415"/>
      <c r="P268" s="133"/>
      <c r="Q268" s="130"/>
      <c r="R268" s="132"/>
      <c r="S268" s="132"/>
      <c r="T268" s="130"/>
    </row>
    <row r="269" spans="1:20" s="131" customFormat="1" ht="14.1" customHeight="1" x14ac:dyDescent="0.25">
      <c r="A269" s="390">
        <f ca="1">IF($H269="UNIDADE CONSTRUTIVA",OFFSET(A269,-1,0)+1,LARGE(A$3:A268,1))</f>
        <v>0</v>
      </c>
      <c r="B269" s="390">
        <f t="shared" ca="1" si="28"/>
        <v>3</v>
      </c>
      <c r="C269" s="390">
        <f t="shared" ca="1" si="29"/>
        <v>1</v>
      </c>
      <c r="D269" s="391">
        <f t="shared" ca="1" si="30"/>
        <v>2</v>
      </c>
      <c r="E269" s="391">
        <f t="shared" ca="1" si="31"/>
        <v>11</v>
      </c>
      <c r="F269" s="125"/>
      <c r="J269" s="130"/>
      <c r="K269" s="132"/>
      <c r="L269" s="413"/>
      <c r="M269" s="413"/>
      <c r="N269" s="414"/>
      <c r="O269" s="415"/>
      <c r="P269" s="133"/>
      <c r="Q269" s="130"/>
      <c r="R269" s="132"/>
      <c r="S269" s="132"/>
      <c r="T269" s="130"/>
    </row>
    <row r="270" spans="1:20" s="131" customFormat="1" ht="14.1" customHeight="1" x14ac:dyDescent="0.25">
      <c r="A270" s="390">
        <f ca="1">IF($H270="UNIDADE CONSTRUTIVA",OFFSET(A270,-1,0)+1,LARGE(A$3:A269,1))</f>
        <v>0</v>
      </c>
      <c r="B270" s="390">
        <f t="shared" ca="1" si="28"/>
        <v>3</v>
      </c>
      <c r="C270" s="390">
        <f t="shared" ca="1" si="29"/>
        <v>1</v>
      </c>
      <c r="D270" s="391">
        <f t="shared" ca="1" si="30"/>
        <v>2</v>
      </c>
      <c r="E270" s="391">
        <f t="shared" ca="1" si="31"/>
        <v>11</v>
      </c>
      <c r="F270" s="125"/>
      <c r="J270" s="130"/>
      <c r="K270" s="132"/>
      <c r="L270" s="413"/>
      <c r="M270" s="413"/>
      <c r="N270" s="414"/>
      <c r="O270" s="415"/>
      <c r="P270" s="133"/>
      <c r="Q270" s="130"/>
      <c r="R270" s="132"/>
      <c r="S270" s="132"/>
      <c r="T270" s="130"/>
    </row>
    <row r="271" spans="1:20" s="131" customFormat="1" ht="14.1" customHeight="1" x14ac:dyDescent="0.25">
      <c r="A271" s="390">
        <f ca="1">IF($H271="UNIDADE CONSTRUTIVA",OFFSET(A271,-1,0)+1,LARGE(A$3:A270,1))</f>
        <v>0</v>
      </c>
      <c r="B271" s="390">
        <f t="shared" ca="1" si="28"/>
        <v>3</v>
      </c>
      <c r="C271" s="390">
        <f t="shared" ca="1" si="29"/>
        <v>1</v>
      </c>
      <c r="D271" s="391">
        <f t="shared" ca="1" si="30"/>
        <v>2</v>
      </c>
      <c r="E271" s="391">
        <f t="shared" ca="1" si="31"/>
        <v>11</v>
      </c>
      <c r="F271" s="125"/>
      <c r="J271" s="130"/>
      <c r="K271" s="132"/>
      <c r="L271" s="413"/>
      <c r="M271" s="413"/>
      <c r="N271" s="414"/>
      <c r="O271" s="415"/>
      <c r="P271" s="133"/>
      <c r="Q271" s="130"/>
      <c r="R271" s="132"/>
      <c r="S271" s="132"/>
      <c r="T271" s="130"/>
    </row>
    <row r="272" spans="1:20" s="131" customFormat="1" ht="14.1" customHeight="1" x14ac:dyDescent="0.25">
      <c r="A272" s="390">
        <f ca="1">IF($H272="UNIDADE CONSTRUTIVA",OFFSET(A272,-1,0)+1,LARGE(A$3:A271,1))</f>
        <v>0</v>
      </c>
      <c r="B272" s="390">
        <f t="shared" ca="1" si="28"/>
        <v>3</v>
      </c>
      <c r="C272" s="390">
        <f t="shared" ca="1" si="29"/>
        <v>1</v>
      </c>
      <c r="D272" s="391">
        <f t="shared" ca="1" si="30"/>
        <v>2</v>
      </c>
      <c r="E272" s="391">
        <f t="shared" ca="1" si="31"/>
        <v>11</v>
      </c>
      <c r="F272" s="125"/>
      <c r="J272" s="130"/>
      <c r="K272" s="132"/>
      <c r="L272" s="413"/>
      <c r="M272" s="413"/>
      <c r="N272" s="414"/>
      <c r="O272" s="415"/>
      <c r="P272" s="133"/>
      <c r="Q272" s="130"/>
      <c r="R272" s="132"/>
      <c r="S272" s="132"/>
      <c r="T272" s="130"/>
    </row>
    <row r="273" spans="1:20" s="131" customFormat="1" ht="14.1" customHeight="1" x14ac:dyDescent="0.25">
      <c r="A273" s="390">
        <f ca="1">IF($H273="UNIDADE CONSTRUTIVA",OFFSET(A273,-1,0)+1,LARGE(A$3:A272,1))</f>
        <v>0</v>
      </c>
      <c r="B273" s="390">
        <f t="shared" ca="1" si="28"/>
        <v>3</v>
      </c>
      <c r="C273" s="390">
        <f t="shared" ca="1" si="29"/>
        <v>1</v>
      </c>
      <c r="D273" s="391">
        <f t="shared" ca="1" si="30"/>
        <v>2</v>
      </c>
      <c r="E273" s="391">
        <f t="shared" ca="1" si="31"/>
        <v>11</v>
      </c>
      <c r="F273" s="125"/>
      <c r="J273" s="130"/>
      <c r="K273" s="132"/>
      <c r="L273" s="413"/>
      <c r="M273" s="413"/>
      <c r="N273" s="414"/>
      <c r="O273" s="415"/>
      <c r="P273" s="133"/>
      <c r="Q273" s="130"/>
      <c r="R273" s="132"/>
      <c r="S273" s="132"/>
      <c r="T273" s="130"/>
    </row>
    <row r="274" spans="1:20" s="131" customFormat="1" ht="14.1" customHeight="1" x14ac:dyDescent="0.25">
      <c r="A274" s="390">
        <f ca="1">IF($H274="UNIDADE CONSTRUTIVA",OFFSET(A274,-1,0)+1,LARGE(A$3:A273,1))</f>
        <v>0</v>
      </c>
      <c r="B274" s="390">
        <f t="shared" ca="1" si="28"/>
        <v>3</v>
      </c>
      <c r="C274" s="390">
        <f t="shared" ca="1" si="29"/>
        <v>1</v>
      </c>
      <c r="D274" s="391">
        <f t="shared" ca="1" si="30"/>
        <v>2</v>
      </c>
      <c r="E274" s="391">
        <f t="shared" ca="1" si="31"/>
        <v>11</v>
      </c>
      <c r="F274" s="125"/>
      <c r="J274" s="130"/>
      <c r="K274" s="132"/>
      <c r="L274" s="413"/>
      <c r="M274" s="413"/>
      <c r="N274" s="414"/>
      <c r="O274" s="415"/>
      <c r="P274" s="133"/>
      <c r="Q274" s="130"/>
      <c r="R274" s="132"/>
      <c r="S274" s="132"/>
      <c r="T274" s="130"/>
    </row>
    <row r="275" spans="1:20" s="131" customFormat="1" ht="14.1" customHeight="1" x14ac:dyDescent="0.25">
      <c r="A275" s="390">
        <f ca="1">IF($H275="UNIDADE CONSTRUTIVA",OFFSET(A275,-1,0)+1,LARGE(A$3:A274,1))</f>
        <v>0</v>
      </c>
      <c r="B275" s="390">
        <f t="shared" ca="1" si="28"/>
        <v>3</v>
      </c>
      <c r="C275" s="390">
        <f t="shared" ca="1" si="29"/>
        <v>1</v>
      </c>
      <c r="D275" s="391">
        <f t="shared" ca="1" si="30"/>
        <v>2</v>
      </c>
      <c r="E275" s="391">
        <f t="shared" ca="1" si="31"/>
        <v>11</v>
      </c>
      <c r="F275" s="125"/>
      <c r="J275" s="130"/>
      <c r="K275" s="132"/>
      <c r="L275" s="413"/>
      <c r="M275" s="413"/>
      <c r="N275" s="414"/>
      <c r="O275" s="415"/>
      <c r="P275" s="133"/>
      <c r="Q275" s="130"/>
      <c r="R275" s="132"/>
      <c r="S275" s="132"/>
      <c r="T275" s="130"/>
    </row>
    <row r="276" spans="1:20" s="131" customFormat="1" ht="14.1" customHeight="1" x14ac:dyDescent="0.25">
      <c r="A276" s="390">
        <f ca="1">IF($H276="UNIDADE CONSTRUTIVA",OFFSET(A276,-1,0)+1,LARGE(A$3:A275,1))</f>
        <v>0</v>
      </c>
      <c r="B276" s="390">
        <f t="shared" ca="1" si="28"/>
        <v>3</v>
      </c>
      <c r="C276" s="390">
        <f t="shared" ca="1" si="29"/>
        <v>1</v>
      </c>
      <c r="D276" s="391">
        <f t="shared" ca="1" si="30"/>
        <v>2</v>
      </c>
      <c r="E276" s="391">
        <f t="shared" ca="1" si="31"/>
        <v>11</v>
      </c>
      <c r="F276" s="125"/>
      <c r="J276" s="130"/>
      <c r="K276" s="132"/>
      <c r="L276" s="413"/>
      <c r="M276" s="413"/>
      <c r="N276" s="414"/>
      <c r="O276" s="415"/>
      <c r="P276" s="133"/>
      <c r="Q276" s="130"/>
      <c r="R276" s="132"/>
      <c r="S276" s="132"/>
      <c r="T276" s="130"/>
    </row>
    <row r="277" spans="1:20" s="131" customFormat="1" ht="14.1" customHeight="1" x14ac:dyDescent="0.25">
      <c r="A277" s="390">
        <f ca="1">IF($H277="UNIDADE CONSTRUTIVA",OFFSET(A277,-1,0)+1,LARGE(A$3:A276,1))</f>
        <v>0</v>
      </c>
      <c r="B277" s="390">
        <f t="shared" ca="1" si="28"/>
        <v>3</v>
      </c>
      <c r="C277" s="390">
        <f t="shared" ca="1" si="29"/>
        <v>1</v>
      </c>
      <c r="D277" s="391">
        <f t="shared" ca="1" si="30"/>
        <v>2</v>
      </c>
      <c r="E277" s="391">
        <f t="shared" ca="1" si="31"/>
        <v>11</v>
      </c>
      <c r="F277" s="125"/>
      <c r="J277" s="130"/>
      <c r="K277" s="132"/>
      <c r="L277" s="413"/>
      <c r="M277" s="413"/>
      <c r="N277" s="414"/>
      <c r="O277" s="415"/>
      <c r="P277" s="133"/>
      <c r="Q277" s="130"/>
      <c r="R277" s="132"/>
      <c r="S277" s="132"/>
      <c r="T277" s="130"/>
    </row>
    <row r="278" spans="1:20" s="131" customFormat="1" ht="14.1" customHeight="1" x14ac:dyDescent="0.25">
      <c r="A278" s="390">
        <f ca="1">IF($H278="UNIDADE CONSTRUTIVA",OFFSET(A278,-1,0)+1,LARGE(A$3:A277,1))</f>
        <v>0</v>
      </c>
      <c r="B278" s="390">
        <f t="shared" ca="1" si="28"/>
        <v>3</v>
      </c>
      <c r="C278" s="390">
        <f t="shared" ca="1" si="29"/>
        <v>1</v>
      </c>
      <c r="D278" s="391">
        <f t="shared" ca="1" si="30"/>
        <v>2</v>
      </c>
      <c r="E278" s="391">
        <f t="shared" ca="1" si="31"/>
        <v>11</v>
      </c>
      <c r="F278" s="125"/>
      <c r="J278" s="130"/>
      <c r="K278" s="132"/>
      <c r="L278" s="413"/>
      <c r="M278" s="413"/>
      <c r="N278" s="414"/>
      <c r="O278" s="415"/>
      <c r="P278" s="133"/>
      <c r="Q278" s="130"/>
      <c r="R278" s="132"/>
      <c r="S278" s="132"/>
      <c r="T278" s="130"/>
    </row>
    <row r="279" spans="1:20" s="131" customFormat="1" ht="14.1" customHeight="1" x14ac:dyDescent="0.25">
      <c r="A279" s="390">
        <f ca="1">IF($H279="UNIDADE CONSTRUTIVA",OFFSET(A279,-1,0)+1,LARGE(A$3:A278,1))</f>
        <v>0</v>
      </c>
      <c r="B279" s="390">
        <f t="shared" ca="1" si="28"/>
        <v>3</v>
      </c>
      <c r="C279" s="390">
        <f t="shared" ca="1" si="29"/>
        <v>1</v>
      </c>
      <c r="D279" s="391">
        <f t="shared" ca="1" si="30"/>
        <v>2</v>
      </c>
      <c r="E279" s="391">
        <f t="shared" ca="1" si="31"/>
        <v>11</v>
      </c>
      <c r="F279" s="125"/>
      <c r="J279" s="130"/>
      <c r="K279" s="132"/>
      <c r="L279" s="413"/>
      <c r="M279" s="413"/>
      <c r="N279" s="414"/>
      <c r="O279" s="415"/>
      <c r="P279" s="133"/>
      <c r="Q279" s="130"/>
      <c r="R279" s="132"/>
      <c r="S279" s="132"/>
      <c r="T279" s="130"/>
    </row>
    <row r="280" spans="1:20" s="131" customFormat="1" ht="14.1" customHeight="1" x14ac:dyDescent="0.25">
      <c r="A280" s="390">
        <f ca="1">IF($H280="UNIDADE CONSTRUTIVA",OFFSET(A280,-1,0)+1,LARGE(A$3:A279,1))</f>
        <v>0</v>
      </c>
      <c r="B280" s="390">
        <f t="shared" ca="1" si="28"/>
        <v>3</v>
      </c>
      <c r="C280" s="390">
        <f t="shared" ca="1" si="29"/>
        <v>1</v>
      </c>
      <c r="D280" s="391">
        <f t="shared" ca="1" si="30"/>
        <v>2</v>
      </c>
      <c r="E280" s="391">
        <f t="shared" ca="1" si="31"/>
        <v>11</v>
      </c>
      <c r="F280" s="125"/>
      <c r="J280" s="130"/>
      <c r="K280" s="132"/>
      <c r="L280" s="413"/>
      <c r="M280" s="413"/>
      <c r="N280" s="414"/>
      <c r="O280" s="415"/>
      <c r="P280" s="133"/>
      <c r="Q280" s="130"/>
      <c r="R280" s="132"/>
      <c r="S280" s="132"/>
      <c r="T280" s="130"/>
    </row>
    <row r="281" spans="1:20" s="131" customFormat="1" ht="14.1" customHeight="1" x14ac:dyDescent="0.25">
      <c r="A281" s="390">
        <f ca="1">IF($H281="UNIDADE CONSTRUTIVA",OFFSET(A281,-1,0)+1,LARGE(A$3:A280,1))</f>
        <v>0</v>
      </c>
      <c r="B281" s="390">
        <f t="shared" ca="1" si="28"/>
        <v>3</v>
      </c>
      <c r="C281" s="390">
        <f t="shared" ca="1" si="29"/>
        <v>1</v>
      </c>
      <c r="D281" s="391">
        <f t="shared" ca="1" si="30"/>
        <v>2</v>
      </c>
      <c r="E281" s="391">
        <f t="shared" ca="1" si="31"/>
        <v>11</v>
      </c>
      <c r="F281" s="125"/>
      <c r="J281" s="130"/>
      <c r="K281" s="132"/>
      <c r="L281" s="413"/>
      <c r="M281" s="413"/>
      <c r="N281" s="414"/>
      <c r="O281" s="415"/>
      <c r="P281" s="133"/>
      <c r="Q281" s="130"/>
      <c r="R281" s="132"/>
      <c r="S281" s="132"/>
      <c r="T281" s="130"/>
    </row>
    <row r="282" spans="1:20" s="131" customFormat="1" ht="14.1" customHeight="1" x14ac:dyDescent="0.25">
      <c r="A282" s="390">
        <f ca="1">IF($H282="UNIDADE CONSTRUTIVA",OFFSET(A282,-1,0)+1,LARGE(A$3:A281,1))</f>
        <v>0</v>
      </c>
      <c r="B282" s="390">
        <f t="shared" ca="1" si="28"/>
        <v>3</v>
      </c>
      <c r="C282" s="390">
        <f t="shared" ca="1" si="29"/>
        <v>1</v>
      </c>
      <c r="D282" s="391">
        <f t="shared" ca="1" si="30"/>
        <v>2</v>
      </c>
      <c r="E282" s="391">
        <f t="shared" ca="1" si="31"/>
        <v>11</v>
      </c>
      <c r="F282" s="125"/>
      <c r="J282" s="130"/>
      <c r="K282" s="132"/>
      <c r="L282" s="413"/>
      <c r="M282" s="413"/>
      <c r="N282" s="414"/>
      <c r="O282" s="415"/>
      <c r="P282" s="133"/>
      <c r="Q282" s="130"/>
      <c r="R282" s="132"/>
      <c r="S282" s="132"/>
      <c r="T282" s="130"/>
    </row>
    <row r="283" spans="1:20" s="131" customFormat="1" ht="14.1" customHeight="1" x14ac:dyDescent="0.25">
      <c r="A283" s="390">
        <f ca="1">IF($H283="UNIDADE CONSTRUTIVA",OFFSET(A283,-1,0)+1,LARGE(A$3:A282,1))</f>
        <v>0</v>
      </c>
      <c r="B283" s="390">
        <f t="shared" ca="1" si="28"/>
        <v>3</v>
      </c>
      <c r="C283" s="390">
        <f t="shared" ca="1" si="29"/>
        <v>1</v>
      </c>
      <c r="D283" s="391">
        <f t="shared" ca="1" si="30"/>
        <v>2</v>
      </c>
      <c r="E283" s="391">
        <f t="shared" ca="1" si="31"/>
        <v>11</v>
      </c>
      <c r="F283" s="125"/>
      <c r="J283" s="130"/>
      <c r="K283" s="132"/>
      <c r="L283" s="413"/>
      <c r="M283" s="413"/>
      <c r="N283" s="414"/>
      <c r="O283" s="415"/>
      <c r="P283" s="133"/>
      <c r="Q283" s="130"/>
      <c r="R283" s="132"/>
      <c r="S283" s="132"/>
      <c r="T283" s="130"/>
    </row>
    <row r="284" spans="1:20" s="131" customFormat="1" ht="14.1" customHeight="1" x14ac:dyDescent="0.25">
      <c r="A284" s="390">
        <f ca="1">IF($H284="UNIDADE CONSTRUTIVA",OFFSET(A284,-1,0)+1,LARGE(A$3:A283,1))</f>
        <v>0</v>
      </c>
      <c r="B284" s="390">
        <f t="shared" ca="1" si="28"/>
        <v>3</v>
      </c>
      <c r="C284" s="390">
        <f t="shared" ca="1" si="29"/>
        <v>1</v>
      </c>
      <c r="D284" s="391">
        <f t="shared" ca="1" si="30"/>
        <v>2</v>
      </c>
      <c r="E284" s="391">
        <f t="shared" ca="1" si="31"/>
        <v>11</v>
      </c>
      <c r="F284" s="125"/>
      <c r="J284" s="130"/>
      <c r="K284" s="132"/>
      <c r="L284" s="413"/>
      <c r="M284" s="413"/>
      <c r="N284" s="414"/>
      <c r="O284" s="415"/>
      <c r="P284" s="133"/>
      <c r="Q284" s="130"/>
      <c r="R284" s="132"/>
      <c r="S284" s="132"/>
      <c r="T284" s="130"/>
    </row>
    <row r="285" spans="1:20" s="131" customFormat="1" ht="14.1" customHeight="1" x14ac:dyDescent="0.25">
      <c r="A285" s="390">
        <f ca="1">IF($H285="UNIDADE CONSTRUTIVA",OFFSET(A285,-1,0)+1,LARGE(A$3:A284,1))</f>
        <v>0</v>
      </c>
      <c r="B285" s="390">
        <f t="shared" ca="1" si="28"/>
        <v>3</v>
      </c>
      <c r="C285" s="390">
        <f t="shared" ca="1" si="29"/>
        <v>1</v>
      </c>
      <c r="D285" s="391">
        <f t="shared" ca="1" si="30"/>
        <v>2</v>
      </c>
      <c r="E285" s="391">
        <f t="shared" ca="1" si="31"/>
        <v>11</v>
      </c>
      <c r="F285" s="125"/>
      <c r="J285" s="130"/>
      <c r="K285" s="132"/>
      <c r="L285" s="413"/>
      <c r="M285" s="413"/>
      <c r="N285" s="414"/>
      <c r="O285" s="415"/>
      <c r="P285" s="133"/>
      <c r="Q285" s="130"/>
      <c r="R285" s="132"/>
      <c r="S285" s="132"/>
      <c r="T285" s="130"/>
    </row>
    <row r="286" spans="1:20" s="131" customFormat="1" ht="14.1" customHeight="1" x14ac:dyDescent="0.25">
      <c r="A286" s="390">
        <f ca="1">IF($H286="UNIDADE CONSTRUTIVA",OFFSET(A286,-1,0)+1,LARGE(A$3:A285,1))</f>
        <v>0</v>
      </c>
      <c r="B286" s="390">
        <f t="shared" ca="1" si="28"/>
        <v>3</v>
      </c>
      <c r="C286" s="390">
        <f t="shared" ca="1" si="29"/>
        <v>1</v>
      </c>
      <c r="D286" s="391">
        <f t="shared" ca="1" si="30"/>
        <v>2</v>
      </c>
      <c r="E286" s="391">
        <f t="shared" ca="1" si="31"/>
        <v>11</v>
      </c>
      <c r="F286" s="125"/>
      <c r="J286" s="130"/>
      <c r="K286" s="132"/>
      <c r="L286" s="413"/>
      <c r="M286" s="413"/>
      <c r="N286" s="414"/>
      <c r="O286" s="415"/>
      <c r="P286" s="133"/>
      <c r="Q286" s="130"/>
      <c r="R286" s="132"/>
      <c r="S286" s="132"/>
      <c r="T286" s="130"/>
    </row>
    <row r="287" spans="1:20" s="131" customFormat="1" ht="14.1" customHeight="1" x14ac:dyDescent="0.25">
      <c r="A287" s="390">
        <f ca="1">IF($H287="UNIDADE CONSTRUTIVA",OFFSET(A287,-1,0)+1,LARGE(A$3:A286,1))</f>
        <v>0</v>
      </c>
      <c r="B287" s="390">
        <f t="shared" ca="1" si="28"/>
        <v>3</v>
      </c>
      <c r="C287" s="390">
        <f t="shared" ca="1" si="29"/>
        <v>1</v>
      </c>
      <c r="D287" s="391">
        <f t="shared" ca="1" si="30"/>
        <v>2</v>
      </c>
      <c r="E287" s="391">
        <f t="shared" ca="1" si="31"/>
        <v>11</v>
      </c>
      <c r="F287" s="125"/>
      <c r="J287" s="130"/>
      <c r="K287" s="132"/>
      <c r="L287" s="413"/>
      <c r="M287" s="413"/>
      <c r="N287" s="414"/>
      <c r="O287" s="415"/>
      <c r="P287" s="133"/>
      <c r="Q287" s="130"/>
      <c r="R287" s="132"/>
      <c r="S287" s="132"/>
      <c r="T287" s="130"/>
    </row>
    <row r="288" spans="1:20" s="131" customFormat="1" ht="14.1" customHeight="1" x14ac:dyDescent="0.25">
      <c r="A288" s="390">
        <f ca="1">IF($H288="UNIDADE CONSTRUTIVA",OFFSET(A288,-1,0)+1,LARGE(A$3:A287,1))</f>
        <v>0</v>
      </c>
      <c r="B288" s="390">
        <f t="shared" ca="1" si="28"/>
        <v>3</v>
      </c>
      <c r="C288" s="390">
        <f t="shared" ca="1" si="29"/>
        <v>1</v>
      </c>
      <c r="D288" s="391">
        <f t="shared" ca="1" si="30"/>
        <v>2</v>
      </c>
      <c r="E288" s="391">
        <f t="shared" ca="1" si="31"/>
        <v>11</v>
      </c>
      <c r="F288" s="125"/>
      <c r="J288" s="130"/>
      <c r="K288" s="132"/>
      <c r="L288" s="413"/>
      <c r="M288" s="413"/>
      <c r="N288" s="414"/>
      <c r="O288" s="415"/>
      <c r="P288" s="133"/>
      <c r="Q288" s="130"/>
      <c r="R288" s="132"/>
      <c r="S288" s="132"/>
      <c r="T288" s="130"/>
    </row>
    <row r="289" spans="1:20" s="131" customFormat="1" ht="14.1" customHeight="1" x14ac:dyDescent="0.25">
      <c r="A289" s="390">
        <f ca="1">IF($H289="UNIDADE CONSTRUTIVA",OFFSET(A289,-1,0)+1,LARGE(A$3:A288,1))</f>
        <v>0</v>
      </c>
      <c r="B289" s="390">
        <f t="shared" ca="1" si="28"/>
        <v>3</v>
      </c>
      <c r="C289" s="390">
        <f t="shared" ca="1" si="29"/>
        <v>1</v>
      </c>
      <c r="D289" s="391">
        <f t="shared" ca="1" si="30"/>
        <v>2</v>
      </c>
      <c r="E289" s="391">
        <f t="shared" ca="1" si="31"/>
        <v>11</v>
      </c>
      <c r="F289" s="125"/>
      <c r="J289" s="130"/>
      <c r="K289" s="132"/>
      <c r="L289" s="413"/>
      <c r="M289" s="413"/>
      <c r="N289" s="414"/>
      <c r="O289" s="415"/>
      <c r="P289" s="133"/>
      <c r="Q289" s="130"/>
      <c r="R289" s="132"/>
      <c r="S289" s="132"/>
      <c r="T289" s="130"/>
    </row>
    <row r="290" spans="1:20" s="131" customFormat="1" ht="14.1" customHeight="1" x14ac:dyDescent="0.25">
      <c r="A290" s="390">
        <f ca="1">IF($H290="UNIDADE CONSTRUTIVA",OFFSET(A290,-1,0)+1,LARGE(A$3:A289,1))</f>
        <v>0</v>
      </c>
      <c r="B290" s="390">
        <f t="shared" ca="1" si="28"/>
        <v>3</v>
      </c>
      <c r="C290" s="390">
        <f t="shared" ca="1" si="29"/>
        <v>1</v>
      </c>
      <c r="D290" s="391">
        <f t="shared" ca="1" si="30"/>
        <v>2</v>
      </c>
      <c r="E290" s="391">
        <f t="shared" ca="1" si="31"/>
        <v>11</v>
      </c>
      <c r="F290" s="125"/>
      <c r="J290" s="130"/>
      <c r="K290" s="132"/>
      <c r="L290" s="413"/>
      <c r="M290" s="413"/>
      <c r="N290" s="414"/>
      <c r="O290" s="415"/>
      <c r="P290" s="133"/>
      <c r="Q290" s="130"/>
      <c r="R290" s="132"/>
      <c r="S290" s="132"/>
      <c r="T290" s="130"/>
    </row>
    <row r="291" spans="1:20" s="131" customFormat="1" ht="14.1" customHeight="1" x14ac:dyDescent="0.25">
      <c r="A291" s="390">
        <f ca="1">IF($H291="UNIDADE CONSTRUTIVA",OFFSET(A291,-1,0)+1,LARGE(A$3:A290,1))</f>
        <v>0</v>
      </c>
      <c r="B291" s="390">
        <f t="shared" ca="1" si="28"/>
        <v>3</v>
      </c>
      <c r="C291" s="390">
        <f t="shared" ca="1" si="29"/>
        <v>1</v>
      </c>
      <c r="D291" s="391">
        <f t="shared" ca="1" si="30"/>
        <v>2</v>
      </c>
      <c r="E291" s="391">
        <f t="shared" ca="1" si="31"/>
        <v>11</v>
      </c>
      <c r="F291" s="125"/>
      <c r="J291" s="130"/>
      <c r="K291" s="132"/>
      <c r="L291" s="413"/>
      <c r="M291" s="413"/>
      <c r="N291" s="414"/>
      <c r="O291" s="415"/>
      <c r="P291" s="133"/>
      <c r="Q291" s="130"/>
      <c r="R291" s="132"/>
      <c r="S291" s="132"/>
      <c r="T291" s="130"/>
    </row>
    <row r="292" spans="1:20" s="131" customFormat="1" ht="14.1" customHeight="1" x14ac:dyDescent="0.25">
      <c r="A292" s="390">
        <f ca="1">IF($H292="UNIDADE CONSTRUTIVA",OFFSET(A292,-1,0)+1,LARGE(A$3:A291,1))</f>
        <v>0</v>
      </c>
      <c r="B292" s="390">
        <f t="shared" ca="1" si="28"/>
        <v>3</v>
      </c>
      <c r="C292" s="390">
        <f t="shared" ca="1" si="29"/>
        <v>1</v>
      </c>
      <c r="D292" s="391">
        <f t="shared" ca="1" si="30"/>
        <v>2</v>
      </c>
      <c r="E292" s="391">
        <f t="shared" ca="1" si="31"/>
        <v>11</v>
      </c>
      <c r="F292" s="125"/>
      <c r="J292" s="130"/>
      <c r="K292" s="132"/>
      <c r="L292" s="413"/>
      <c r="M292" s="413"/>
      <c r="N292" s="414"/>
      <c r="O292" s="415"/>
      <c r="P292" s="133"/>
      <c r="Q292" s="130"/>
      <c r="R292" s="132"/>
      <c r="S292" s="132"/>
      <c r="T292" s="130"/>
    </row>
    <row r="293" spans="1:20" s="131" customFormat="1" ht="14.1" customHeight="1" x14ac:dyDescent="0.25">
      <c r="A293" s="390">
        <f ca="1">IF($H293="UNIDADE CONSTRUTIVA",OFFSET(A293,-1,0)+1,LARGE(A$3:A292,1))</f>
        <v>0</v>
      </c>
      <c r="B293" s="390">
        <f t="shared" ca="1" si="28"/>
        <v>3</v>
      </c>
      <c r="C293" s="390">
        <f t="shared" ca="1" si="29"/>
        <v>1</v>
      </c>
      <c r="D293" s="391">
        <f t="shared" ca="1" si="30"/>
        <v>2</v>
      </c>
      <c r="E293" s="391">
        <f t="shared" ca="1" si="31"/>
        <v>11</v>
      </c>
      <c r="F293" s="125"/>
      <c r="J293" s="130"/>
      <c r="K293" s="132"/>
      <c r="L293" s="413"/>
      <c r="M293" s="413"/>
      <c r="N293" s="414"/>
      <c r="O293" s="415"/>
      <c r="P293" s="133"/>
      <c r="Q293" s="130"/>
      <c r="R293" s="132"/>
      <c r="S293" s="132"/>
      <c r="T293" s="130"/>
    </row>
    <row r="294" spans="1:20" s="131" customFormat="1" ht="14.1" customHeight="1" x14ac:dyDescent="0.25">
      <c r="A294" s="390">
        <f ca="1">IF($H294="UNIDADE CONSTRUTIVA",OFFSET(A294,-1,0)+1,LARGE(A$3:A293,1))</f>
        <v>0</v>
      </c>
      <c r="B294" s="390">
        <f t="shared" ca="1" si="28"/>
        <v>3</v>
      </c>
      <c r="C294" s="390">
        <f t="shared" ca="1" si="29"/>
        <v>1</v>
      </c>
      <c r="D294" s="391">
        <f t="shared" ca="1" si="30"/>
        <v>2</v>
      </c>
      <c r="E294" s="391">
        <f t="shared" ca="1" si="31"/>
        <v>11</v>
      </c>
      <c r="F294" s="125"/>
      <c r="J294" s="130"/>
      <c r="K294" s="132"/>
      <c r="L294" s="413"/>
      <c r="M294" s="413"/>
      <c r="N294" s="414"/>
      <c r="O294" s="415"/>
      <c r="P294" s="133"/>
      <c r="Q294" s="130"/>
      <c r="R294" s="132"/>
      <c r="S294" s="132"/>
      <c r="T294" s="130"/>
    </row>
    <row r="295" spans="1:20" s="131" customFormat="1" ht="14.1" customHeight="1" x14ac:dyDescent="0.25">
      <c r="A295" s="390">
        <f ca="1">IF($H295="UNIDADE CONSTRUTIVA",OFFSET(A295,-1,0)+1,LARGE(A$3:A294,1))</f>
        <v>0</v>
      </c>
      <c r="B295" s="390">
        <f t="shared" ca="1" si="28"/>
        <v>3</v>
      </c>
      <c r="C295" s="390">
        <f t="shared" ca="1" si="29"/>
        <v>1</v>
      </c>
      <c r="D295" s="391">
        <f t="shared" ca="1" si="30"/>
        <v>2</v>
      </c>
      <c r="E295" s="391">
        <f t="shared" ca="1" si="31"/>
        <v>11</v>
      </c>
      <c r="F295" s="125"/>
      <c r="J295" s="130"/>
      <c r="K295" s="132"/>
      <c r="L295" s="413"/>
      <c r="M295" s="413"/>
      <c r="N295" s="414"/>
      <c r="O295" s="415"/>
      <c r="P295" s="133"/>
      <c r="Q295" s="130"/>
      <c r="R295" s="132"/>
      <c r="S295" s="132"/>
      <c r="T295" s="130"/>
    </row>
    <row r="296" spans="1:20" s="131" customFormat="1" ht="14.1" customHeight="1" x14ac:dyDescent="0.25">
      <c r="A296" s="390">
        <f ca="1">IF($H296="UNIDADE CONSTRUTIVA",OFFSET(A296,-1,0)+1,LARGE(A$3:A295,1))</f>
        <v>0</v>
      </c>
      <c r="B296" s="390">
        <f t="shared" ca="1" si="28"/>
        <v>3</v>
      </c>
      <c r="C296" s="390">
        <f t="shared" ca="1" si="29"/>
        <v>1</v>
      </c>
      <c r="D296" s="391">
        <f t="shared" ca="1" si="30"/>
        <v>2</v>
      </c>
      <c r="E296" s="391">
        <f t="shared" ca="1" si="31"/>
        <v>11</v>
      </c>
      <c r="F296" s="125"/>
      <c r="J296" s="130"/>
      <c r="K296" s="132"/>
      <c r="L296" s="413"/>
      <c r="M296" s="413"/>
      <c r="N296" s="414"/>
      <c r="O296" s="415"/>
      <c r="P296" s="133"/>
      <c r="Q296" s="130"/>
      <c r="R296" s="132"/>
      <c r="S296" s="132"/>
      <c r="T296" s="130"/>
    </row>
    <row r="297" spans="1:20" s="131" customFormat="1" ht="14.1" customHeight="1" x14ac:dyDescent="0.25">
      <c r="A297" s="390">
        <f ca="1">IF($H297="UNIDADE CONSTRUTIVA",OFFSET(A297,-1,0)+1,LARGE(A$3:A296,1))</f>
        <v>0</v>
      </c>
      <c r="B297" s="390">
        <f t="shared" ca="1" si="28"/>
        <v>3</v>
      </c>
      <c r="C297" s="390">
        <f t="shared" ca="1" si="29"/>
        <v>1</v>
      </c>
      <c r="D297" s="391">
        <f t="shared" ca="1" si="30"/>
        <v>2</v>
      </c>
      <c r="E297" s="391">
        <f t="shared" ca="1" si="31"/>
        <v>11</v>
      </c>
      <c r="F297" s="125"/>
      <c r="J297" s="130"/>
      <c r="K297" s="132"/>
      <c r="L297" s="413"/>
      <c r="M297" s="413"/>
      <c r="N297" s="414"/>
      <c r="O297" s="415"/>
      <c r="P297" s="133"/>
      <c r="Q297" s="130"/>
      <c r="R297" s="132"/>
      <c r="S297" s="132"/>
      <c r="T297" s="130"/>
    </row>
    <row r="298" spans="1:20" s="131" customFormat="1" ht="14.1" customHeight="1" x14ac:dyDescent="0.25">
      <c r="A298" s="390">
        <f ca="1">IF($H298="UNIDADE CONSTRUTIVA",OFFSET(A298,-1,0)+1,LARGE(A$3:A297,1))</f>
        <v>0</v>
      </c>
      <c r="B298" s="390">
        <f t="shared" ca="1" si="28"/>
        <v>3</v>
      </c>
      <c r="C298" s="390">
        <f t="shared" ca="1" si="29"/>
        <v>1</v>
      </c>
      <c r="D298" s="391">
        <f t="shared" ca="1" si="30"/>
        <v>2</v>
      </c>
      <c r="E298" s="391">
        <f t="shared" ca="1" si="31"/>
        <v>11</v>
      </c>
      <c r="F298" s="125"/>
      <c r="J298" s="130"/>
      <c r="K298" s="132"/>
      <c r="L298" s="413"/>
      <c r="M298" s="413"/>
      <c r="N298" s="414"/>
      <c r="O298" s="415"/>
      <c r="P298" s="133"/>
      <c r="Q298" s="130"/>
      <c r="R298" s="132"/>
      <c r="S298" s="132"/>
      <c r="T298" s="130"/>
    </row>
    <row r="299" spans="1:20" s="131" customFormat="1" ht="14.1" customHeight="1" x14ac:dyDescent="0.25">
      <c r="A299" s="390">
        <f ca="1">IF($H299="UNIDADE CONSTRUTIVA",OFFSET(A299,-1,0)+1,LARGE(A$3:A298,1))</f>
        <v>0</v>
      </c>
      <c r="B299" s="390">
        <f t="shared" ca="1" si="28"/>
        <v>3</v>
      </c>
      <c r="C299" s="390">
        <f t="shared" ca="1" si="29"/>
        <v>1</v>
      </c>
      <c r="D299" s="391">
        <f t="shared" ca="1" si="30"/>
        <v>2</v>
      </c>
      <c r="E299" s="391">
        <f t="shared" ca="1" si="31"/>
        <v>11</v>
      </c>
      <c r="F299" s="125"/>
      <c r="J299" s="130"/>
      <c r="K299" s="132"/>
      <c r="L299" s="413"/>
      <c r="M299" s="413"/>
      <c r="N299" s="414"/>
      <c r="O299" s="415"/>
      <c r="P299" s="133"/>
      <c r="Q299" s="130"/>
      <c r="R299" s="132"/>
      <c r="S299" s="132"/>
      <c r="T299" s="130"/>
    </row>
    <row r="300" spans="1:20" s="131" customFormat="1" ht="14.1" customHeight="1" x14ac:dyDescent="0.25">
      <c r="A300" s="390">
        <f ca="1">IF($H300="UNIDADE CONSTRUTIVA",OFFSET(A300,-1,0)+1,LARGE(A$3:A299,1))</f>
        <v>0</v>
      </c>
      <c r="B300" s="390">
        <f t="shared" ca="1" si="28"/>
        <v>3</v>
      </c>
      <c r="C300" s="390">
        <f t="shared" ca="1" si="29"/>
        <v>1</v>
      </c>
      <c r="D300" s="391">
        <f t="shared" ca="1" si="30"/>
        <v>2</v>
      </c>
      <c r="E300" s="391">
        <f t="shared" ca="1" si="31"/>
        <v>11</v>
      </c>
      <c r="F300" s="125"/>
      <c r="J300" s="130"/>
      <c r="K300" s="132"/>
      <c r="L300" s="413"/>
      <c r="M300" s="413"/>
      <c r="N300" s="414"/>
      <c r="O300" s="415"/>
      <c r="P300" s="133"/>
      <c r="Q300" s="130"/>
      <c r="R300" s="132"/>
      <c r="S300" s="132"/>
      <c r="T300" s="130"/>
    </row>
    <row r="301" spans="1:20" s="131" customFormat="1" ht="14.1" customHeight="1" x14ac:dyDescent="0.25">
      <c r="A301" s="390">
        <f ca="1">IF($H301="UNIDADE CONSTRUTIVA",OFFSET(A301,-1,0)+1,LARGE(A$3:A300,1))</f>
        <v>0</v>
      </c>
      <c r="B301" s="390">
        <f t="shared" ca="1" si="28"/>
        <v>3</v>
      </c>
      <c r="C301" s="390">
        <f t="shared" ca="1" si="29"/>
        <v>1</v>
      </c>
      <c r="D301" s="391">
        <f t="shared" ca="1" si="30"/>
        <v>2</v>
      </c>
      <c r="E301" s="391">
        <f t="shared" ca="1" si="31"/>
        <v>11</v>
      </c>
      <c r="F301" s="125"/>
      <c r="J301" s="130"/>
      <c r="K301" s="132"/>
      <c r="L301" s="413"/>
      <c r="M301" s="413"/>
      <c r="N301" s="414"/>
      <c r="O301" s="415"/>
      <c r="P301" s="133"/>
      <c r="Q301" s="130"/>
      <c r="R301" s="132"/>
      <c r="S301" s="132"/>
      <c r="T301" s="130"/>
    </row>
    <row r="302" spans="1:20" s="131" customFormat="1" ht="14.1" customHeight="1" x14ac:dyDescent="0.25">
      <c r="A302" s="390">
        <f ca="1">IF($H302="UNIDADE CONSTRUTIVA",OFFSET(A302,-1,0)+1,LARGE(A$3:A301,1))</f>
        <v>0</v>
      </c>
      <c r="B302" s="390">
        <f t="shared" ca="1" si="28"/>
        <v>3</v>
      </c>
      <c r="C302" s="390">
        <f t="shared" ca="1" si="29"/>
        <v>1</v>
      </c>
      <c r="D302" s="391">
        <f t="shared" ca="1" si="30"/>
        <v>2</v>
      </c>
      <c r="E302" s="391">
        <f t="shared" ca="1" si="31"/>
        <v>11</v>
      </c>
      <c r="F302" s="125"/>
      <c r="J302" s="130"/>
      <c r="K302" s="132"/>
      <c r="L302" s="413"/>
      <c r="M302" s="413"/>
      <c r="N302" s="414"/>
      <c r="O302" s="415"/>
      <c r="P302" s="133"/>
      <c r="Q302" s="130"/>
      <c r="R302" s="132"/>
      <c r="S302" s="132"/>
      <c r="T302" s="130"/>
    </row>
    <row r="303" spans="1:20" s="131" customFormat="1" ht="14.1" customHeight="1" x14ac:dyDescent="0.25">
      <c r="A303" s="390">
        <f ca="1">IF($H303="UNIDADE CONSTRUTIVA",OFFSET(A303,-1,0)+1,LARGE(A$3:A302,1))</f>
        <v>0</v>
      </c>
      <c r="B303" s="390">
        <f t="shared" ca="1" si="28"/>
        <v>3</v>
      </c>
      <c r="C303" s="390">
        <f t="shared" ca="1" si="29"/>
        <v>1</v>
      </c>
      <c r="D303" s="391">
        <f t="shared" ca="1" si="30"/>
        <v>2</v>
      </c>
      <c r="E303" s="391">
        <f t="shared" ca="1" si="31"/>
        <v>11</v>
      </c>
      <c r="F303" s="125"/>
      <c r="J303" s="130"/>
      <c r="K303" s="132"/>
      <c r="L303" s="413"/>
      <c r="M303" s="413"/>
      <c r="N303" s="414"/>
      <c r="O303" s="415"/>
      <c r="P303" s="133"/>
      <c r="Q303" s="130"/>
      <c r="R303" s="132"/>
      <c r="S303" s="132"/>
      <c r="T303" s="130"/>
    </row>
    <row r="304" spans="1:20" s="131" customFormat="1" ht="14.1" customHeight="1" x14ac:dyDescent="0.25">
      <c r="A304" s="390">
        <f ca="1">IF($H304="UNIDADE CONSTRUTIVA",OFFSET(A304,-1,0)+1,LARGE(A$3:A303,1))</f>
        <v>0</v>
      </c>
      <c r="B304" s="390">
        <f t="shared" ca="1" si="28"/>
        <v>3</v>
      </c>
      <c r="C304" s="390">
        <f t="shared" ca="1" si="29"/>
        <v>1</v>
      </c>
      <c r="D304" s="391">
        <f t="shared" ca="1" si="30"/>
        <v>2</v>
      </c>
      <c r="E304" s="391">
        <f t="shared" ca="1" si="31"/>
        <v>11</v>
      </c>
      <c r="F304" s="125"/>
      <c r="J304" s="130"/>
      <c r="K304" s="132"/>
      <c r="L304" s="413"/>
      <c r="M304" s="413"/>
      <c r="N304" s="414"/>
      <c r="O304" s="415"/>
      <c r="P304" s="133"/>
      <c r="Q304" s="130"/>
      <c r="R304" s="132"/>
      <c r="S304" s="132"/>
      <c r="T304" s="130"/>
    </row>
    <row r="305" spans="1:20" s="131" customFormat="1" ht="14.1" customHeight="1" x14ac:dyDescent="0.25">
      <c r="A305" s="390">
        <f ca="1">IF($H305="UNIDADE CONSTRUTIVA",OFFSET(A305,-1,0)+1,LARGE(A$3:A304,1))</f>
        <v>0</v>
      </c>
      <c r="B305" s="390">
        <f t="shared" ca="1" si="28"/>
        <v>3</v>
      </c>
      <c r="C305" s="390">
        <f t="shared" ca="1" si="29"/>
        <v>1</v>
      </c>
      <c r="D305" s="391">
        <f t="shared" ca="1" si="30"/>
        <v>2</v>
      </c>
      <c r="E305" s="391">
        <f t="shared" ca="1" si="31"/>
        <v>11</v>
      </c>
      <c r="F305" s="125"/>
      <c r="J305" s="130"/>
      <c r="K305" s="132"/>
      <c r="L305" s="413"/>
      <c r="M305" s="413"/>
      <c r="N305" s="414"/>
      <c r="O305" s="415"/>
      <c r="P305" s="133"/>
      <c r="Q305" s="130"/>
      <c r="R305" s="132"/>
      <c r="S305" s="132"/>
      <c r="T305" s="130"/>
    </row>
    <row r="306" spans="1:20" s="131" customFormat="1" ht="14.1" customHeight="1" x14ac:dyDescent="0.25">
      <c r="A306" s="390">
        <f ca="1">IF($H306="UNIDADE CONSTRUTIVA",OFFSET(A306,-1,0)+1,LARGE(A$3:A305,1))</f>
        <v>0</v>
      </c>
      <c r="B306" s="390">
        <f t="shared" ca="1" si="28"/>
        <v>3</v>
      </c>
      <c r="C306" s="390">
        <f t="shared" ca="1" si="29"/>
        <v>1</v>
      </c>
      <c r="D306" s="391">
        <f t="shared" ca="1" si="30"/>
        <v>2</v>
      </c>
      <c r="E306" s="391">
        <f t="shared" ca="1" si="31"/>
        <v>11</v>
      </c>
      <c r="F306" s="125"/>
      <c r="J306" s="130"/>
      <c r="K306" s="132"/>
      <c r="L306" s="413"/>
      <c r="M306" s="413"/>
      <c r="N306" s="414"/>
      <c r="O306" s="415"/>
      <c r="P306" s="133"/>
      <c r="Q306" s="130"/>
      <c r="R306" s="132"/>
      <c r="S306" s="132"/>
      <c r="T306" s="130"/>
    </row>
    <row r="307" spans="1:20" s="131" customFormat="1" ht="14.1" customHeight="1" x14ac:dyDescent="0.25">
      <c r="A307" s="390">
        <f ca="1">IF($H307="UNIDADE CONSTRUTIVA",OFFSET(A307,-1,0)+1,LARGE(A$3:A306,1))</f>
        <v>0</v>
      </c>
      <c r="B307" s="390">
        <f t="shared" ca="1" si="28"/>
        <v>3</v>
      </c>
      <c r="C307" s="390">
        <f t="shared" ca="1" si="29"/>
        <v>1</v>
      </c>
      <c r="D307" s="391">
        <f t="shared" ca="1" si="30"/>
        <v>2</v>
      </c>
      <c r="E307" s="391">
        <f t="shared" ca="1" si="31"/>
        <v>11</v>
      </c>
      <c r="F307" s="125"/>
      <c r="J307" s="130"/>
      <c r="K307" s="132"/>
      <c r="L307" s="413"/>
      <c r="M307" s="413"/>
      <c r="N307" s="414"/>
      <c r="O307" s="415"/>
      <c r="P307" s="133"/>
      <c r="Q307" s="130"/>
      <c r="R307" s="132"/>
      <c r="S307" s="132"/>
      <c r="T307" s="130"/>
    </row>
    <row r="308" spans="1:20" s="131" customFormat="1" ht="14.1" customHeight="1" x14ac:dyDescent="0.25">
      <c r="A308" s="390">
        <f ca="1">IF($H308="UNIDADE CONSTRUTIVA",OFFSET(A308,-1,0)+1,LARGE(A$3:A307,1))</f>
        <v>0</v>
      </c>
      <c r="B308" s="390">
        <f t="shared" ca="1" si="28"/>
        <v>3</v>
      </c>
      <c r="C308" s="390">
        <f t="shared" ca="1" si="29"/>
        <v>1</v>
      </c>
      <c r="D308" s="391">
        <f t="shared" ca="1" si="30"/>
        <v>2</v>
      </c>
      <c r="E308" s="391">
        <f t="shared" ca="1" si="31"/>
        <v>11</v>
      </c>
      <c r="F308" s="125"/>
      <c r="J308" s="130"/>
      <c r="K308" s="132"/>
      <c r="L308" s="413"/>
      <c r="M308" s="413"/>
      <c r="N308" s="414"/>
      <c r="O308" s="415"/>
      <c r="P308" s="133"/>
      <c r="Q308" s="130"/>
      <c r="R308" s="132"/>
      <c r="S308" s="132"/>
      <c r="T308" s="130"/>
    </row>
    <row r="309" spans="1:20" s="131" customFormat="1" ht="14.1" customHeight="1" x14ac:dyDescent="0.25">
      <c r="A309" s="390">
        <f ca="1">IF($H309="UNIDADE CONSTRUTIVA",OFFSET(A309,-1,0)+1,LARGE(A$3:A308,1))</f>
        <v>0</v>
      </c>
      <c r="B309" s="390">
        <f t="shared" ca="1" si="28"/>
        <v>3</v>
      </c>
      <c r="C309" s="390">
        <f t="shared" ca="1" si="29"/>
        <v>1</v>
      </c>
      <c r="D309" s="391">
        <f t="shared" ca="1" si="30"/>
        <v>2</v>
      </c>
      <c r="E309" s="391">
        <f t="shared" ca="1" si="31"/>
        <v>11</v>
      </c>
      <c r="F309" s="125"/>
      <c r="J309" s="130"/>
      <c r="K309" s="132"/>
      <c r="L309" s="413"/>
      <c r="M309" s="413"/>
      <c r="N309" s="414"/>
      <c r="O309" s="415"/>
      <c r="P309" s="133"/>
      <c r="Q309" s="130"/>
      <c r="R309" s="132"/>
      <c r="S309" s="132"/>
      <c r="T309" s="130"/>
    </row>
    <row r="310" spans="1:20" s="131" customFormat="1" ht="14.1" customHeight="1" x14ac:dyDescent="0.25">
      <c r="A310" s="390">
        <f ca="1">IF($H310="UNIDADE CONSTRUTIVA",OFFSET(A310,-1,0)+1,LARGE(A$3:A309,1))</f>
        <v>0</v>
      </c>
      <c r="B310" s="390">
        <f t="shared" ca="1" si="28"/>
        <v>3</v>
      </c>
      <c r="C310" s="390">
        <f t="shared" ca="1" si="29"/>
        <v>1</v>
      </c>
      <c r="D310" s="391">
        <f t="shared" ca="1" si="30"/>
        <v>2</v>
      </c>
      <c r="E310" s="391">
        <f t="shared" ca="1" si="31"/>
        <v>11</v>
      </c>
      <c r="F310" s="125"/>
      <c r="J310" s="130"/>
      <c r="K310" s="132"/>
      <c r="L310" s="413"/>
      <c r="M310" s="413"/>
      <c r="N310" s="414"/>
      <c r="O310" s="415"/>
      <c r="P310" s="133"/>
      <c r="Q310" s="130"/>
      <c r="R310" s="132"/>
      <c r="S310" s="132"/>
      <c r="T310" s="130"/>
    </row>
    <row r="311" spans="1:20" s="131" customFormat="1" ht="14.1" customHeight="1" x14ac:dyDescent="0.25">
      <c r="A311" s="390">
        <f ca="1">IF($H311="UNIDADE CONSTRUTIVA",OFFSET(A311,-1,0)+1,LARGE(A$3:A310,1))</f>
        <v>0</v>
      </c>
      <c r="B311" s="390">
        <f t="shared" ca="1" si="28"/>
        <v>3</v>
      </c>
      <c r="C311" s="390">
        <f t="shared" ca="1" si="29"/>
        <v>1</v>
      </c>
      <c r="D311" s="391">
        <f t="shared" ca="1" si="30"/>
        <v>2</v>
      </c>
      <c r="E311" s="391">
        <f t="shared" ca="1" si="31"/>
        <v>11</v>
      </c>
      <c r="F311" s="125"/>
      <c r="J311" s="130"/>
      <c r="K311" s="132"/>
      <c r="L311" s="413"/>
      <c r="M311" s="413"/>
      <c r="N311" s="414"/>
      <c r="O311" s="415"/>
      <c r="P311" s="133"/>
      <c r="Q311" s="130"/>
      <c r="R311" s="132"/>
      <c r="S311" s="132"/>
      <c r="T311" s="130"/>
    </row>
    <row r="312" spans="1:20" s="131" customFormat="1" ht="14.1" customHeight="1" x14ac:dyDescent="0.25">
      <c r="A312" s="390">
        <f ca="1">IF($H312="UNIDADE CONSTRUTIVA",OFFSET(A312,-1,0)+1,LARGE(A$3:A311,1))</f>
        <v>0</v>
      </c>
      <c r="B312" s="390">
        <f t="shared" ca="1" si="28"/>
        <v>3</v>
      </c>
      <c r="C312" s="390">
        <f t="shared" ca="1" si="29"/>
        <v>1</v>
      </c>
      <c r="D312" s="391">
        <f t="shared" ca="1" si="30"/>
        <v>2</v>
      </c>
      <c r="E312" s="391">
        <f t="shared" ca="1" si="31"/>
        <v>11</v>
      </c>
      <c r="F312" s="125"/>
      <c r="J312" s="130"/>
      <c r="K312" s="132"/>
      <c r="L312" s="413"/>
      <c r="M312" s="413"/>
      <c r="N312" s="414"/>
      <c r="O312" s="415"/>
      <c r="P312" s="133"/>
      <c r="Q312" s="130"/>
      <c r="R312" s="132"/>
      <c r="S312" s="132"/>
      <c r="T312" s="130"/>
    </row>
    <row r="313" spans="1:20" s="131" customFormat="1" ht="14.1" customHeight="1" x14ac:dyDescent="0.25">
      <c r="A313" s="390">
        <f ca="1">IF($H313="UNIDADE CONSTRUTIVA",OFFSET(A313,-1,0)+1,LARGE(A$3:A312,1))</f>
        <v>0</v>
      </c>
      <c r="B313" s="390">
        <f t="shared" ca="1" si="28"/>
        <v>3</v>
      </c>
      <c r="C313" s="390">
        <f t="shared" ca="1" si="29"/>
        <v>1</v>
      </c>
      <c r="D313" s="391">
        <f t="shared" ca="1" si="30"/>
        <v>2</v>
      </c>
      <c r="E313" s="391">
        <f t="shared" ca="1" si="31"/>
        <v>11</v>
      </c>
      <c r="F313" s="125"/>
      <c r="J313" s="130"/>
      <c r="K313" s="132"/>
      <c r="L313" s="413"/>
      <c r="M313" s="413"/>
      <c r="N313" s="414"/>
      <c r="O313" s="415"/>
      <c r="P313" s="133"/>
      <c r="Q313" s="130"/>
      <c r="R313" s="132"/>
      <c r="S313" s="132"/>
      <c r="T313" s="130"/>
    </row>
    <row r="314" spans="1:20" s="131" customFormat="1" ht="14.1" customHeight="1" x14ac:dyDescent="0.25">
      <c r="A314" s="390">
        <f ca="1">IF($H314="UNIDADE CONSTRUTIVA",OFFSET(A314,-1,0)+1,LARGE(A$3:A313,1))</f>
        <v>0</v>
      </c>
      <c r="B314" s="390">
        <f t="shared" ca="1" si="28"/>
        <v>3</v>
      </c>
      <c r="C314" s="390">
        <f t="shared" ca="1" si="29"/>
        <v>1</v>
      </c>
      <c r="D314" s="391">
        <f t="shared" ca="1" si="30"/>
        <v>2</v>
      </c>
      <c r="E314" s="391">
        <f t="shared" ca="1" si="31"/>
        <v>11</v>
      </c>
      <c r="F314" s="125"/>
      <c r="J314" s="130"/>
      <c r="K314" s="132"/>
      <c r="L314" s="413"/>
      <c r="M314" s="413"/>
      <c r="N314" s="414"/>
      <c r="O314" s="415"/>
      <c r="P314" s="133"/>
      <c r="Q314" s="130"/>
      <c r="R314" s="132"/>
      <c r="S314" s="132"/>
      <c r="T314" s="130"/>
    </row>
    <row r="315" spans="1:20" s="131" customFormat="1" ht="14.1" customHeight="1" x14ac:dyDescent="0.25">
      <c r="A315" s="390">
        <f ca="1">IF($H315="UNIDADE CONSTRUTIVA",OFFSET(A315,-1,0)+1,LARGE(A$3:A314,1))</f>
        <v>0</v>
      </c>
      <c r="B315" s="390">
        <f t="shared" ca="1" si="28"/>
        <v>3</v>
      </c>
      <c r="C315" s="390">
        <f t="shared" ca="1" si="29"/>
        <v>1</v>
      </c>
      <c r="D315" s="391">
        <f t="shared" ca="1" si="30"/>
        <v>2</v>
      </c>
      <c r="E315" s="391">
        <f t="shared" ca="1" si="31"/>
        <v>11</v>
      </c>
      <c r="F315" s="125"/>
      <c r="J315" s="130"/>
      <c r="K315" s="132"/>
      <c r="L315" s="413"/>
      <c r="M315" s="413"/>
      <c r="N315" s="414"/>
      <c r="O315" s="415"/>
      <c r="P315" s="133"/>
      <c r="Q315" s="130"/>
      <c r="R315" s="132"/>
      <c r="S315" s="132"/>
      <c r="T315" s="130"/>
    </row>
    <row r="316" spans="1:20" s="131" customFormat="1" ht="14.1" customHeight="1" x14ac:dyDescent="0.25">
      <c r="A316" s="390">
        <f ca="1">IF($H316="UNIDADE CONSTRUTIVA",OFFSET(A316,-1,0)+1,LARGE(A$3:A315,1))</f>
        <v>0</v>
      </c>
      <c r="B316" s="390">
        <f t="shared" ca="1" si="28"/>
        <v>3</v>
      </c>
      <c r="C316" s="390">
        <f t="shared" ca="1" si="29"/>
        <v>1</v>
      </c>
      <c r="D316" s="391">
        <f t="shared" ca="1" si="30"/>
        <v>2</v>
      </c>
      <c r="E316" s="391">
        <f t="shared" ca="1" si="31"/>
        <v>11</v>
      </c>
      <c r="F316" s="125"/>
      <c r="J316" s="130"/>
      <c r="K316" s="132"/>
      <c r="L316" s="413"/>
      <c r="M316" s="413"/>
      <c r="N316" s="414"/>
      <c r="O316" s="415"/>
      <c r="P316" s="133"/>
      <c r="Q316" s="130"/>
      <c r="R316" s="132"/>
      <c r="S316" s="132"/>
      <c r="T316" s="130"/>
    </row>
    <row r="317" spans="1:20" s="131" customFormat="1" ht="14.1" customHeight="1" x14ac:dyDescent="0.25">
      <c r="A317" s="390">
        <f ca="1">IF($H317="UNIDADE CONSTRUTIVA",OFFSET(A317,-1,0)+1,LARGE(A$3:A316,1))</f>
        <v>0</v>
      </c>
      <c r="B317" s="390">
        <f t="shared" ca="1" si="28"/>
        <v>3</v>
      </c>
      <c r="C317" s="390">
        <f t="shared" ca="1" si="29"/>
        <v>1</v>
      </c>
      <c r="D317" s="391">
        <f t="shared" ca="1" si="30"/>
        <v>2</v>
      </c>
      <c r="E317" s="391">
        <f t="shared" ca="1" si="31"/>
        <v>11</v>
      </c>
      <c r="F317" s="125"/>
      <c r="J317" s="130"/>
      <c r="K317" s="132"/>
      <c r="L317" s="413"/>
      <c r="M317" s="413"/>
      <c r="N317" s="414"/>
      <c r="O317" s="415"/>
      <c r="P317" s="133"/>
      <c r="Q317" s="130"/>
      <c r="R317" s="132"/>
      <c r="S317" s="132"/>
      <c r="T317" s="130"/>
    </row>
    <row r="318" spans="1:20" s="131" customFormat="1" ht="14.1" customHeight="1" x14ac:dyDescent="0.25">
      <c r="A318" s="390">
        <f ca="1">IF($H318="UNIDADE CONSTRUTIVA",OFFSET(A318,-1,0)+1,LARGE(A$3:A317,1))</f>
        <v>0</v>
      </c>
      <c r="B318" s="390">
        <f t="shared" ca="1" si="28"/>
        <v>3</v>
      </c>
      <c r="C318" s="390">
        <f t="shared" ca="1" si="29"/>
        <v>1</v>
      </c>
      <c r="D318" s="391">
        <f t="shared" ca="1" si="30"/>
        <v>2</v>
      </c>
      <c r="E318" s="391">
        <f t="shared" ca="1" si="31"/>
        <v>11</v>
      </c>
      <c r="F318" s="125"/>
      <c r="J318" s="130"/>
      <c r="K318" s="132"/>
      <c r="L318" s="413"/>
      <c r="M318" s="413"/>
      <c r="N318" s="414"/>
      <c r="O318" s="415"/>
      <c r="P318" s="133"/>
      <c r="Q318" s="130"/>
      <c r="R318" s="132"/>
      <c r="S318" s="132"/>
      <c r="T318" s="130"/>
    </row>
    <row r="319" spans="1:20" s="131" customFormat="1" ht="14.1" customHeight="1" x14ac:dyDescent="0.25">
      <c r="A319" s="390">
        <f ca="1">IF($H319="UNIDADE CONSTRUTIVA",OFFSET(A319,-1,0)+1,LARGE(A$3:A318,1))</f>
        <v>0</v>
      </c>
      <c r="B319" s="390">
        <f t="shared" ca="1" si="28"/>
        <v>3</v>
      </c>
      <c r="C319" s="390">
        <f t="shared" ca="1" si="29"/>
        <v>1</v>
      </c>
      <c r="D319" s="391">
        <f t="shared" ca="1" si="30"/>
        <v>2</v>
      </c>
      <c r="E319" s="391">
        <f t="shared" ca="1" si="31"/>
        <v>11</v>
      </c>
      <c r="F319" s="125"/>
      <c r="J319" s="130"/>
      <c r="K319" s="132"/>
      <c r="L319" s="413"/>
      <c r="M319" s="413"/>
      <c r="N319" s="414"/>
      <c r="O319" s="415"/>
      <c r="P319" s="133"/>
      <c r="Q319" s="130"/>
      <c r="R319" s="132"/>
      <c r="S319" s="132"/>
      <c r="T319" s="130"/>
    </row>
    <row r="320" spans="1:20" s="131" customFormat="1" ht="14.1" customHeight="1" x14ac:dyDescent="0.25">
      <c r="A320" s="390">
        <f ca="1">IF($H320="UNIDADE CONSTRUTIVA",OFFSET(A320,-1,0)+1,LARGE(A$3:A319,1))</f>
        <v>0</v>
      </c>
      <c r="B320" s="390">
        <f t="shared" ca="1" si="28"/>
        <v>3</v>
      </c>
      <c r="C320" s="390">
        <f t="shared" ca="1" si="29"/>
        <v>1</v>
      </c>
      <c r="D320" s="391">
        <f t="shared" ca="1" si="30"/>
        <v>2</v>
      </c>
      <c r="E320" s="391">
        <f t="shared" ca="1" si="31"/>
        <v>11</v>
      </c>
      <c r="F320" s="125"/>
      <c r="J320" s="130"/>
      <c r="K320" s="132"/>
      <c r="L320" s="413"/>
      <c r="M320" s="413"/>
      <c r="N320" s="414"/>
      <c r="O320" s="415"/>
      <c r="P320" s="133"/>
      <c r="Q320" s="130"/>
      <c r="R320" s="132"/>
      <c r="S320" s="132"/>
      <c r="T320" s="130"/>
    </row>
    <row r="321" spans="1:20" s="131" customFormat="1" ht="14.1" customHeight="1" x14ac:dyDescent="0.25">
      <c r="A321" s="390">
        <f ca="1">IF($H321="UNIDADE CONSTRUTIVA",OFFSET(A321,-1,0)+1,LARGE(A$3:A320,1))</f>
        <v>0</v>
      </c>
      <c r="B321" s="390">
        <f t="shared" ca="1" si="28"/>
        <v>3</v>
      </c>
      <c r="C321" s="390">
        <f t="shared" ca="1" si="29"/>
        <v>1</v>
      </c>
      <c r="D321" s="391">
        <f t="shared" ca="1" si="30"/>
        <v>2</v>
      </c>
      <c r="E321" s="391">
        <f t="shared" ca="1" si="31"/>
        <v>11</v>
      </c>
      <c r="F321" s="125"/>
      <c r="J321" s="130"/>
      <c r="K321" s="132"/>
      <c r="L321" s="413"/>
      <c r="M321" s="413"/>
      <c r="N321" s="414"/>
      <c r="O321" s="415"/>
      <c r="P321" s="133"/>
      <c r="Q321" s="130"/>
      <c r="R321" s="132"/>
      <c r="S321" s="132"/>
      <c r="T321" s="130"/>
    </row>
    <row r="322" spans="1:20" s="131" customFormat="1" ht="14.1" customHeight="1" x14ac:dyDescent="0.25">
      <c r="A322" s="390">
        <f ca="1">IF($H322="UNIDADE CONSTRUTIVA",OFFSET(A322,-1,0)+1,LARGE(A$3:A321,1))</f>
        <v>0</v>
      </c>
      <c r="B322" s="390">
        <f t="shared" ca="1" si="28"/>
        <v>3</v>
      </c>
      <c r="C322" s="390">
        <f t="shared" ca="1" si="29"/>
        <v>1</v>
      </c>
      <c r="D322" s="391">
        <f t="shared" ca="1" si="30"/>
        <v>2</v>
      </c>
      <c r="E322" s="391">
        <f t="shared" ca="1" si="31"/>
        <v>11</v>
      </c>
      <c r="F322" s="125"/>
      <c r="J322" s="130"/>
      <c r="K322" s="132"/>
      <c r="L322" s="413"/>
      <c r="M322" s="413"/>
      <c r="N322" s="414"/>
      <c r="O322" s="415"/>
      <c r="P322" s="133"/>
      <c r="Q322" s="130"/>
      <c r="R322" s="132"/>
      <c r="S322" s="132"/>
      <c r="T322" s="130"/>
    </row>
    <row r="323" spans="1:20" s="131" customFormat="1" ht="14.1" customHeight="1" x14ac:dyDescent="0.25">
      <c r="A323" s="390">
        <f ca="1">IF($H323="UNIDADE CONSTRUTIVA",OFFSET(A323,-1,0)+1,LARGE(A$3:A322,1))</f>
        <v>0</v>
      </c>
      <c r="B323" s="390">
        <f t="shared" ca="1" si="28"/>
        <v>3</v>
      </c>
      <c r="C323" s="390">
        <f t="shared" ca="1" si="29"/>
        <v>1</v>
      </c>
      <c r="D323" s="391">
        <f t="shared" ca="1" si="30"/>
        <v>2</v>
      </c>
      <c r="E323" s="391">
        <f t="shared" ca="1" si="31"/>
        <v>11</v>
      </c>
      <c r="F323" s="125"/>
      <c r="J323" s="130"/>
      <c r="K323" s="132"/>
      <c r="L323" s="413"/>
      <c r="M323" s="413"/>
      <c r="N323" s="414"/>
      <c r="O323" s="415"/>
      <c r="P323" s="133"/>
      <c r="Q323" s="130"/>
      <c r="R323" s="132"/>
      <c r="S323" s="132"/>
      <c r="T323" s="130"/>
    </row>
    <row r="324" spans="1:20" s="131" customFormat="1" ht="14.1" customHeight="1" x14ac:dyDescent="0.25">
      <c r="A324" s="390">
        <f ca="1">IF($H324="UNIDADE CONSTRUTIVA",OFFSET(A324,-1,0)+1,LARGE(A$3:A323,1))</f>
        <v>0</v>
      </c>
      <c r="B324" s="390">
        <f t="shared" ca="1" si="28"/>
        <v>3</v>
      </c>
      <c r="C324" s="390">
        <f t="shared" ca="1" si="29"/>
        <v>1</v>
      </c>
      <c r="D324" s="391">
        <f t="shared" ca="1" si="30"/>
        <v>2</v>
      </c>
      <c r="E324" s="391">
        <f t="shared" ca="1" si="31"/>
        <v>11</v>
      </c>
      <c r="F324" s="125"/>
      <c r="J324" s="130"/>
      <c r="K324" s="132"/>
      <c r="L324" s="413"/>
      <c r="M324" s="413"/>
      <c r="N324" s="414"/>
      <c r="O324" s="415"/>
      <c r="P324" s="133"/>
      <c r="Q324" s="130"/>
      <c r="R324" s="132"/>
      <c r="S324" s="132"/>
      <c r="T324" s="130"/>
    </row>
    <row r="325" spans="1:20" s="131" customFormat="1" ht="14.1" customHeight="1" x14ac:dyDescent="0.25">
      <c r="A325" s="390">
        <f ca="1">IF($H325="UNIDADE CONSTRUTIVA",OFFSET(A325,-1,0)+1,LARGE(A$3:A324,1))</f>
        <v>0</v>
      </c>
      <c r="B325" s="390">
        <f t="shared" ca="1" si="28"/>
        <v>3</v>
      </c>
      <c r="C325" s="390">
        <f t="shared" ca="1" si="29"/>
        <v>1</v>
      </c>
      <c r="D325" s="391">
        <f t="shared" ca="1" si="30"/>
        <v>2</v>
      </c>
      <c r="E325" s="391">
        <f t="shared" ca="1" si="31"/>
        <v>11</v>
      </c>
      <c r="F325" s="125"/>
      <c r="J325" s="130"/>
      <c r="K325" s="132"/>
      <c r="L325" s="413"/>
      <c r="M325" s="413"/>
      <c r="N325" s="414"/>
      <c r="O325" s="415"/>
      <c r="P325" s="133"/>
      <c r="Q325" s="130"/>
      <c r="R325" s="132"/>
      <c r="S325" s="132"/>
      <c r="T325" s="130"/>
    </row>
    <row r="326" spans="1:20" s="131" customFormat="1" ht="14.1" customHeight="1" x14ac:dyDescent="0.25">
      <c r="A326" s="390">
        <f ca="1">IF($H326="UNIDADE CONSTRUTIVA",OFFSET(A326,-1,0)+1,LARGE(A$3:A325,1))</f>
        <v>0</v>
      </c>
      <c r="B326" s="390">
        <f t="shared" ca="1" si="28"/>
        <v>3</v>
      </c>
      <c r="C326" s="390">
        <f t="shared" ca="1" si="29"/>
        <v>1</v>
      </c>
      <c r="D326" s="391">
        <f t="shared" ca="1" si="30"/>
        <v>2</v>
      </c>
      <c r="E326" s="391">
        <f t="shared" ca="1" si="31"/>
        <v>11</v>
      </c>
      <c r="F326" s="125"/>
      <c r="J326" s="130"/>
      <c r="K326" s="132"/>
      <c r="L326" s="413"/>
      <c r="M326" s="413"/>
      <c r="N326" s="414"/>
      <c r="O326" s="415"/>
      <c r="P326" s="133"/>
      <c r="Q326" s="130"/>
      <c r="R326" s="132"/>
      <c r="S326" s="132"/>
      <c r="T326" s="130"/>
    </row>
    <row r="327" spans="1:20" s="131" customFormat="1" ht="14.1" customHeight="1" x14ac:dyDescent="0.25">
      <c r="A327" s="390">
        <f ca="1">IF($H327="UNIDADE CONSTRUTIVA",OFFSET(A327,-1,0)+1,LARGE(A$3:A326,1))</f>
        <v>0</v>
      </c>
      <c r="B327" s="390">
        <f t="shared" ca="1" si="28"/>
        <v>3</v>
      </c>
      <c r="C327" s="390">
        <f t="shared" ca="1" si="29"/>
        <v>1</v>
      </c>
      <c r="D327" s="391">
        <f t="shared" ca="1" si="30"/>
        <v>2</v>
      </c>
      <c r="E327" s="391">
        <f t="shared" ca="1" si="31"/>
        <v>11</v>
      </c>
      <c r="F327" s="125"/>
      <c r="J327" s="130"/>
      <c r="K327" s="132"/>
      <c r="L327" s="413"/>
      <c r="M327" s="413"/>
      <c r="N327" s="414"/>
      <c r="O327" s="415"/>
      <c r="P327" s="133"/>
      <c r="Q327" s="130"/>
      <c r="R327" s="132"/>
      <c r="S327" s="132"/>
      <c r="T327" s="130"/>
    </row>
    <row r="328" spans="1:20" s="131" customFormat="1" ht="14.1" customHeight="1" x14ac:dyDescent="0.25">
      <c r="A328" s="390">
        <f ca="1">IF($H328="UNIDADE CONSTRUTIVA",OFFSET(A328,-1,0)+1,LARGE(A$3:A327,1))</f>
        <v>0</v>
      </c>
      <c r="B328" s="390">
        <f t="shared" ca="1" si="28"/>
        <v>3</v>
      </c>
      <c r="C328" s="390">
        <f t="shared" ca="1" si="29"/>
        <v>1</v>
      </c>
      <c r="D328" s="391">
        <f t="shared" ca="1" si="30"/>
        <v>2</v>
      </c>
      <c r="E328" s="391">
        <f t="shared" ca="1" si="31"/>
        <v>11</v>
      </c>
      <c r="F328" s="125"/>
      <c r="J328" s="130"/>
      <c r="K328" s="132"/>
      <c r="L328" s="413"/>
      <c r="M328" s="413"/>
      <c r="N328" s="414"/>
      <c r="O328" s="415"/>
      <c r="P328" s="133"/>
      <c r="Q328" s="130"/>
      <c r="R328" s="132"/>
      <c r="S328" s="132"/>
      <c r="T328" s="130"/>
    </row>
    <row r="329" spans="1:20" s="131" customFormat="1" ht="14.1" customHeight="1" x14ac:dyDescent="0.25">
      <c r="A329" s="390">
        <f ca="1">IF($H329="UNIDADE CONSTRUTIVA",OFFSET(A329,-1,0)+1,LARGE(A$3:A328,1))</f>
        <v>0</v>
      </c>
      <c r="B329" s="390">
        <f t="shared" ref="B329:B392" ca="1" si="32">IF(H329="UNIDADE CONSTRUTIVA",0,IF(H329="CÉLULA CONSTRUTIVA",OFFSET(B329,-1,0)+1,OFFSET(B329,-1,0)))</f>
        <v>3</v>
      </c>
      <c r="C329" s="390">
        <f t="shared" ref="C329:C392" ca="1" si="33">IF(H329="CÉLULA CONSTRUTIVA",0,IF(H329="ETAPA",OFFSET(C329,-1,0)+1,OFFSET(C329,-1,0)))</f>
        <v>1</v>
      </c>
      <c r="D329" s="391">
        <f t="shared" ref="D329:D392" ca="1" si="34">IF(H329="ETAPA",0,IF(H329="SUBETAPA",OFFSET(D329,-1,0)+1,OFFSET(D329,-1,0)))</f>
        <v>2</v>
      </c>
      <c r="E329" s="391">
        <f t="shared" ref="E329:E392" ca="1" si="35">IF(H329="Subetapa",0,IF(H329="serviço",OFFSET(E329,-1,0)+1,OFFSET(E329,-1,0)))</f>
        <v>11</v>
      </c>
      <c r="F329" s="125"/>
      <c r="J329" s="130"/>
      <c r="K329" s="132"/>
      <c r="L329" s="413"/>
      <c r="M329" s="413"/>
      <c r="N329" s="414"/>
      <c r="O329" s="415"/>
      <c r="P329" s="133"/>
      <c r="Q329" s="130"/>
      <c r="R329" s="132"/>
      <c r="S329" s="132"/>
      <c r="T329" s="130"/>
    </row>
    <row r="330" spans="1:20" s="131" customFormat="1" ht="14.1" customHeight="1" x14ac:dyDescent="0.25">
      <c r="A330" s="390">
        <f ca="1">IF($H330="UNIDADE CONSTRUTIVA",OFFSET(A330,-1,0)+1,LARGE(A$3:A329,1))</f>
        <v>0</v>
      </c>
      <c r="B330" s="390">
        <f t="shared" ca="1" si="32"/>
        <v>3</v>
      </c>
      <c r="C330" s="390">
        <f t="shared" ca="1" si="33"/>
        <v>1</v>
      </c>
      <c r="D330" s="391">
        <f t="shared" ca="1" si="34"/>
        <v>2</v>
      </c>
      <c r="E330" s="391">
        <f t="shared" ca="1" si="35"/>
        <v>11</v>
      </c>
      <c r="F330" s="125"/>
      <c r="J330" s="130"/>
      <c r="K330" s="132"/>
      <c r="L330" s="413"/>
      <c r="M330" s="413"/>
      <c r="N330" s="414"/>
      <c r="O330" s="415"/>
      <c r="P330" s="133"/>
      <c r="Q330" s="130"/>
      <c r="R330" s="132"/>
      <c r="S330" s="132"/>
      <c r="T330" s="130"/>
    </row>
    <row r="331" spans="1:20" s="131" customFormat="1" ht="14.1" customHeight="1" x14ac:dyDescent="0.25">
      <c r="A331" s="390">
        <f ca="1">IF($H331="UNIDADE CONSTRUTIVA",OFFSET(A331,-1,0)+1,LARGE(A$3:A330,1))</f>
        <v>0</v>
      </c>
      <c r="B331" s="390">
        <f t="shared" ca="1" si="32"/>
        <v>3</v>
      </c>
      <c r="C331" s="390">
        <f t="shared" ca="1" si="33"/>
        <v>1</v>
      </c>
      <c r="D331" s="391">
        <f t="shared" ca="1" si="34"/>
        <v>2</v>
      </c>
      <c r="E331" s="391">
        <f t="shared" ca="1" si="35"/>
        <v>11</v>
      </c>
      <c r="F331" s="125"/>
      <c r="J331" s="130"/>
      <c r="K331" s="132"/>
      <c r="L331" s="413"/>
      <c r="M331" s="413"/>
      <c r="N331" s="414"/>
      <c r="O331" s="415"/>
      <c r="P331" s="133"/>
      <c r="Q331" s="130"/>
      <c r="R331" s="132"/>
      <c r="S331" s="132"/>
      <c r="T331" s="130"/>
    </row>
    <row r="332" spans="1:20" s="131" customFormat="1" ht="14.1" customHeight="1" x14ac:dyDescent="0.25">
      <c r="A332" s="390">
        <f ca="1">IF($H332="UNIDADE CONSTRUTIVA",OFFSET(A332,-1,0)+1,LARGE(A$3:A331,1))</f>
        <v>0</v>
      </c>
      <c r="B332" s="390">
        <f t="shared" ca="1" si="32"/>
        <v>3</v>
      </c>
      <c r="C332" s="390">
        <f t="shared" ca="1" si="33"/>
        <v>1</v>
      </c>
      <c r="D332" s="391">
        <f t="shared" ca="1" si="34"/>
        <v>2</v>
      </c>
      <c r="E332" s="391">
        <f t="shared" ca="1" si="35"/>
        <v>11</v>
      </c>
      <c r="F332" s="125"/>
      <c r="J332" s="130"/>
      <c r="K332" s="132"/>
      <c r="L332" s="413"/>
      <c r="M332" s="413"/>
      <c r="N332" s="414"/>
      <c r="O332" s="415"/>
      <c r="P332" s="133"/>
      <c r="Q332" s="130"/>
      <c r="R332" s="132"/>
      <c r="S332" s="132"/>
      <c r="T332" s="130"/>
    </row>
    <row r="333" spans="1:20" s="131" customFormat="1" ht="14.1" customHeight="1" x14ac:dyDescent="0.25">
      <c r="A333" s="390">
        <f ca="1">IF($H333="UNIDADE CONSTRUTIVA",OFFSET(A333,-1,0)+1,LARGE(A$3:A332,1))</f>
        <v>0</v>
      </c>
      <c r="B333" s="390">
        <f t="shared" ca="1" si="32"/>
        <v>3</v>
      </c>
      <c r="C333" s="390">
        <f t="shared" ca="1" si="33"/>
        <v>1</v>
      </c>
      <c r="D333" s="391">
        <f t="shared" ca="1" si="34"/>
        <v>2</v>
      </c>
      <c r="E333" s="391">
        <f t="shared" ca="1" si="35"/>
        <v>11</v>
      </c>
      <c r="F333" s="125"/>
      <c r="J333" s="130"/>
      <c r="K333" s="132"/>
      <c r="L333" s="413"/>
      <c r="M333" s="413"/>
      <c r="N333" s="414"/>
      <c r="O333" s="415"/>
      <c r="P333" s="133"/>
      <c r="Q333" s="130"/>
      <c r="R333" s="132"/>
      <c r="S333" s="132"/>
      <c r="T333" s="130"/>
    </row>
    <row r="334" spans="1:20" s="131" customFormat="1" ht="14.1" customHeight="1" x14ac:dyDescent="0.25">
      <c r="A334" s="390">
        <f ca="1">IF($H334="UNIDADE CONSTRUTIVA",OFFSET(A334,-1,0)+1,LARGE(A$3:A333,1))</f>
        <v>0</v>
      </c>
      <c r="B334" s="390">
        <f t="shared" ca="1" si="32"/>
        <v>3</v>
      </c>
      <c r="C334" s="390">
        <f t="shared" ca="1" si="33"/>
        <v>1</v>
      </c>
      <c r="D334" s="391">
        <f t="shared" ca="1" si="34"/>
        <v>2</v>
      </c>
      <c r="E334" s="391">
        <f t="shared" ca="1" si="35"/>
        <v>11</v>
      </c>
      <c r="F334" s="125"/>
      <c r="J334" s="130"/>
      <c r="K334" s="132"/>
      <c r="L334" s="413"/>
      <c r="M334" s="413"/>
      <c r="N334" s="414"/>
      <c r="O334" s="415"/>
      <c r="P334" s="133"/>
      <c r="Q334" s="130"/>
      <c r="R334" s="132"/>
      <c r="S334" s="132"/>
      <c r="T334" s="130"/>
    </row>
    <row r="335" spans="1:20" s="131" customFormat="1" ht="14.1" customHeight="1" x14ac:dyDescent="0.25">
      <c r="A335" s="390">
        <f ca="1">IF($H335="UNIDADE CONSTRUTIVA",OFFSET(A335,-1,0)+1,LARGE(A$3:A334,1))</f>
        <v>0</v>
      </c>
      <c r="B335" s="390">
        <f t="shared" ca="1" si="32"/>
        <v>3</v>
      </c>
      <c r="C335" s="390">
        <f t="shared" ca="1" si="33"/>
        <v>1</v>
      </c>
      <c r="D335" s="391">
        <f t="shared" ca="1" si="34"/>
        <v>2</v>
      </c>
      <c r="E335" s="391">
        <f t="shared" ca="1" si="35"/>
        <v>11</v>
      </c>
      <c r="F335" s="125"/>
      <c r="J335" s="130"/>
      <c r="K335" s="132"/>
      <c r="L335" s="413"/>
      <c r="M335" s="413"/>
      <c r="N335" s="414"/>
      <c r="O335" s="415"/>
      <c r="P335" s="133"/>
      <c r="Q335" s="130"/>
      <c r="R335" s="132"/>
      <c r="S335" s="132"/>
      <c r="T335" s="130"/>
    </row>
    <row r="336" spans="1:20" s="131" customFormat="1" ht="14.1" customHeight="1" x14ac:dyDescent="0.25">
      <c r="A336" s="390">
        <f ca="1">IF($H336="UNIDADE CONSTRUTIVA",OFFSET(A336,-1,0)+1,LARGE(A$3:A335,1))</f>
        <v>0</v>
      </c>
      <c r="B336" s="390">
        <f t="shared" ca="1" si="32"/>
        <v>3</v>
      </c>
      <c r="C336" s="390">
        <f t="shared" ca="1" si="33"/>
        <v>1</v>
      </c>
      <c r="D336" s="391">
        <f t="shared" ca="1" si="34"/>
        <v>2</v>
      </c>
      <c r="E336" s="391">
        <f t="shared" ca="1" si="35"/>
        <v>11</v>
      </c>
      <c r="F336" s="125"/>
      <c r="J336" s="130"/>
      <c r="K336" s="132"/>
      <c r="L336" s="413"/>
      <c r="M336" s="413"/>
      <c r="N336" s="414"/>
      <c r="O336" s="415"/>
      <c r="P336" s="133"/>
      <c r="Q336" s="130"/>
      <c r="R336" s="132"/>
      <c r="S336" s="132"/>
      <c r="T336" s="130"/>
    </row>
    <row r="337" spans="1:20" s="131" customFormat="1" ht="14.1" customHeight="1" x14ac:dyDescent="0.25">
      <c r="A337" s="390">
        <f ca="1">IF($H337="UNIDADE CONSTRUTIVA",OFFSET(A337,-1,0)+1,LARGE(A$3:A336,1))</f>
        <v>0</v>
      </c>
      <c r="B337" s="390">
        <f t="shared" ca="1" si="32"/>
        <v>3</v>
      </c>
      <c r="C337" s="390">
        <f t="shared" ca="1" si="33"/>
        <v>1</v>
      </c>
      <c r="D337" s="391">
        <f t="shared" ca="1" si="34"/>
        <v>2</v>
      </c>
      <c r="E337" s="391">
        <f t="shared" ca="1" si="35"/>
        <v>11</v>
      </c>
      <c r="F337" s="125"/>
      <c r="J337" s="130"/>
      <c r="K337" s="132"/>
      <c r="L337" s="413"/>
      <c r="M337" s="413"/>
      <c r="N337" s="414"/>
      <c r="O337" s="415"/>
      <c r="P337" s="133"/>
      <c r="Q337" s="130"/>
      <c r="R337" s="132"/>
      <c r="S337" s="132"/>
      <c r="T337" s="130"/>
    </row>
    <row r="338" spans="1:20" s="131" customFormat="1" ht="14.1" customHeight="1" x14ac:dyDescent="0.25">
      <c r="A338" s="390">
        <f ca="1">IF($H338="UNIDADE CONSTRUTIVA",OFFSET(A338,-1,0)+1,LARGE(A$3:A337,1))</f>
        <v>0</v>
      </c>
      <c r="B338" s="390">
        <f t="shared" ca="1" si="32"/>
        <v>3</v>
      </c>
      <c r="C338" s="390">
        <f t="shared" ca="1" si="33"/>
        <v>1</v>
      </c>
      <c r="D338" s="391">
        <f t="shared" ca="1" si="34"/>
        <v>2</v>
      </c>
      <c r="E338" s="391">
        <f t="shared" ca="1" si="35"/>
        <v>11</v>
      </c>
      <c r="F338" s="125"/>
      <c r="J338" s="130"/>
      <c r="K338" s="132"/>
      <c r="L338" s="413"/>
      <c r="M338" s="413"/>
      <c r="N338" s="414"/>
      <c r="O338" s="415"/>
      <c r="P338" s="133"/>
      <c r="Q338" s="130"/>
      <c r="R338" s="132"/>
      <c r="S338" s="132"/>
      <c r="T338" s="130"/>
    </row>
    <row r="339" spans="1:20" s="131" customFormat="1" ht="14.1" customHeight="1" x14ac:dyDescent="0.25">
      <c r="A339" s="390">
        <f ca="1">IF($H339="UNIDADE CONSTRUTIVA",OFFSET(A339,-1,0)+1,LARGE(A$3:A338,1))</f>
        <v>0</v>
      </c>
      <c r="B339" s="390">
        <f t="shared" ca="1" si="32"/>
        <v>3</v>
      </c>
      <c r="C339" s="390">
        <f t="shared" ca="1" si="33"/>
        <v>1</v>
      </c>
      <c r="D339" s="391">
        <f t="shared" ca="1" si="34"/>
        <v>2</v>
      </c>
      <c r="E339" s="391">
        <f t="shared" ca="1" si="35"/>
        <v>11</v>
      </c>
      <c r="F339" s="125"/>
      <c r="J339" s="130"/>
      <c r="K339" s="132"/>
      <c r="L339" s="413"/>
      <c r="M339" s="413"/>
      <c r="N339" s="414"/>
      <c r="O339" s="415"/>
      <c r="P339" s="133"/>
      <c r="Q339" s="130"/>
      <c r="R339" s="132"/>
      <c r="S339" s="132"/>
      <c r="T339" s="130"/>
    </row>
    <row r="340" spans="1:20" s="131" customFormat="1" ht="14.1" customHeight="1" x14ac:dyDescent="0.25">
      <c r="A340" s="390">
        <f ca="1">IF($H340="UNIDADE CONSTRUTIVA",OFFSET(A340,-1,0)+1,LARGE(A$3:A339,1))</f>
        <v>0</v>
      </c>
      <c r="B340" s="390">
        <f t="shared" ca="1" si="32"/>
        <v>3</v>
      </c>
      <c r="C340" s="390">
        <f t="shared" ca="1" si="33"/>
        <v>1</v>
      </c>
      <c r="D340" s="391">
        <f t="shared" ca="1" si="34"/>
        <v>2</v>
      </c>
      <c r="E340" s="391">
        <f t="shared" ca="1" si="35"/>
        <v>11</v>
      </c>
      <c r="F340" s="125"/>
      <c r="J340" s="130"/>
      <c r="K340" s="132"/>
      <c r="L340" s="413"/>
      <c r="M340" s="413"/>
      <c r="N340" s="414"/>
      <c r="O340" s="415"/>
      <c r="P340" s="133"/>
      <c r="Q340" s="130"/>
      <c r="R340" s="132"/>
      <c r="S340" s="132"/>
      <c r="T340" s="130"/>
    </row>
    <row r="341" spans="1:20" s="131" customFormat="1" ht="14.1" customHeight="1" x14ac:dyDescent="0.25">
      <c r="A341" s="390">
        <f ca="1">IF($H341="UNIDADE CONSTRUTIVA",OFFSET(A341,-1,0)+1,LARGE(A$3:A340,1))</f>
        <v>0</v>
      </c>
      <c r="B341" s="390">
        <f t="shared" ca="1" si="32"/>
        <v>3</v>
      </c>
      <c r="C341" s="390">
        <f t="shared" ca="1" si="33"/>
        <v>1</v>
      </c>
      <c r="D341" s="391">
        <f t="shared" ca="1" si="34"/>
        <v>2</v>
      </c>
      <c r="E341" s="391">
        <f t="shared" ca="1" si="35"/>
        <v>11</v>
      </c>
      <c r="F341" s="125"/>
      <c r="J341" s="130"/>
      <c r="K341" s="132"/>
      <c r="L341" s="413"/>
      <c r="M341" s="413"/>
      <c r="N341" s="414"/>
      <c r="O341" s="415"/>
      <c r="P341" s="133"/>
      <c r="Q341" s="130"/>
      <c r="R341" s="132"/>
      <c r="S341" s="132"/>
      <c r="T341" s="130"/>
    </row>
    <row r="342" spans="1:20" s="131" customFormat="1" ht="14.1" customHeight="1" x14ac:dyDescent="0.25">
      <c r="A342" s="390">
        <f ca="1">IF($H342="UNIDADE CONSTRUTIVA",OFFSET(A342,-1,0)+1,LARGE(A$3:A341,1))</f>
        <v>0</v>
      </c>
      <c r="B342" s="390">
        <f t="shared" ca="1" si="32"/>
        <v>3</v>
      </c>
      <c r="C342" s="390">
        <f t="shared" ca="1" si="33"/>
        <v>1</v>
      </c>
      <c r="D342" s="391">
        <f t="shared" ca="1" si="34"/>
        <v>2</v>
      </c>
      <c r="E342" s="391">
        <f t="shared" ca="1" si="35"/>
        <v>11</v>
      </c>
      <c r="F342" s="125"/>
      <c r="J342" s="130"/>
      <c r="K342" s="132"/>
      <c r="L342" s="413"/>
      <c r="M342" s="413"/>
      <c r="N342" s="414"/>
      <c r="O342" s="415"/>
      <c r="P342" s="133"/>
      <c r="Q342" s="130"/>
      <c r="R342" s="132"/>
      <c r="S342" s="132"/>
      <c r="T342" s="130"/>
    </row>
    <row r="343" spans="1:20" s="131" customFormat="1" ht="14.1" customHeight="1" x14ac:dyDescent="0.25">
      <c r="A343" s="390">
        <f ca="1">IF($H343="UNIDADE CONSTRUTIVA",OFFSET(A343,-1,0)+1,LARGE(A$3:A342,1))</f>
        <v>0</v>
      </c>
      <c r="B343" s="390">
        <f t="shared" ca="1" si="32"/>
        <v>3</v>
      </c>
      <c r="C343" s="390">
        <f t="shared" ca="1" si="33"/>
        <v>1</v>
      </c>
      <c r="D343" s="391">
        <f t="shared" ca="1" si="34"/>
        <v>2</v>
      </c>
      <c r="E343" s="391">
        <f t="shared" ca="1" si="35"/>
        <v>11</v>
      </c>
      <c r="F343" s="125"/>
      <c r="J343" s="130"/>
      <c r="K343" s="132"/>
      <c r="L343" s="413"/>
      <c r="M343" s="413"/>
      <c r="N343" s="414"/>
      <c r="O343" s="415"/>
      <c r="P343" s="133"/>
      <c r="Q343" s="130"/>
      <c r="R343" s="132"/>
      <c r="S343" s="132"/>
      <c r="T343" s="130"/>
    </row>
    <row r="344" spans="1:20" s="131" customFormat="1" ht="14.1" customHeight="1" x14ac:dyDescent="0.25">
      <c r="A344" s="390">
        <f ca="1">IF($H344="UNIDADE CONSTRUTIVA",OFFSET(A344,-1,0)+1,LARGE(A$3:A343,1))</f>
        <v>0</v>
      </c>
      <c r="B344" s="390">
        <f t="shared" ca="1" si="32"/>
        <v>3</v>
      </c>
      <c r="C344" s="390">
        <f t="shared" ca="1" si="33"/>
        <v>1</v>
      </c>
      <c r="D344" s="391">
        <f t="shared" ca="1" si="34"/>
        <v>2</v>
      </c>
      <c r="E344" s="391">
        <f t="shared" ca="1" si="35"/>
        <v>11</v>
      </c>
      <c r="F344" s="125"/>
      <c r="J344" s="130"/>
      <c r="K344" s="132"/>
      <c r="L344" s="413"/>
      <c r="M344" s="413"/>
      <c r="N344" s="414"/>
      <c r="O344" s="415"/>
      <c r="P344" s="133"/>
      <c r="Q344" s="130"/>
      <c r="R344" s="132"/>
      <c r="S344" s="132"/>
      <c r="T344" s="130"/>
    </row>
    <row r="345" spans="1:20" s="131" customFormat="1" ht="14.1" customHeight="1" x14ac:dyDescent="0.25">
      <c r="A345" s="390">
        <f ca="1">IF($H345="UNIDADE CONSTRUTIVA",OFFSET(A345,-1,0)+1,LARGE(A$3:A344,1))</f>
        <v>0</v>
      </c>
      <c r="B345" s="390">
        <f t="shared" ca="1" si="32"/>
        <v>3</v>
      </c>
      <c r="C345" s="390">
        <f t="shared" ca="1" si="33"/>
        <v>1</v>
      </c>
      <c r="D345" s="391">
        <f t="shared" ca="1" si="34"/>
        <v>2</v>
      </c>
      <c r="E345" s="391">
        <f t="shared" ca="1" si="35"/>
        <v>11</v>
      </c>
      <c r="F345" s="125"/>
      <c r="J345" s="130"/>
      <c r="K345" s="132"/>
      <c r="L345" s="413"/>
      <c r="M345" s="413"/>
      <c r="N345" s="414"/>
      <c r="O345" s="415"/>
      <c r="P345" s="133"/>
      <c r="Q345" s="130"/>
      <c r="R345" s="132"/>
      <c r="S345" s="132"/>
      <c r="T345" s="130"/>
    </row>
    <row r="346" spans="1:20" s="131" customFormat="1" ht="14.1" customHeight="1" x14ac:dyDescent="0.25">
      <c r="A346" s="390">
        <f ca="1">IF($H346="UNIDADE CONSTRUTIVA",OFFSET(A346,-1,0)+1,LARGE(A$3:A345,1))</f>
        <v>0</v>
      </c>
      <c r="B346" s="390">
        <f t="shared" ca="1" si="32"/>
        <v>3</v>
      </c>
      <c r="C346" s="390">
        <f t="shared" ca="1" si="33"/>
        <v>1</v>
      </c>
      <c r="D346" s="391">
        <f t="shared" ca="1" si="34"/>
        <v>2</v>
      </c>
      <c r="E346" s="391">
        <f t="shared" ca="1" si="35"/>
        <v>11</v>
      </c>
      <c r="F346" s="125"/>
      <c r="J346" s="130"/>
      <c r="K346" s="132"/>
      <c r="L346" s="413"/>
      <c r="M346" s="413"/>
      <c r="N346" s="414"/>
      <c r="O346" s="415"/>
      <c r="P346" s="133"/>
      <c r="Q346" s="130"/>
      <c r="R346" s="132"/>
      <c r="S346" s="132"/>
      <c r="T346" s="130"/>
    </row>
    <row r="347" spans="1:20" s="131" customFormat="1" ht="14.1" customHeight="1" x14ac:dyDescent="0.25">
      <c r="A347" s="390">
        <f ca="1">IF($H347="UNIDADE CONSTRUTIVA",OFFSET(A347,-1,0)+1,LARGE(A$3:A346,1))</f>
        <v>0</v>
      </c>
      <c r="B347" s="390">
        <f t="shared" ca="1" si="32"/>
        <v>3</v>
      </c>
      <c r="C347" s="390">
        <f t="shared" ca="1" si="33"/>
        <v>1</v>
      </c>
      <c r="D347" s="391">
        <f t="shared" ca="1" si="34"/>
        <v>2</v>
      </c>
      <c r="E347" s="391">
        <f t="shared" ca="1" si="35"/>
        <v>11</v>
      </c>
      <c r="F347" s="125"/>
      <c r="J347" s="130"/>
      <c r="K347" s="132"/>
      <c r="L347" s="413"/>
      <c r="M347" s="413"/>
      <c r="N347" s="414"/>
      <c r="O347" s="415"/>
      <c r="P347" s="133"/>
      <c r="Q347" s="130"/>
      <c r="R347" s="132"/>
      <c r="S347" s="132"/>
      <c r="T347" s="130"/>
    </row>
    <row r="348" spans="1:20" s="131" customFormat="1" ht="14.1" customHeight="1" x14ac:dyDescent="0.25">
      <c r="A348" s="390">
        <f ca="1">IF($H348="UNIDADE CONSTRUTIVA",OFFSET(A348,-1,0)+1,LARGE(A$3:A347,1))</f>
        <v>0</v>
      </c>
      <c r="B348" s="390">
        <f t="shared" ca="1" si="32"/>
        <v>3</v>
      </c>
      <c r="C348" s="390">
        <f t="shared" ca="1" si="33"/>
        <v>1</v>
      </c>
      <c r="D348" s="391">
        <f t="shared" ca="1" si="34"/>
        <v>2</v>
      </c>
      <c r="E348" s="391">
        <f t="shared" ca="1" si="35"/>
        <v>11</v>
      </c>
      <c r="F348" s="125"/>
      <c r="J348" s="130"/>
      <c r="K348" s="132"/>
      <c r="L348" s="413"/>
      <c r="M348" s="413"/>
      <c r="N348" s="414"/>
      <c r="O348" s="415"/>
      <c r="P348" s="133"/>
      <c r="Q348" s="130"/>
      <c r="R348" s="132"/>
      <c r="S348" s="132"/>
      <c r="T348" s="130"/>
    </row>
    <row r="349" spans="1:20" s="131" customFormat="1" ht="14.1" customHeight="1" x14ac:dyDescent="0.25">
      <c r="A349" s="390">
        <f ca="1">IF($H349="UNIDADE CONSTRUTIVA",OFFSET(A349,-1,0)+1,LARGE(A$3:A348,1))</f>
        <v>0</v>
      </c>
      <c r="B349" s="390">
        <f t="shared" ca="1" si="32"/>
        <v>3</v>
      </c>
      <c r="C349" s="390">
        <f t="shared" ca="1" si="33"/>
        <v>1</v>
      </c>
      <c r="D349" s="391">
        <f t="shared" ca="1" si="34"/>
        <v>2</v>
      </c>
      <c r="E349" s="391">
        <f t="shared" ca="1" si="35"/>
        <v>11</v>
      </c>
      <c r="F349" s="125"/>
      <c r="J349" s="130"/>
      <c r="K349" s="132"/>
      <c r="L349" s="413"/>
      <c r="M349" s="413"/>
      <c r="N349" s="414"/>
      <c r="O349" s="415"/>
      <c r="P349" s="133"/>
      <c r="Q349" s="130"/>
      <c r="R349" s="132"/>
      <c r="S349" s="132"/>
      <c r="T349" s="130"/>
    </row>
    <row r="350" spans="1:20" s="131" customFormat="1" ht="14.1" customHeight="1" x14ac:dyDescent="0.25">
      <c r="A350" s="390">
        <f ca="1">IF($H350="UNIDADE CONSTRUTIVA",OFFSET(A350,-1,0)+1,LARGE(A$3:A349,1))</f>
        <v>0</v>
      </c>
      <c r="B350" s="390">
        <f t="shared" ca="1" si="32"/>
        <v>3</v>
      </c>
      <c r="C350" s="390">
        <f t="shared" ca="1" si="33"/>
        <v>1</v>
      </c>
      <c r="D350" s="391">
        <f t="shared" ca="1" si="34"/>
        <v>2</v>
      </c>
      <c r="E350" s="391">
        <f t="shared" ca="1" si="35"/>
        <v>11</v>
      </c>
      <c r="F350" s="125"/>
      <c r="J350" s="130"/>
      <c r="K350" s="132"/>
      <c r="L350" s="413"/>
      <c r="M350" s="413"/>
      <c r="N350" s="414"/>
      <c r="O350" s="415"/>
      <c r="P350" s="133"/>
      <c r="Q350" s="130"/>
      <c r="R350" s="132"/>
      <c r="S350" s="132"/>
      <c r="T350" s="130"/>
    </row>
    <row r="351" spans="1:20" s="131" customFormat="1" ht="14.1" customHeight="1" x14ac:dyDescent="0.25">
      <c r="A351" s="390">
        <f ca="1">IF($H351="UNIDADE CONSTRUTIVA",OFFSET(A351,-1,0)+1,LARGE(A$3:A350,1))</f>
        <v>0</v>
      </c>
      <c r="B351" s="390">
        <f t="shared" ca="1" si="32"/>
        <v>3</v>
      </c>
      <c r="C351" s="390">
        <f t="shared" ca="1" si="33"/>
        <v>1</v>
      </c>
      <c r="D351" s="391">
        <f t="shared" ca="1" si="34"/>
        <v>2</v>
      </c>
      <c r="E351" s="391">
        <f t="shared" ca="1" si="35"/>
        <v>11</v>
      </c>
      <c r="F351" s="125"/>
      <c r="J351" s="130"/>
      <c r="K351" s="132"/>
      <c r="L351" s="413"/>
      <c r="M351" s="413"/>
      <c r="N351" s="414"/>
      <c r="O351" s="415"/>
      <c r="P351" s="133"/>
      <c r="Q351" s="130"/>
      <c r="R351" s="132"/>
      <c r="S351" s="132"/>
      <c r="T351" s="130"/>
    </row>
    <row r="352" spans="1:20" s="131" customFormat="1" ht="14.1" customHeight="1" x14ac:dyDescent="0.25">
      <c r="A352" s="390">
        <f ca="1">IF($H352="UNIDADE CONSTRUTIVA",OFFSET(A352,-1,0)+1,LARGE(A$3:A351,1))</f>
        <v>0</v>
      </c>
      <c r="B352" s="390">
        <f t="shared" ca="1" si="32"/>
        <v>3</v>
      </c>
      <c r="C352" s="390">
        <f t="shared" ca="1" si="33"/>
        <v>1</v>
      </c>
      <c r="D352" s="391">
        <f t="shared" ca="1" si="34"/>
        <v>2</v>
      </c>
      <c r="E352" s="391">
        <f t="shared" ca="1" si="35"/>
        <v>11</v>
      </c>
      <c r="F352" s="125"/>
      <c r="J352" s="130"/>
      <c r="K352" s="132"/>
      <c r="L352" s="413"/>
      <c r="M352" s="413"/>
      <c r="N352" s="414"/>
      <c r="O352" s="415"/>
      <c r="P352" s="133"/>
      <c r="Q352" s="130"/>
      <c r="R352" s="132"/>
      <c r="S352" s="132"/>
      <c r="T352" s="130"/>
    </row>
    <row r="353" spans="1:20" s="131" customFormat="1" ht="14.1" customHeight="1" x14ac:dyDescent="0.25">
      <c r="A353" s="390">
        <f ca="1">IF($H353="UNIDADE CONSTRUTIVA",OFFSET(A353,-1,0)+1,LARGE(A$3:A352,1))</f>
        <v>0</v>
      </c>
      <c r="B353" s="390">
        <f t="shared" ca="1" si="32"/>
        <v>3</v>
      </c>
      <c r="C353" s="390">
        <f t="shared" ca="1" si="33"/>
        <v>1</v>
      </c>
      <c r="D353" s="391">
        <f t="shared" ca="1" si="34"/>
        <v>2</v>
      </c>
      <c r="E353" s="391">
        <f t="shared" ca="1" si="35"/>
        <v>11</v>
      </c>
      <c r="F353" s="125"/>
      <c r="J353" s="130"/>
      <c r="K353" s="132"/>
      <c r="L353" s="413"/>
      <c r="M353" s="413"/>
      <c r="N353" s="414"/>
      <c r="O353" s="415"/>
      <c r="P353" s="133"/>
      <c r="Q353" s="130"/>
      <c r="R353" s="132"/>
      <c r="S353" s="132"/>
      <c r="T353" s="130"/>
    </row>
    <row r="354" spans="1:20" s="131" customFormat="1" ht="14.1" customHeight="1" x14ac:dyDescent="0.25">
      <c r="A354" s="390">
        <f ca="1">IF($H354="UNIDADE CONSTRUTIVA",OFFSET(A354,-1,0)+1,LARGE(A$3:A353,1))</f>
        <v>0</v>
      </c>
      <c r="B354" s="390">
        <f t="shared" ca="1" si="32"/>
        <v>3</v>
      </c>
      <c r="C354" s="390">
        <f t="shared" ca="1" si="33"/>
        <v>1</v>
      </c>
      <c r="D354" s="391">
        <f t="shared" ca="1" si="34"/>
        <v>2</v>
      </c>
      <c r="E354" s="391">
        <f t="shared" ca="1" si="35"/>
        <v>11</v>
      </c>
      <c r="F354" s="125"/>
      <c r="J354" s="130"/>
      <c r="K354" s="132"/>
      <c r="L354" s="413"/>
      <c r="M354" s="413"/>
      <c r="N354" s="414"/>
      <c r="O354" s="415"/>
      <c r="P354" s="133"/>
      <c r="Q354" s="130"/>
      <c r="R354" s="132"/>
      <c r="S354" s="132"/>
      <c r="T354" s="130"/>
    </row>
    <row r="355" spans="1:20" s="131" customFormat="1" ht="14.1" customHeight="1" x14ac:dyDescent="0.25">
      <c r="A355" s="390">
        <f ca="1">IF($H355="UNIDADE CONSTRUTIVA",OFFSET(A355,-1,0)+1,LARGE(A$3:A354,1))</f>
        <v>0</v>
      </c>
      <c r="B355" s="390">
        <f t="shared" ca="1" si="32"/>
        <v>3</v>
      </c>
      <c r="C355" s="390">
        <f t="shared" ca="1" si="33"/>
        <v>1</v>
      </c>
      <c r="D355" s="391">
        <f t="shared" ca="1" si="34"/>
        <v>2</v>
      </c>
      <c r="E355" s="391">
        <f t="shared" ca="1" si="35"/>
        <v>11</v>
      </c>
      <c r="F355" s="125"/>
      <c r="J355" s="130"/>
      <c r="K355" s="132"/>
      <c r="L355" s="413"/>
      <c r="M355" s="413"/>
      <c r="N355" s="414"/>
      <c r="O355" s="415"/>
      <c r="P355" s="133"/>
      <c r="Q355" s="130"/>
      <c r="R355" s="132"/>
      <c r="S355" s="132"/>
      <c r="T355" s="130"/>
    </row>
    <row r="356" spans="1:20" s="131" customFormat="1" ht="14.1" customHeight="1" x14ac:dyDescent="0.25">
      <c r="A356" s="390">
        <f ca="1">IF($H356="UNIDADE CONSTRUTIVA",OFFSET(A356,-1,0)+1,LARGE(A$3:A355,1))</f>
        <v>0</v>
      </c>
      <c r="B356" s="390">
        <f t="shared" ca="1" si="32"/>
        <v>3</v>
      </c>
      <c r="C356" s="390">
        <f t="shared" ca="1" si="33"/>
        <v>1</v>
      </c>
      <c r="D356" s="391">
        <f t="shared" ca="1" si="34"/>
        <v>2</v>
      </c>
      <c r="E356" s="391">
        <f t="shared" ca="1" si="35"/>
        <v>11</v>
      </c>
      <c r="F356" s="125"/>
      <c r="J356" s="130"/>
      <c r="K356" s="132"/>
      <c r="L356" s="413"/>
      <c r="M356" s="413"/>
      <c r="N356" s="414"/>
      <c r="O356" s="415"/>
      <c r="P356" s="133"/>
      <c r="Q356" s="130"/>
      <c r="R356" s="132"/>
      <c r="S356" s="132"/>
      <c r="T356" s="130"/>
    </row>
    <row r="357" spans="1:20" s="131" customFormat="1" ht="14.1" customHeight="1" x14ac:dyDescent="0.25">
      <c r="A357" s="390">
        <f ca="1">IF($H357="UNIDADE CONSTRUTIVA",OFFSET(A357,-1,0)+1,LARGE(A$3:A356,1))</f>
        <v>0</v>
      </c>
      <c r="B357" s="390">
        <f t="shared" ca="1" si="32"/>
        <v>3</v>
      </c>
      <c r="C357" s="390">
        <f t="shared" ca="1" si="33"/>
        <v>1</v>
      </c>
      <c r="D357" s="391">
        <f t="shared" ca="1" si="34"/>
        <v>2</v>
      </c>
      <c r="E357" s="391">
        <f t="shared" ca="1" si="35"/>
        <v>11</v>
      </c>
      <c r="F357" s="125"/>
      <c r="J357" s="130"/>
      <c r="K357" s="132"/>
      <c r="L357" s="413"/>
      <c r="M357" s="413"/>
      <c r="N357" s="414"/>
      <c r="O357" s="415"/>
      <c r="P357" s="133"/>
      <c r="Q357" s="130"/>
      <c r="R357" s="132"/>
      <c r="S357" s="132"/>
      <c r="T357" s="130"/>
    </row>
    <row r="358" spans="1:20" s="131" customFormat="1" ht="14.1" customHeight="1" x14ac:dyDescent="0.25">
      <c r="A358" s="390">
        <f ca="1">IF($H358="UNIDADE CONSTRUTIVA",OFFSET(A358,-1,0)+1,LARGE(A$3:A357,1))</f>
        <v>0</v>
      </c>
      <c r="B358" s="390">
        <f t="shared" ca="1" si="32"/>
        <v>3</v>
      </c>
      <c r="C358" s="390">
        <f t="shared" ca="1" si="33"/>
        <v>1</v>
      </c>
      <c r="D358" s="391">
        <f t="shared" ca="1" si="34"/>
        <v>2</v>
      </c>
      <c r="E358" s="391">
        <f t="shared" ca="1" si="35"/>
        <v>11</v>
      </c>
      <c r="F358" s="125"/>
      <c r="J358" s="130"/>
      <c r="K358" s="132"/>
      <c r="L358" s="413"/>
      <c r="M358" s="413"/>
      <c r="N358" s="414"/>
      <c r="O358" s="415"/>
      <c r="P358" s="133"/>
      <c r="Q358" s="130"/>
      <c r="R358" s="132"/>
      <c r="S358" s="132"/>
      <c r="T358" s="130"/>
    </row>
    <row r="359" spans="1:20" s="131" customFormat="1" ht="14.1" customHeight="1" x14ac:dyDescent="0.25">
      <c r="A359" s="390">
        <f ca="1">IF($H359="UNIDADE CONSTRUTIVA",OFFSET(A359,-1,0)+1,LARGE(A$3:A358,1))</f>
        <v>0</v>
      </c>
      <c r="B359" s="390">
        <f t="shared" ca="1" si="32"/>
        <v>3</v>
      </c>
      <c r="C359" s="390">
        <f t="shared" ca="1" si="33"/>
        <v>1</v>
      </c>
      <c r="D359" s="391">
        <f t="shared" ca="1" si="34"/>
        <v>2</v>
      </c>
      <c r="E359" s="391">
        <f t="shared" ca="1" si="35"/>
        <v>11</v>
      </c>
      <c r="F359" s="125"/>
      <c r="J359" s="130"/>
      <c r="K359" s="132"/>
      <c r="L359" s="413"/>
      <c r="M359" s="413"/>
      <c r="N359" s="414"/>
      <c r="O359" s="415"/>
      <c r="P359" s="133"/>
      <c r="Q359" s="130"/>
      <c r="R359" s="132"/>
      <c r="S359" s="132"/>
      <c r="T359" s="130"/>
    </row>
    <row r="360" spans="1:20" s="131" customFormat="1" ht="14.1" customHeight="1" x14ac:dyDescent="0.25">
      <c r="A360" s="390">
        <f ca="1">IF($H360="UNIDADE CONSTRUTIVA",OFFSET(A360,-1,0)+1,LARGE(A$3:A359,1))</f>
        <v>0</v>
      </c>
      <c r="B360" s="390">
        <f t="shared" ca="1" si="32"/>
        <v>3</v>
      </c>
      <c r="C360" s="390">
        <f t="shared" ca="1" si="33"/>
        <v>1</v>
      </c>
      <c r="D360" s="391">
        <f t="shared" ca="1" si="34"/>
        <v>2</v>
      </c>
      <c r="E360" s="391">
        <f t="shared" ca="1" si="35"/>
        <v>11</v>
      </c>
      <c r="F360" s="125"/>
      <c r="J360" s="130"/>
      <c r="K360" s="132"/>
      <c r="L360" s="413"/>
      <c r="M360" s="413"/>
      <c r="N360" s="414"/>
      <c r="O360" s="415"/>
      <c r="P360" s="133"/>
      <c r="Q360" s="130"/>
      <c r="R360" s="132"/>
      <c r="S360" s="132"/>
      <c r="T360" s="130"/>
    </row>
    <row r="361" spans="1:20" s="131" customFormat="1" ht="14.1" customHeight="1" x14ac:dyDescent="0.25">
      <c r="A361" s="390">
        <f ca="1">IF($H361="UNIDADE CONSTRUTIVA",OFFSET(A361,-1,0)+1,LARGE(A$3:A360,1))</f>
        <v>0</v>
      </c>
      <c r="B361" s="390">
        <f t="shared" ca="1" si="32"/>
        <v>3</v>
      </c>
      <c r="C361" s="390">
        <f t="shared" ca="1" si="33"/>
        <v>1</v>
      </c>
      <c r="D361" s="391">
        <f t="shared" ca="1" si="34"/>
        <v>2</v>
      </c>
      <c r="E361" s="391">
        <f t="shared" ca="1" si="35"/>
        <v>11</v>
      </c>
      <c r="F361" s="125"/>
      <c r="J361" s="130"/>
      <c r="K361" s="132"/>
      <c r="L361" s="413"/>
      <c r="M361" s="413"/>
      <c r="N361" s="414"/>
      <c r="O361" s="415"/>
      <c r="P361" s="133"/>
      <c r="Q361" s="130"/>
      <c r="R361" s="132"/>
      <c r="S361" s="132"/>
      <c r="T361" s="130"/>
    </row>
    <row r="362" spans="1:20" s="131" customFormat="1" ht="14.1" customHeight="1" x14ac:dyDescent="0.25">
      <c r="A362" s="390">
        <f ca="1">IF($H362="UNIDADE CONSTRUTIVA",OFFSET(A362,-1,0)+1,LARGE(A$3:A361,1))</f>
        <v>0</v>
      </c>
      <c r="B362" s="390">
        <f t="shared" ca="1" si="32"/>
        <v>3</v>
      </c>
      <c r="C362" s="390">
        <f t="shared" ca="1" si="33"/>
        <v>1</v>
      </c>
      <c r="D362" s="391">
        <f t="shared" ca="1" si="34"/>
        <v>2</v>
      </c>
      <c r="E362" s="391">
        <f t="shared" ca="1" si="35"/>
        <v>11</v>
      </c>
      <c r="F362" s="125"/>
      <c r="J362" s="130"/>
      <c r="K362" s="132"/>
      <c r="L362" s="413"/>
      <c r="M362" s="413"/>
      <c r="N362" s="414"/>
      <c r="O362" s="415"/>
      <c r="P362" s="133"/>
      <c r="Q362" s="130"/>
      <c r="R362" s="132"/>
      <c r="S362" s="132"/>
      <c r="T362" s="130"/>
    </row>
    <row r="363" spans="1:20" s="131" customFormat="1" ht="14.1" customHeight="1" x14ac:dyDescent="0.25">
      <c r="A363" s="390">
        <f ca="1">IF($H363="UNIDADE CONSTRUTIVA",OFFSET(A363,-1,0)+1,LARGE(A$3:A362,1))</f>
        <v>0</v>
      </c>
      <c r="B363" s="390">
        <f t="shared" ca="1" si="32"/>
        <v>3</v>
      </c>
      <c r="C363" s="390">
        <f t="shared" ca="1" si="33"/>
        <v>1</v>
      </c>
      <c r="D363" s="391">
        <f t="shared" ca="1" si="34"/>
        <v>2</v>
      </c>
      <c r="E363" s="391">
        <f t="shared" ca="1" si="35"/>
        <v>11</v>
      </c>
      <c r="F363" s="125"/>
      <c r="J363" s="130"/>
      <c r="K363" s="132"/>
      <c r="L363" s="413"/>
      <c r="M363" s="413"/>
      <c r="N363" s="414"/>
      <c r="O363" s="415"/>
      <c r="P363" s="133"/>
      <c r="Q363" s="130"/>
      <c r="R363" s="132"/>
      <c r="S363" s="132"/>
      <c r="T363" s="130"/>
    </row>
    <row r="364" spans="1:20" s="131" customFormat="1" ht="14.1" customHeight="1" x14ac:dyDescent="0.25">
      <c r="A364" s="390">
        <f ca="1">IF($H364="UNIDADE CONSTRUTIVA",OFFSET(A364,-1,0)+1,LARGE(A$3:A363,1))</f>
        <v>0</v>
      </c>
      <c r="B364" s="390">
        <f t="shared" ca="1" si="32"/>
        <v>3</v>
      </c>
      <c r="C364" s="390">
        <f t="shared" ca="1" si="33"/>
        <v>1</v>
      </c>
      <c r="D364" s="391">
        <f t="shared" ca="1" si="34"/>
        <v>2</v>
      </c>
      <c r="E364" s="391">
        <f t="shared" ca="1" si="35"/>
        <v>11</v>
      </c>
      <c r="F364" s="125"/>
      <c r="J364" s="130"/>
      <c r="K364" s="132"/>
      <c r="L364" s="413"/>
      <c r="M364" s="413"/>
      <c r="N364" s="414"/>
      <c r="O364" s="415"/>
      <c r="P364" s="133"/>
      <c r="Q364" s="130"/>
      <c r="R364" s="132"/>
      <c r="S364" s="132"/>
      <c r="T364" s="130"/>
    </row>
    <row r="365" spans="1:20" s="131" customFormat="1" ht="14.1" customHeight="1" x14ac:dyDescent="0.25">
      <c r="A365" s="390">
        <f ca="1">IF($H365="UNIDADE CONSTRUTIVA",OFFSET(A365,-1,0)+1,LARGE(A$3:A364,1))</f>
        <v>0</v>
      </c>
      <c r="B365" s="390">
        <f t="shared" ca="1" si="32"/>
        <v>3</v>
      </c>
      <c r="C365" s="390">
        <f t="shared" ca="1" si="33"/>
        <v>1</v>
      </c>
      <c r="D365" s="391">
        <f t="shared" ca="1" si="34"/>
        <v>2</v>
      </c>
      <c r="E365" s="391">
        <f t="shared" ca="1" si="35"/>
        <v>11</v>
      </c>
      <c r="F365" s="125"/>
      <c r="J365" s="130"/>
      <c r="K365" s="132"/>
      <c r="L365" s="413"/>
      <c r="M365" s="413"/>
      <c r="N365" s="414"/>
      <c r="O365" s="415"/>
      <c r="P365" s="133"/>
      <c r="Q365" s="130"/>
      <c r="R365" s="132"/>
      <c r="S365" s="132"/>
      <c r="T365" s="130"/>
    </row>
    <row r="366" spans="1:20" s="131" customFormat="1" ht="14.1" customHeight="1" x14ac:dyDescent="0.25">
      <c r="A366" s="390">
        <f ca="1">IF($H366="UNIDADE CONSTRUTIVA",OFFSET(A366,-1,0)+1,LARGE(A$3:A365,1))</f>
        <v>0</v>
      </c>
      <c r="B366" s="390">
        <f t="shared" ca="1" si="32"/>
        <v>3</v>
      </c>
      <c r="C366" s="390">
        <f t="shared" ca="1" si="33"/>
        <v>1</v>
      </c>
      <c r="D366" s="391">
        <f t="shared" ca="1" si="34"/>
        <v>2</v>
      </c>
      <c r="E366" s="391">
        <f t="shared" ca="1" si="35"/>
        <v>11</v>
      </c>
      <c r="F366" s="125"/>
      <c r="J366" s="130"/>
      <c r="K366" s="132"/>
      <c r="L366" s="413"/>
      <c r="M366" s="413"/>
      <c r="N366" s="414"/>
      <c r="O366" s="415"/>
      <c r="P366" s="133"/>
      <c r="Q366" s="130"/>
      <c r="R366" s="132"/>
      <c r="S366" s="132"/>
      <c r="T366" s="130"/>
    </row>
    <row r="367" spans="1:20" s="131" customFormat="1" ht="14.1" customHeight="1" x14ac:dyDescent="0.25">
      <c r="A367" s="390">
        <f ca="1">IF($H367="UNIDADE CONSTRUTIVA",OFFSET(A367,-1,0)+1,LARGE(A$3:A366,1))</f>
        <v>0</v>
      </c>
      <c r="B367" s="390">
        <f t="shared" ca="1" si="32"/>
        <v>3</v>
      </c>
      <c r="C367" s="390">
        <f t="shared" ca="1" si="33"/>
        <v>1</v>
      </c>
      <c r="D367" s="391">
        <f t="shared" ca="1" si="34"/>
        <v>2</v>
      </c>
      <c r="E367" s="391">
        <f t="shared" ca="1" si="35"/>
        <v>11</v>
      </c>
      <c r="F367" s="125"/>
      <c r="J367" s="130"/>
      <c r="K367" s="132"/>
      <c r="L367" s="413"/>
      <c r="M367" s="413"/>
      <c r="N367" s="414"/>
      <c r="O367" s="415"/>
      <c r="P367" s="133"/>
      <c r="Q367" s="130"/>
      <c r="R367" s="132"/>
      <c r="S367" s="132"/>
      <c r="T367" s="130"/>
    </row>
    <row r="368" spans="1:20" s="131" customFormat="1" ht="14.1" customHeight="1" x14ac:dyDescent="0.25">
      <c r="A368" s="390">
        <f ca="1">IF($H368="UNIDADE CONSTRUTIVA",OFFSET(A368,-1,0)+1,LARGE(A$3:A367,1))</f>
        <v>0</v>
      </c>
      <c r="B368" s="390">
        <f t="shared" ca="1" si="32"/>
        <v>3</v>
      </c>
      <c r="C368" s="390">
        <f t="shared" ca="1" si="33"/>
        <v>1</v>
      </c>
      <c r="D368" s="391">
        <f t="shared" ca="1" si="34"/>
        <v>2</v>
      </c>
      <c r="E368" s="391">
        <f t="shared" ca="1" si="35"/>
        <v>11</v>
      </c>
      <c r="F368" s="125"/>
      <c r="J368" s="130"/>
      <c r="K368" s="132"/>
      <c r="L368" s="413"/>
      <c r="M368" s="413"/>
      <c r="N368" s="414"/>
      <c r="O368" s="415"/>
      <c r="P368" s="133"/>
      <c r="Q368" s="130"/>
      <c r="R368" s="132"/>
      <c r="S368" s="132"/>
      <c r="T368" s="130"/>
    </row>
    <row r="369" spans="1:20" s="131" customFormat="1" ht="14.1" customHeight="1" x14ac:dyDescent="0.25">
      <c r="A369" s="390">
        <f ca="1">IF($H369="UNIDADE CONSTRUTIVA",OFFSET(A369,-1,0)+1,LARGE(A$3:A368,1))</f>
        <v>0</v>
      </c>
      <c r="B369" s="390">
        <f t="shared" ca="1" si="32"/>
        <v>3</v>
      </c>
      <c r="C369" s="390">
        <f t="shared" ca="1" si="33"/>
        <v>1</v>
      </c>
      <c r="D369" s="391">
        <f t="shared" ca="1" si="34"/>
        <v>2</v>
      </c>
      <c r="E369" s="391">
        <f t="shared" ca="1" si="35"/>
        <v>11</v>
      </c>
      <c r="F369" s="125"/>
      <c r="J369" s="130"/>
      <c r="K369" s="132"/>
      <c r="L369" s="413"/>
      <c r="M369" s="413"/>
      <c r="N369" s="414"/>
      <c r="O369" s="415"/>
      <c r="P369" s="133"/>
      <c r="Q369" s="130"/>
      <c r="R369" s="132"/>
      <c r="S369" s="132"/>
      <c r="T369" s="130"/>
    </row>
    <row r="370" spans="1:20" s="131" customFormat="1" ht="14.1" customHeight="1" x14ac:dyDescent="0.25">
      <c r="A370" s="390">
        <f ca="1">IF($H370="UNIDADE CONSTRUTIVA",OFFSET(A370,-1,0)+1,LARGE(A$3:A369,1))</f>
        <v>0</v>
      </c>
      <c r="B370" s="390">
        <f t="shared" ca="1" si="32"/>
        <v>3</v>
      </c>
      <c r="C370" s="390">
        <f t="shared" ca="1" si="33"/>
        <v>1</v>
      </c>
      <c r="D370" s="391">
        <f t="shared" ca="1" si="34"/>
        <v>2</v>
      </c>
      <c r="E370" s="391">
        <f t="shared" ca="1" si="35"/>
        <v>11</v>
      </c>
      <c r="F370" s="125"/>
      <c r="J370" s="130"/>
      <c r="K370" s="132"/>
      <c r="L370" s="413"/>
      <c r="M370" s="413"/>
      <c r="N370" s="414"/>
      <c r="O370" s="415"/>
      <c r="P370" s="133"/>
      <c r="Q370" s="130"/>
      <c r="R370" s="132"/>
      <c r="S370" s="132"/>
      <c r="T370" s="130"/>
    </row>
    <row r="371" spans="1:20" s="131" customFormat="1" ht="14.1" customHeight="1" x14ac:dyDescent="0.25">
      <c r="A371" s="390">
        <f ca="1">IF($H371="UNIDADE CONSTRUTIVA",OFFSET(A371,-1,0)+1,LARGE(A$3:A370,1))</f>
        <v>0</v>
      </c>
      <c r="B371" s="390">
        <f t="shared" ca="1" si="32"/>
        <v>3</v>
      </c>
      <c r="C371" s="390">
        <f t="shared" ca="1" si="33"/>
        <v>1</v>
      </c>
      <c r="D371" s="391">
        <f t="shared" ca="1" si="34"/>
        <v>2</v>
      </c>
      <c r="E371" s="391">
        <f t="shared" ca="1" si="35"/>
        <v>11</v>
      </c>
      <c r="F371" s="125"/>
      <c r="J371" s="130"/>
      <c r="K371" s="132"/>
      <c r="L371" s="413"/>
      <c r="M371" s="413"/>
      <c r="N371" s="414"/>
      <c r="O371" s="415"/>
      <c r="P371" s="133"/>
      <c r="Q371" s="130"/>
      <c r="R371" s="132"/>
      <c r="S371" s="132"/>
      <c r="T371" s="130"/>
    </row>
    <row r="372" spans="1:20" s="131" customFormat="1" ht="14.1" customHeight="1" x14ac:dyDescent="0.25">
      <c r="A372" s="390">
        <f ca="1">IF($H372="UNIDADE CONSTRUTIVA",OFFSET(A372,-1,0)+1,LARGE(A$3:A371,1))</f>
        <v>0</v>
      </c>
      <c r="B372" s="390">
        <f t="shared" ca="1" si="32"/>
        <v>3</v>
      </c>
      <c r="C372" s="390">
        <f t="shared" ca="1" si="33"/>
        <v>1</v>
      </c>
      <c r="D372" s="391">
        <f t="shared" ca="1" si="34"/>
        <v>2</v>
      </c>
      <c r="E372" s="391">
        <f t="shared" ca="1" si="35"/>
        <v>11</v>
      </c>
      <c r="F372" s="125"/>
      <c r="J372" s="130"/>
      <c r="K372" s="132"/>
      <c r="L372" s="413"/>
      <c r="M372" s="413"/>
      <c r="N372" s="414"/>
      <c r="O372" s="415"/>
      <c r="P372" s="133"/>
      <c r="Q372" s="130"/>
      <c r="R372" s="132"/>
      <c r="S372" s="132"/>
      <c r="T372" s="130"/>
    </row>
    <row r="373" spans="1:20" s="131" customFormat="1" ht="14.1" customHeight="1" x14ac:dyDescent="0.25">
      <c r="A373" s="390">
        <f ca="1">IF($H373="UNIDADE CONSTRUTIVA",OFFSET(A373,-1,0)+1,LARGE(A$3:A372,1))</f>
        <v>0</v>
      </c>
      <c r="B373" s="390">
        <f t="shared" ca="1" si="32"/>
        <v>3</v>
      </c>
      <c r="C373" s="390">
        <f t="shared" ca="1" si="33"/>
        <v>1</v>
      </c>
      <c r="D373" s="391">
        <f t="shared" ca="1" si="34"/>
        <v>2</v>
      </c>
      <c r="E373" s="391">
        <f t="shared" ca="1" si="35"/>
        <v>11</v>
      </c>
      <c r="F373" s="125"/>
      <c r="J373" s="130"/>
      <c r="K373" s="132"/>
      <c r="L373" s="413"/>
      <c r="M373" s="413"/>
      <c r="N373" s="414"/>
      <c r="O373" s="415"/>
      <c r="P373" s="133"/>
      <c r="Q373" s="130"/>
      <c r="R373" s="132"/>
      <c r="S373" s="132"/>
      <c r="T373" s="130"/>
    </row>
    <row r="374" spans="1:20" s="131" customFormat="1" ht="14.1" customHeight="1" x14ac:dyDescent="0.25">
      <c r="A374" s="390">
        <f ca="1">IF($H374="UNIDADE CONSTRUTIVA",OFFSET(A374,-1,0)+1,LARGE(A$3:A373,1))</f>
        <v>0</v>
      </c>
      <c r="B374" s="390">
        <f t="shared" ca="1" si="32"/>
        <v>3</v>
      </c>
      <c r="C374" s="390">
        <f t="shared" ca="1" si="33"/>
        <v>1</v>
      </c>
      <c r="D374" s="391">
        <f t="shared" ca="1" si="34"/>
        <v>2</v>
      </c>
      <c r="E374" s="391">
        <f t="shared" ca="1" si="35"/>
        <v>11</v>
      </c>
      <c r="F374" s="125"/>
      <c r="J374" s="130"/>
      <c r="K374" s="132"/>
      <c r="L374" s="413"/>
      <c r="M374" s="413"/>
      <c r="N374" s="414"/>
      <c r="O374" s="415"/>
      <c r="P374" s="133"/>
      <c r="Q374" s="130"/>
      <c r="R374" s="132"/>
      <c r="S374" s="132"/>
      <c r="T374" s="130"/>
    </row>
    <row r="375" spans="1:20" s="131" customFormat="1" ht="14.1" customHeight="1" x14ac:dyDescent="0.25">
      <c r="A375" s="390">
        <f ca="1">IF($H375="UNIDADE CONSTRUTIVA",OFFSET(A375,-1,0)+1,LARGE(A$3:A374,1))</f>
        <v>0</v>
      </c>
      <c r="B375" s="390">
        <f t="shared" ca="1" si="32"/>
        <v>3</v>
      </c>
      <c r="C375" s="390">
        <f t="shared" ca="1" si="33"/>
        <v>1</v>
      </c>
      <c r="D375" s="391">
        <f t="shared" ca="1" si="34"/>
        <v>2</v>
      </c>
      <c r="E375" s="391">
        <f t="shared" ca="1" si="35"/>
        <v>11</v>
      </c>
      <c r="F375" s="125"/>
      <c r="J375" s="130"/>
      <c r="K375" s="132"/>
      <c r="L375" s="413"/>
      <c r="M375" s="413"/>
      <c r="N375" s="414"/>
      <c r="O375" s="415"/>
      <c r="P375" s="133"/>
      <c r="Q375" s="130"/>
      <c r="R375" s="132"/>
      <c r="S375" s="132"/>
      <c r="T375" s="130"/>
    </row>
    <row r="376" spans="1:20" s="131" customFormat="1" ht="14.1" customHeight="1" x14ac:dyDescent="0.25">
      <c r="A376" s="390">
        <f ca="1">IF($H376="UNIDADE CONSTRUTIVA",OFFSET(A376,-1,0)+1,LARGE(A$3:A375,1))</f>
        <v>0</v>
      </c>
      <c r="B376" s="390">
        <f t="shared" ca="1" si="32"/>
        <v>3</v>
      </c>
      <c r="C376" s="390">
        <f t="shared" ca="1" si="33"/>
        <v>1</v>
      </c>
      <c r="D376" s="391">
        <f t="shared" ca="1" si="34"/>
        <v>2</v>
      </c>
      <c r="E376" s="391">
        <f t="shared" ca="1" si="35"/>
        <v>11</v>
      </c>
      <c r="F376" s="125"/>
      <c r="J376" s="130"/>
      <c r="K376" s="132"/>
      <c r="L376" s="413"/>
      <c r="M376" s="413"/>
      <c r="N376" s="414"/>
      <c r="O376" s="415"/>
      <c r="P376" s="133"/>
      <c r="Q376" s="130"/>
      <c r="R376" s="132"/>
      <c r="S376" s="132"/>
      <c r="T376" s="130"/>
    </row>
    <row r="377" spans="1:20" s="131" customFormat="1" ht="14.1" customHeight="1" x14ac:dyDescent="0.25">
      <c r="A377" s="390">
        <f ca="1">IF($H377="UNIDADE CONSTRUTIVA",OFFSET(A377,-1,0)+1,LARGE(A$3:A376,1))</f>
        <v>0</v>
      </c>
      <c r="B377" s="390">
        <f t="shared" ca="1" si="32"/>
        <v>3</v>
      </c>
      <c r="C377" s="390">
        <f t="shared" ca="1" si="33"/>
        <v>1</v>
      </c>
      <c r="D377" s="391">
        <f t="shared" ca="1" si="34"/>
        <v>2</v>
      </c>
      <c r="E377" s="391">
        <f t="shared" ca="1" si="35"/>
        <v>11</v>
      </c>
      <c r="F377" s="125"/>
      <c r="J377" s="130"/>
      <c r="K377" s="132"/>
      <c r="L377" s="413"/>
      <c r="M377" s="413"/>
      <c r="N377" s="414"/>
      <c r="O377" s="415"/>
      <c r="P377" s="133"/>
      <c r="Q377" s="130"/>
      <c r="R377" s="132"/>
      <c r="S377" s="132"/>
      <c r="T377" s="130"/>
    </row>
    <row r="378" spans="1:20" s="131" customFormat="1" ht="14.1" customHeight="1" x14ac:dyDescent="0.25">
      <c r="A378" s="390">
        <f ca="1">IF($H378="UNIDADE CONSTRUTIVA",OFFSET(A378,-1,0)+1,LARGE(A$3:A377,1))</f>
        <v>0</v>
      </c>
      <c r="B378" s="390">
        <f t="shared" ca="1" si="32"/>
        <v>3</v>
      </c>
      <c r="C378" s="390">
        <f t="shared" ca="1" si="33"/>
        <v>1</v>
      </c>
      <c r="D378" s="391">
        <f t="shared" ca="1" si="34"/>
        <v>2</v>
      </c>
      <c r="E378" s="391">
        <f t="shared" ca="1" si="35"/>
        <v>11</v>
      </c>
      <c r="F378" s="125"/>
      <c r="J378" s="130"/>
      <c r="K378" s="132"/>
      <c r="L378" s="413"/>
      <c r="M378" s="413"/>
      <c r="N378" s="414"/>
      <c r="O378" s="415"/>
      <c r="P378" s="133"/>
      <c r="Q378" s="130"/>
      <c r="R378" s="132"/>
      <c r="S378" s="132"/>
      <c r="T378" s="130"/>
    </row>
    <row r="379" spans="1:20" s="131" customFormat="1" ht="14.1" customHeight="1" x14ac:dyDescent="0.25">
      <c r="A379" s="390">
        <f ca="1">IF($H379="UNIDADE CONSTRUTIVA",OFFSET(A379,-1,0)+1,LARGE(A$3:A378,1))</f>
        <v>0</v>
      </c>
      <c r="B379" s="390">
        <f t="shared" ca="1" si="32"/>
        <v>3</v>
      </c>
      <c r="C379" s="390">
        <f t="shared" ca="1" si="33"/>
        <v>1</v>
      </c>
      <c r="D379" s="391">
        <f t="shared" ca="1" si="34"/>
        <v>2</v>
      </c>
      <c r="E379" s="391">
        <f t="shared" ca="1" si="35"/>
        <v>11</v>
      </c>
      <c r="F379" s="125"/>
      <c r="J379" s="130"/>
      <c r="K379" s="132"/>
      <c r="L379" s="413"/>
      <c r="M379" s="413"/>
      <c r="N379" s="414"/>
      <c r="O379" s="415"/>
      <c r="P379" s="133"/>
      <c r="Q379" s="130"/>
      <c r="R379" s="132"/>
      <c r="S379" s="132"/>
      <c r="T379" s="130"/>
    </row>
    <row r="380" spans="1:20" s="131" customFormat="1" ht="14.1" customHeight="1" x14ac:dyDescent="0.25">
      <c r="A380" s="390">
        <f ca="1">IF($H380="UNIDADE CONSTRUTIVA",OFFSET(A380,-1,0)+1,LARGE(A$3:A379,1))</f>
        <v>0</v>
      </c>
      <c r="B380" s="390">
        <f t="shared" ca="1" si="32"/>
        <v>3</v>
      </c>
      <c r="C380" s="390">
        <f t="shared" ca="1" si="33"/>
        <v>1</v>
      </c>
      <c r="D380" s="391">
        <f t="shared" ca="1" si="34"/>
        <v>2</v>
      </c>
      <c r="E380" s="391">
        <f t="shared" ca="1" si="35"/>
        <v>11</v>
      </c>
      <c r="F380" s="125"/>
      <c r="J380" s="130"/>
      <c r="K380" s="132"/>
      <c r="L380" s="413"/>
      <c r="M380" s="413"/>
      <c r="N380" s="414"/>
      <c r="O380" s="415"/>
      <c r="P380" s="133"/>
      <c r="Q380" s="130"/>
      <c r="R380" s="132"/>
      <c r="S380" s="132"/>
      <c r="T380" s="130"/>
    </row>
    <row r="381" spans="1:20" s="131" customFormat="1" ht="14.1" customHeight="1" x14ac:dyDescent="0.25">
      <c r="A381" s="390">
        <f ca="1">IF($H381="UNIDADE CONSTRUTIVA",OFFSET(A381,-1,0)+1,LARGE(A$3:A380,1))</f>
        <v>0</v>
      </c>
      <c r="B381" s="390">
        <f t="shared" ca="1" si="32"/>
        <v>3</v>
      </c>
      <c r="C381" s="390">
        <f t="shared" ca="1" si="33"/>
        <v>1</v>
      </c>
      <c r="D381" s="391">
        <f t="shared" ca="1" si="34"/>
        <v>2</v>
      </c>
      <c r="E381" s="391">
        <f t="shared" ca="1" si="35"/>
        <v>11</v>
      </c>
      <c r="F381" s="125"/>
      <c r="J381" s="130"/>
      <c r="K381" s="132"/>
      <c r="L381" s="413"/>
      <c r="M381" s="413"/>
      <c r="N381" s="414"/>
      <c r="O381" s="415"/>
      <c r="P381" s="133"/>
      <c r="Q381" s="130"/>
      <c r="R381" s="132"/>
      <c r="S381" s="132"/>
      <c r="T381" s="130"/>
    </row>
    <row r="382" spans="1:20" s="131" customFormat="1" ht="14.1" customHeight="1" x14ac:dyDescent="0.25">
      <c r="A382" s="390">
        <f ca="1">IF($H382="UNIDADE CONSTRUTIVA",OFFSET(A382,-1,0)+1,LARGE(A$3:A381,1))</f>
        <v>0</v>
      </c>
      <c r="B382" s="390">
        <f t="shared" ca="1" si="32"/>
        <v>3</v>
      </c>
      <c r="C382" s="390">
        <f t="shared" ca="1" si="33"/>
        <v>1</v>
      </c>
      <c r="D382" s="391">
        <f t="shared" ca="1" si="34"/>
        <v>2</v>
      </c>
      <c r="E382" s="391">
        <f t="shared" ca="1" si="35"/>
        <v>11</v>
      </c>
      <c r="F382" s="125"/>
      <c r="J382" s="130"/>
      <c r="K382" s="132"/>
      <c r="L382" s="413"/>
      <c r="M382" s="413"/>
      <c r="N382" s="414"/>
      <c r="O382" s="415"/>
      <c r="P382" s="133"/>
      <c r="Q382" s="130"/>
      <c r="R382" s="132"/>
      <c r="S382" s="132"/>
      <c r="T382" s="130"/>
    </row>
    <row r="383" spans="1:20" s="131" customFormat="1" ht="14.1" customHeight="1" x14ac:dyDescent="0.25">
      <c r="A383" s="390">
        <f ca="1">IF($H383="UNIDADE CONSTRUTIVA",OFFSET(A383,-1,0)+1,LARGE(A$3:A382,1))</f>
        <v>0</v>
      </c>
      <c r="B383" s="390">
        <f t="shared" ca="1" si="32"/>
        <v>3</v>
      </c>
      <c r="C383" s="390">
        <f t="shared" ca="1" si="33"/>
        <v>1</v>
      </c>
      <c r="D383" s="391">
        <f t="shared" ca="1" si="34"/>
        <v>2</v>
      </c>
      <c r="E383" s="391">
        <f t="shared" ca="1" si="35"/>
        <v>11</v>
      </c>
      <c r="F383" s="125"/>
      <c r="J383" s="130"/>
      <c r="K383" s="132"/>
      <c r="L383" s="413"/>
      <c r="M383" s="413"/>
      <c r="N383" s="414"/>
      <c r="O383" s="415"/>
      <c r="P383" s="133"/>
      <c r="Q383" s="130"/>
      <c r="R383" s="132"/>
      <c r="S383" s="132"/>
      <c r="T383" s="130"/>
    </row>
    <row r="384" spans="1:20" s="131" customFormat="1" ht="14.1" customHeight="1" x14ac:dyDescent="0.25">
      <c r="A384" s="390">
        <f ca="1">IF($H384="UNIDADE CONSTRUTIVA",OFFSET(A384,-1,0)+1,LARGE(A$3:A383,1))</f>
        <v>0</v>
      </c>
      <c r="B384" s="390">
        <f t="shared" ca="1" si="32"/>
        <v>3</v>
      </c>
      <c r="C384" s="390">
        <f t="shared" ca="1" si="33"/>
        <v>1</v>
      </c>
      <c r="D384" s="391">
        <f t="shared" ca="1" si="34"/>
        <v>2</v>
      </c>
      <c r="E384" s="391">
        <f t="shared" ca="1" si="35"/>
        <v>11</v>
      </c>
      <c r="F384" s="125"/>
      <c r="J384" s="130"/>
      <c r="K384" s="132"/>
      <c r="L384" s="413"/>
      <c r="M384" s="413"/>
      <c r="N384" s="414"/>
      <c r="O384" s="415"/>
      <c r="P384" s="133"/>
      <c r="Q384" s="130"/>
      <c r="R384" s="132"/>
      <c r="S384" s="132"/>
      <c r="T384" s="130"/>
    </row>
    <row r="385" spans="1:20" s="131" customFormat="1" ht="14.1" customHeight="1" x14ac:dyDescent="0.25">
      <c r="A385" s="390">
        <f ca="1">IF($H385="UNIDADE CONSTRUTIVA",OFFSET(A385,-1,0)+1,LARGE(A$3:A384,1))</f>
        <v>0</v>
      </c>
      <c r="B385" s="390">
        <f t="shared" ca="1" si="32"/>
        <v>3</v>
      </c>
      <c r="C385" s="390">
        <f t="shared" ca="1" si="33"/>
        <v>1</v>
      </c>
      <c r="D385" s="391">
        <f t="shared" ca="1" si="34"/>
        <v>2</v>
      </c>
      <c r="E385" s="391">
        <f t="shared" ca="1" si="35"/>
        <v>11</v>
      </c>
      <c r="F385" s="125"/>
      <c r="J385" s="130"/>
      <c r="K385" s="132"/>
      <c r="L385" s="413"/>
      <c r="M385" s="413"/>
      <c r="N385" s="414"/>
      <c r="O385" s="415"/>
      <c r="P385" s="133"/>
      <c r="Q385" s="130"/>
      <c r="R385" s="132"/>
      <c r="S385" s="132"/>
      <c r="T385" s="130"/>
    </row>
    <row r="386" spans="1:20" s="131" customFormat="1" ht="14.1" customHeight="1" x14ac:dyDescent="0.25">
      <c r="A386" s="390">
        <f ca="1">IF($H386="UNIDADE CONSTRUTIVA",OFFSET(A386,-1,0)+1,LARGE(A$3:A385,1))</f>
        <v>0</v>
      </c>
      <c r="B386" s="390">
        <f t="shared" ca="1" si="32"/>
        <v>3</v>
      </c>
      <c r="C386" s="390">
        <f t="shared" ca="1" si="33"/>
        <v>1</v>
      </c>
      <c r="D386" s="391">
        <f t="shared" ca="1" si="34"/>
        <v>2</v>
      </c>
      <c r="E386" s="391">
        <f t="shared" ca="1" si="35"/>
        <v>11</v>
      </c>
      <c r="F386" s="125"/>
      <c r="J386" s="130"/>
      <c r="K386" s="132"/>
      <c r="L386" s="413"/>
      <c r="M386" s="413"/>
      <c r="N386" s="414"/>
      <c r="O386" s="415"/>
      <c r="P386" s="133"/>
      <c r="Q386" s="130"/>
      <c r="R386" s="132"/>
      <c r="S386" s="132"/>
      <c r="T386" s="130"/>
    </row>
    <row r="387" spans="1:20" s="131" customFormat="1" ht="14.1" customHeight="1" x14ac:dyDescent="0.25">
      <c r="A387" s="390">
        <f ca="1">IF($H387="UNIDADE CONSTRUTIVA",OFFSET(A387,-1,0)+1,LARGE(A$3:A386,1))</f>
        <v>0</v>
      </c>
      <c r="B387" s="390">
        <f t="shared" ca="1" si="32"/>
        <v>3</v>
      </c>
      <c r="C387" s="390">
        <f t="shared" ca="1" si="33"/>
        <v>1</v>
      </c>
      <c r="D387" s="391">
        <f t="shared" ca="1" si="34"/>
        <v>2</v>
      </c>
      <c r="E387" s="391">
        <f t="shared" ca="1" si="35"/>
        <v>11</v>
      </c>
      <c r="F387" s="125"/>
      <c r="J387" s="130"/>
      <c r="K387" s="132"/>
      <c r="L387" s="413"/>
      <c r="M387" s="413"/>
      <c r="N387" s="414"/>
      <c r="O387" s="415"/>
      <c r="P387" s="133"/>
      <c r="Q387" s="130"/>
      <c r="R387" s="132"/>
      <c r="S387" s="132"/>
      <c r="T387" s="130"/>
    </row>
    <row r="388" spans="1:20" s="131" customFormat="1" ht="14.1" customHeight="1" x14ac:dyDescent="0.25">
      <c r="A388" s="390">
        <f ca="1">IF($H388="UNIDADE CONSTRUTIVA",OFFSET(A388,-1,0)+1,LARGE(A$3:A387,1))</f>
        <v>0</v>
      </c>
      <c r="B388" s="390">
        <f t="shared" ca="1" si="32"/>
        <v>3</v>
      </c>
      <c r="C388" s="390">
        <f t="shared" ca="1" si="33"/>
        <v>1</v>
      </c>
      <c r="D388" s="391">
        <f t="shared" ca="1" si="34"/>
        <v>2</v>
      </c>
      <c r="E388" s="391">
        <f t="shared" ca="1" si="35"/>
        <v>11</v>
      </c>
      <c r="F388" s="125"/>
      <c r="J388" s="130"/>
      <c r="K388" s="132"/>
      <c r="L388" s="413"/>
      <c r="M388" s="413"/>
      <c r="N388" s="414"/>
      <c r="O388" s="415"/>
      <c r="P388" s="133"/>
      <c r="Q388" s="130"/>
      <c r="R388" s="132"/>
      <c r="S388" s="132"/>
      <c r="T388" s="130"/>
    </row>
    <row r="389" spans="1:20" s="131" customFormat="1" ht="14.1" customHeight="1" x14ac:dyDescent="0.25">
      <c r="A389" s="390">
        <f ca="1">IF($H389="UNIDADE CONSTRUTIVA",OFFSET(A389,-1,0)+1,LARGE(A$3:A388,1))</f>
        <v>0</v>
      </c>
      <c r="B389" s="390">
        <f t="shared" ca="1" si="32"/>
        <v>3</v>
      </c>
      <c r="C389" s="390">
        <f t="shared" ca="1" si="33"/>
        <v>1</v>
      </c>
      <c r="D389" s="391">
        <f t="shared" ca="1" si="34"/>
        <v>2</v>
      </c>
      <c r="E389" s="391">
        <f t="shared" ca="1" si="35"/>
        <v>11</v>
      </c>
      <c r="F389" s="125"/>
      <c r="J389" s="130"/>
      <c r="K389" s="132"/>
      <c r="L389" s="413"/>
      <c r="M389" s="413"/>
      <c r="N389" s="414"/>
      <c r="O389" s="415"/>
      <c r="P389" s="133"/>
      <c r="Q389" s="130"/>
      <c r="R389" s="132"/>
      <c r="S389" s="132"/>
      <c r="T389" s="130"/>
    </row>
    <row r="390" spans="1:20" s="131" customFormat="1" ht="14.1" customHeight="1" x14ac:dyDescent="0.25">
      <c r="A390" s="390">
        <f ca="1">IF($H390="UNIDADE CONSTRUTIVA",OFFSET(A390,-1,0)+1,LARGE(A$3:A389,1))</f>
        <v>0</v>
      </c>
      <c r="B390" s="390">
        <f t="shared" ca="1" si="32"/>
        <v>3</v>
      </c>
      <c r="C390" s="390">
        <f t="shared" ca="1" si="33"/>
        <v>1</v>
      </c>
      <c r="D390" s="391">
        <f t="shared" ca="1" si="34"/>
        <v>2</v>
      </c>
      <c r="E390" s="391">
        <f t="shared" ca="1" si="35"/>
        <v>11</v>
      </c>
      <c r="F390" s="125"/>
      <c r="J390" s="130"/>
      <c r="K390" s="132"/>
      <c r="L390" s="413"/>
      <c r="M390" s="413"/>
      <c r="N390" s="414"/>
      <c r="O390" s="415"/>
      <c r="P390" s="133"/>
      <c r="Q390" s="130"/>
      <c r="R390" s="132"/>
      <c r="S390" s="132"/>
      <c r="T390" s="130"/>
    </row>
    <row r="391" spans="1:20" s="131" customFormat="1" ht="14.1" customHeight="1" x14ac:dyDescent="0.25">
      <c r="A391" s="390">
        <f ca="1">IF($H391="UNIDADE CONSTRUTIVA",OFFSET(A391,-1,0)+1,LARGE(A$3:A390,1))</f>
        <v>0</v>
      </c>
      <c r="B391" s="390">
        <f t="shared" ca="1" si="32"/>
        <v>3</v>
      </c>
      <c r="C391" s="390">
        <f t="shared" ca="1" si="33"/>
        <v>1</v>
      </c>
      <c r="D391" s="391">
        <f t="shared" ca="1" si="34"/>
        <v>2</v>
      </c>
      <c r="E391" s="391">
        <f t="shared" ca="1" si="35"/>
        <v>11</v>
      </c>
      <c r="F391" s="125"/>
      <c r="J391" s="130"/>
      <c r="K391" s="132"/>
      <c r="L391" s="413"/>
      <c r="M391" s="413"/>
      <c r="N391" s="414"/>
      <c r="O391" s="415"/>
      <c r="P391" s="133"/>
      <c r="Q391" s="130"/>
      <c r="R391" s="132"/>
      <c r="S391" s="132"/>
      <c r="T391" s="130"/>
    </row>
    <row r="392" spans="1:20" s="131" customFormat="1" ht="14.1" customHeight="1" x14ac:dyDescent="0.25">
      <c r="A392" s="390">
        <f ca="1">IF($H392="UNIDADE CONSTRUTIVA",OFFSET(A392,-1,0)+1,LARGE(A$3:A391,1))</f>
        <v>0</v>
      </c>
      <c r="B392" s="390">
        <f t="shared" ca="1" si="32"/>
        <v>3</v>
      </c>
      <c r="C392" s="390">
        <f t="shared" ca="1" si="33"/>
        <v>1</v>
      </c>
      <c r="D392" s="391">
        <f t="shared" ca="1" si="34"/>
        <v>2</v>
      </c>
      <c r="E392" s="391">
        <f t="shared" ca="1" si="35"/>
        <v>11</v>
      </c>
      <c r="F392" s="125"/>
      <c r="J392" s="130"/>
      <c r="K392" s="132"/>
      <c r="L392" s="413"/>
      <c r="M392" s="413"/>
      <c r="N392" s="414"/>
      <c r="O392" s="415"/>
      <c r="P392" s="133"/>
      <c r="Q392" s="130"/>
      <c r="R392" s="132"/>
      <c r="S392" s="132"/>
      <c r="T392" s="130"/>
    </row>
    <row r="393" spans="1:20" s="131" customFormat="1" ht="14.1" customHeight="1" x14ac:dyDescent="0.25">
      <c r="A393" s="390">
        <f ca="1">IF($H393="UNIDADE CONSTRUTIVA",OFFSET(A393,-1,0)+1,LARGE(A$3:A392,1))</f>
        <v>0</v>
      </c>
      <c r="B393" s="390">
        <f t="shared" ref="B393:B456" ca="1" si="36">IF(H393="UNIDADE CONSTRUTIVA",0,IF(H393="CÉLULA CONSTRUTIVA",OFFSET(B393,-1,0)+1,OFFSET(B393,-1,0)))</f>
        <v>3</v>
      </c>
      <c r="C393" s="390">
        <f t="shared" ref="C393:C456" ca="1" si="37">IF(H393="CÉLULA CONSTRUTIVA",0,IF(H393="ETAPA",OFFSET(C393,-1,0)+1,OFFSET(C393,-1,0)))</f>
        <v>1</v>
      </c>
      <c r="D393" s="391">
        <f t="shared" ref="D393:D456" ca="1" si="38">IF(H393="ETAPA",0,IF(H393="SUBETAPA",OFFSET(D393,-1,0)+1,OFFSET(D393,-1,0)))</f>
        <v>2</v>
      </c>
      <c r="E393" s="391">
        <f t="shared" ref="E393:E456" ca="1" si="39">IF(H393="Subetapa",0,IF(H393="serviço",OFFSET(E393,-1,0)+1,OFFSET(E393,-1,0)))</f>
        <v>11</v>
      </c>
      <c r="F393" s="125"/>
      <c r="J393" s="130"/>
      <c r="K393" s="132"/>
      <c r="L393" s="413"/>
      <c r="M393" s="413"/>
      <c r="N393" s="414"/>
      <c r="O393" s="415"/>
      <c r="P393" s="133"/>
      <c r="Q393" s="130"/>
      <c r="R393" s="132"/>
      <c r="S393" s="132"/>
      <c r="T393" s="130"/>
    </row>
    <row r="394" spans="1:20" s="131" customFormat="1" ht="14.1" customHeight="1" x14ac:dyDescent="0.25">
      <c r="A394" s="390">
        <f ca="1">IF($H394="UNIDADE CONSTRUTIVA",OFFSET(A394,-1,0)+1,LARGE(A$3:A393,1))</f>
        <v>0</v>
      </c>
      <c r="B394" s="390">
        <f t="shared" ca="1" si="36"/>
        <v>3</v>
      </c>
      <c r="C394" s="390">
        <f t="shared" ca="1" si="37"/>
        <v>1</v>
      </c>
      <c r="D394" s="391">
        <f t="shared" ca="1" si="38"/>
        <v>2</v>
      </c>
      <c r="E394" s="391">
        <f t="shared" ca="1" si="39"/>
        <v>11</v>
      </c>
      <c r="F394" s="125"/>
      <c r="J394" s="130"/>
      <c r="K394" s="132"/>
      <c r="L394" s="413"/>
      <c r="M394" s="413"/>
      <c r="N394" s="414"/>
      <c r="O394" s="415"/>
      <c r="P394" s="133"/>
      <c r="Q394" s="130"/>
      <c r="R394" s="132"/>
      <c r="S394" s="132"/>
      <c r="T394" s="130"/>
    </row>
    <row r="395" spans="1:20" s="131" customFormat="1" ht="14.1" customHeight="1" x14ac:dyDescent="0.25">
      <c r="A395" s="390">
        <f ca="1">IF($H395="UNIDADE CONSTRUTIVA",OFFSET(A395,-1,0)+1,LARGE(A$3:A394,1))</f>
        <v>0</v>
      </c>
      <c r="B395" s="390">
        <f t="shared" ca="1" si="36"/>
        <v>3</v>
      </c>
      <c r="C395" s="390">
        <f t="shared" ca="1" si="37"/>
        <v>1</v>
      </c>
      <c r="D395" s="391">
        <f t="shared" ca="1" si="38"/>
        <v>2</v>
      </c>
      <c r="E395" s="391">
        <f t="shared" ca="1" si="39"/>
        <v>11</v>
      </c>
      <c r="F395" s="125"/>
      <c r="J395" s="130"/>
      <c r="K395" s="132"/>
      <c r="L395" s="413"/>
      <c r="M395" s="413"/>
      <c r="N395" s="414"/>
      <c r="O395" s="415"/>
      <c r="P395" s="133"/>
      <c r="Q395" s="130"/>
      <c r="R395" s="132"/>
      <c r="S395" s="132"/>
      <c r="T395" s="130"/>
    </row>
    <row r="396" spans="1:20" s="131" customFormat="1" ht="14.1" customHeight="1" x14ac:dyDescent="0.25">
      <c r="A396" s="390">
        <f ca="1">IF($H396="UNIDADE CONSTRUTIVA",OFFSET(A396,-1,0)+1,LARGE(A$3:A395,1))</f>
        <v>0</v>
      </c>
      <c r="B396" s="390">
        <f t="shared" ca="1" si="36"/>
        <v>3</v>
      </c>
      <c r="C396" s="390">
        <f t="shared" ca="1" si="37"/>
        <v>1</v>
      </c>
      <c r="D396" s="391">
        <f t="shared" ca="1" si="38"/>
        <v>2</v>
      </c>
      <c r="E396" s="391">
        <f t="shared" ca="1" si="39"/>
        <v>11</v>
      </c>
      <c r="F396" s="125"/>
      <c r="J396" s="130"/>
      <c r="K396" s="132"/>
      <c r="L396" s="413"/>
      <c r="M396" s="413"/>
      <c r="N396" s="414"/>
      <c r="O396" s="415"/>
      <c r="P396" s="133"/>
      <c r="Q396" s="130"/>
      <c r="R396" s="132"/>
      <c r="S396" s="132"/>
      <c r="T396" s="130"/>
    </row>
    <row r="397" spans="1:20" s="131" customFormat="1" ht="14.1" customHeight="1" x14ac:dyDescent="0.25">
      <c r="A397" s="390">
        <f ca="1">IF($H397="UNIDADE CONSTRUTIVA",OFFSET(A397,-1,0)+1,LARGE(A$3:A396,1))</f>
        <v>0</v>
      </c>
      <c r="B397" s="390">
        <f t="shared" ca="1" si="36"/>
        <v>3</v>
      </c>
      <c r="C397" s="390">
        <f t="shared" ca="1" si="37"/>
        <v>1</v>
      </c>
      <c r="D397" s="391">
        <f t="shared" ca="1" si="38"/>
        <v>2</v>
      </c>
      <c r="E397" s="391">
        <f t="shared" ca="1" si="39"/>
        <v>11</v>
      </c>
      <c r="F397" s="125"/>
      <c r="J397" s="130"/>
      <c r="K397" s="132"/>
      <c r="L397" s="413"/>
      <c r="M397" s="413"/>
      <c r="N397" s="414"/>
      <c r="O397" s="415"/>
      <c r="P397" s="133"/>
      <c r="Q397" s="130"/>
      <c r="R397" s="132"/>
      <c r="S397" s="132"/>
      <c r="T397" s="130"/>
    </row>
    <row r="398" spans="1:20" s="131" customFormat="1" ht="14.1" customHeight="1" x14ac:dyDescent="0.25">
      <c r="A398" s="390">
        <f ca="1">IF($H398="UNIDADE CONSTRUTIVA",OFFSET(A398,-1,0)+1,LARGE(A$3:A397,1))</f>
        <v>0</v>
      </c>
      <c r="B398" s="390">
        <f t="shared" ca="1" si="36"/>
        <v>3</v>
      </c>
      <c r="C398" s="390">
        <f t="shared" ca="1" si="37"/>
        <v>1</v>
      </c>
      <c r="D398" s="391">
        <f t="shared" ca="1" si="38"/>
        <v>2</v>
      </c>
      <c r="E398" s="391">
        <f t="shared" ca="1" si="39"/>
        <v>11</v>
      </c>
      <c r="F398" s="125"/>
      <c r="J398" s="130"/>
      <c r="K398" s="132"/>
      <c r="L398" s="413"/>
      <c r="M398" s="413"/>
      <c r="N398" s="414"/>
      <c r="O398" s="415"/>
      <c r="P398" s="133"/>
      <c r="Q398" s="130"/>
      <c r="R398" s="132"/>
      <c r="S398" s="132"/>
      <c r="T398" s="130"/>
    </row>
    <row r="399" spans="1:20" s="131" customFormat="1" ht="14.1" customHeight="1" x14ac:dyDescent="0.25">
      <c r="A399" s="390">
        <f ca="1">IF($H399="UNIDADE CONSTRUTIVA",OFFSET(A399,-1,0)+1,LARGE(A$3:A398,1))</f>
        <v>0</v>
      </c>
      <c r="B399" s="390">
        <f t="shared" ca="1" si="36"/>
        <v>3</v>
      </c>
      <c r="C399" s="390">
        <f t="shared" ca="1" si="37"/>
        <v>1</v>
      </c>
      <c r="D399" s="391">
        <f t="shared" ca="1" si="38"/>
        <v>2</v>
      </c>
      <c r="E399" s="391">
        <f t="shared" ca="1" si="39"/>
        <v>11</v>
      </c>
      <c r="F399" s="125"/>
      <c r="J399" s="130"/>
      <c r="K399" s="132"/>
      <c r="L399" s="413"/>
      <c r="M399" s="413"/>
      <c r="N399" s="414"/>
      <c r="O399" s="415"/>
      <c r="P399" s="133"/>
      <c r="Q399" s="130"/>
      <c r="R399" s="132"/>
      <c r="S399" s="132"/>
      <c r="T399" s="130"/>
    </row>
    <row r="400" spans="1:20" s="131" customFormat="1" ht="14.1" customHeight="1" x14ac:dyDescent="0.25">
      <c r="A400" s="390">
        <f ca="1">IF($H400="UNIDADE CONSTRUTIVA",OFFSET(A400,-1,0)+1,LARGE(A$3:A399,1))</f>
        <v>0</v>
      </c>
      <c r="B400" s="390">
        <f t="shared" ca="1" si="36"/>
        <v>3</v>
      </c>
      <c r="C400" s="390">
        <f t="shared" ca="1" si="37"/>
        <v>1</v>
      </c>
      <c r="D400" s="391">
        <f t="shared" ca="1" si="38"/>
        <v>2</v>
      </c>
      <c r="E400" s="391">
        <f t="shared" ca="1" si="39"/>
        <v>11</v>
      </c>
      <c r="F400" s="125"/>
      <c r="J400" s="130"/>
      <c r="K400" s="132"/>
      <c r="L400" s="413"/>
      <c r="M400" s="413"/>
      <c r="N400" s="414"/>
      <c r="O400" s="415"/>
      <c r="P400" s="133"/>
      <c r="Q400" s="130"/>
      <c r="R400" s="132"/>
      <c r="S400" s="132"/>
      <c r="T400" s="130"/>
    </row>
    <row r="401" spans="1:20" s="131" customFormat="1" ht="14.1" customHeight="1" x14ac:dyDescent="0.25">
      <c r="A401" s="390">
        <f ca="1">IF($H401="UNIDADE CONSTRUTIVA",OFFSET(A401,-1,0)+1,LARGE(A$3:A400,1))</f>
        <v>0</v>
      </c>
      <c r="B401" s="390">
        <f t="shared" ca="1" si="36"/>
        <v>3</v>
      </c>
      <c r="C401" s="390">
        <f t="shared" ca="1" si="37"/>
        <v>1</v>
      </c>
      <c r="D401" s="391">
        <f t="shared" ca="1" si="38"/>
        <v>2</v>
      </c>
      <c r="E401" s="391">
        <f t="shared" ca="1" si="39"/>
        <v>11</v>
      </c>
      <c r="F401" s="125"/>
      <c r="J401" s="130"/>
      <c r="K401" s="132"/>
      <c r="L401" s="413"/>
      <c r="M401" s="413"/>
      <c r="N401" s="414"/>
      <c r="O401" s="415"/>
      <c r="P401" s="133"/>
      <c r="Q401" s="130"/>
      <c r="R401" s="132"/>
      <c r="S401" s="132"/>
      <c r="T401" s="130"/>
    </row>
    <row r="402" spans="1:20" s="131" customFormat="1" ht="14.1" customHeight="1" x14ac:dyDescent="0.25">
      <c r="A402" s="390">
        <f ca="1">IF($H402="UNIDADE CONSTRUTIVA",OFFSET(A402,-1,0)+1,LARGE(A$3:A401,1))</f>
        <v>0</v>
      </c>
      <c r="B402" s="390">
        <f t="shared" ca="1" si="36"/>
        <v>3</v>
      </c>
      <c r="C402" s="390">
        <f t="shared" ca="1" si="37"/>
        <v>1</v>
      </c>
      <c r="D402" s="391">
        <f t="shared" ca="1" si="38"/>
        <v>2</v>
      </c>
      <c r="E402" s="391">
        <f t="shared" ca="1" si="39"/>
        <v>11</v>
      </c>
      <c r="F402" s="125"/>
      <c r="J402" s="130"/>
      <c r="K402" s="132"/>
      <c r="L402" s="413"/>
      <c r="M402" s="413"/>
      <c r="N402" s="414"/>
      <c r="O402" s="415"/>
      <c r="P402" s="133"/>
      <c r="Q402" s="130"/>
      <c r="R402" s="132"/>
      <c r="S402" s="132"/>
      <c r="T402" s="130"/>
    </row>
    <row r="403" spans="1:20" s="131" customFormat="1" ht="14.1" customHeight="1" x14ac:dyDescent="0.25">
      <c r="A403" s="390">
        <f ca="1">IF($H403="UNIDADE CONSTRUTIVA",OFFSET(A403,-1,0)+1,LARGE(A$3:A402,1))</f>
        <v>0</v>
      </c>
      <c r="B403" s="390">
        <f t="shared" ca="1" si="36"/>
        <v>3</v>
      </c>
      <c r="C403" s="390">
        <f t="shared" ca="1" si="37"/>
        <v>1</v>
      </c>
      <c r="D403" s="391">
        <f t="shared" ca="1" si="38"/>
        <v>2</v>
      </c>
      <c r="E403" s="391">
        <f t="shared" ca="1" si="39"/>
        <v>11</v>
      </c>
      <c r="F403" s="125"/>
      <c r="J403" s="130"/>
      <c r="K403" s="132"/>
      <c r="L403" s="413"/>
      <c r="M403" s="413"/>
      <c r="N403" s="414"/>
      <c r="O403" s="415"/>
      <c r="P403" s="133"/>
      <c r="Q403" s="130"/>
      <c r="R403" s="132"/>
      <c r="S403" s="132"/>
      <c r="T403" s="130"/>
    </row>
    <row r="404" spans="1:20" s="131" customFormat="1" ht="14.1" customHeight="1" x14ac:dyDescent="0.25">
      <c r="A404" s="390">
        <f ca="1">IF($H404="UNIDADE CONSTRUTIVA",OFFSET(A404,-1,0)+1,LARGE(A$3:A403,1))</f>
        <v>0</v>
      </c>
      <c r="B404" s="390">
        <f t="shared" ca="1" si="36"/>
        <v>3</v>
      </c>
      <c r="C404" s="390">
        <f t="shared" ca="1" si="37"/>
        <v>1</v>
      </c>
      <c r="D404" s="391">
        <f t="shared" ca="1" si="38"/>
        <v>2</v>
      </c>
      <c r="E404" s="391">
        <f t="shared" ca="1" si="39"/>
        <v>11</v>
      </c>
      <c r="F404" s="125"/>
      <c r="J404" s="130"/>
      <c r="K404" s="132"/>
      <c r="L404" s="413"/>
      <c r="M404" s="413"/>
      <c r="N404" s="414"/>
      <c r="O404" s="415"/>
      <c r="P404" s="133"/>
      <c r="Q404" s="130"/>
      <c r="R404" s="132"/>
      <c r="S404" s="132"/>
      <c r="T404" s="130"/>
    </row>
    <row r="405" spans="1:20" s="131" customFormat="1" ht="14.1" customHeight="1" x14ac:dyDescent="0.25">
      <c r="A405" s="390">
        <f ca="1">IF($H405="UNIDADE CONSTRUTIVA",OFFSET(A405,-1,0)+1,LARGE(A$3:A404,1))</f>
        <v>0</v>
      </c>
      <c r="B405" s="390">
        <f t="shared" ca="1" si="36"/>
        <v>3</v>
      </c>
      <c r="C405" s="390">
        <f t="shared" ca="1" si="37"/>
        <v>1</v>
      </c>
      <c r="D405" s="391">
        <f t="shared" ca="1" si="38"/>
        <v>2</v>
      </c>
      <c r="E405" s="391">
        <f t="shared" ca="1" si="39"/>
        <v>11</v>
      </c>
      <c r="F405" s="125"/>
      <c r="J405" s="130"/>
      <c r="K405" s="132"/>
      <c r="L405" s="413"/>
      <c r="M405" s="413"/>
      <c r="N405" s="414"/>
      <c r="O405" s="415"/>
      <c r="P405" s="133"/>
      <c r="Q405" s="130"/>
      <c r="R405" s="132"/>
      <c r="S405" s="132"/>
      <c r="T405" s="130"/>
    </row>
    <row r="406" spans="1:20" s="131" customFormat="1" ht="14.1" customHeight="1" x14ac:dyDescent="0.25">
      <c r="A406" s="390">
        <f ca="1">IF($H406="UNIDADE CONSTRUTIVA",OFFSET(A406,-1,0)+1,LARGE(A$3:A405,1))</f>
        <v>0</v>
      </c>
      <c r="B406" s="390">
        <f t="shared" ca="1" si="36"/>
        <v>3</v>
      </c>
      <c r="C406" s="390">
        <f t="shared" ca="1" si="37"/>
        <v>1</v>
      </c>
      <c r="D406" s="391">
        <f t="shared" ca="1" si="38"/>
        <v>2</v>
      </c>
      <c r="E406" s="391">
        <f t="shared" ca="1" si="39"/>
        <v>11</v>
      </c>
      <c r="F406" s="125"/>
      <c r="J406" s="130"/>
      <c r="K406" s="132"/>
      <c r="L406" s="413"/>
      <c r="M406" s="413"/>
      <c r="N406" s="414"/>
      <c r="O406" s="415"/>
      <c r="P406" s="133"/>
      <c r="Q406" s="130"/>
      <c r="R406" s="132"/>
      <c r="S406" s="132"/>
      <c r="T406" s="130"/>
    </row>
    <row r="407" spans="1:20" s="131" customFormat="1" ht="14.1" customHeight="1" x14ac:dyDescent="0.25">
      <c r="A407" s="390">
        <f ca="1">IF($H407="UNIDADE CONSTRUTIVA",OFFSET(A407,-1,0)+1,LARGE(A$3:A406,1))</f>
        <v>0</v>
      </c>
      <c r="B407" s="390">
        <f t="shared" ca="1" si="36"/>
        <v>3</v>
      </c>
      <c r="C407" s="390">
        <f t="shared" ca="1" si="37"/>
        <v>1</v>
      </c>
      <c r="D407" s="391">
        <f t="shared" ca="1" si="38"/>
        <v>2</v>
      </c>
      <c r="E407" s="391">
        <f t="shared" ca="1" si="39"/>
        <v>11</v>
      </c>
      <c r="F407" s="125"/>
      <c r="J407" s="130"/>
      <c r="K407" s="132"/>
      <c r="L407" s="413"/>
      <c r="M407" s="413"/>
      <c r="N407" s="414"/>
      <c r="O407" s="415"/>
      <c r="P407" s="133"/>
      <c r="Q407" s="130"/>
      <c r="R407" s="132"/>
      <c r="S407" s="132"/>
      <c r="T407" s="130"/>
    </row>
    <row r="408" spans="1:20" s="131" customFormat="1" ht="14.1" customHeight="1" x14ac:dyDescent="0.25">
      <c r="A408" s="390">
        <f ca="1">IF($H408="UNIDADE CONSTRUTIVA",OFFSET(A408,-1,0)+1,LARGE(A$3:A407,1))</f>
        <v>0</v>
      </c>
      <c r="B408" s="390">
        <f t="shared" ca="1" si="36"/>
        <v>3</v>
      </c>
      <c r="C408" s="390">
        <f t="shared" ca="1" si="37"/>
        <v>1</v>
      </c>
      <c r="D408" s="391">
        <f t="shared" ca="1" si="38"/>
        <v>2</v>
      </c>
      <c r="E408" s="391">
        <f t="shared" ca="1" si="39"/>
        <v>11</v>
      </c>
      <c r="F408" s="125"/>
      <c r="J408" s="130"/>
      <c r="K408" s="132"/>
      <c r="L408" s="413"/>
      <c r="M408" s="413"/>
      <c r="N408" s="414"/>
      <c r="O408" s="415"/>
      <c r="P408" s="133"/>
      <c r="Q408" s="130"/>
      <c r="R408" s="132"/>
      <c r="S408" s="132"/>
      <c r="T408" s="130"/>
    </row>
    <row r="409" spans="1:20" s="131" customFormat="1" ht="14.1" customHeight="1" x14ac:dyDescent="0.25">
      <c r="A409" s="390">
        <f ca="1">IF($H409="UNIDADE CONSTRUTIVA",OFFSET(A409,-1,0)+1,LARGE(A$3:A408,1))</f>
        <v>0</v>
      </c>
      <c r="B409" s="390">
        <f t="shared" ca="1" si="36"/>
        <v>3</v>
      </c>
      <c r="C409" s="390">
        <f t="shared" ca="1" si="37"/>
        <v>1</v>
      </c>
      <c r="D409" s="391">
        <f t="shared" ca="1" si="38"/>
        <v>2</v>
      </c>
      <c r="E409" s="391">
        <f t="shared" ca="1" si="39"/>
        <v>11</v>
      </c>
      <c r="F409" s="125"/>
      <c r="J409" s="130"/>
      <c r="K409" s="132"/>
      <c r="L409" s="413"/>
      <c r="M409" s="413"/>
      <c r="N409" s="414"/>
      <c r="O409" s="415"/>
      <c r="P409" s="133"/>
      <c r="Q409" s="130"/>
      <c r="R409" s="132"/>
      <c r="S409" s="132"/>
      <c r="T409" s="130"/>
    </row>
    <row r="410" spans="1:20" s="131" customFormat="1" ht="14.1" customHeight="1" x14ac:dyDescent="0.25">
      <c r="A410" s="390">
        <f ca="1">IF($H410="UNIDADE CONSTRUTIVA",OFFSET(A410,-1,0)+1,LARGE(A$3:A409,1))</f>
        <v>0</v>
      </c>
      <c r="B410" s="390">
        <f t="shared" ca="1" si="36"/>
        <v>3</v>
      </c>
      <c r="C410" s="390">
        <f t="shared" ca="1" si="37"/>
        <v>1</v>
      </c>
      <c r="D410" s="391">
        <f t="shared" ca="1" si="38"/>
        <v>2</v>
      </c>
      <c r="E410" s="391">
        <f t="shared" ca="1" si="39"/>
        <v>11</v>
      </c>
      <c r="F410" s="125"/>
      <c r="J410" s="130"/>
      <c r="K410" s="132"/>
      <c r="L410" s="413"/>
      <c r="M410" s="413"/>
      <c r="N410" s="414"/>
      <c r="O410" s="415"/>
      <c r="P410" s="133"/>
      <c r="Q410" s="130"/>
      <c r="R410" s="132"/>
      <c r="S410" s="132"/>
      <c r="T410" s="130"/>
    </row>
    <row r="411" spans="1:20" s="131" customFormat="1" ht="14.1" customHeight="1" x14ac:dyDescent="0.25">
      <c r="A411" s="390">
        <f ca="1">IF($H411="UNIDADE CONSTRUTIVA",OFFSET(A411,-1,0)+1,LARGE(A$3:A410,1))</f>
        <v>0</v>
      </c>
      <c r="B411" s="390">
        <f t="shared" ca="1" si="36"/>
        <v>3</v>
      </c>
      <c r="C411" s="390">
        <f t="shared" ca="1" si="37"/>
        <v>1</v>
      </c>
      <c r="D411" s="391">
        <f t="shared" ca="1" si="38"/>
        <v>2</v>
      </c>
      <c r="E411" s="391">
        <f t="shared" ca="1" si="39"/>
        <v>11</v>
      </c>
      <c r="F411" s="125"/>
      <c r="J411" s="130"/>
      <c r="K411" s="132"/>
      <c r="L411" s="413"/>
      <c r="M411" s="413"/>
      <c r="N411" s="414"/>
      <c r="O411" s="415"/>
      <c r="P411" s="133"/>
      <c r="Q411" s="130"/>
      <c r="R411" s="132"/>
      <c r="S411" s="132"/>
      <c r="T411" s="130"/>
    </row>
    <row r="412" spans="1:20" s="131" customFormat="1" ht="14.1" customHeight="1" x14ac:dyDescent="0.25">
      <c r="A412" s="390">
        <f ca="1">IF($H412="UNIDADE CONSTRUTIVA",OFFSET(A412,-1,0)+1,LARGE(A$3:A411,1))</f>
        <v>0</v>
      </c>
      <c r="B412" s="390">
        <f t="shared" ca="1" si="36"/>
        <v>3</v>
      </c>
      <c r="C412" s="390">
        <f t="shared" ca="1" si="37"/>
        <v>1</v>
      </c>
      <c r="D412" s="391">
        <f t="shared" ca="1" si="38"/>
        <v>2</v>
      </c>
      <c r="E412" s="391">
        <f t="shared" ca="1" si="39"/>
        <v>11</v>
      </c>
      <c r="F412" s="125"/>
      <c r="J412" s="130"/>
      <c r="K412" s="132"/>
      <c r="L412" s="413"/>
      <c r="M412" s="413"/>
      <c r="N412" s="414"/>
      <c r="O412" s="415"/>
      <c r="P412" s="133"/>
      <c r="Q412" s="130"/>
      <c r="R412" s="132"/>
      <c r="S412" s="132"/>
      <c r="T412" s="130"/>
    </row>
    <row r="413" spans="1:20" s="131" customFormat="1" ht="14.1" customHeight="1" x14ac:dyDescent="0.25">
      <c r="A413" s="390">
        <f ca="1">IF($H413="UNIDADE CONSTRUTIVA",OFFSET(A413,-1,0)+1,LARGE(A$3:A412,1))</f>
        <v>0</v>
      </c>
      <c r="B413" s="390">
        <f t="shared" ca="1" si="36"/>
        <v>3</v>
      </c>
      <c r="C413" s="390">
        <f t="shared" ca="1" si="37"/>
        <v>1</v>
      </c>
      <c r="D413" s="391">
        <f t="shared" ca="1" si="38"/>
        <v>2</v>
      </c>
      <c r="E413" s="391">
        <f t="shared" ca="1" si="39"/>
        <v>11</v>
      </c>
      <c r="F413" s="125"/>
      <c r="J413" s="130"/>
      <c r="K413" s="132"/>
      <c r="L413" s="413"/>
      <c r="M413" s="413"/>
      <c r="N413" s="414"/>
      <c r="O413" s="415"/>
      <c r="P413" s="133"/>
      <c r="Q413" s="130"/>
      <c r="R413" s="132"/>
      <c r="S413" s="132"/>
      <c r="T413" s="130"/>
    </row>
    <row r="414" spans="1:20" s="131" customFormat="1" ht="14.1" customHeight="1" x14ac:dyDescent="0.25">
      <c r="A414" s="390">
        <f ca="1">IF($H414="UNIDADE CONSTRUTIVA",OFFSET(A414,-1,0)+1,LARGE(A$3:A413,1))</f>
        <v>0</v>
      </c>
      <c r="B414" s="390">
        <f t="shared" ca="1" si="36"/>
        <v>3</v>
      </c>
      <c r="C414" s="390">
        <f t="shared" ca="1" si="37"/>
        <v>1</v>
      </c>
      <c r="D414" s="391">
        <f t="shared" ca="1" si="38"/>
        <v>2</v>
      </c>
      <c r="E414" s="391">
        <f t="shared" ca="1" si="39"/>
        <v>11</v>
      </c>
      <c r="F414" s="125"/>
      <c r="J414" s="130"/>
      <c r="K414" s="132"/>
      <c r="L414" s="413"/>
      <c r="M414" s="413"/>
      <c r="N414" s="414"/>
      <c r="O414" s="415"/>
      <c r="P414" s="133"/>
      <c r="Q414" s="130"/>
      <c r="R414" s="132"/>
      <c r="S414" s="132"/>
      <c r="T414" s="130"/>
    </row>
    <row r="415" spans="1:20" s="131" customFormat="1" ht="14.1" customHeight="1" x14ac:dyDescent="0.25">
      <c r="A415" s="390">
        <f ca="1">IF($H415="UNIDADE CONSTRUTIVA",OFFSET(A415,-1,0)+1,LARGE(A$3:A414,1))</f>
        <v>0</v>
      </c>
      <c r="B415" s="390">
        <f t="shared" ca="1" si="36"/>
        <v>3</v>
      </c>
      <c r="C415" s="390">
        <f t="shared" ca="1" si="37"/>
        <v>1</v>
      </c>
      <c r="D415" s="391">
        <f t="shared" ca="1" si="38"/>
        <v>2</v>
      </c>
      <c r="E415" s="391">
        <f t="shared" ca="1" si="39"/>
        <v>11</v>
      </c>
      <c r="F415" s="125"/>
      <c r="J415" s="130"/>
      <c r="K415" s="132"/>
      <c r="L415" s="413"/>
      <c r="M415" s="413"/>
      <c r="N415" s="414"/>
      <c r="O415" s="415"/>
      <c r="P415" s="133"/>
      <c r="Q415" s="130"/>
      <c r="R415" s="132"/>
      <c r="S415" s="132"/>
      <c r="T415" s="130"/>
    </row>
    <row r="416" spans="1:20" s="131" customFormat="1" ht="14.1" customHeight="1" x14ac:dyDescent="0.25">
      <c r="A416" s="390">
        <f ca="1">IF($H416="UNIDADE CONSTRUTIVA",OFFSET(A416,-1,0)+1,LARGE(A$3:A415,1))</f>
        <v>0</v>
      </c>
      <c r="B416" s="390">
        <f t="shared" ca="1" si="36"/>
        <v>3</v>
      </c>
      <c r="C416" s="390">
        <f t="shared" ca="1" si="37"/>
        <v>1</v>
      </c>
      <c r="D416" s="391">
        <f t="shared" ca="1" si="38"/>
        <v>2</v>
      </c>
      <c r="E416" s="391">
        <f t="shared" ca="1" si="39"/>
        <v>11</v>
      </c>
      <c r="F416" s="125"/>
      <c r="J416" s="130"/>
      <c r="K416" s="132"/>
      <c r="L416" s="413"/>
      <c r="M416" s="413"/>
      <c r="N416" s="414"/>
      <c r="O416" s="415"/>
      <c r="P416" s="133"/>
      <c r="Q416" s="130"/>
      <c r="R416" s="132"/>
      <c r="S416" s="132"/>
      <c r="T416" s="130"/>
    </row>
    <row r="417" spans="1:20" s="131" customFormat="1" ht="14.1" customHeight="1" x14ac:dyDescent="0.25">
      <c r="A417" s="390">
        <f ca="1">IF($H417="UNIDADE CONSTRUTIVA",OFFSET(A417,-1,0)+1,LARGE(A$3:A416,1))</f>
        <v>0</v>
      </c>
      <c r="B417" s="390">
        <f t="shared" ca="1" si="36"/>
        <v>3</v>
      </c>
      <c r="C417" s="390">
        <f t="shared" ca="1" si="37"/>
        <v>1</v>
      </c>
      <c r="D417" s="391">
        <f t="shared" ca="1" si="38"/>
        <v>2</v>
      </c>
      <c r="E417" s="391">
        <f t="shared" ca="1" si="39"/>
        <v>11</v>
      </c>
      <c r="F417" s="125"/>
      <c r="J417" s="130"/>
      <c r="K417" s="132"/>
      <c r="L417" s="413"/>
      <c r="M417" s="413"/>
      <c r="N417" s="414"/>
      <c r="O417" s="415"/>
      <c r="P417" s="133"/>
      <c r="Q417" s="130"/>
      <c r="R417" s="132"/>
      <c r="S417" s="132"/>
      <c r="T417" s="130"/>
    </row>
    <row r="418" spans="1:20" s="131" customFormat="1" ht="14.1" customHeight="1" x14ac:dyDescent="0.25">
      <c r="A418" s="390">
        <f ca="1">IF($H418="UNIDADE CONSTRUTIVA",OFFSET(A418,-1,0)+1,LARGE(A$3:A417,1))</f>
        <v>0</v>
      </c>
      <c r="B418" s="390">
        <f t="shared" ca="1" si="36"/>
        <v>3</v>
      </c>
      <c r="C418" s="390">
        <f t="shared" ca="1" si="37"/>
        <v>1</v>
      </c>
      <c r="D418" s="391">
        <f t="shared" ca="1" si="38"/>
        <v>2</v>
      </c>
      <c r="E418" s="391">
        <f t="shared" ca="1" si="39"/>
        <v>11</v>
      </c>
      <c r="F418" s="125"/>
      <c r="J418" s="130"/>
      <c r="K418" s="132"/>
      <c r="L418" s="413"/>
      <c r="M418" s="413"/>
      <c r="N418" s="414"/>
      <c r="O418" s="415"/>
      <c r="P418" s="133"/>
      <c r="Q418" s="130"/>
      <c r="R418" s="132"/>
      <c r="S418" s="132"/>
      <c r="T418" s="130"/>
    </row>
    <row r="419" spans="1:20" s="131" customFormat="1" ht="14.1" customHeight="1" x14ac:dyDescent="0.25">
      <c r="A419" s="390">
        <f ca="1">IF($H419="UNIDADE CONSTRUTIVA",OFFSET(A419,-1,0)+1,LARGE(A$3:A418,1))</f>
        <v>0</v>
      </c>
      <c r="B419" s="390">
        <f t="shared" ca="1" si="36"/>
        <v>3</v>
      </c>
      <c r="C419" s="390">
        <f t="shared" ca="1" si="37"/>
        <v>1</v>
      </c>
      <c r="D419" s="391">
        <f t="shared" ca="1" si="38"/>
        <v>2</v>
      </c>
      <c r="E419" s="391">
        <f t="shared" ca="1" si="39"/>
        <v>11</v>
      </c>
      <c r="F419" s="125"/>
      <c r="J419" s="130"/>
      <c r="K419" s="132"/>
      <c r="L419" s="413"/>
      <c r="M419" s="413"/>
      <c r="N419" s="414"/>
      <c r="O419" s="415"/>
      <c r="P419" s="133"/>
      <c r="Q419" s="130"/>
      <c r="R419" s="132"/>
      <c r="S419" s="132"/>
      <c r="T419" s="130"/>
    </row>
    <row r="420" spans="1:20" s="131" customFormat="1" ht="14.1" customHeight="1" x14ac:dyDescent="0.25">
      <c r="A420" s="390">
        <f ca="1">IF($H420="UNIDADE CONSTRUTIVA",OFFSET(A420,-1,0)+1,LARGE(A$3:A419,1))</f>
        <v>0</v>
      </c>
      <c r="B420" s="390">
        <f t="shared" ca="1" si="36"/>
        <v>3</v>
      </c>
      <c r="C420" s="390">
        <f t="shared" ca="1" si="37"/>
        <v>1</v>
      </c>
      <c r="D420" s="391">
        <f t="shared" ca="1" si="38"/>
        <v>2</v>
      </c>
      <c r="E420" s="391">
        <f t="shared" ca="1" si="39"/>
        <v>11</v>
      </c>
      <c r="F420" s="125"/>
      <c r="J420" s="130"/>
      <c r="K420" s="132"/>
      <c r="L420" s="413"/>
      <c r="M420" s="413"/>
      <c r="N420" s="414"/>
      <c r="O420" s="415"/>
      <c r="P420" s="133"/>
      <c r="Q420" s="130"/>
      <c r="R420" s="132"/>
      <c r="S420" s="132"/>
      <c r="T420" s="130"/>
    </row>
    <row r="421" spans="1:20" s="131" customFormat="1" ht="14.1" customHeight="1" x14ac:dyDescent="0.25">
      <c r="A421" s="390">
        <f ca="1">IF($H421="UNIDADE CONSTRUTIVA",OFFSET(A421,-1,0)+1,LARGE(A$3:A420,1))</f>
        <v>0</v>
      </c>
      <c r="B421" s="390">
        <f t="shared" ca="1" si="36"/>
        <v>3</v>
      </c>
      <c r="C421" s="390">
        <f t="shared" ca="1" si="37"/>
        <v>1</v>
      </c>
      <c r="D421" s="391">
        <f t="shared" ca="1" si="38"/>
        <v>2</v>
      </c>
      <c r="E421" s="391">
        <f t="shared" ca="1" si="39"/>
        <v>11</v>
      </c>
      <c r="F421" s="125"/>
      <c r="J421" s="130"/>
      <c r="K421" s="132"/>
      <c r="L421" s="413"/>
      <c r="M421" s="413"/>
      <c r="N421" s="414"/>
      <c r="O421" s="415"/>
      <c r="P421" s="133"/>
      <c r="Q421" s="130"/>
      <c r="R421" s="132"/>
      <c r="S421" s="132"/>
      <c r="T421" s="130"/>
    </row>
    <row r="422" spans="1:20" s="131" customFormat="1" ht="14.1" customHeight="1" x14ac:dyDescent="0.25">
      <c r="A422" s="390">
        <f ca="1">IF($H422="UNIDADE CONSTRUTIVA",OFFSET(A422,-1,0)+1,LARGE(A$3:A421,1))</f>
        <v>0</v>
      </c>
      <c r="B422" s="390">
        <f t="shared" ca="1" si="36"/>
        <v>3</v>
      </c>
      <c r="C422" s="390">
        <f t="shared" ca="1" si="37"/>
        <v>1</v>
      </c>
      <c r="D422" s="391">
        <f t="shared" ca="1" si="38"/>
        <v>2</v>
      </c>
      <c r="E422" s="391">
        <f t="shared" ca="1" si="39"/>
        <v>11</v>
      </c>
      <c r="F422" s="125"/>
      <c r="J422" s="130"/>
      <c r="K422" s="132"/>
      <c r="L422" s="413"/>
      <c r="M422" s="413"/>
      <c r="N422" s="414"/>
      <c r="O422" s="415"/>
      <c r="P422" s="133"/>
      <c r="Q422" s="130"/>
      <c r="R422" s="132"/>
      <c r="S422" s="132"/>
      <c r="T422" s="130"/>
    </row>
    <row r="423" spans="1:20" s="131" customFormat="1" ht="14.1" customHeight="1" x14ac:dyDescent="0.25">
      <c r="A423" s="390">
        <f ca="1">IF($H423="UNIDADE CONSTRUTIVA",OFFSET(A423,-1,0)+1,LARGE(A$3:A422,1))</f>
        <v>0</v>
      </c>
      <c r="B423" s="390">
        <f t="shared" ca="1" si="36"/>
        <v>3</v>
      </c>
      <c r="C423" s="390">
        <f t="shared" ca="1" si="37"/>
        <v>1</v>
      </c>
      <c r="D423" s="391">
        <f t="shared" ca="1" si="38"/>
        <v>2</v>
      </c>
      <c r="E423" s="391">
        <f t="shared" ca="1" si="39"/>
        <v>11</v>
      </c>
      <c r="F423" s="125"/>
      <c r="J423" s="130"/>
      <c r="K423" s="132"/>
      <c r="L423" s="413"/>
      <c r="M423" s="413"/>
      <c r="N423" s="414"/>
      <c r="O423" s="415"/>
      <c r="P423" s="133"/>
      <c r="Q423" s="130"/>
      <c r="R423" s="132"/>
      <c r="S423" s="132"/>
      <c r="T423" s="130"/>
    </row>
    <row r="424" spans="1:20" s="131" customFormat="1" ht="14.1" customHeight="1" x14ac:dyDescent="0.25">
      <c r="A424" s="390">
        <f ca="1">IF($H424="UNIDADE CONSTRUTIVA",OFFSET(A424,-1,0)+1,LARGE(A$3:A423,1))</f>
        <v>0</v>
      </c>
      <c r="B424" s="390">
        <f t="shared" ca="1" si="36"/>
        <v>3</v>
      </c>
      <c r="C424" s="390">
        <f t="shared" ca="1" si="37"/>
        <v>1</v>
      </c>
      <c r="D424" s="391">
        <f t="shared" ca="1" si="38"/>
        <v>2</v>
      </c>
      <c r="E424" s="391">
        <f t="shared" ca="1" si="39"/>
        <v>11</v>
      </c>
      <c r="F424" s="125"/>
      <c r="J424" s="130"/>
      <c r="K424" s="132"/>
      <c r="L424" s="413"/>
      <c r="M424" s="413"/>
      <c r="N424" s="414"/>
      <c r="O424" s="415"/>
      <c r="P424" s="133"/>
      <c r="Q424" s="130"/>
      <c r="R424" s="132"/>
      <c r="S424" s="132"/>
      <c r="T424" s="130"/>
    </row>
    <row r="425" spans="1:20" s="131" customFormat="1" ht="14.1" customHeight="1" x14ac:dyDescent="0.25">
      <c r="A425" s="390">
        <f ca="1">IF($H425="UNIDADE CONSTRUTIVA",OFFSET(A425,-1,0)+1,LARGE(A$3:A424,1))</f>
        <v>0</v>
      </c>
      <c r="B425" s="390">
        <f t="shared" ca="1" si="36"/>
        <v>3</v>
      </c>
      <c r="C425" s="390">
        <f t="shared" ca="1" si="37"/>
        <v>1</v>
      </c>
      <c r="D425" s="391">
        <f t="shared" ca="1" si="38"/>
        <v>2</v>
      </c>
      <c r="E425" s="391">
        <f t="shared" ca="1" si="39"/>
        <v>11</v>
      </c>
      <c r="F425" s="125"/>
      <c r="J425" s="130"/>
      <c r="K425" s="132"/>
      <c r="L425" s="413"/>
      <c r="M425" s="413"/>
      <c r="N425" s="414"/>
      <c r="O425" s="415"/>
      <c r="P425" s="133"/>
      <c r="Q425" s="130"/>
      <c r="R425" s="132"/>
      <c r="S425" s="132"/>
      <c r="T425" s="130"/>
    </row>
    <row r="426" spans="1:20" s="131" customFormat="1" ht="14.1" customHeight="1" x14ac:dyDescent="0.25">
      <c r="A426" s="390">
        <f ca="1">IF($H426="UNIDADE CONSTRUTIVA",OFFSET(A426,-1,0)+1,LARGE(A$3:A425,1))</f>
        <v>0</v>
      </c>
      <c r="B426" s="390">
        <f t="shared" ca="1" si="36"/>
        <v>3</v>
      </c>
      <c r="C426" s="390">
        <f t="shared" ca="1" si="37"/>
        <v>1</v>
      </c>
      <c r="D426" s="391">
        <f t="shared" ca="1" si="38"/>
        <v>2</v>
      </c>
      <c r="E426" s="391">
        <f t="shared" ca="1" si="39"/>
        <v>11</v>
      </c>
      <c r="F426" s="125"/>
      <c r="J426" s="130"/>
      <c r="K426" s="132"/>
      <c r="L426" s="413"/>
      <c r="M426" s="413"/>
      <c r="N426" s="414"/>
      <c r="O426" s="415"/>
      <c r="P426" s="133"/>
      <c r="Q426" s="130"/>
      <c r="R426" s="132"/>
      <c r="S426" s="132"/>
      <c r="T426" s="130"/>
    </row>
    <row r="427" spans="1:20" s="131" customFormat="1" ht="14.1" customHeight="1" x14ac:dyDescent="0.25">
      <c r="A427" s="390">
        <f ca="1">IF($H427="UNIDADE CONSTRUTIVA",OFFSET(A427,-1,0)+1,LARGE(A$3:A426,1))</f>
        <v>0</v>
      </c>
      <c r="B427" s="390">
        <f t="shared" ca="1" si="36"/>
        <v>3</v>
      </c>
      <c r="C427" s="390">
        <f t="shared" ca="1" si="37"/>
        <v>1</v>
      </c>
      <c r="D427" s="391">
        <f t="shared" ca="1" si="38"/>
        <v>2</v>
      </c>
      <c r="E427" s="391">
        <f t="shared" ca="1" si="39"/>
        <v>11</v>
      </c>
      <c r="F427" s="125"/>
      <c r="J427" s="130"/>
      <c r="K427" s="132"/>
      <c r="L427" s="413"/>
      <c r="M427" s="413"/>
      <c r="N427" s="414"/>
      <c r="O427" s="415"/>
      <c r="P427" s="133"/>
      <c r="Q427" s="130"/>
      <c r="R427" s="132"/>
      <c r="S427" s="132"/>
      <c r="T427" s="130"/>
    </row>
    <row r="428" spans="1:20" s="131" customFormat="1" ht="14.1" customHeight="1" x14ac:dyDescent="0.25">
      <c r="A428" s="390">
        <f ca="1">IF($H428="UNIDADE CONSTRUTIVA",OFFSET(A428,-1,0)+1,LARGE(A$3:A427,1))</f>
        <v>0</v>
      </c>
      <c r="B428" s="390">
        <f t="shared" ca="1" si="36"/>
        <v>3</v>
      </c>
      <c r="C428" s="390">
        <f t="shared" ca="1" si="37"/>
        <v>1</v>
      </c>
      <c r="D428" s="391">
        <f t="shared" ca="1" si="38"/>
        <v>2</v>
      </c>
      <c r="E428" s="391">
        <f t="shared" ca="1" si="39"/>
        <v>11</v>
      </c>
      <c r="F428" s="125"/>
      <c r="J428" s="130"/>
      <c r="K428" s="132"/>
      <c r="L428" s="413"/>
      <c r="M428" s="413"/>
      <c r="N428" s="414"/>
      <c r="O428" s="415"/>
      <c r="P428" s="133"/>
      <c r="Q428" s="130"/>
      <c r="R428" s="132"/>
      <c r="S428" s="132"/>
      <c r="T428" s="130"/>
    </row>
    <row r="429" spans="1:20" s="131" customFormat="1" ht="14.1" customHeight="1" x14ac:dyDescent="0.25">
      <c r="A429" s="390">
        <f ca="1">IF($H429="UNIDADE CONSTRUTIVA",OFFSET(A429,-1,0)+1,LARGE(A$3:A428,1))</f>
        <v>0</v>
      </c>
      <c r="B429" s="390">
        <f t="shared" ca="1" si="36"/>
        <v>3</v>
      </c>
      <c r="C429" s="390">
        <f t="shared" ca="1" si="37"/>
        <v>1</v>
      </c>
      <c r="D429" s="391">
        <f t="shared" ca="1" si="38"/>
        <v>2</v>
      </c>
      <c r="E429" s="391">
        <f t="shared" ca="1" si="39"/>
        <v>11</v>
      </c>
      <c r="F429" s="125"/>
      <c r="J429" s="130"/>
      <c r="K429" s="132"/>
      <c r="L429" s="413"/>
      <c r="M429" s="413"/>
      <c r="N429" s="414"/>
      <c r="O429" s="415"/>
      <c r="P429" s="133"/>
      <c r="Q429" s="130"/>
      <c r="R429" s="132"/>
      <c r="S429" s="132"/>
      <c r="T429" s="130"/>
    </row>
    <row r="430" spans="1:20" s="131" customFormat="1" ht="14.1" customHeight="1" x14ac:dyDescent="0.25">
      <c r="A430" s="390">
        <f ca="1">IF($H430="UNIDADE CONSTRUTIVA",OFFSET(A430,-1,0)+1,LARGE(A$3:A429,1))</f>
        <v>0</v>
      </c>
      <c r="B430" s="390">
        <f t="shared" ca="1" si="36"/>
        <v>3</v>
      </c>
      <c r="C430" s="390">
        <f t="shared" ca="1" si="37"/>
        <v>1</v>
      </c>
      <c r="D430" s="391">
        <f t="shared" ca="1" si="38"/>
        <v>2</v>
      </c>
      <c r="E430" s="391">
        <f t="shared" ca="1" si="39"/>
        <v>11</v>
      </c>
      <c r="F430" s="125"/>
      <c r="J430" s="130"/>
      <c r="K430" s="132"/>
      <c r="L430" s="413"/>
      <c r="M430" s="413"/>
      <c r="N430" s="414"/>
      <c r="O430" s="415"/>
      <c r="P430" s="133"/>
      <c r="Q430" s="130"/>
      <c r="R430" s="132"/>
      <c r="S430" s="132"/>
      <c r="T430" s="130"/>
    </row>
    <row r="431" spans="1:20" s="131" customFormat="1" ht="14.1" customHeight="1" x14ac:dyDescent="0.25">
      <c r="A431" s="390">
        <f ca="1">IF($H431="UNIDADE CONSTRUTIVA",OFFSET(A431,-1,0)+1,LARGE(A$3:A430,1))</f>
        <v>0</v>
      </c>
      <c r="B431" s="390">
        <f t="shared" ca="1" si="36"/>
        <v>3</v>
      </c>
      <c r="C431" s="390">
        <f t="shared" ca="1" si="37"/>
        <v>1</v>
      </c>
      <c r="D431" s="391">
        <f t="shared" ca="1" si="38"/>
        <v>2</v>
      </c>
      <c r="E431" s="391">
        <f t="shared" ca="1" si="39"/>
        <v>11</v>
      </c>
      <c r="F431" s="125"/>
      <c r="J431" s="130"/>
      <c r="K431" s="132"/>
      <c r="L431" s="413"/>
      <c r="M431" s="413"/>
      <c r="N431" s="414"/>
      <c r="O431" s="415"/>
      <c r="P431" s="133"/>
      <c r="Q431" s="130"/>
      <c r="R431" s="132"/>
      <c r="S431" s="132"/>
      <c r="T431" s="130"/>
    </row>
    <row r="432" spans="1:20" s="131" customFormat="1" ht="14.1" customHeight="1" x14ac:dyDescent="0.25">
      <c r="A432" s="390">
        <f ca="1">IF($H432="UNIDADE CONSTRUTIVA",OFFSET(A432,-1,0)+1,LARGE(A$3:A431,1))</f>
        <v>0</v>
      </c>
      <c r="B432" s="390">
        <f t="shared" ca="1" si="36"/>
        <v>3</v>
      </c>
      <c r="C432" s="390">
        <f t="shared" ca="1" si="37"/>
        <v>1</v>
      </c>
      <c r="D432" s="391">
        <f t="shared" ca="1" si="38"/>
        <v>2</v>
      </c>
      <c r="E432" s="391">
        <f t="shared" ca="1" si="39"/>
        <v>11</v>
      </c>
      <c r="F432" s="125"/>
      <c r="J432" s="130"/>
      <c r="K432" s="132"/>
      <c r="L432" s="413"/>
      <c r="M432" s="413"/>
      <c r="N432" s="414"/>
      <c r="O432" s="415"/>
      <c r="P432" s="133"/>
      <c r="Q432" s="130"/>
      <c r="R432" s="132"/>
      <c r="S432" s="132"/>
      <c r="T432" s="130"/>
    </row>
    <row r="433" spans="1:20" s="131" customFormat="1" ht="14.1" customHeight="1" x14ac:dyDescent="0.25">
      <c r="A433" s="390">
        <f ca="1">IF($H433="UNIDADE CONSTRUTIVA",OFFSET(A433,-1,0)+1,LARGE(A$3:A432,1))</f>
        <v>0</v>
      </c>
      <c r="B433" s="390">
        <f t="shared" ca="1" si="36"/>
        <v>3</v>
      </c>
      <c r="C433" s="390">
        <f t="shared" ca="1" si="37"/>
        <v>1</v>
      </c>
      <c r="D433" s="391">
        <f t="shared" ca="1" si="38"/>
        <v>2</v>
      </c>
      <c r="E433" s="391">
        <f t="shared" ca="1" si="39"/>
        <v>11</v>
      </c>
      <c r="F433" s="125"/>
      <c r="J433" s="130"/>
      <c r="K433" s="132"/>
      <c r="L433" s="413"/>
      <c r="M433" s="413"/>
      <c r="N433" s="414"/>
      <c r="O433" s="415"/>
      <c r="P433" s="133"/>
      <c r="Q433" s="130"/>
      <c r="R433" s="132"/>
      <c r="S433" s="132"/>
      <c r="T433" s="130"/>
    </row>
    <row r="434" spans="1:20" s="131" customFormat="1" ht="14.1" customHeight="1" x14ac:dyDescent="0.25">
      <c r="A434" s="390">
        <f ca="1">IF($H434="UNIDADE CONSTRUTIVA",OFFSET(A434,-1,0)+1,LARGE(A$3:A433,1))</f>
        <v>0</v>
      </c>
      <c r="B434" s="390">
        <f t="shared" ca="1" si="36"/>
        <v>3</v>
      </c>
      <c r="C434" s="390">
        <f t="shared" ca="1" si="37"/>
        <v>1</v>
      </c>
      <c r="D434" s="391">
        <f t="shared" ca="1" si="38"/>
        <v>2</v>
      </c>
      <c r="E434" s="391">
        <f t="shared" ca="1" si="39"/>
        <v>11</v>
      </c>
      <c r="F434" s="125"/>
      <c r="J434" s="130"/>
      <c r="K434" s="132"/>
      <c r="L434" s="413"/>
      <c r="M434" s="413"/>
      <c r="N434" s="414"/>
      <c r="O434" s="415"/>
      <c r="P434" s="133"/>
      <c r="Q434" s="130"/>
      <c r="R434" s="132"/>
      <c r="S434" s="132"/>
      <c r="T434" s="130"/>
    </row>
    <row r="435" spans="1:20" s="131" customFormat="1" ht="14.1" customHeight="1" x14ac:dyDescent="0.25">
      <c r="A435" s="390">
        <f ca="1">IF($H435="UNIDADE CONSTRUTIVA",OFFSET(A435,-1,0)+1,LARGE(A$3:A434,1))</f>
        <v>0</v>
      </c>
      <c r="B435" s="390">
        <f t="shared" ca="1" si="36"/>
        <v>3</v>
      </c>
      <c r="C435" s="390">
        <f t="shared" ca="1" si="37"/>
        <v>1</v>
      </c>
      <c r="D435" s="391">
        <f t="shared" ca="1" si="38"/>
        <v>2</v>
      </c>
      <c r="E435" s="391">
        <f t="shared" ca="1" si="39"/>
        <v>11</v>
      </c>
      <c r="F435" s="125"/>
      <c r="J435" s="130"/>
      <c r="K435" s="132"/>
      <c r="L435" s="413"/>
      <c r="M435" s="413"/>
      <c r="N435" s="414"/>
      <c r="O435" s="415"/>
      <c r="P435" s="133"/>
      <c r="Q435" s="130"/>
      <c r="R435" s="132"/>
      <c r="S435" s="132"/>
      <c r="T435" s="130"/>
    </row>
    <row r="436" spans="1:20" s="131" customFormat="1" ht="14.1" customHeight="1" x14ac:dyDescent="0.25">
      <c r="A436" s="390">
        <f ca="1">IF($H436="UNIDADE CONSTRUTIVA",OFFSET(A436,-1,0)+1,LARGE(A$3:A435,1))</f>
        <v>0</v>
      </c>
      <c r="B436" s="390">
        <f t="shared" ca="1" si="36"/>
        <v>3</v>
      </c>
      <c r="C436" s="390">
        <f t="shared" ca="1" si="37"/>
        <v>1</v>
      </c>
      <c r="D436" s="391">
        <f t="shared" ca="1" si="38"/>
        <v>2</v>
      </c>
      <c r="E436" s="391">
        <f t="shared" ca="1" si="39"/>
        <v>11</v>
      </c>
      <c r="F436" s="125"/>
      <c r="J436" s="130"/>
      <c r="K436" s="132"/>
      <c r="L436" s="413"/>
      <c r="M436" s="413"/>
      <c r="N436" s="414"/>
      <c r="O436" s="415"/>
      <c r="P436" s="133"/>
      <c r="Q436" s="130"/>
      <c r="R436" s="132"/>
      <c r="S436" s="132"/>
      <c r="T436" s="130"/>
    </row>
    <row r="437" spans="1:20" s="131" customFormat="1" ht="14.1" customHeight="1" x14ac:dyDescent="0.25">
      <c r="A437" s="390">
        <f ca="1">IF($H437="UNIDADE CONSTRUTIVA",OFFSET(A437,-1,0)+1,LARGE(A$3:A436,1))</f>
        <v>0</v>
      </c>
      <c r="B437" s="390">
        <f t="shared" ca="1" si="36"/>
        <v>3</v>
      </c>
      <c r="C437" s="390">
        <f t="shared" ca="1" si="37"/>
        <v>1</v>
      </c>
      <c r="D437" s="391">
        <f t="shared" ca="1" si="38"/>
        <v>2</v>
      </c>
      <c r="E437" s="391">
        <f t="shared" ca="1" si="39"/>
        <v>11</v>
      </c>
      <c r="F437" s="125"/>
      <c r="J437" s="130"/>
      <c r="K437" s="132"/>
      <c r="L437" s="413"/>
      <c r="M437" s="413"/>
      <c r="N437" s="414"/>
      <c r="O437" s="415"/>
      <c r="P437" s="133"/>
      <c r="Q437" s="130"/>
      <c r="R437" s="132"/>
      <c r="S437" s="132"/>
      <c r="T437" s="130"/>
    </row>
    <row r="438" spans="1:20" s="131" customFormat="1" ht="14.1" customHeight="1" x14ac:dyDescent="0.25">
      <c r="A438" s="390">
        <f ca="1">IF($H438="UNIDADE CONSTRUTIVA",OFFSET(A438,-1,0)+1,LARGE(A$3:A437,1))</f>
        <v>0</v>
      </c>
      <c r="B438" s="390">
        <f t="shared" ca="1" si="36"/>
        <v>3</v>
      </c>
      <c r="C438" s="390">
        <f t="shared" ca="1" si="37"/>
        <v>1</v>
      </c>
      <c r="D438" s="391">
        <f t="shared" ca="1" si="38"/>
        <v>2</v>
      </c>
      <c r="E438" s="391">
        <f t="shared" ca="1" si="39"/>
        <v>11</v>
      </c>
      <c r="F438" s="125"/>
      <c r="J438" s="130"/>
      <c r="K438" s="132"/>
      <c r="L438" s="413"/>
      <c r="M438" s="413"/>
      <c r="N438" s="414"/>
      <c r="O438" s="415"/>
      <c r="P438" s="133"/>
      <c r="Q438" s="130"/>
      <c r="R438" s="132"/>
      <c r="S438" s="132"/>
      <c r="T438" s="130"/>
    </row>
    <row r="439" spans="1:20" s="131" customFormat="1" ht="14.1" customHeight="1" x14ac:dyDescent="0.25">
      <c r="A439" s="390">
        <f ca="1">IF($H439="UNIDADE CONSTRUTIVA",OFFSET(A439,-1,0)+1,LARGE(A$3:A438,1))</f>
        <v>0</v>
      </c>
      <c r="B439" s="390">
        <f t="shared" ca="1" si="36"/>
        <v>3</v>
      </c>
      <c r="C439" s="390">
        <f t="shared" ca="1" si="37"/>
        <v>1</v>
      </c>
      <c r="D439" s="391">
        <f t="shared" ca="1" si="38"/>
        <v>2</v>
      </c>
      <c r="E439" s="391">
        <f t="shared" ca="1" si="39"/>
        <v>11</v>
      </c>
      <c r="F439" s="125"/>
      <c r="J439" s="130"/>
      <c r="K439" s="132"/>
      <c r="L439" s="413"/>
      <c r="M439" s="413"/>
      <c r="N439" s="414"/>
      <c r="O439" s="415"/>
      <c r="P439" s="133"/>
      <c r="Q439" s="130"/>
      <c r="R439" s="132"/>
      <c r="S439" s="132"/>
      <c r="T439" s="130"/>
    </row>
    <row r="440" spans="1:20" s="131" customFormat="1" ht="14.1" customHeight="1" x14ac:dyDescent="0.25">
      <c r="A440" s="390">
        <f ca="1">IF($H440="UNIDADE CONSTRUTIVA",OFFSET(A440,-1,0)+1,LARGE(A$3:A439,1))</f>
        <v>0</v>
      </c>
      <c r="B440" s="390">
        <f t="shared" ca="1" si="36"/>
        <v>3</v>
      </c>
      <c r="C440" s="390">
        <f t="shared" ca="1" si="37"/>
        <v>1</v>
      </c>
      <c r="D440" s="391">
        <f t="shared" ca="1" si="38"/>
        <v>2</v>
      </c>
      <c r="E440" s="391">
        <f t="shared" ca="1" si="39"/>
        <v>11</v>
      </c>
      <c r="F440" s="125"/>
      <c r="J440" s="130"/>
      <c r="K440" s="132"/>
      <c r="L440" s="413"/>
      <c r="M440" s="413"/>
      <c r="N440" s="414"/>
      <c r="O440" s="415"/>
      <c r="P440" s="133"/>
      <c r="Q440" s="130"/>
      <c r="R440" s="132"/>
      <c r="S440" s="132"/>
      <c r="T440" s="130"/>
    </row>
    <row r="441" spans="1:20" s="131" customFormat="1" ht="14.1" customHeight="1" x14ac:dyDescent="0.25">
      <c r="A441" s="390">
        <f ca="1">IF($H441="UNIDADE CONSTRUTIVA",OFFSET(A441,-1,0)+1,LARGE(A$3:A440,1))</f>
        <v>0</v>
      </c>
      <c r="B441" s="390">
        <f t="shared" ca="1" si="36"/>
        <v>3</v>
      </c>
      <c r="C441" s="390">
        <f t="shared" ca="1" si="37"/>
        <v>1</v>
      </c>
      <c r="D441" s="391">
        <f t="shared" ca="1" si="38"/>
        <v>2</v>
      </c>
      <c r="E441" s="391">
        <f t="shared" ca="1" si="39"/>
        <v>11</v>
      </c>
      <c r="F441" s="125"/>
      <c r="J441" s="130"/>
      <c r="K441" s="132"/>
      <c r="L441" s="413"/>
      <c r="M441" s="413"/>
      <c r="N441" s="414"/>
      <c r="O441" s="415"/>
      <c r="P441" s="133"/>
      <c r="Q441" s="130"/>
      <c r="R441" s="132"/>
      <c r="S441" s="132"/>
      <c r="T441" s="130"/>
    </row>
    <row r="442" spans="1:20" s="131" customFormat="1" ht="14.1" customHeight="1" x14ac:dyDescent="0.25">
      <c r="A442" s="390">
        <f ca="1">IF($H442="UNIDADE CONSTRUTIVA",OFFSET(A442,-1,0)+1,LARGE(A$3:A441,1))</f>
        <v>0</v>
      </c>
      <c r="B442" s="390">
        <f t="shared" ca="1" si="36"/>
        <v>3</v>
      </c>
      <c r="C442" s="390">
        <f t="shared" ca="1" si="37"/>
        <v>1</v>
      </c>
      <c r="D442" s="391">
        <f t="shared" ca="1" si="38"/>
        <v>2</v>
      </c>
      <c r="E442" s="391">
        <f t="shared" ca="1" si="39"/>
        <v>11</v>
      </c>
      <c r="F442" s="125"/>
      <c r="J442" s="130"/>
      <c r="K442" s="132"/>
      <c r="L442" s="413"/>
      <c r="M442" s="413"/>
      <c r="N442" s="414"/>
      <c r="O442" s="415"/>
      <c r="P442" s="133"/>
      <c r="Q442" s="130"/>
      <c r="R442" s="132"/>
      <c r="S442" s="132"/>
      <c r="T442" s="130"/>
    </row>
    <row r="443" spans="1:20" s="131" customFormat="1" ht="14.1" customHeight="1" x14ac:dyDescent="0.25">
      <c r="A443" s="390">
        <f ca="1">IF($H443="UNIDADE CONSTRUTIVA",OFFSET(A443,-1,0)+1,LARGE(A$3:A442,1))</f>
        <v>0</v>
      </c>
      <c r="B443" s="390">
        <f t="shared" ca="1" si="36"/>
        <v>3</v>
      </c>
      <c r="C443" s="390">
        <f t="shared" ca="1" si="37"/>
        <v>1</v>
      </c>
      <c r="D443" s="391">
        <f t="shared" ca="1" si="38"/>
        <v>2</v>
      </c>
      <c r="E443" s="391">
        <f t="shared" ca="1" si="39"/>
        <v>11</v>
      </c>
      <c r="F443" s="125"/>
      <c r="J443" s="130"/>
      <c r="K443" s="132"/>
      <c r="L443" s="413"/>
      <c r="M443" s="413"/>
      <c r="N443" s="414"/>
      <c r="O443" s="415"/>
      <c r="P443" s="133"/>
      <c r="Q443" s="130"/>
      <c r="R443" s="132"/>
      <c r="S443" s="132"/>
      <c r="T443" s="130"/>
    </row>
    <row r="444" spans="1:20" s="131" customFormat="1" ht="14.1" customHeight="1" x14ac:dyDescent="0.25">
      <c r="A444" s="390">
        <f ca="1">IF($H444="UNIDADE CONSTRUTIVA",OFFSET(A444,-1,0)+1,LARGE(A$3:A443,1))</f>
        <v>0</v>
      </c>
      <c r="B444" s="390">
        <f t="shared" ca="1" si="36"/>
        <v>3</v>
      </c>
      <c r="C444" s="390">
        <f t="shared" ca="1" si="37"/>
        <v>1</v>
      </c>
      <c r="D444" s="391">
        <f t="shared" ca="1" si="38"/>
        <v>2</v>
      </c>
      <c r="E444" s="391">
        <f t="shared" ca="1" si="39"/>
        <v>11</v>
      </c>
      <c r="F444" s="125"/>
      <c r="J444" s="130"/>
      <c r="K444" s="132"/>
      <c r="L444" s="413"/>
      <c r="M444" s="413"/>
      <c r="N444" s="414"/>
      <c r="O444" s="415"/>
      <c r="P444" s="133"/>
      <c r="Q444" s="130"/>
      <c r="R444" s="132"/>
      <c r="S444" s="132"/>
      <c r="T444" s="130"/>
    </row>
    <row r="445" spans="1:20" s="131" customFormat="1" ht="14.1" customHeight="1" x14ac:dyDescent="0.25">
      <c r="A445" s="390">
        <f ca="1">IF($H445="UNIDADE CONSTRUTIVA",OFFSET(A445,-1,0)+1,LARGE(A$3:A444,1))</f>
        <v>0</v>
      </c>
      <c r="B445" s="390">
        <f t="shared" ca="1" si="36"/>
        <v>3</v>
      </c>
      <c r="C445" s="390">
        <f t="shared" ca="1" si="37"/>
        <v>1</v>
      </c>
      <c r="D445" s="391">
        <f t="shared" ca="1" si="38"/>
        <v>2</v>
      </c>
      <c r="E445" s="391">
        <f t="shared" ca="1" si="39"/>
        <v>11</v>
      </c>
      <c r="F445" s="125"/>
      <c r="J445" s="130"/>
      <c r="K445" s="132"/>
      <c r="L445" s="413"/>
      <c r="M445" s="413"/>
      <c r="N445" s="414"/>
      <c r="O445" s="415"/>
      <c r="P445" s="133"/>
      <c r="Q445" s="130"/>
      <c r="R445" s="132"/>
      <c r="S445" s="132"/>
      <c r="T445" s="130"/>
    </row>
    <row r="446" spans="1:20" s="131" customFormat="1" ht="14.1" customHeight="1" x14ac:dyDescent="0.25">
      <c r="A446" s="390">
        <f ca="1">IF($H446="UNIDADE CONSTRUTIVA",OFFSET(A446,-1,0)+1,LARGE(A$3:A445,1))</f>
        <v>0</v>
      </c>
      <c r="B446" s="390">
        <f t="shared" ca="1" si="36"/>
        <v>3</v>
      </c>
      <c r="C446" s="390">
        <f t="shared" ca="1" si="37"/>
        <v>1</v>
      </c>
      <c r="D446" s="391">
        <f t="shared" ca="1" si="38"/>
        <v>2</v>
      </c>
      <c r="E446" s="391">
        <f t="shared" ca="1" si="39"/>
        <v>11</v>
      </c>
      <c r="F446" s="125"/>
      <c r="J446" s="130"/>
      <c r="K446" s="132"/>
      <c r="L446" s="413"/>
      <c r="M446" s="413"/>
      <c r="N446" s="414"/>
      <c r="O446" s="415"/>
      <c r="P446" s="133"/>
      <c r="Q446" s="130"/>
      <c r="R446" s="132"/>
      <c r="S446" s="132"/>
      <c r="T446" s="130"/>
    </row>
    <row r="447" spans="1:20" s="131" customFormat="1" ht="14.1" customHeight="1" x14ac:dyDescent="0.25">
      <c r="A447" s="390">
        <f ca="1">IF($H447="UNIDADE CONSTRUTIVA",OFFSET(A447,-1,0)+1,LARGE(A$3:A446,1))</f>
        <v>0</v>
      </c>
      <c r="B447" s="390">
        <f t="shared" ca="1" si="36"/>
        <v>3</v>
      </c>
      <c r="C447" s="390">
        <f t="shared" ca="1" si="37"/>
        <v>1</v>
      </c>
      <c r="D447" s="391">
        <f t="shared" ca="1" si="38"/>
        <v>2</v>
      </c>
      <c r="E447" s="391">
        <f t="shared" ca="1" si="39"/>
        <v>11</v>
      </c>
      <c r="F447" s="125"/>
      <c r="J447" s="130"/>
      <c r="K447" s="132"/>
      <c r="L447" s="413"/>
      <c r="M447" s="413"/>
      <c r="N447" s="414"/>
      <c r="O447" s="415"/>
      <c r="P447" s="133"/>
      <c r="Q447" s="130"/>
      <c r="R447" s="132"/>
      <c r="S447" s="132"/>
      <c r="T447" s="130"/>
    </row>
    <row r="448" spans="1:20" s="131" customFormat="1" ht="14.1" customHeight="1" x14ac:dyDescent="0.25">
      <c r="A448" s="390">
        <f ca="1">IF($H448="UNIDADE CONSTRUTIVA",OFFSET(A448,-1,0)+1,LARGE(A$3:A447,1))</f>
        <v>0</v>
      </c>
      <c r="B448" s="390">
        <f t="shared" ca="1" si="36"/>
        <v>3</v>
      </c>
      <c r="C448" s="390">
        <f t="shared" ca="1" si="37"/>
        <v>1</v>
      </c>
      <c r="D448" s="391">
        <f t="shared" ca="1" si="38"/>
        <v>2</v>
      </c>
      <c r="E448" s="391">
        <f t="shared" ca="1" si="39"/>
        <v>11</v>
      </c>
      <c r="F448" s="125"/>
      <c r="J448" s="130"/>
      <c r="K448" s="132"/>
      <c r="L448" s="413"/>
      <c r="M448" s="413"/>
      <c r="N448" s="414"/>
      <c r="O448" s="415"/>
      <c r="P448" s="133"/>
      <c r="Q448" s="130"/>
      <c r="R448" s="132"/>
      <c r="S448" s="132"/>
      <c r="T448" s="130"/>
    </row>
    <row r="449" spans="1:20" s="131" customFormat="1" ht="14.1" customHeight="1" x14ac:dyDescent="0.25">
      <c r="A449" s="390">
        <f ca="1">IF($H449="UNIDADE CONSTRUTIVA",OFFSET(A449,-1,0)+1,LARGE(A$3:A448,1))</f>
        <v>0</v>
      </c>
      <c r="B449" s="390">
        <f t="shared" ca="1" si="36"/>
        <v>3</v>
      </c>
      <c r="C449" s="390">
        <f t="shared" ca="1" si="37"/>
        <v>1</v>
      </c>
      <c r="D449" s="391">
        <f t="shared" ca="1" si="38"/>
        <v>2</v>
      </c>
      <c r="E449" s="391">
        <f t="shared" ca="1" si="39"/>
        <v>11</v>
      </c>
      <c r="F449" s="125"/>
      <c r="J449" s="130"/>
      <c r="K449" s="132"/>
      <c r="L449" s="413"/>
      <c r="M449" s="413"/>
      <c r="N449" s="414"/>
      <c r="O449" s="415"/>
      <c r="P449" s="133"/>
      <c r="Q449" s="130"/>
      <c r="R449" s="132"/>
      <c r="S449" s="132"/>
      <c r="T449" s="130"/>
    </row>
    <row r="450" spans="1:20" s="131" customFormat="1" ht="14.1" customHeight="1" x14ac:dyDescent="0.25">
      <c r="A450" s="390">
        <f ca="1">IF($H450="UNIDADE CONSTRUTIVA",OFFSET(A450,-1,0)+1,LARGE(A$3:A449,1))</f>
        <v>0</v>
      </c>
      <c r="B450" s="390">
        <f t="shared" ca="1" si="36"/>
        <v>3</v>
      </c>
      <c r="C450" s="390">
        <f t="shared" ca="1" si="37"/>
        <v>1</v>
      </c>
      <c r="D450" s="391">
        <f t="shared" ca="1" si="38"/>
        <v>2</v>
      </c>
      <c r="E450" s="391">
        <f t="shared" ca="1" si="39"/>
        <v>11</v>
      </c>
      <c r="F450" s="125"/>
      <c r="J450" s="130"/>
      <c r="K450" s="132"/>
      <c r="L450" s="413"/>
      <c r="M450" s="413"/>
      <c r="N450" s="414"/>
      <c r="O450" s="415"/>
      <c r="P450" s="133"/>
      <c r="Q450" s="130"/>
      <c r="R450" s="132"/>
      <c r="S450" s="132"/>
      <c r="T450" s="130"/>
    </row>
    <row r="451" spans="1:20" s="131" customFormat="1" ht="14.1" customHeight="1" x14ac:dyDescent="0.25">
      <c r="A451" s="390">
        <f ca="1">IF($H451="UNIDADE CONSTRUTIVA",OFFSET(A451,-1,0)+1,LARGE(A$3:A450,1))</f>
        <v>0</v>
      </c>
      <c r="B451" s="390">
        <f t="shared" ca="1" si="36"/>
        <v>3</v>
      </c>
      <c r="C451" s="390">
        <f t="shared" ca="1" si="37"/>
        <v>1</v>
      </c>
      <c r="D451" s="391">
        <f t="shared" ca="1" si="38"/>
        <v>2</v>
      </c>
      <c r="E451" s="391">
        <f t="shared" ca="1" si="39"/>
        <v>11</v>
      </c>
      <c r="F451" s="125"/>
      <c r="J451" s="130"/>
      <c r="K451" s="132"/>
      <c r="L451" s="413"/>
      <c r="M451" s="413"/>
      <c r="N451" s="414"/>
      <c r="O451" s="415"/>
      <c r="P451" s="133"/>
      <c r="Q451" s="130"/>
      <c r="R451" s="132"/>
      <c r="S451" s="132"/>
      <c r="T451" s="130"/>
    </row>
    <row r="452" spans="1:20" s="131" customFormat="1" ht="14.1" customHeight="1" x14ac:dyDescent="0.25">
      <c r="A452" s="390">
        <f ca="1">IF($H452="UNIDADE CONSTRUTIVA",OFFSET(A452,-1,0)+1,LARGE(A$3:A451,1))</f>
        <v>0</v>
      </c>
      <c r="B452" s="390">
        <f t="shared" ca="1" si="36"/>
        <v>3</v>
      </c>
      <c r="C452" s="390">
        <f t="shared" ca="1" si="37"/>
        <v>1</v>
      </c>
      <c r="D452" s="391">
        <f t="shared" ca="1" si="38"/>
        <v>2</v>
      </c>
      <c r="E452" s="391">
        <f t="shared" ca="1" si="39"/>
        <v>11</v>
      </c>
      <c r="F452" s="125"/>
      <c r="J452" s="130"/>
      <c r="K452" s="132"/>
      <c r="L452" s="413"/>
      <c r="M452" s="413"/>
      <c r="N452" s="414"/>
      <c r="O452" s="415"/>
      <c r="P452" s="133"/>
      <c r="Q452" s="130"/>
      <c r="R452" s="132"/>
      <c r="S452" s="132"/>
      <c r="T452" s="130"/>
    </row>
    <row r="453" spans="1:20" s="131" customFormat="1" ht="14.1" customHeight="1" x14ac:dyDescent="0.25">
      <c r="A453" s="390">
        <f ca="1">IF($H453="UNIDADE CONSTRUTIVA",OFFSET(A453,-1,0)+1,LARGE(A$3:A452,1))</f>
        <v>0</v>
      </c>
      <c r="B453" s="390">
        <f t="shared" ca="1" si="36"/>
        <v>3</v>
      </c>
      <c r="C453" s="390">
        <f t="shared" ca="1" si="37"/>
        <v>1</v>
      </c>
      <c r="D453" s="391">
        <f t="shared" ca="1" si="38"/>
        <v>2</v>
      </c>
      <c r="E453" s="391">
        <f t="shared" ca="1" si="39"/>
        <v>11</v>
      </c>
      <c r="F453" s="125"/>
      <c r="J453" s="130"/>
      <c r="K453" s="132"/>
      <c r="L453" s="413"/>
      <c r="M453" s="413"/>
      <c r="N453" s="414"/>
      <c r="O453" s="415"/>
      <c r="P453" s="133"/>
      <c r="Q453" s="130"/>
      <c r="R453" s="132"/>
      <c r="S453" s="132"/>
      <c r="T453" s="130"/>
    </row>
    <row r="454" spans="1:20" s="131" customFormat="1" ht="14.1" customHeight="1" x14ac:dyDescent="0.25">
      <c r="A454" s="390">
        <f ca="1">IF($H454="UNIDADE CONSTRUTIVA",OFFSET(A454,-1,0)+1,LARGE(A$3:A453,1))</f>
        <v>0</v>
      </c>
      <c r="B454" s="390">
        <f t="shared" ca="1" si="36"/>
        <v>3</v>
      </c>
      <c r="C454" s="390">
        <f t="shared" ca="1" si="37"/>
        <v>1</v>
      </c>
      <c r="D454" s="391">
        <f t="shared" ca="1" si="38"/>
        <v>2</v>
      </c>
      <c r="E454" s="391">
        <f t="shared" ca="1" si="39"/>
        <v>11</v>
      </c>
      <c r="F454" s="125"/>
      <c r="J454" s="130"/>
      <c r="K454" s="132"/>
      <c r="L454" s="413"/>
      <c r="M454" s="413"/>
      <c r="N454" s="414"/>
      <c r="O454" s="415"/>
      <c r="P454" s="133"/>
      <c r="Q454" s="130"/>
      <c r="R454" s="132"/>
      <c r="S454" s="132"/>
      <c r="T454" s="130"/>
    </row>
    <row r="455" spans="1:20" s="131" customFormat="1" ht="14.1" customHeight="1" x14ac:dyDescent="0.25">
      <c r="A455" s="390">
        <f ca="1">IF($H455="UNIDADE CONSTRUTIVA",OFFSET(A455,-1,0)+1,LARGE(A$3:A454,1))</f>
        <v>0</v>
      </c>
      <c r="B455" s="390">
        <f t="shared" ca="1" si="36"/>
        <v>3</v>
      </c>
      <c r="C455" s="390">
        <f t="shared" ca="1" si="37"/>
        <v>1</v>
      </c>
      <c r="D455" s="391">
        <f t="shared" ca="1" si="38"/>
        <v>2</v>
      </c>
      <c r="E455" s="391">
        <f t="shared" ca="1" si="39"/>
        <v>11</v>
      </c>
      <c r="F455" s="125"/>
      <c r="J455" s="130"/>
      <c r="K455" s="132"/>
      <c r="L455" s="413"/>
      <c r="M455" s="413"/>
      <c r="N455" s="414"/>
      <c r="O455" s="415"/>
      <c r="P455" s="133"/>
      <c r="Q455" s="130"/>
      <c r="R455" s="132"/>
      <c r="S455" s="132"/>
      <c r="T455" s="130"/>
    </row>
    <row r="456" spans="1:20" s="131" customFormat="1" ht="14.1" customHeight="1" x14ac:dyDescent="0.25">
      <c r="A456" s="390">
        <f ca="1">IF($H456="UNIDADE CONSTRUTIVA",OFFSET(A456,-1,0)+1,LARGE(A$3:A455,1))</f>
        <v>0</v>
      </c>
      <c r="B456" s="390">
        <f t="shared" ca="1" si="36"/>
        <v>3</v>
      </c>
      <c r="C456" s="390">
        <f t="shared" ca="1" si="37"/>
        <v>1</v>
      </c>
      <c r="D456" s="391">
        <f t="shared" ca="1" si="38"/>
        <v>2</v>
      </c>
      <c r="E456" s="391">
        <f t="shared" ca="1" si="39"/>
        <v>11</v>
      </c>
      <c r="F456" s="125"/>
      <c r="J456" s="130"/>
      <c r="K456" s="132"/>
      <c r="L456" s="413"/>
      <c r="M456" s="413"/>
      <c r="N456" s="414"/>
      <c r="O456" s="415"/>
      <c r="P456" s="133"/>
      <c r="Q456" s="130"/>
      <c r="R456" s="132"/>
      <c r="S456" s="132"/>
      <c r="T456" s="130"/>
    </row>
    <row r="457" spans="1:20" s="131" customFormat="1" ht="14.1" customHeight="1" x14ac:dyDescent="0.25">
      <c r="A457" s="390">
        <f ca="1">IF($H457="UNIDADE CONSTRUTIVA",OFFSET(A457,-1,0)+1,LARGE(A$3:A456,1))</f>
        <v>0</v>
      </c>
      <c r="B457" s="390">
        <f t="shared" ref="B457:B520" ca="1" si="40">IF(H457="UNIDADE CONSTRUTIVA",0,IF(H457="CÉLULA CONSTRUTIVA",OFFSET(B457,-1,0)+1,OFFSET(B457,-1,0)))</f>
        <v>3</v>
      </c>
      <c r="C457" s="390">
        <f t="shared" ref="C457:C520" ca="1" si="41">IF(H457="CÉLULA CONSTRUTIVA",0,IF(H457="ETAPA",OFFSET(C457,-1,0)+1,OFFSET(C457,-1,0)))</f>
        <v>1</v>
      </c>
      <c r="D457" s="391">
        <f t="shared" ref="D457:D520" ca="1" si="42">IF(H457="ETAPA",0,IF(H457="SUBETAPA",OFFSET(D457,-1,0)+1,OFFSET(D457,-1,0)))</f>
        <v>2</v>
      </c>
      <c r="E457" s="391">
        <f t="shared" ref="E457:E520" ca="1" si="43">IF(H457="Subetapa",0,IF(H457="serviço",OFFSET(E457,-1,0)+1,OFFSET(E457,-1,0)))</f>
        <v>11</v>
      </c>
      <c r="F457" s="125"/>
      <c r="J457" s="130"/>
      <c r="K457" s="132"/>
      <c r="L457" s="413"/>
      <c r="M457" s="413"/>
      <c r="N457" s="414"/>
      <c r="O457" s="415"/>
      <c r="P457" s="133"/>
      <c r="Q457" s="130"/>
      <c r="R457" s="132"/>
      <c r="S457" s="132"/>
      <c r="T457" s="130"/>
    </row>
    <row r="458" spans="1:20" s="131" customFormat="1" ht="14.1" customHeight="1" x14ac:dyDescent="0.25">
      <c r="A458" s="390">
        <f ca="1">IF($H458="UNIDADE CONSTRUTIVA",OFFSET(A458,-1,0)+1,LARGE(A$3:A457,1))</f>
        <v>0</v>
      </c>
      <c r="B458" s="390">
        <f t="shared" ca="1" si="40"/>
        <v>3</v>
      </c>
      <c r="C458" s="390">
        <f t="shared" ca="1" si="41"/>
        <v>1</v>
      </c>
      <c r="D458" s="391">
        <f t="shared" ca="1" si="42"/>
        <v>2</v>
      </c>
      <c r="E458" s="391">
        <f t="shared" ca="1" si="43"/>
        <v>11</v>
      </c>
      <c r="F458" s="125"/>
      <c r="J458" s="130"/>
      <c r="K458" s="132"/>
      <c r="L458" s="413"/>
      <c r="M458" s="413"/>
      <c r="N458" s="414"/>
      <c r="O458" s="415"/>
      <c r="P458" s="133"/>
      <c r="Q458" s="130"/>
      <c r="R458" s="132"/>
      <c r="S458" s="132"/>
      <c r="T458" s="130"/>
    </row>
    <row r="459" spans="1:20" s="131" customFormat="1" ht="14.1" customHeight="1" x14ac:dyDescent="0.25">
      <c r="A459" s="390">
        <f ca="1">IF($H459="UNIDADE CONSTRUTIVA",OFFSET(A459,-1,0)+1,LARGE(A$3:A458,1))</f>
        <v>0</v>
      </c>
      <c r="B459" s="390">
        <f t="shared" ca="1" si="40"/>
        <v>3</v>
      </c>
      <c r="C459" s="390">
        <f t="shared" ca="1" si="41"/>
        <v>1</v>
      </c>
      <c r="D459" s="391">
        <f t="shared" ca="1" si="42"/>
        <v>2</v>
      </c>
      <c r="E459" s="391">
        <f t="shared" ca="1" si="43"/>
        <v>11</v>
      </c>
      <c r="F459" s="125"/>
      <c r="J459" s="130"/>
      <c r="K459" s="132"/>
      <c r="L459" s="413"/>
      <c r="M459" s="413"/>
      <c r="N459" s="414"/>
      <c r="O459" s="415"/>
      <c r="P459" s="133"/>
      <c r="Q459" s="130"/>
      <c r="R459" s="132"/>
      <c r="S459" s="132"/>
      <c r="T459" s="130"/>
    </row>
    <row r="460" spans="1:20" s="131" customFormat="1" ht="14.1" customHeight="1" x14ac:dyDescent="0.25">
      <c r="A460" s="390">
        <f ca="1">IF($H460="UNIDADE CONSTRUTIVA",OFFSET(A460,-1,0)+1,LARGE(A$3:A459,1))</f>
        <v>0</v>
      </c>
      <c r="B460" s="390">
        <f t="shared" ca="1" si="40"/>
        <v>3</v>
      </c>
      <c r="C460" s="390">
        <f t="shared" ca="1" si="41"/>
        <v>1</v>
      </c>
      <c r="D460" s="391">
        <f t="shared" ca="1" si="42"/>
        <v>2</v>
      </c>
      <c r="E460" s="391">
        <f t="shared" ca="1" si="43"/>
        <v>11</v>
      </c>
      <c r="F460" s="125"/>
      <c r="J460" s="130"/>
      <c r="K460" s="132"/>
      <c r="L460" s="413"/>
      <c r="M460" s="413"/>
      <c r="N460" s="414"/>
      <c r="O460" s="415"/>
      <c r="P460" s="133"/>
      <c r="Q460" s="130"/>
      <c r="R460" s="132"/>
      <c r="S460" s="132"/>
      <c r="T460" s="130"/>
    </row>
    <row r="461" spans="1:20" s="131" customFormat="1" ht="14.1" customHeight="1" x14ac:dyDescent="0.25">
      <c r="A461" s="390">
        <f ca="1">IF($H461="UNIDADE CONSTRUTIVA",OFFSET(A461,-1,0)+1,LARGE(A$3:A460,1))</f>
        <v>0</v>
      </c>
      <c r="B461" s="390">
        <f t="shared" ca="1" si="40"/>
        <v>3</v>
      </c>
      <c r="C461" s="390">
        <f t="shared" ca="1" si="41"/>
        <v>1</v>
      </c>
      <c r="D461" s="391">
        <f t="shared" ca="1" si="42"/>
        <v>2</v>
      </c>
      <c r="E461" s="391">
        <f t="shared" ca="1" si="43"/>
        <v>11</v>
      </c>
      <c r="F461" s="125"/>
      <c r="J461" s="130"/>
      <c r="K461" s="132"/>
      <c r="L461" s="413"/>
      <c r="M461" s="413"/>
      <c r="N461" s="414"/>
      <c r="O461" s="415"/>
      <c r="P461" s="133"/>
      <c r="Q461" s="130"/>
      <c r="R461" s="132"/>
      <c r="S461" s="132"/>
      <c r="T461" s="130"/>
    </row>
    <row r="462" spans="1:20" s="131" customFormat="1" ht="14.1" customHeight="1" x14ac:dyDescent="0.25">
      <c r="A462" s="390">
        <f ca="1">IF($H462="UNIDADE CONSTRUTIVA",OFFSET(A462,-1,0)+1,LARGE(A$3:A461,1))</f>
        <v>0</v>
      </c>
      <c r="B462" s="390">
        <f t="shared" ca="1" si="40"/>
        <v>3</v>
      </c>
      <c r="C462" s="390">
        <f t="shared" ca="1" si="41"/>
        <v>1</v>
      </c>
      <c r="D462" s="391">
        <f t="shared" ca="1" si="42"/>
        <v>2</v>
      </c>
      <c r="E462" s="391">
        <f t="shared" ca="1" si="43"/>
        <v>11</v>
      </c>
      <c r="F462" s="125"/>
      <c r="J462" s="130"/>
      <c r="K462" s="132"/>
      <c r="L462" s="413"/>
      <c r="M462" s="413"/>
      <c r="N462" s="414"/>
      <c r="O462" s="415"/>
      <c r="P462" s="133"/>
      <c r="Q462" s="130"/>
      <c r="R462" s="132"/>
      <c r="S462" s="132"/>
      <c r="T462" s="130"/>
    </row>
    <row r="463" spans="1:20" s="131" customFormat="1" ht="14.1" customHeight="1" x14ac:dyDescent="0.25">
      <c r="A463" s="390">
        <f ca="1">IF($H463="UNIDADE CONSTRUTIVA",OFFSET(A463,-1,0)+1,LARGE(A$3:A462,1))</f>
        <v>0</v>
      </c>
      <c r="B463" s="390">
        <f t="shared" ca="1" si="40"/>
        <v>3</v>
      </c>
      <c r="C463" s="390">
        <f t="shared" ca="1" si="41"/>
        <v>1</v>
      </c>
      <c r="D463" s="391">
        <f t="shared" ca="1" si="42"/>
        <v>2</v>
      </c>
      <c r="E463" s="391">
        <f t="shared" ca="1" si="43"/>
        <v>11</v>
      </c>
      <c r="F463" s="125"/>
      <c r="J463" s="130"/>
      <c r="K463" s="132"/>
      <c r="L463" s="413"/>
      <c r="M463" s="413"/>
      <c r="N463" s="414"/>
      <c r="O463" s="415"/>
      <c r="P463" s="133"/>
      <c r="Q463" s="130"/>
      <c r="R463" s="132"/>
      <c r="S463" s="132"/>
      <c r="T463" s="130"/>
    </row>
    <row r="464" spans="1:20" s="131" customFormat="1" ht="14.1" customHeight="1" x14ac:dyDescent="0.25">
      <c r="A464" s="390">
        <f ca="1">IF($H464="UNIDADE CONSTRUTIVA",OFFSET(A464,-1,0)+1,LARGE(A$3:A463,1))</f>
        <v>0</v>
      </c>
      <c r="B464" s="390">
        <f t="shared" ca="1" si="40"/>
        <v>3</v>
      </c>
      <c r="C464" s="390">
        <f t="shared" ca="1" si="41"/>
        <v>1</v>
      </c>
      <c r="D464" s="391">
        <f t="shared" ca="1" si="42"/>
        <v>2</v>
      </c>
      <c r="E464" s="391">
        <f t="shared" ca="1" si="43"/>
        <v>11</v>
      </c>
      <c r="F464" s="125"/>
      <c r="J464" s="130"/>
      <c r="K464" s="132"/>
      <c r="L464" s="413"/>
      <c r="M464" s="413"/>
      <c r="N464" s="414"/>
      <c r="O464" s="415"/>
      <c r="P464" s="133"/>
      <c r="Q464" s="130"/>
      <c r="R464" s="132"/>
      <c r="S464" s="132"/>
      <c r="T464" s="130"/>
    </row>
    <row r="465" spans="1:20" s="131" customFormat="1" ht="14.1" customHeight="1" x14ac:dyDescent="0.25">
      <c r="A465" s="390">
        <f ca="1">IF($H465="UNIDADE CONSTRUTIVA",OFFSET(A465,-1,0)+1,LARGE(A$3:A464,1))</f>
        <v>0</v>
      </c>
      <c r="B465" s="390">
        <f t="shared" ca="1" si="40"/>
        <v>3</v>
      </c>
      <c r="C465" s="390">
        <f t="shared" ca="1" si="41"/>
        <v>1</v>
      </c>
      <c r="D465" s="391">
        <f t="shared" ca="1" si="42"/>
        <v>2</v>
      </c>
      <c r="E465" s="391">
        <f t="shared" ca="1" si="43"/>
        <v>11</v>
      </c>
      <c r="F465" s="125"/>
      <c r="J465" s="130"/>
      <c r="K465" s="132"/>
      <c r="L465" s="413"/>
      <c r="M465" s="413"/>
      <c r="N465" s="414"/>
      <c r="O465" s="415"/>
      <c r="P465" s="133"/>
      <c r="Q465" s="130"/>
      <c r="R465" s="132"/>
      <c r="S465" s="132"/>
      <c r="T465" s="130"/>
    </row>
    <row r="466" spans="1:20" s="131" customFormat="1" ht="14.1" customHeight="1" x14ac:dyDescent="0.25">
      <c r="A466" s="390">
        <f ca="1">IF($H466="UNIDADE CONSTRUTIVA",OFFSET(A466,-1,0)+1,LARGE(A$3:A465,1))</f>
        <v>0</v>
      </c>
      <c r="B466" s="390">
        <f t="shared" ca="1" si="40"/>
        <v>3</v>
      </c>
      <c r="C466" s="390">
        <f t="shared" ca="1" si="41"/>
        <v>1</v>
      </c>
      <c r="D466" s="391">
        <f t="shared" ca="1" si="42"/>
        <v>2</v>
      </c>
      <c r="E466" s="391">
        <f t="shared" ca="1" si="43"/>
        <v>11</v>
      </c>
      <c r="F466" s="125"/>
      <c r="J466" s="130"/>
      <c r="K466" s="132"/>
      <c r="L466" s="413"/>
      <c r="M466" s="413"/>
      <c r="N466" s="414"/>
      <c r="O466" s="415"/>
      <c r="P466" s="133"/>
      <c r="Q466" s="130"/>
      <c r="R466" s="132"/>
      <c r="S466" s="132"/>
      <c r="T466" s="130"/>
    </row>
    <row r="467" spans="1:20" s="131" customFormat="1" ht="14.1" customHeight="1" x14ac:dyDescent="0.25">
      <c r="A467" s="390">
        <f ca="1">IF($H467="UNIDADE CONSTRUTIVA",OFFSET(A467,-1,0)+1,LARGE(A$3:A466,1))</f>
        <v>0</v>
      </c>
      <c r="B467" s="390">
        <f t="shared" ca="1" si="40"/>
        <v>3</v>
      </c>
      <c r="C467" s="390">
        <f t="shared" ca="1" si="41"/>
        <v>1</v>
      </c>
      <c r="D467" s="391">
        <f t="shared" ca="1" si="42"/>
        <v>2</v>
      </c>
      <c r="E467" s="391">
        <f t="shared" ca="1" si="43"/>
        <v>11</v>
      </c>
      <c r="F467" s="125"/>
      <c r="J467" s="130"/>
      <c r="K467" s="132"/>
      <c r="L467" s="413"/>
      <c r="M467" s="413"/>
      <c r="N467" s="414"/>
      <c r="O467" s="415"/>
      <c r="P467" s="133"/>
      <c r="Q467" s="130"/>
      <c r="R467" s="132"/>
      <c r="S467" s="132"/>
      <c r="T467" s="130"/>
    </row>
    <row r="468" spans="1:20" s="131" customFormat="1" ht="14.1" customHeight="1" x14ac:dyDescent="0.25">
      <c r="A468" s="390">
        <f ca="1">IF($H468="UNIDADE CONSTRUTIVA",OFFSET(A468,-1,0)+1,LARGE(A$3:A467,1))</f>
        <v>0</v>
      </c>
      <c r="B468" s="390">
        <f t="shared" ca="1" si="40"/>
        <v>3</v>
      </c>
      <c r="C468" s="390">
        <f t="shared" ca="1" si="41"/>
        <v>1</v>
      </c>
      <c r="D468" s="391">
        <f t="shared" ca="1" si="42"/>
        <v>2</v>
      </c>
      <c r="E468" s="391">
        <f t="shared" ca="1" si="43"/>
        <v>11</v>
      </c>
      <c r="F468" s="125"/>
      <c r="J468" s="130"/>
      <c r="K468" s="132"/>
      <c r="L468" s="413"/>
      <c r="M468" s="413"/>
      <c r="N468" s="414"/>
      <c r="O468" s="415"/>
      <c r="P468" s="133"/>
      <c r="Q468" s="130"/>
      <c r="R468" s="132"/>
      <c r="S468" s="132"/>
      <c r="T468" s="130"/>
    </row>
    <row r="469" spans="1:20" s="131" customFormat="1" ht="14.1" customHeight="1" x14ac:dyDescent="0.25">
      <c r="A469" s="390">
        <f ca="1">IF($H469="UNIDADE CONSTRUTIVA",OFFSET(A469,-1,0)+1,LARGE(A$3:A468,1))</f>
        <v>0</v>
      </c>
      <c r="B469" s="390">
        <f t="shared" ca="1" si="40"/>
        <v>3</v>
      </c>
      <c r="C469" s="390">
        <f t="shared" ca="1" si="41"/>
        <v>1</v>
      </c>
      <c r="D469" s="391">
        <f t="shared" ca="1" si="42"/>
        <v>2</v>
      </c>
      <c r="E469" s="391">
        <f t="shared" ca="1" si="43"/>
        <v>11</v>
      </c>
      <c r="F469" s="125"/>
      <c r="J469" s="130"/>
      <c r="K469" s="132"/>
      <c r="L469" s="413"/>
      <c r="M469" s="413"/>
      <c r="N469" s="414"/>
      <c r="O469" s="415"/>
      <c r="P469" s="133"/>
      <c r="Q469" s="130"/>
      <c r="R469" s="132"/>
      <c r="S469" s="132"/>
      <c r="T469" s="130"/>
    </row>
    <row r="470" spans="1:20" s="131" customFormat="1" ht="14.1" customHeight="1" x14ac:dyDescent="0.25">
      <c r="A470" s="390">
        <f ca="1">IF($H470="UNIDADE CONSTRUTIVA",OFFSET(A470,-1,0)+1,LARGE(A$3:A469,1))</f>
        <v>0</v>
      </c>
      <c r="B470" s="390">
        <f t="shared" ca="1" si="40"/>
        <v>3</v>
      </c>
      <c r="C470" s="390">
        <f t="shared" ca="1" si="41"/>
        <v>1</v>
      </c>
      <c r="D470" s="391">
        <f t="shared" ca="1" si="42"/>
        <v>2</v>
      </c>
      <c r="E470" s="391">
        <f t="shared" ca="1" si="43"/>
        <v>11</v>
      </c>
      <c r="F470" s="125"/>
      <c r="J470" s="130"/>
      <c r="K470" s="132"/>
      <c r="L470" s="413"/>
      <c r="M470" s="413"/>
      <c r="N470" s="414"/>
      <c r="O470" s="415"/>
      <c r="P470" s="133"/>
      <c r="Q470" s="130"/>
      <c r="R470" s="132"/>
      <c r="S470" s="132"/>
      <c r="T470" s="130"/>
    </row>
    <row r="471" spans="1:20" s="131" customFormat="1" ht="14.1" customHeight="1" x14ac:dyDescent="0.25">
      <c r="A471" s="390">
        <f ca="1">IF($H471="UNIDADE CONSTRUTIVA",OFFSET(A471,-1,0)+1,LARGE(A$3:A470,1))</f>
        <v>0</v>
      </c>
      <c r="B471" s="390">
        <f t="shared" ca="1" si="40"/>
        <v>3</v>
      </c>
      <c r="C471" s="390">
        <f t="shared" ca="1" si="41"/>
        <v>1</v>
      </c>
      <c r="D471" s="391">
        <f t="shared" ca="1" si="42"/>
        <v>2</v>
      </c>
      <c r="E471" s="391">
        <f t="shared" ca="1" si="43"/>
        <v>11</v>
      </c>
      <c r="F471" s="125"/>
      <c r="J471" s="130"/>
      <c r="K471" s="132"/>
      <c r="L471" s="413"/>
      <c r="M471" s="413"/>
      <c r="N471" s="414"/>
      <c r="O471" s="415"/>
      <c r="P471" s="133"/>
      <c r="Q471" s="130"/>
      <c r="R471" s="132"/>
      <c r="S471" s="132"/>
      <c r="T471" s="130"/>
    </row>
    <row r="472" spans="1:20" s="131" customFormat="1" ht="14.1" customHeight="1" x14ac:dyDescent="0.25">
      <c r="A472" s="390">
        <f ca="1">IF($H472="UNIDADE CONSTRUTIVA",OFFSET(A472,-1,0)+1,LARGE(A$3:A471,1))</f>
        <v>0</v>
      </c>
      <c r="B472" s="390">
        <f t="shared" ca="1" si="40"/>
        <v>3</v>
      </c>
      <c r="C472" s="390">
        <f t="shared" ca="1" si="41"/>
        <v>1</v>
      </c>
      <c r="D472" s="391">
        <f t="shared" ca="1" si="42"/>
        <v>2</v>
      </c>
      <c r="E472" s="391">
        <f t="shared" ca="1" si="43"/>
        <v>11</v>
      </c>
      <c r="F472" s="125"/>
      <c r="J472" s="130"/>
      <c r="K472" s="132"/>
      <c r="L472" s="413"/>
      <c r="M472" s="413"/>
      <c r="N472" s="414"/>
      <c r="O472" s="415"/>
      <c r="P472" s="133"/>
      <c r="Q472" s="130"/>
      <c r="R472" s="132"/>
      <c r="S472" s="132"/>
      <c r="T472" s="130"/>
    </row>
    <row r="473" spans="1:20" s="131" customFormat="1" ht="14.1" customHeight="1" x14ac:dyDescent="0.25">
      <c r="A473" s="390">
        <f ca="1">IF($H473="UNIDADE CONSTRUTIVA",OFFSET(A473,-1,0)+1,LARGE(A$3:A472,1))</f>
        <v>0</v>
      </c>
      <c r="B473" s="390">
        <f t="shared" ca="1" si="40"/>
        <v>3</v>
      </c>
      <c r="C473" s="390">
        <f t="shared" ca="1" si="41"/>
        <v>1</v>
      </c>
      <c r="D473" s="391">
        <f t="shared" ca="1" si="42"/>
        <v>2</v>
      </c>
      <c r="E473" s="391">
        <f t="shared" ca="1" si="43"/>
        <v>11</v>
      </c>
      <c r="F473" s="125"/>
      <c r="J473" s="130"/>
      <c r="K473" s="132"/>
      <c r="L473" s="413"/>
      <c r="M473" s="413"/>
      <c r="N473" s="414"/>
      <c r="O473" s="415"/>
      <c r="P473" s="133"/>
      <c r="Q473" s="130"/>
      <c r="R473" s="132"/>
      <c r="S473" s="132"/>
      <c r="T473" s="130"/>
    </row>
    <row r="474" spans="1:20" s="131" customFormat="1" ht="14.1" customHeight="1" x14ac:dyDescent="0.25">
      <c r="A474" s="390">
        <f ca="1">IF($H474="UNIDADE CONSTRUTIVA",OFFSET(A474,-1,0)+1,LARGE(A$3:A473,1))</f>
        <v>0</v>
      </c>
      <c r="B474" s="390">
        <f t="shared" ca="1" si="40"/>
        <v>3</v>
      </c>
      <c r="C474" s="390">
        <f t="shared" ca="1" si="41"/>
        <v>1</v>
      </c>
      <c r="D474" s="391">
        <f t="shared" ca="1" si="42"/>
        <v>2</v>
      </c>
      <c r="E474" s="391">
        <f t="shared" ca="1" si="43"/>
        <v>11</v>
      </c>
      <c r="F474" s="125"/>
      <c r="J474" s="130"/>
      <c r="K474" s="132"/>
      <c r="L474" s="413"/>
      <c r="M474" s="413"/>
      <c r="N474" s="414"/>
      <c r="O474" s="415"/>
      <c r="P474" s="133"/>
      <c r="Q474" s="130"/>
      <c r="R474" s="132"/>
      <c r="S474" s="132"/>
      <c r="T474" s="130"/>
    </row>
    <row r="475" spans="1:20" s="131" customFormat="1" ht="14.1" customHeight="1" x14ac:dyDescent="0.25">
      <c r="A475" s="390">
        <f ca="1">IF($H475="UNIDADE CONSTRUTIVA",OFFSET(A475,-1,0)+1,LARGE(A$3:A474,1))</f>
        <v>0</v>
      </c>
      <c r="B475" s="390">
        <f t="shared" ca="1" si="40"/>
        <v>3</v>
      </c>
      <c r="C475" s="390">
        <f t="shared" ca="1" si="41"/>
        <v>1</v>
      </c>
      <c r="D475" s="391">
        <f t="shared" ca="1" si="42"/>
        <v>2</v>
      </c>
      <c r="E475" s="391">
        <f t="shared" ca="1" si="43"/>
        <v>11</v>
      </c>
      <c r="F475" s="125"/>
      <c r="J475" s="130"/>
      <c r="K475" s="132"/>
      <c r="L475" s="413"/>
      <c r="M475" s="413"/>
      <c r="N475" s="414"/>
      <c r="O475" s="415"/>
      <c r="P475" s="133"/>
      <c r="Q475" s="130"/>
      <c r="R475" s="132"/>
      <c r="S475" s="132"/>
      <c r="T475" s="130"/>
    </row>
    <row r="476" spans="1:20" s="131" customFormat="1" ht="14.1" customHeight="1" x14ac:dyDescent="0.25">
      <c r="A476" s="390">
        <f ca="1">IF($H476="UNIDADE CONSTRUTIVA",OFFSET(A476,-1,0)+1,LARGE(A$3:A475,1))</f>
        <v>0</v>
      </c>
      <c r="B476" s="390">
        <f t="shared" ca="1" si="40"/>
        <v>3</v>
      </c>
      <c r="C476" s="390">
        <f t="shared" ca="1" si="41"/>
        <v>1</v>
      </c>
      <c r="D476" s="391">
        <f t="shared" ca="1" si="42"/>
        <v>2</v>
      </c>
      <c r="E476" s="391">
        <f t="shared" ca="1" si="43"/>
        <v>11</v>
      </c>
      <c r="F476" s="125"/>
      <c r="J476" s="130"/>
      <c r="K476" s="132"/>
      <c r="L476" s="413"/>
      <c r="M476" s="413"/>
      <c r="N476" s="414"/>
      <c r="O476" s="415"/>
      <c r="P476" s="133"/>
      <c r="Q476" s="130"/>
      <c r="R476" s="132"/>
      <c r="S476" s="132"/>
      <c r="T476" s="130"/>
    </row>
    <row r="477" spans="1:20" s="131" customFormat="1" ht="14.1" customHeight="1" x14ac:dyDescent="0.25">
      <c r="A477" s="390">
        <f ca="1">IF($H477="UNIDADE CONSTRUTIVA",OFFSET(A477,-1,0)+1,LARGE(A$3:A476,1))</f>
        <v>0</v>
      </c>
      <c r="B477" s="390">
        <f t="shared" ca="1" si="40"/>
        <v>3</v>
      </c>
      <c r="C477" s="390">
        <f t="shared" ca="1" si="41"/>
        <v>1</v>
      </c>
      <c r="D477" s="391">
        <f t="shared" ca="1" si="42"/>
        <v>2</v>
      </c>
      <c r="E477" s="391">
        <f t="shared" ca="1" si="43"/>
        <v>11</v>
      </c>
      <c r="F477" s="125"/>
      <c r="J477" s="130"/>
      <c r="K477" s="132"/>
      <c r="L477" s="413"/>
      <c r="M477" s="413"/>
      <c r="N477" s="414"/>
      <c r="O477" s="415"/>
      <c r="P477" s="133"/>
      <c r="Q477" s="130"/>
      <c r="R477" s="132"/>
      <c r="S477" s="132"/>
      <c r="T477" s="130"/>
    </row>
    <row r="478" spans="1:20" s="131" customFormat="1" ht="14.1" customHeight="1" x14ac:dyDescent="0.25">
      <c r="A478" s="390">
        <f ca="1">IF($H478="UNIDADE CONSTRUTIVA",OFFSET(A478,-1,0)+1,LARGE(A$3:A477,1))</f>
        <v>0</v>
      </c>
      <c r="B478" s="390">
        <f t="shared" ca="1" si="40"/>
        <v>3</v>
      </c>
      <c r="C478" s="390">
        <f t="shared" ca="1" si="41"/>
        <v>1</v>
      </c>
      <c r="D478" s="391">
        <f t="shared" ca="1" si="42"/>
        <v>2</v>
      </c>
      <c r="E478" s="391">
        <f t="shared" ca="1" si="43"/>
        <v>11</v>
      </c>
      <c r="F478" s="125"/>
      <c r="J478" s="130"/>
      <c r="K478" s="132"/>
      <c r="L478" s="413"/>
      <c r="M478" s="413"/>
      <c r="N478" s="414"/>
      <c r="O478" s="415"/>
      <c r="P478" s="133"/>
      <c r="Q478" s="130"/>
      <c r="R478" s="132"/>
      <c r="S478" s="132"/>
      <c r="T478" s="130"/>
    </row>
    <row r="479" spans="1:20" s="131" customFormat="1" ht="14.1" customHeight="1" x14ac:dyDescent="0.25">
      <c r="A479" s="390">
        <f ca="1">IF($H479="UNIDADE CONSTRUTIVA",OFFSET(A479,-1,0)+1,LARGE(A$3:A478,1))</f>
        <v>0</v>
      </c>
      <c r="B479" s="390">
        <f t="shared" ca="1" si="40"/>
        <v>3</v>
      </c>
      <c r="C479" s="390">
        <f t="shared" ca="1" si="41"/>
        <v>1</v>
      </c>
      <c r="D479" s="391">
        <f t="shared" ca="1" si="42"/>
        <v>2</v>
      </c>
      <c r="E479" s="391">
        <f t="shared" ca="1" si="43"/>
        <v>11</v>
      </c>
      <c r="F479" s="125"/>
      <c r="J479" s="130"/>
      <c r="K479" s="132"/>
      <c r="L479" s="413"/>
      <c r="M479" s="413"/>
      <c r="N479" s="414"/>
      <c r="O479" s="415"/>
      <c r="P479" s="133"/>
      <c r="Q479" s="130"/>
      <c r="R479" s="132"/>
      <c r="S479" s="132"/>
      <c r="T479" s="130"/>
    </row>
    <row r="480" spans="1:20" s="131" customFormat="1" ht="14.1" customHeight="1" x14ac:dyDescent="0.25">
      <c r="A480" s="390">
        <f ca="1">IF($H480="UNIDADE CONSTRUTIVA",OFFSET(A480,-1,0)+1,LARGE(A$3:A479,1))</f>
        <v>0</v>
      </c>
      <c r="B480" s="390">
        <f t="shared" ca="1" si="40"/>
        <v>3</v>
      </c>
      <c r="C480" s="390">
        <f t="shared" ca="1" si="41"/>
        <v>1</v>
      </c>
      <c r="D480" s="391">
        <f t="shared" ca="1" si="42"/>
        <v>2</v>
      </c>
      <c r="E480" s="391">
        <f t="shared" ca="1" si="43"/>
        <v>11</v>
      </c>
      <c r="F480" s="125"/>
      <c r="J480" s="130"/>
      <c r="K480" s="132"/>
      <c r="L480" s="413"/>
      <c r="M480" s="413"/>
      <c r="N480" s="414"/>
      <c r="O480" s="415"/>
      <c r="P480" s="133"/>
      <c r="Q480" s="130"/>
      <c r="R480" s="132"/>
      <c r="S480" s="132"/>
      <c r="T480" s="130"/>
    </row>
    <row r="481" spans="1:20" s="131" customFormat="1" ht="14.1" customHeight="1" x14ac:dyDescent="0.25">
      <c r="A481" s="390">
        <f ca="1">IF($H481="UNIDADE CONSTRUTIVA",OFFSET(A481,-1,0)+1,LARGE(A$3:A480,1))</f>
        <v>0</v>
      </c>
      <c r="B481" s="390">
        <f t="shared" ca="1" si="40"/>
        <v>3</v>
      </c>
      <c r="C481" s="390">
        <f t="shared" ca="1" si="41"/>
        <v>1</v>
      </c>
      <c r="D481" s="391">
        <f t="shared" ca="1" si="42"/>
        <v>2</v>
      </c>
      <c r="E481" s="391">
        <f t="shared" ca="1" si="43"/>
        <v>11</v>
      </c>
      <c r="F481" s="125"/>
      <c r="J481" s="130"/>
      <c r="K481" s="132"/>
      <c r="L481" s="413"/>
      <c r="M481" s="413"/>
      <c r="N481" s="414"/>
      <c r="O481" s="415"/>
      <c r="P481" s="133"/>
      <c r="Q481" s="130"/>
      <c r="R481" s="132"/>
      <c r="S481" s="132"/>
      <c r="T481" s="130"/>
    </row>
    <row r="482" spans="1:20" s="131" customFormat="1" ht="14.1" customHeight="1" x14ac:dyDescent="0.25">
      <c r="A482" s="390">
        <f ca="1">IF($H482="UNIDADE CONSTRUTIVA",OFFSET(A482,-1,0)+1,LARGE(A$3:A481,1))</f>
        <v>0</v>
      </c>
      <c r="B482" s="390">
        <f t="shared" ca="1" si="40"/>
        <v>3</v>
      </c>
      <c r="C482" s="390">
        <f t="shared" ca="1" si="41"/>
        <v>1</v>
      </c>
      <c r="D482" s="391">
        <f t="shared" ca="1" si="42"/>
        <v>2</v>
      </c>
      <c r="E482" s="391">
        <f t="shared" ca="1" si="43"/>
        <v>11</v>
      </c>
      <c r="F482" s="125"/>
      <c r="J482" s="130"/>
      <c r="K482" s="132"/>
      <c r="L482" s="413"/>
      <c r="M482" s="413"/>
      <c r="N482" s="414"/>
      <c r="O482" s="415"/>
      <c r="P482" s="133"/>
      <c r="Q482" s="130"/>
      <c r="R482" s="132"/>
      <c r="S482" s="132"/>
      <c r="T482" s="130"/>
    </row>
    <row r="483" spans="1:20" s="131" customFormat="1" ht="14.1" customHeight="1" x14ac:dyDescent="0.25">
      <c r="A483" s="390">
        <f ca="1">IF($H483="UNIDADE CONSTRUTIVA",OFFSET(A483,-1,0)+1,LARGE(A$3:A482,1))</f>
        <v>0</v>
      </c>
      <c r="B483" s="390">
        <f t="shared" ca="1" si="40"/>
        <v>3</v>
      </c>
      <c r="C483" s="390">
        <f t="shared" ca="1" si="41"/>
        <v>1</v>
      </c>
      <c r="D483" s="391">
        <f t="shared" ca="1" si="42"/>
        <v>2</v>
      </c>
      <c r="E483" s="391">
        <f t="shared" ca="1" si="43"/>
        <v>11</v>
      </c>
      <c r="F483" s="125"/>
      <c r="J483" s="130"/>
      <c r="K483" s="132"/>
      <c r="L483" s="413"/>
      <c r="M483" s="413"/>
      <c r="N483" s="414"/>
      <c r="O483" s="415"/>
      <c r="P483" s="133"/>
      <c r="Q483" s="130"/>
      <c r="R483" s="132"/>
      <c r="S483" s="132"/>
      <c r="T483" s="130"/>
    </row>
    <row r="484" spans="1:20" s="131" customFormat="1" ht="14.1" customHeight="1" x14ac:dyDescent="0.25">
      <c r="A484" s="390">
        <f ca="1">IF($H484="UNIDADE CONSTRUTIVA",OFFSET(A484,-1,0)+1,LARGE(A$3:A483,1))</f>
        <v>0</v>
      </c>
      <c r="B484" s="390">
        <f t="shared" ca="1" si="40"/>
        <v>3</v>
      </c>
      <c r="C484" s="390">
        <f t="shared" ca="1" si="41"/>
        <v>1</v>
      </c>
      <c r="D484" s="391">
        <f t="shared" ca="1" si="42"/>
        <v>2</v>
      </c>
      <c r="E484" s="391">
        <f t="shared" ca="1" si="43"/>
        <v>11</v>
      </c>
      <c r="F484" s="125"/>
      <c r="J484" s="130"/>
      <c r="K484" s="132"/>
      <c r="L484" s="413"/>
      <c r="M484" s="413"/>
      <c r="N484" s="414"/>
      <c r="O484" s="415"/>
      <c r="P484" s="133"/>
      <c r="Q484" s="130"/>
      <c r="R484" s="132"/>
      <c r="S484" s="132"/>
      <c r="T484" s="130"/>
    </row>
    <row r="485" spans="1:20" s="131" customFormat="1" ht="14.1" customHeight="1" x14ac:dyDescent="0.25">
      <c r="A485" s="390">
        <f ca="1">IF($H485="UNIDADE CONSTRUTIVA",OFFSET(A485,-1,0)+1,LARGE(A$3:A484,1))</f>
        <v>0</v>
      </c>
      <c r="B485" s="390">
        <f t="shared" ca="1" si="40"/>
        <v>3</v>
      </c>
      <c r="C485" s="390">
        <f t="shared" ca="1" si="41"/>
        <v>1</v>
      </c>
      <c r="D485" s="391">
        <f t="shared" ca="1" si="42"/>
        <v>2</v>
      </c>
      <c r="E485" s="391">
        <f t="shared" ca="1" si="43"/>
        <v>11</v>
      </c>
      <c r="F485" s="125"/>
      <c r="J485" s="130"/>
      <c r="K485" s="132"/>
      <c r="L485" s="413"/>
      <c r="M485" s="413"/>
      <c r="N485" s="414"/>
      <c r="O485" s="415"/>
      <c r="P485" s="133"/>
      <c r="Q485" s="130"/>
      <c r="R485" s="132"/>
      <c r="S485" s="132"/>
      <c r="T485" s="130"/>
    </row>
    <row r="486" spans="1:20" s="131" customFormat="1" ht="14.1" customHeight="1" x14ac:dyDescent="0.25">
      <c r="A486" s="390">
        <f ca="1">IF($H486="UNIDADE CONSTRUTIVA",OFFSET(A486,-1,0)+1,LARGE(A$3:A485,1))</f>
        <v>0</v>
      </c>
      <c r="B486" s="390">
        <f t="shared" ca="1" si="40"/>
        <v>3</v>
      </c>
      <c r="C486" s="390">
        <f t="shared" ca="1" si="41"/>
        <v>1</v>
      </c>
      <c r="D486" s="391">
        <f t="shared" ca="1" si="42"/>
        <v>2</v>
      </c>
      <c r="E486" s="391">
        <f t="shared" ca="1" si="43"/>
        <v>11</v>
      </c>
      <c r="F486" s="125"/>
      <c r="J486" s="130"/>
      <c r="K486" s="132"/>
      <c r="L486" s="413"/>
      <c r="M486" s="413"/>
      <c r="N486" s="414"/>
      <c r="O486" s="415"/>
      <c r="P486" s="133"/>
      <c r="Q486" s="130"/>
      <c r="R486" s="132"/>
      <c r="S486" s="132"/>
      <c r="T486" s="130"/>
    </row>
    <row r="487" spans="1:20" s="131" customFormat="1" ht="14.1" customHeight="1" x14ac:dyDescent="0.25">
      <c r="A487" s="390">
        <f ca="1">IF($H487="UNIDADE CONSTRUTIVA",OFFSET(A487,-1,0)+1,LARGE(A$3:A486,1))</f>
        <v>0</v>
      </c>
      <c r="B487" s="390">
        <f t="shared" ca="1" si="40"/>
        <v>3</v>
      </c>
      <c r="C487" s="390">
        <f t="shared" ca="1" si="41"/>
        <v>1</v>
      </c>
      <c r="D487" s="391">
        <f t="shared" ca="1" si="42"/>
        <v>2</v>
      </c>
      <c r="E487" s="391">
        <f t="shared" ca="1" si="43"/>
        <v>11</v>
      </c>
      <c r="F487" s="125"/>
      <c r="J487" s="130"/>
      <c r="K487" s="132"/>
      <c r="L487" s="413"/>
      <c r="M487" s="413"/>
      <c r="N487" s="414"/>
      <c r="O487" s="415"/>
      <c r="P487" s="133"/>
      <c r="Q487" s="130"/>
      <c r="R487" s="132"/>
      <c r="S487" s="132"/>
      <c r="T487" s="130"/>
    </row>
    <row r="488" spans="1:20" s="131" customFormat="1" ht="14.1" customHeight="1" x14ac:dyDescent="0.25">
      <c r="A488" s="390">
        <f ca="1">IF($H488="UNIDADE CONSTRUTIVA",OFFSET(A488,-1,0)+1,LARGE(A$3:A487,1))</f>
        <v>0</v>
      </c>
      <c r="B488" s="390">
        <f t="shared" ca="1" si="40"/>
        <v>3</v>
      </c>
      <c r="C488" s="390">
        <f t="shared" ca="1" si="41"/>
        <v>1</v>
      </c>
      <c r="D488" s="391">
        <f t="shared" ca="1" si="42"/>
        <v>2</v>
      </c>
      <c r="E488" s="391">
        <f t="shared" ca="1" si="43"/>
        <v>11</v>
      </c>
      <c r="F488" s="125"/>
      <c r="J488" s="130"/>
      <c r="K488" s="132"/>
      <c r="L488" s="413"/>
      <c r="M488" s="413"/>
      <c r="N488" s="414"/>
      <c r="O488" s="415"/>
      <c r="P488" s="133"/>
      <c r="Q488" s="130"/>
      <c r="R488" s="132"/>
      <c r="S488" s="132"/>
      <c r="T488" s="130"/>
    </row>
    <row r="489" spans="1:20" s="131" customFormat="1" ht="14.1" customHeight="1" x14ac:dyDescent="0.25">
      <c r="A489" s="390">
        <f ca="1">IF($H489="UNIDADE CONSTRUTIVA",OFFSET(A489,-1,0)+1,LARGE(A$3:A488,1))</f>
        <v>0</v>
      </c>
      <c r="B489" s="390">
        <f t="shared" ca="1" si="40"/>
        <v>3</v>
      </c>
      <c r="C489" s="390">
        <f t="shared" ca="1" si="41"/>
        <v>1</v>
      </c>
      <c r="D489" s="391">
        <f t="shared" ca="1" si="42"/>
        <v>2</v>
      </c>
      <c r="E489" s="391">
        <f t="shared" ca="1" si="43"/>
        <v>11</v>
      </c>
      <c r="F489" s="125"/>
      <c r="J489" s="130"/>
      <c r="K489" s="132"/>
      <c r="L489" s="413"/>
      <c r="M489" s="413"/>
      <c r="N489" s="414"/>
      <c r="O489" s="415"/>
      <c r="P489" s="133"/>
      <c r="Q489" s="130"/>
      <c r="R489" s="132"/>
      <c r="S489" s="132"/>
      <c r="T489" s="130"/>
    </row>
    <row r="490" spans="1:20" s="131" customFormat="1" ht="14.1" customHeight="1" x14ac:dyDescent="0.25">
      <c r="A490" s="390">
        <f ca="1">IF($H490="UNIDADE CONSTRUTIVA",OFFSET(A490,-1,0)+1,LARGE(A$3:A489,1))</f>
        <v>0</v>
      </c>
      <c r="B490" s="390">
        <f t="shared" ca="1" si="40"/>
        <v>3</v>
      </c>
      <c r="C490" s="390">
        <f t="shared" ca="1" si="41"/>
        <v>1</v>
      </c>
      <c r="D490" s="391">
        <f t="shared" ca="1" si="42"/>
        <v>2</v>
      </c>
      <c r="E490" s="391">
        <f t="shared" ca="1" si="43"/>
        <v>11</v>
      </c>
      <c r="F490" s="125"/>
      <c r="J490" s="130"/>
      <c r="K490" s="132"/>
      <c r="L490" s="413"/>
      <c r="M490" s="413"/>
      <c r="N490" s="414"/>
      <c r="O490" s="415"/>
      <c r="P490" s="133"/>
      <c r="Q490" s="130"/>
      <c r="R490" s="132"/>
      <c r="S490" s="132"/>
      <c r="T490" s="130"/>
    </row>
    <row r="491" spans="1:20" s="131" customFormat="1" ht="14.1" customHeight="1" x14ac:dyDescent="0.25">
      <c r="A491" s="390">
        <f ca="1">IF($H491="UNIDADE CONSTRUTIVA",OFFSET(A491,-1,0)+1,LARGE(A$3:A490,1))</f>
        <v>0</v>
      </c>
      <c r="B491" s="390">
        <f t="shared" ca="1" si="40"/>
        <v>3</v>
      </c>
      <c r="C491" s="390">
        <f t="shared" ca="1" si="41"/>
        <v>1</v>
      </c>
      <c r="D491" s="391">
        <f t="shared" ca="1" si="42"/>
        <v>2</v>
      </c>
      <c r="E491" s="391">
        <f t="shared" ca="1" si="43"/>
        <v>11</v>
      </c>
      <c r="F491" s="125"/>
      <c r="J491" s="130"/>
      <c r="K491" s="132"/>
      <c r="L491" s="413"/>
      <c r="M491" s="413"/>
      <c r="N491" s="414"/>
      <c r="O491" s="415"/>
      <c r="P491" s="133"/>
      <c r="Q491" s="130"/>
      <c r="R491" s="132"/>
      <c r="S491" s="132"/>
      <c r="T491" s="130"/>
    </row>
    <row r="492" spans="1:20" s="131" customFormat="1" ht="14.1" customHeight="1" x14ac:dyDescent="0.25">
      <c r="A492" s="390">
        <f ca="1">IF($H492="UNIDADE CONSTRUTIVA",OFFSET(A492,-1,0)+1,LARGE(A$3:A491,1))</f>
        <v>0</v>
      </c>
      <c r="B492" s="390">
        <f t="shared" ca="1" si="40"/>
        <v>3</v>
      </c>
      <c r="C492" s="390">
        <f t="shared" ca="1" si="41"/>
        <v>1</v>
      </c>
      <c r="D492" s="391">
        <f t="shared" ca="1" si="42"/>
        <v>2</v>
      </c>
      <c r="E492" s="391">
        <f t="shared" ca="1" si="43"/>
        <v>11</v>
      </c>
      <c r="F492" s="125"/>
      <c r="J492" s="130"/>
      <c r="K492" s="132"/>
      <c r="L492" s="413"/>
      <c r="M492" s="413"/>
      <c r="N492" s="414"/>
      <c r="O492" s="415"/>
      <c r="P492" s="133"/>
      <c r="Q492" s="130"/>
      <c r="R492" s="132"/>
      <c r="S492" s="132"/>
      <c r="T492" s="130"/>
    </row>
    <row r="493" spans="1:20" s="131" customFormat="1" ht="14.1" customHeight="1" x14ac:dyDescent="0.25">
      <c r="A493" s="390">
        <f ca="1">IF($H493="UNIDADE CONSTRUTIVA",OFFSET(A493,-1,0)+1,LARGE(A$3:A492,1))</f>
        <v>0</v>
      </c>
      <c r="B493" s="390">
        <f t="shared" ca="1" si="40"/>
        <v>3</v>
      </c>
      <c r="C493" s="390">
        <f t="shared" ca="1" si="41"/>
        <v>1</v>
      </c>
      <c r="D493" s="391">
        <f t="shared" ca="1" si="42"/>
        <v>2</v>
      </c>
      <c r="E493" s="391">
        <f t="shared" ca="1" si="43"/>
        <v>11</v>
      </c>
      <c r="F493" s="125"/>
      <c r="J493" s="130"/>
      <c r="K493" s="132"/>
      <c r="L493" s="413"/>
      <c r="M493" s="413"/>
      <c r="N493" s="414"/>
      <c r="O493" s="415"/>
      <c r="P493" s="133"/>
      <c r="Q493" s="130"/>
      <c r="R493" s="132"/>
      <c r="S493" s="132"/>
      <c r="T493" s="130"/>
    </row>
    <row r="494" spans="1:20" s="131" customFormat="1" ht="14.1" customHeight="1" x14ac:dyDescent="0.25">
      <c r="A494" s="390">
        <f ca="1">IF($H494="UNIDADE CONSTRUTIVA",OFFSET(A494,-1,0)+1,LARGE(A$3:A493,1))</f>
        <v>0</v>
      </c>
      <c r="B494" s="390">
        <f t="shared" ca="1" si="40"/>
        <v>3</v>
      </c>
      <c r="C494" s="390">
        <f t="shared" ca="1" si="41"/>
        <v>1</v>
      </c>
      <c r="D494" s="391">
        <f t="shared" ca="1" si="42"/>
        <v>2</v>
      </c>
      <c r="E494" s="391">
        <f t="shared" ca="1" si="43"/>
        <v>11</v>
      </c>
      <c r="F494" s="125"/>
      <c r="J494" s="130"/>
      <c r="K494" s="132"/>
      <c r="L494" s="413"/>
      <c r="M494" s="413"/>
      <c r="N494" s="414"/>
      <c r="O494" s="415"/>
      <c r="P494" s="133"/>
      <c r="Q494" s="130"/>
      <c r="R494" s="132"/>
      <c r="S494" s="132"/>
      <c r="T494" s="130"/>
    </row>
    <row r="495" spans="1:20" s="131" customFormat="1" ht="14.1" customHeight="1" x14ac:dyDescent="0.25">
      <c r="A495" s="390">
        <f ca="1">IF($H495="UNIDADE CONSTRUTIVA",OFFSET(A495,-1,0)+1,LARGE(A$3:A494,1))</f>
        <v>0</v>
      </c>
      <c r="B495" s="390">
        <f t="shared" ca="1" si="40"/>
        <v>3</v>
      </c>
      <c r="C495" s="390">
        <f t="shared" ca="1" si="41"/>
        <v>1</v>
      </c>
      <c r="D495" s="391">
        <f t="shared" ca="1" si="42"/>
        <v>2</v>
      </c>
      <c r="E495" s="391">
        <f t="shared" ca="1" si="43"/>
        <v>11</v>
      </c>
      <c r="F495" s="125"/>
      <c r="J495" s="130"/>
      <c r="K495" s="132"/>
      <c r="L495" s="413"/>
      <c r="M495" s="413"/>
      <c r="N495" s="414"/>
      <c r="O495" s="415"/>
      <c r="P495" s="133"/>
      <c r="Q495" s="130"/>
      <c r="R495" s="132"/>
      <c r="S495" s="132"/>
      <c r="T495" s="130"/>
    </row>
    <row r="496" spans="1:20" s="131" customFormat="1" ht="14.1" customHeight="1" x14ac:dyDescent="0.25">
      <c r="A496" s="390">
        <f ca="1">IF($H496="UNIDADE CONSTRUTIVA",OFFSET(A496,-1,0)+1,LARGE(A$3:A495,1))</f>
        <v>0</v>
      </c>
      <c r="B496" s="390">
        <f t="shared" ca="1" si="40"/>
        <v>3</v>
      </c>
      <c r="C496" s="390">
        <f t="shared" ca="1" si="41"/>
        <v>1</v>
      </c>
      <c r="D496" s="391">
        <f t="shared" ca="1" si="42"/>
        <v>2</v>
      </c>
      <c r="E496" s="391">
        <f t="shared" ca="1" si="43"/>
        <v>11</v>
      </c>
      <c r="F496" s="125"/>
      <c r="J496" s="130"/>
      <c r="K496" s="132"/>
      <c r="L496" s="413"/>
      <c r="M496" s="413"/>
      <c r="N496" s="414"/>
      <c r="O496" s="415"/>
      <c r="P496" s="133"/>
      <c r="Q496" s="130"/>
      <c r="R496" s="132"/>
      <c r="S496" s="132"/>
      <c r="T496" s="130"/>
    </row>
    <row r="497" spans="1:20" s="131" customFormat="1" ht="14.1" customHeight="1" x14ac:dyDescent="0.25">
      <c r="A497" s="390">
        <f ca="1">IF($H497="UNIDADE CONSTRUTIVA",OFFSET(A497,-1,0)+1,LARGE(A$3:A496,1))</f>
        <v>0</v>
      </c>
      <c r="B497" s="390">
        <f t="shared" ca="1" si="40"/>
        <v>3</v>
      </c>
      <c r="C497" s="390">
        <f t="shared" ca="1" si="41"/>
        <v>1</v>
      </c>
      <c r="D497" s="391">
        <f t="shared" ca="1" si="42"/>
        <v>2</v>
      </c>
      <c r="E497" s="391">
        <f t="shared" ca="1" si="43"/>
        <v>11</v>
      </c>
      <c r="F497" s="125"/>
      <c r="J497" s="130"/>
      <c r="K497" s="132"/>
      <c r="L497" s="413"/>
      <c r="M497" s="413"/>
      <c r="N497" s="414"/>
      <c r="O497" s="415"/>
      <c r="P497" s="133"/>
      <c r="Q497" s="130"/>
      <c r="R497" s="132"/>
      <c r="S497" s="132"/>
      <c r="T497" s="130"/>
    </row>
    <row r="498" spans="1:20" s="131" customFormat="1" ht="14.1" customHeight="1" x14ac:dyDescent="0.25">
      <c r="A498" s="390">
        <f ca="1">IF($H498="UNIDADE CONSTRUTIVA",OFFSET(A498,-1,0)+1,LARGE(A$3:A497,1))</f>
        <v>0</v>
      </c>
      <c r="B498" s="390">
        <f t="shared" ca="1" si="40"/>
        <v>3</v>
      </c>
      <c r="C498" s="390">
        <f t="shared" ca="1" si="41"/>
        <v>1</v>
      </c>
      <c r="D498" s="391">
        <f t="shared" ca="1" si="42"/>
        <v>2</v>
      </c>
      <c r="E498" s="391">
        <f t="shared" ca="1" si="43"/>
        <v>11</v>
      </c>
      <c r="F498" s="125"/>
      <c r="J498" s="130"/>
      <c r="K498" s="132"/>
      <c r="L498" s="413"/>
      <c r="M498" s="413"/>
      <c r="N498" s="414"/>
      <c r="O498" s="415"/>
      <c r="P498" s="133"/>
      <c r="Q498" s="130"/>
      <c r="R498" s="132"/>
      <c r="S498" s="132"/>
      <c r="T498" s="130"/>
    </row>
    <row r="499" spans="1:20" s="131" customFormat="1" ht="14.1" customHeight="1" x14ac:dyDescent="0.25">
      <c r="A499" s="390">
        <f ca="1">IF($H499="UNIDADE CONSTRUTIVA",OFFSET(A499,-1,0)+1,LARGE(A$3:A498,1))</f>
        <v>0</v>
      </c>
      <c r="B499" s="390">
        <f t="shared" ca="1" si="40"/>
        <v>3</v>
      </c>
      <c r="C499" s="390">
        <f t="shared" ca="1" si="41"/>
        <v>1</v>
      </c>
      <c r="D499" s="391">
        <f t="shared" ca="1" si="42"/>
        <v>2</v>
      </c>
      <c r="E499" s="391">
        <f t="shared" ca="1" si="43"/>
        <v>11</v>
      </c>
      <c r="F499" s="125"/>
      <c r="J499" s="130"/>
      <c r="K499" s="132"/>
      <c r="L499" s="413"/>
      <c r="M499" s="413"/>
      <c r="N499" s="414"/>
      <c r="O499" s="415"/>
      <c r="P499" s="133"/>
      <c r="Q499" s="130"/>
      <c r="R499" s="132"/>
      <c r="S499" s="132"/>
      <c r="T499" s="130"/>
    </row>
    <row r="500" spans="1:20" s="131" customFormat="1" ht="14.1" customHeight="1" x14ac:dyDescent="0.25">
      <c r="A500" s="390">
        <f ca="1">IF($H500="UNIDADE CONSTRUTIVA",OFFSET(A500,-1,0)+1,LARGE(A$3:A499,1))</f>
        <v>0</v>
      </c>
      <c r="B500" s="390">
        <f t="shared" ca="1" si="40"/>
        <v>3</v>
      </c>
      <c r="C500" s="390">
        <f t="shared" ca="1" si="41"/>
        <v>1</v>
      </c>
      <c r="D500" s="391">
        <f t="shared" ca="1" si="42"/>
        <v>2</v>
      </c>
      <c r="E500" s="391">
        <f t="shared" ca="1" si="43"/>
        <v>11</v>
      </c>
      <c r="F500" s="125"/>
      <c r="J500" s="130"/>
      <c r="K500" s="132"/>
      <c r="L500" s="413"/>
      <c r="M500" s="413"/>
      <c r="N500" s="414"/>
      <c r="O500" s="415"/>
      <c r="P500" s="133"/>
      <c r="Q500" s="130"/>
      <c r="R500" s="132"/>
      <c r="S500" s="132"/>
      <c r="T500" s="130"/>
    </row>
    <row r="501" spans="1:20" s="131" customFormat="1" ht="14.1" customHeight="1" x14ac:dyDescent="0.25">
      <c r="A501" s="390">
        <f ca="1">IF($H501="UNIDADE CONSTRUTIVA",OFFSET(A501,-1,0)+1,LARGE(A$3:A500,1))</f>
        <v>0</v>
      </c>
      <c r="B501" s="390">
        <f t="shared" ca="1" si="40"/>
        <v>3</v>
      </c>
      <c r="C501" s="390">
        <f t="shared" ca="1" si="41"/>
        <v>1</v>
      </c>
      <c r="D501" s="391">
        <f t="shared" ca="1" si="42"/>
        <v>2</v>
      </c>
      <c r="E501" s="391">
        <f t="shared" ca="1" si="43"/>
        <v>11</v>
      </c>
      <c r="F501" s="125"/>
      <c r="J501" s="130"/>
      <c r="K501" s="132"/>
      <c r="L501" s="413"/>
      <c r="M501" s="413"/>
      <c r="N501" s="414"/>
      <c r="O501" s="415"/>
      <c r="P501" s="133"/>
      <c r="Q501" s="130"/>
      <c r="R501" s="132"/>
      <c r="S501" s="132"/>
      <c r="T501" s="130"/>
    </row>
    <row r="502" spans="1:20" s="131" customFormat="1" ht="14.1" customHeight="1" x14ac:dyDescent="0.25">
      <c r="A502" s="390">
        <f ca="1">IF($H502="UNIDADE CONSTRUTIVA",OFFSET(A502,-1,0)+1,LARGE(A$3:A501,1))</f>
        <v>0</v>
      </c>
      <c r="B502" s="390">
        <f t="shared" ca="1" si="40"/>
        <v>3</v>
      </c>
      <c r="C502" s="390">
        <f t="shared" ca="1" si="41"/>
        <v>1</v>
      </c>
      <c r="D502" s="391">
        <f t="shared" ca="1" si="42"/>
        <v>2</v>
      </c>
      <c r="E502" s="391">
        <f t="shared" ca="1" si="43"/>
        <v>11</v>
      </c>
      <c r="F502" s="125"/>
      <c r="J502" s="130"/>
      <c r="K502" s="132"/>
      <c r="L502" s="413"/>
      <c r="M502" s="413"/>
      <c r="N502" s="414"/>
      <c r="O502" s="415"/>
      <c r="P502" s="133"/>
      <c r="Q502" s="130"/>
      <c r="R502" s="132"/>
      <c r="S502" s="132"/>
      <c r="T502" s="130"/>
    </row>
    <row r="503" spans="1:20" s="131" customFormat="1" ht="14.1" customHeight="1" x14ac:dyDescent="0.25">
      <c r="A503" s="390">
        <f ca="1">IF($H503="UNIDADE CONSTRUTIVA",OFFSET(A503,-1,0)+1,LARGE(A$3:A502,1))</f>
        <v>0</v>
      </c>
      <c r="B503" s="390">
        <f t="shared" ca="1" si="40"/>
        <v>3</v>
      </c>
      <c r="C503" s="390">
        <f t="shared" ca="1" si="41"/>
        <v>1</v>
      </c>
      <c r="D503" s="391">
        <f t="shared" ca="1" si="42"/>
        <v>2</v>
      </c>
      <c r="E503" s="391">
        <f t="shared" ca="1" si="43"/>
        <v>11</v>
      </c>
      <c r="F503" s="125"/>
      <c r="J503" s="130"/>
      <c r="K503" s="132"/>
      <c r="L503" s="413"/>
      <c r="M503" s="413"/>
      <c r="N503" s="414"/>
      <c r="O503" s="415"/>
      <c r="P503" s="133"/>
      <c r="Q503" s="130"/>
      <c r="R503" s="132"/>
      <c r="S503" s="132"/>
      <c r="T503" s="130"/>
    </row>
    <row r="504" spans="1:20" s="131" customFormat="1" ht="14.1" customHeight="1" x14ac:dyDescent="0.25">
      <c r="A504" s="390">
        <f ca="1">IF($H504="UNIDADE CONSTRUTIVA",OFFSET(A504,-1,0)+1,LARGE(A$3:A503,1))</f>
        <v>0</v>
      </c>
      <c r="B504" s="390">
        <f t="shared" ca="1" si="40"/>
        <v>3</v>
      </c>
      <c r="C504" s="390">
        <f t="shared" ca="1" si="41"/>
        <v>1</v>
      </c>
      <c r="D504" s="391">
        <f t="shared" ca="1" si="42"/>
        <v>2</v>
      </c>
      <c r="E504" s="391">
        <f t="shared" ca="1" si="43"/>
        <v>11</v>
      </c>
      <c r="F504" s="125"/>
      <c r="J504" s="130"/>
      <c r="K504" s="132"/>
      <c r="L504" s="413"/>
      <c r="M504" s="413"/>
      <c r="N504" s="414"/>
      <c r="O504" s="415"/>
      <c r="P504" s="133"/>
      <c r="Q504" s="130"/>
      <c r="R504" s="132"/>
      <c r="S504" s="132"/>
      <c r="T504" s="130"/>
    </row>
    <row r="505" spans="1:20" s="131" customFormat="1" ht="14.1" customHeight="1" x14ac:dyDescent="0.25">
      <c r="A505" s="390">
        <f ca="1">IF($H505="UNIDADE CONSTRUTIVA",OFFSET(A505,-1,0)+1,LARGE(A$3:A504,1))</f>
        <v>0</v>
      </c>
      <c r="B505" s="390">
        <f t="shared" ca="1" si="40"/>
        <v>3</v>
      </c>
      <c r="C505" s="390">
        <f t="shared" ca="1" si="41"/>
        <v>1</v>
      </c>
      <c r="D505" s="391">
        <f t="shared" ca="1" si="42"/>
        <v>2</v>
      </c>
      <c r="E505" s="391">
        <f t="shared" ca="1" si="43"/>
        <v>11</v>
      </c>
      <c r="F505" s="125"/>
      <c r="J505" s="130"/>
      <c r="K505" s="132"/>
      <c r="L505" s="413"/>
      <c r="M505" s="413"/>
      <c r="N505" s="414"/>
      <c r="O505" s="415"/>
      <c r="P505" s="133"/>
      <c r="Q505" s="130"/>
      <c r="R505" s="132"/>
      <c r="S505" s="132"/>
      <c r="T505" s="130"/>
    </row>
    <row r="506" spans="1:20" s="131" customFormat="1" ht="14.1" customHeight="1" x14ac:dyDescent="0.25">
      <c r="A506" s="390">
        <f ca="1">IF($H506="UNIDADE CONSTRUTIVA",OFFSET(A506,-1,0)+1,LARGE(A$3:A505,1))</f>
        <v>0</v>
      </c>
      <c r="B506" s="390">
        <f t="shared" ca="1" si="40"/>
        <v>3</v>
      </c>
      <c r="C506" s="390">
        <f t="shared" ca="1" si="41"/>
        <v>1</v>
      </c>
      <c r="D506" s="391">
        <f t="shared" ca="1" si="42"/>
        <v>2</v>
      </c>
      <c r="E506" s="391">
        <f t="shared" ca="1" si="43"/>
        <v>11</v>
      </c>
      <c r="F506" s="125"/>
      <c r="J506" s="130"/>
      <c r="K506" s="132"/>
      <c r="L506" s="413"/>
      <c r="M506" s="413"/>
      <c r="N506" s="414"/>
      <c r="O506" s="415"/>
      <c r="P506" s="133"/>
      <c r="Q506" s="130"/>
      <c r="R506" s="132"/>
      <c r="S506" s="132"/>
      <c r="T506" s="130"/>
    </row>
    <row r="507" spans="1:20" s="131" customFormat="1" ht="14.1" customHeight="1" x14ac:dyDescent="0.25">
      <c r="A507" s="390">
        <f ca="1">IF($H507="UNIDADE CONSTRUTIVA",OFFSET(A507,-1,0)+1,LARGE(A$3:A506,1))</f>
        <v>0</v>
      </c>
      <c r="B507" s="390">
        <f t="shared" ca="1" si="40"/>
        <v>3</v>
      </c>
      <c r="C507" s="390">
        <f t="shared" ca="1" si="41"/>
        <v>1</v>
      </c>
      <c r="D507" s="391">
        <f t="shared" ca="1" si="42"/>
        <v>2</v>
      </c>
      <c r="E507" s="391">
        <f t="shared" ca="1" si="43"/>
        <v>11</v>
      </c>
      <c r="F507" s="125"/>
      <c r="J507" s="130"/>
      <c r="K507" s="132"/>
      <c r="L507" s="413"/>
      <c r="M507" s="413"/>
      <c r="N507" s="414"/>
      <c r="O507" s="415"/>
      <c r="P507" s="133"/>
      <c r="Q507" s="130"/>
      <c r="R507" s="132"/>
      <c r="S507" s="132"/>
      <c r="T507" s="130"/>
    </row>
    <row r="508" spans="1:20" s="131" customFormat="1" ht="14.1" customHeight="1" x14ac:dyDescent="0.25">
      <c r="A508" s="390">
        <f ca="1">IF($H508="UNIDADE CONSTRUTIVA",OFFSET(A508,-1,0)+1,LARGE(A$3:A507,1))</f>
        <v>0</v>
      </c>
      <c r="B508" s="390">
        <f t="shared" ca="1" si="40"/>
        <v>3</v>
      </c>
      <c r="C508" s="390">
        <f t="shared" ca="1" si="41"/>
        <v>1</v>
      </c>
      <c r="D508" s="391">
        <f t="shared" ca="1" si="42"/>
        <v>2</v>
      </c>
      <c r="E508" s="391">
        <f t="shared" ca="1" si="43"/>
        <v>11</v>
      </c>
      <c r="F508" s="125"/>
      <c r="J508" s="130"/>
      <c r="K508" s="132"/>
      <c r="L508" s="413"/>
      <c r="M508" s="413"/>
      <c r="N508" s="414"/>
      <c r="O508" s="415"/>
      <c r="P508" s="133"/>
      <c r="Q508" s="130"/>
      <c r="R508" s="132"/>
      <c r="S508" s="132"/>
      <c r="T508" s="130"/>
    </row>
    <row r="509" spans="1:20" s="131" customFormat="1" ht="14.1" customHeight="1" x14ac:dyDescent="0.25">
      <c r="A509" s="390">
        <f ca="1">IF($H509="UNIDADE CONSTRUTIVA",OFFSET(A509,-1,0)+1,LARGE(A$3:A508,1))</f>
        <v>0</v>
      </c>
      <c r="B509" s="390">
        <f t="shared" ca="1" si="40"/>
        <v>3</v>
      </c>
      <c r="C509" s="390">
        <f t="shared" ca="1" si="41"/>
        <v>1</v>
      </c>
      <c r="D509" s="391">
        <f t="shared" ca="1" si="42"/>
        <v>2</v>
      </c>
      <c r="E509" s="391">
        <f t="shared" ca="1" si="43"/>
        <v>11</v>
      </c>
      <c r="F509" s="125"/>
      <c r="J509" s="130"/>
      <c r="K509" s="132"/>
      <c r="L509" s="413"/>
      <c r="M509" s="413"/>
      <c r="N509" s="414"/>
      <c r="O509" s="415"/>
      <c r="P509" s="133"/>
      <c r="Q509" s="130"/>
      <c r="R509" s="132"/>
      <c r="S509" s="132"/>
      <c r="T509" s="130"/>
    </row>
    <row r="510" spans="1:20" s="131" customFormat="1" ht="14.1" customHeight="1" x14ac:dyDescent="0.25">
      <c r="A510" s="390">
        <f ca="1">IF($H510="UNIDADE CONSTRUTIVA",OFFSET(A510,-1,0)+1,LARGE(A$3:A509,1))</f>
        <v>0</v>
      </c>
      <c r="B510" s="390">
        <f t="shared" ca="1" si="40"/>
        <v>3</v>
      </c>
      <c r="C510" s="390">
        <f t="shared" ca="1" si="41"/>
        <v>1</v>
      </c>
      <c r="D510" s="391">
        <f t="shared" ca="1" si="42"/>
        <v>2</v>
      </c>
      <c r="E510" s="391">
        <f t="shared" ca="1" si="43"/>
        <v>11</v>
      </c>
      <c r="F510" s="125"/>
      <c r="J510" s="130"/>
      <c r="K510" s="132"/>
      <c r="L510" s="413"/>
      <c r="M510" s="413"/>
      <c r="N510" s="414"/>
      <c r="O510" s="415"/>
      <c r="P510" s="133"/>
      <c r="Q510" s="130"/>
      <c r="R510" s="132"/>
      <c r="S510" s="132"/>
      <c r="T510" s="130"/>
    </row>
    <row r="511" spans="1:20" s="131" customFormat="1" ht="14.1" customHeight="1" x14ac:dyDescent="0.25">
      <c r="A511" s="390">
        <f ca="1">IF($H511="UNIDADE CONSTRUTIVA",OFFSET(A511,-1,0)+1,LARGE(A$3:A510,1))</f>
        <v>0</v>
      </c>
      <c r="B511" s="390">
        <f t="shared" ca="1" si="40"/>
        <v>3</v>
      </c>
      <c r="C511" s="390">
        <f t="shared" ca="1" si="41"/>
        <v>1</v>
      </c>
      <c r="D511" s="391">
        <f t="shared" ca="1" si="42"/>
        <v>2</v>
      </c>
      <c r="E511" s="391">
        <f t="shared" ca="1" si="43"/>
        <v>11</v>
      </c>
      <c r="F511" s="125"/>
      <c r="J511" s="130"/>
      <c r="K511" s="132"/>
      <c r="L511" s="413"/>
      <c r="M511" s="413"/>
      <c r="N511" s="414"/>
      <c r="O511" s="415"/>
      <c r="P511" s="133"/>
      <c r="Q511" s="130"/>
      <c r="R511" s="132"/>
      <c r="S511" s="132"/>
      <c r="T511" s="130"/>
    </row>
    <row r="512" spans="1:20" s="131" customFormat="1" ht="14.1" customHeight="1" x14ac:dyDescent="0.25">
      <c r="A512" s="390">
        <f ca="1">IF($H512="UNIDADE CONSTRUTIVA",OFFSET(A512,-1,0)+1,LARGE(A$3:A511,1))</f>
        <v>0</v>
      </c>
      <c r="B512" s="390">
        <f t="shared" ca="1" si="40"/>
        <v>3</v>
      </c>
      <c r="C512" s="390">
        <f t="shared" ca="1" si="41"/>
        <v>1</v>
      </c>
      <c r="D512" s="391">
        <f t="shared" ca="1" si="42"/>
        <v>2</v>
      </c>
      <c r="E512" s="391">
        <f t="shared" ca="1" si="43"/>
        <v>11</v>
      </c>
      <c r="F512" s="125"/>
      <c r="J512" s="130"/>
      <c r="K512" s="132"/>
      <c r="L512" s="413"/>
      <c r="M512" s="413"/>
      <c r="N512" s="414"/>
      <c r="O512" s="415"/>
      <c r="P512" s="133"/>
      <c r="Q512" s="130"/>
      <c r="R512" s="132"/>
      <c r="S512" s="132"/>
      <c r="T512" s="130"/>
    </row>
    <row r="513" spans="1:20" s="131" customFormat="1" ht="14.1" customHeight="1" x14ac:dyDescent="0.25">
      <c r="A513" s="390">
        <f ca="1">IF($H513="UNIDADE CONSTRUTIVA",OFFSET(A513,-1,0)+1,LARGE(A$3:A512,1))</f>
        <v>0</v>
      </c>
      <c r="B513" s="390">
        <f t="shared" ca="1" si="40"/>
        <v>3</v>
      </c>
      <c r="C513" s="390">
        <f t="shared" ca="1" si="41"/>
        <v>1</v>
      </c>
      <c r="D513" s="391">
        <f t="shared" ca="1" si="42"/>
        <v>2</v>
      </c>
      <c r="E513" s="391">
        <f t="shared" ca="1" si="43"/>
        <v>11</v>
      </c>
      <c r="F513" s="125"/>
      <c r="J513" s="130"/>
      <c r="K513" s="132"/>
      <c r="L513" s="413"/>
      <c r="M513" s="413"/>
      <c r="N513" s="414"/>
      <c r="O513" s="415"/>
      <c r="P513" s="133"/>
      <c r="Q513" s="130"/>
      <c r="R513" s="132"/>
      <c r="S513" s="132"/>
      <c r="T513" s="130"/>
    </row>
    <row r="514" spans="1:20" s="131" customFormat="1" ht="14.1" customHeight="1" x14ac:dyDescent="0.25">
      <c r="A514" s="390">
        <f ca="1">IF($H514="UNIDADE CONSTRUTIVA",OFFSET(A514,-1,0)+1,LARGE(A$3:A513,1))</f>
        <v>0</v>
      </c>
      <c r="B514" s="390">
        <f t="shared" ca="1" si="40"/>
        <v>3</v>
      </c>
      <c r="C514" s="390">
        <f t="shared" ca="1" si="41"/>
        <v>1</v>
      </c>
      <c r="D514" s="391">
        <f t="shared" ca="1" si="42"/>
        <v>2</v>
      </c>
      <c r="E514" s="391">
        <f t="shared" ca="1" si="43"/>
        <v>11</v>
      </c>
      <c r="F514" s="125"/>
      <c r="J514" s="130"/>
      <c r="K514" s="132"/>
      <c r="L514" s="413"/>
      <c r="M514" s="413"/>
      <c r="N514" s="414"/>
      <c r="O514" s="415"/>
      <c r="P514" s="133"/>
      <c r="Q514" s="130"/>
      <c r="R514" s="132"/>
      <c r="S514" s="132"/>
      <c r="T514" s="130"/>
    </row>
    <row r="515" spans="1:20" s="131" customFormat="1" ht="14.1" customHeight="1" x14ac:dyDescent="0.25">
      <c r="A515" s="390">
        <f ca="1">IF($H515="UNIDADE CONSTRUTIVA",OFFSET(A515,-1,0)+1,LARGE(A$3:A514,1))</f>
        <v>0</v>
      </c>
      <c r="B515" s="390">
        <f t="shared" ca="1" si="40"/>
        <v>3</v>
      </c>
      <c r="C515" s="390">
        <f t="shared" ca="1" si="41"/>
        <v>1</v>
      </c>
      <c r="D515" s="391">
        <f t="shared" ca="1" si="42"/>
        <v>2</v>
      </c>
      <c r="E515" s="391">
        <f t="shared" ca="1" si="43"/>
        <v>11</v>
      </c>
      <c r="F515" s="125"/>
      <c r="J515" s="130"/>
      <c r="K515" s="132"/>
      <c r="L515" s="413"/>
      <c r="M515" s="413"/>
      <c r="N515" s="414"/>
      <c r="O515" s="415"/>
      <c r="P515" s="133"/>
      <c r="Q515" s="130"/>
      <c r="R515" s="132"/>
      <c r="S515" s="132"/>
      <c r="T515" s="130"/>
    </row>
    <row r="516" spans="1:20" s="131" customFormat="1" ht="14.1" customHeight="1" x14ac:dyDescent="0.25">
      <c r="A516" s="390">
        <f ca="1">IF($H516="UNIDADE CONSTRUTIVA",OFFSET(A516,-1,0)+1,LARGE(A$3:A515,1))</f>
        <v>0</v>
      </c>
      <c r="B516" s="390">
        <f t="shared" ca="1" si="40"/>
        <v>3</v>
      </c>
      <c r="C516" s="390">
        <f t="shared" ca="1" si="41"/>
        <v>1</v>
      </c>
      <c r="D516" s="391">
        <f t="shared" ca="1" si="42"/>
        <v>2</v>
      </c>
      <c r="E516" s="391">
        <f t="shared" ca="1" si="43"/>
        <v>11</v>
      </c>
      <c r="F516" s="125"/>
      <c r="J516" s="130"/>
      <c r="K516" s="132"/>
      <c r="L516" s="413"/>
      <c r="M516" s="413"/>
      <c r="N516" s="414"/>
      <c r="O516" s="415"/>
      <c r="P516" s="133"/>
      <c r="Q516" s="130"/>
      <c r="R516" s="132"/>
      <c r="S516" s="132"/>
      <c r="T516" s="130"/>
    </row>
    <row r="517" spans="1:20" s="131" customFormat="1" ht="14.1" customHeight="1" x14ac:dyDescent="0.25">
      <c r="A517" s="390">
        <f ca="1">IF($H517="UNIDADE CONSTRUTIVA",OFFSET(A517,-1,0)+1,LARGE(A$3:A516,1))</f>
        <v>0</v>
      </c>
      <c r="B517" s="390">
        <f t="shared" ca="1" si="40"/>
        <v>3</v>
      </c>
      <c r="C517" s="390">
        <f t="shared" ca="1" si="41"/>
        <v>1</v>
      </c>
      <c r="D517" s="391">
        <f t="shared" ca="1" si="42"/>
        <v>2</v>
      </c>
      <c r="E517" s="391">
        <f t="shared" ca="1" si="43"/>
        <v>11</v>
      </c>
      <c r="F517" s="125"/>
      <c r="J517" s="130"/>
      <c r="K517" s="132"/>
      <c r="L517" s="413"/>
      <c r="M517" s="413"/>
      <c r="N517" s="414"/>
      <c r="O517" s="415"/>
      <c r="P517" s="133"/>
      <c r="Q517" s="130"/>
      <c r="R517" s="132"/>
      <c r="S517" s="132"/>
      <c r="T517" s="130"/>
    </row>
    <row r="518" spans="1:20" s="131" customFormat="1" ht="14.1" customHeight="1" x14ac:dyDescent="0.25">
      <c r="A518" s="390">
        <f ca="1">IF($H518="UNIDADE CONSTRUTIVA",OFFSET(A518,-1,0)+1,LARGE(A$3:A517,1))</f>
        <v>0</v>
      </c>
      <c r="B518" s="390">
        <f t="shared" ca="1" si="40"/>
        <v>3</v>
      </c>
      <c r="C518" s="390">
        <f t="shared" ca="1" si="41"/>
        <v>1</v>
      </c>
      <c r="D518" s="391">
        <f t="shared" ca="1" si="42"/>
        <v>2</v>
      </c>
      <c r="E518" s="391">
        <f t="shared" ca="1" si="43"/>
        <v>11</v>
      </c>
      <c r="F518" s="125"/>
      <c r="J518" s="130"/>
      <c r="K518" s="132"/>
      <c r="L518" s="413"/>
      <c r="M518" s="413"/>
      <c r="N518" s="414"/>
      <c r="O518" s="415"/>
      <c r="P518" s="133"/>
      <c r="Q518" s="130"/>
      <c r="R518" s="132"/>
      <c r="S518" s="132"/>
      <c r="T518" s="130"/>
    </row>
    <row r="519" spans="1:20" s="131" customFormat="1" ht="14.1" customHeight="1" x14ac:dyDescent="0.25">
      <c r="A519" s="390">
        <f ca="1">IF($H519="UNIDADE CONSTRUTIVA",OFFSET(A519,-1,0)+1,LARGE(A$3:A518,1))</f>
        <v>0</v>
      </c>
      <c r="B519" s="390">
        <f t="shared" ca="1" si="40"/>
        <v>3</v>
      </c>
      <c r="C519" s="390">
        <f t="shared" ca="1" si="41"/>
        <v>1</v>
      </c>
      <c r="D519" s="391">
        <f t="shared" ca="1" si="42"/>
        <v>2</v>
      </c>
      <c r="E519" s="391">
        <f t="shared" ca="1" si="43"/>
        <v>11</v>
      </c>
      <c r="F519" s="125"/>
      <c r="J519" s="130"/>
      <c r="K519" s="132"/>
      <c r="L519" s="413"/>
      <c r="M519" s="413"/>
      <c r="N519" s="414"/>
      <c r="O519" s="415"/>
      <c r="P519" s="133"/>
      <c r="Q519" s="130"/>
      <c r="R519" s="132"/>
      <c r="S519" s="132"/>
      <c r="T519" s="130"/>
    </row>
    <row r="520" spans="1:20" s="131" customFormat="1" ht="14.1" customHeight="1" x14ac:dyDescent="0.25">
      <c r="A520" s="390">
        <f ca="1">IF($H520="UNIDADE CONSTRUTIVA",OFFSET(A520,-1,0)+1,LARGE(A$3:A519,1))</f>
        <v>0</v>
      </c>
      <c r="B520" s="390">
        <f t="shared" ca="1" si="40"/>
        <v>3</v>
      </c>
      <c r="C520" s="390">
        <f t="shared" ca="1" si="41"/>
        <v>1</v>
      </c>
      <c r="D520" s="391">
        <f t="shared" ca="1" si="42"/>
        <v>2</v>
      </c>
      <c r="E520" s="391">
        <f t="shared" ca="1" si="43"/>
        <v>11</v>
      </c>
      <c r="F520" s="125"/>
      <c r="J520" s="130"/>
      <c r="K520" s="132"/>
      <c r="L520" s="413"/>
      <c r="M520" s="413"/>
      <c r="N520" s="414"/>
      <c r="O520" s="415"/>
      <c r="P520" s="133"/>
      <c r="Q520" s="130"/>
      <c r="R520" s="132"/>
      <c r="S520" s="132"/>
      <c r="T520" s="130"/>
    </row>
    <row r="521" spans="1:20" s="131" customFormat="1" ht="14.1" customHeight="1" x14ac:dyDescent="0.25">
      <c r="A521" s="390">
        <f ca="1">IF($H521="UNIDADE CONSTRUTIVA",OFFSET(A521,-1,0)+1,LARGE(A$3:A520,1))</f>
        <v>0</v>
      </c>
      <c r="B521" s="390">
        <f t="shared" ref="B521:B584" ca="1" si="44">IF(H521="UNIDADE CONSTRUTIVA",0,IF(H521="CÉLULA CONSTRUTIVA",OFFSET(B521,-1,0)+1,OFFSET(B521,-1,0)))</f>
        <v>3</v>
      </c>
      <c r="C521" s="390">
        <f t="shared" ref="C521:C584" ca="1" si="45">IF(H521="CÉLULA CONSTRUTIVA",0,IF(H521="ETAPA",OFFSET(C521,-1,0)+1,OFFSET(C521,-1,0)))</f>
        <v>1</v>
      </c>
      <c r="D521" s="391">
        <f t="shared" ref="D521:D584" ca="1" si="46">IF(H521="ETAPA",0,IF(H521="SUBETAPA",OFFSET(D521,-1,0)+1,OFFSET(D521,-1,0)))</f>
        <v>2</v>
      </c>
      <c r="E521" s="391">
        <f t="shared" ref="E521:E584" ca="1" si="47">IF(H521="Subetapa",0,IF(H521="serviço",OFFSET(E521,-1,0)+1,OFFSET(E521,-1,0)))</f>
        <v>11</v>
      </c>
      <c r="F521" s="125"/>
      <c r="J521" s="130"/>
      <c r="K521" s="132"/>
      <c r="L521" s="413"/>
      <c r="M521" s="413"/>
      <c r="N521" s="414"/>
      <c r="O521" s="415"/>
      <c r="P521" s="133"/>
      <c r="Q521" s="130"/>
      <c r="R521" s="132"/>
      <c r="S521" s="132"/>
      <c r="T521" s="130"/>
    </row>
    <row r="522" spans="1:20" s="131" customFormat="1" ht="14.1" customHeight="1" x14ac:dyDescent="0.25">
      <c r="A522" s="390">
        <f ca="1">IF($H522="UNIDADE CONSTRUTIVA",OFFSET(A522,-1,0)+1,LARGE(A$3:A521,1))</f>
        <v>0</v>
      </c>
      <c r="B522" s="390">
        <f t="shared" ca="1" si="44"/>
        <v>3</v>
      </c>
      <c r="C522" s="390">
        <f t="shared" ca="1" si="45"/>
        <v>1</v>
      </c>
      <c r="D522" s="391">
        <f t="shared" ca="1" si="46"/>
        <v>2</v>
      </c>
      <c r="E522" s="391">
        <f t="shared" ca="1" si="47"/>
        <v>11</v>
      </c>
      <c r="F522" s="125"/>
      <c r="J522" s="130"/>
      <c r="K522" s="132"/>
      <c r="L522" s="413"/>
      <c r="M522" s="413"/>
      <c r="N522" s="414"/>
      <c r="O522" s="415"/>
      <c r="P522" s="133"/>
      <c r="Q522" s="130"/>
      <c r="R522" s="132"/>
      <c r="S522" s="132"/>
      <c r="T522" s="130"/>
    </row>
    <row r="523" spans="1:20" s="131" customFormat="1" ht="14.1" customHeight="1" x14ac:dyDescent="0.25">
      <c r="A523" s="390">
        <f ca="1">IF($H523="UNIDADE CONSTRUTIVA",OFFSET(A523,-1,0)+1,LARGE(A$3:A522,1))</f>
        <v>0</v>
      </c>
      <c r="B523" s="390">
        <f t="shared" ca="1" si="44"/>
        <v>3</v>
      </c>
      <c r="C523" s="390">
        <f t="shared" ca="1" si="45"/>
        <v>1</v>
      </c>
      <c r="D523" s="391">
        <f t="shared" ca="1" si="46"/>
        <v>2</v>
      </c>
      <c r="E523" s="391">
        <f t="shared" ca="1" si="47"/>
        <v>11</v>
      </c>
      <c r="F523" s="125"/>
      <c r="J523" s="130"/>
      <c r="K523" s="132"/>
      <c r="L523" s="413"/>
      <c r="M523" s="413"/>
      <c r="N523" s="414"/>
      <c r="O523" s="415"/>
      <c r="P523" s="133"/>
      <c r="Q523" s="130"/>
      <c r="R523" s="132"/>
      <c r="S523" s="132"/>
      <c r="T523" s="130"/>
    </row>
    <row r="524" spans="1:20" s="131" customFormat="1" ht="14.1" customHeight="1" x14ac:dyDescent="0.25">
      <c r="A524" s="390">
        <f ca="1">IF($H524="UNIDADE CONSTRUTIVA",OFFSET(A524,-1,0)+1,LARGE(A$3:A523,1))</f>
        <v>0</v>
      </c>
      <c r="B524" s="390">
        <f t="shared" ca="1" si="44"/>
        <v>3</v>
      </c>
      <c r="C524" s="390">
        <f t="shared" ca="1" si="45"/>
        <v>1</v>
      </c>
      <c r="D524" s="391">
        <f t="shared" ca="1" si="46"/>
        <v>2</v>
      </c>
      <c r="E524" s="391">
        <f t="shared" ca="1" si="47"/>
        <v>11</v>
      </c>
      <c r="F524" s="125"/>
      <c r="J524" s="130"/>
      <c r="K524" s="132"/>
      <c r="L524" s="413"/>
      <c r="M524" s="413"/>
      <c r="N524" s="414"/>
      <c r="O524" s="415"/>
      <c r="P524" s="133"/>
      <c r="Q524" s="130"/>
      <c r="R524" s="132"/>
      <c r="S524" s="132"/>
      <c r="T524" s="130"/>
    </row>
    <row r="525" spans="1:20" s="131" customFormat="1" ht="14.1" customHeight="1" x14ac:dyDescent="0.25">
      <c r="A525" s="390">
        <f ca="1">IF($H525="UNIDADE CONSTRUTIVA",OFFSET(A525,-1,0)+1,LARGE(A$3:A524,1))</f>
        <v>0</v>
      </c>
      <c r="B525" s="390">
        <f t="shared" ca="1" si="44"/>
        <v>3</v>
      </c>
      <c r="C525" s="390">
        <f t="shared" ca="1" si="45"/>
        <v>1</v>
      </c>
      <c r="D525" s="391">
        <f t="shared" ca="1" si="46"/>
        <v>2</v>
      </c>
      <c r="E525" s="391">
        <f t="shared" ca="1" si="47"/>
        <v>11</v>
      </c>
      <c r="F525" s="125"/>
      <c r="J525" s="130"/>
      <c r="K525" s="132"/>
      <c r="L525" s="413"/>
      <c r="M525" s="413"/>
      <c r="N525" s="414"/>
      <c r="O525" s="415"/>
      <c r="P525" s="133"/>
      <c r="Q525" s="130"/>
      <c r="R525" s="132"/>
      <c r="S525" s="132"/>
      <c r="T525" s="130"/>
    </row>
    <row r="526" spans="1:20" s="131" customFormat="1" ht="14.1" customHeight="1" x14ac:dyDescent="0.25">
      <c r="A526" s="390">
        <f ca="1">IF($H526="UNIDADE CONSTRUTIVA",OFFSET(A526,-1,0)+1,LARGE(A$3:A525,1))</f>
        <v>0</v>
      </c>
      <c r="B526" s="390">
        <f t="shared" ca="1" si="44"/>
        <v>3</v>
      </c>
      <c r="C526" s="390">
        <f t="shared" ca="1" si="45"/>
        <v>1</v>
      </c>
      <c r="D526" s="391">
        <f t="shared" ca="1" si="46"/>
        <v>2</v>
      </c>
      <c r="E526" s="391">
        <f t="shared" ca="1" si="47"/>
        <v>11</v>
      </c>
      <c r="F526" s="125"/>
      <c r="J526" s="130"/>
      <c r="K526" s="132"/>
      <c r="L526" s="413"/>
      <c r="M526" s="413"/>
      <c r="N526" s="414"/>
      <c r="O526" s="415"/>
      <c r="P526" s="133"/>
      <c r="Q526" s="130"/>
      <c r="R526" s="132"/>
      <c r="S526" s="132"/>
      <c r="T526" s="130"/>
    </row>
    <row r="527" spans="1:20" s="131" customFormat="1" ht="14.1" customHeight="1" x14ac:dyDescent="0.25">
      <c r="A527" s="390">
        <f ca="1">IF($H527="UNIDADE CONSTRUTIVA",OFFSET(A527,-1,0)+1,LARGE(A$3:A526,1))</f>
        <v>0</v>
      </c>
      <c r="B527" s="390">
        <f t="shared" ca="1" si="44"/>
        <v>3</v>
      </c>
      <c r="C527" s="390">
        <f t="shared" ca="1" si="45"/>
        <v>1</v>
      </c>
      <c r="D527" s="391">
        <f t="shared" ca="1" si="46"/>
        <v>2</v>
      </c>
      <c r="E527" s="391">
        <f t="shared" ca="1" si="47"/>
        <v>11</v>
      </c>
      <c r="F527" s="125"/>
      <c r="J527" s="130"/>
      <c r="K527" s="132"/>
      <c r="L527" s="413"/>
      <c r="M527" s="413"/>
      <c r="N527" s="414"/>
      <c r="O527" s="415"/>
      <c r="P527" s="133"/>
      <c r="Q527" s="130"/>
      <c r="R527" s="132"/>
      <c r="S527" s="132"/>
      <c r="T527" s="130"/>
    </row>
    <row r="528" spans="1:20" s="131" customFormat="1" ht="14.1" customHeight="1" x14ac:dyDescent="0.25">
      <c r="A528" s="390">
        <f ca="1">IF($H528="UNIDADE CONSTRUTIVA",OFFSET(A528,-1,0)+1,LARGE(A$3:A527,1))</f>
        <v>0</v>
      </c>
      <c r="B528" s="390">
        <f t="shared" ca="1" si="44"/>
        <v>3</v>
      </c>
      <c r="C528" s="390">
        <f t="shared" ca="1" si="45"/>
        <v>1</v>
      </c>
      <c r="D528" s="391">
        <f t="shared" ca="1" si="46"/>
        <v>2</v>
      </c>
      <c r="E528" s="391">
        <f t="shared" ca="1" si="47"/>
        <v>11</v>
      </c>
      <c r="F528" s="125"/>
      <c r="J528" s="130"/>
      <c r="K528" s="132"/>
      <c r="L528" s="413"/>
      <c r="M528" s="413"/>
      <c r="N528" s="414"/>
      <c r="O528" s="415"/>
      <c r="P528" s="133"/>
      <c r="Q528" s="130"/>
      <c r="R528" s="132"/>
      <c r="S528" s="132"/>
      <c r="T528" s="130"/>
    </row>
    <row r="529" spans="1:20" s="131" customFormat="1" ht="14.1" customHeight="1" x14ac:dyDescent="0.25">
      <c r="A529" s="390">
        <f ca="1">IF($H529="UNIDADE CONSTRUTIVA",OFFSET(A529,-1,0)+1,LARGE(A$3:A528,1))</f>
        <v>0</v>
      </c>
      <c r="B529" s="390">
        <f t="shared" ca="1" si="44"/>
        <v>3</v>
      </c>
      <c r="C529" s="390">
        <f t="shared" ca="1" si="45"/>
        <v>1</v>
      </c>
      <c r="D529" s="391">
        <f t="shared" ca="1" si="46"/>
        <v>2</v>
      </c>
      <c r="E529" s="391">
        <f t="shared" ca="1" si="47"/>
        <v>11</v>
      </c>
      <c r="F529" s="125"/>
      <c r="J529" s="130"/>
      <c r="K529" s="132"/>
      <c r="L529" s="413"/>
      <c r="M529" s="413"/>
      <c r="N529" s="414"/>
      <c r="O529" s="415"/>
      <c r="P529" s="133"/>
      <c r="Q529" s="130"/>
      <c r="R529" s="132"/>
      <c r="S529" s="132"/>
      <c r="T529" s="130"/>
    </row>
    <row r="530" spans="1:20" s="131" customFormat="1" ht="14.1" customHeight="1" x14ac:dyDescent="0.25">
      <c r="A530" s="390">
        <f ca="1">IF($H530="UNIDADE CONSTRUTIVA",OFFSET(A530,-1,0)+1,LARGE(A$3:A529,1))</f>
        <v>0</v>
      </c>
      <c r="B530" s="390">
        <f t="shared" ca="1" si="44"/>
        <v>3</v>
      </c>
      <c r="C530" s="390">
        <f t="shared" ca="1" si="45"/>
        <v>1</v>
      </c>
      <c r="D530" s="391">
        <f t="shared" ca="1" si="46"/>
        <v>2</v>
      </c>
      <c r="E530" s="391">
        <f t="shared" ca="1" si="47"/>
        <v>11</v>
      </c>
      <c r="F530" s="125"/>
      <c r="J530" s="130"/>
      <c r="K530" s="132"/>
      <c r="L530" s="413"/>
      <c r="M530" s="413"/>
      <c r="N530" s="414"/>
      <c r="O530" s="415"/>
      <c r="P530" s="133"/>
      <c r="Q530" s="130"/>
      <c r="R530" s="132"/>
      <c r="S530" s="132"/>
      <c r="T530" s="130"/>
    </row>
    <row r="531" spans="1:20" s="131" customFormat="1" ht="14.1" customHeight="1" x14ac:dyDescent="0.25">
      <c r="A531" s="390">
        <f ca="1">IF($H531="UNIDADE CONSTRUTIVA",OFFSET(A531,-1,0)+1,LARGE(A$3:A530,1))</f>
        <v>0</v>
      </c>
      <c r="B531" s="390">
        <f t="shared" ca="1" si="44"/>
        <v>3</v>
      </c>
      <c r="C531" s="390">
        <f t="shared" ca="1" si="45"/>
        <v>1</v>
      </c>
      <c r="D531" s="391">
        <f t="shared" ca="1" si="46"/>
        <v>2</v>
      </c>
      <c r="E531" s="391">
        <f t="shared" ca="1" si="47"/>
        <v>11</v>
      </c>
      <c r="F531" s="125"/>
      <c r="J531" s="130"/>
      <c r="K531" s="132"/>
      <c r="L531" s="413"/>
      <c r="M531" s="413"/>
      <c r="N531" s="414"/>
      <c r="O531" s="415"/>
      <c r="P531" s="133"/>
      <c r="Q531" s="130"/>
      <c r="R531" s="132"/>
      <c r="S531" s="132"/>
      <c r="T531" s="130"/>
    </row>
    <row r="532" spans="1:20" s="131" customFormat="1" ht="14.1" customHeight="1" x14ac:dyDescent="0.25">
      <c r="A532" s="390">
        <f ca="1">IF($H532="UNIDADE CONSTRUTIVA",OFFSET(A532,-1,0)+1,LARGE(A$3:A531,1))</f>
        <v>0</v>
      </c>
      <c r="B532" s="390">
        <f t="shared" ca="1" si="44"/>
        <v>3</v>
      </c>
      <c r="C532" s="390">
        <f t="shared" ca="1" si="45"/>
        <v>1</v>
      </c>
      <c r="D532" s="391">
        <f t="shared" ca="1" si="46"/>
        <v>2</v>
      </c>
      <c r="E532" s="391">
        <f t="shared" ca="1" si="47"/>
        <v>11</v>
      </c>
      <c r="F532" s="125"/>
      <c r="J532" s="130"/>
      <c r="K532" s="132"/>
      <c r="L532" s="413"/>
      <c r="M532" s="413"/>
      <c r="N532" s="414"/>
      <c r="O532" s="415"/>
      <c r="P532" s="133"/>
      <c r="Q532" s="130"/>
      <c r="R532" s="132"/>
      <c r="S532" s="132"/>
      <c r="T532" s="130"/>
    </row>
    <row r="533" spans="1:20" s="131" customFormat="1" ht="14.1" customHeight="1" x14ac:dyDescent="0.25">
      <c r="A533" s="390">
        <f ca="1">IF($H533="UNIDADE CONSTRUTIVA",OFFSET(A533,-1,0)+1,LARGE(A$3:A532,1))</f>
        <v>0</v>
      </c>
      <c r="B533" s="390">
        <f t="shared" ca="1" si="44"/>
        <v>3</v>
      </c>
      <c r="C533" s="390">
        <f t="shared" ca="1" si="45"/>
        <v>1</v>
      </c>
      <c r="D533" s="391">
        <f t="shared" ca="1" si="46"/>
        <v>2</v>
      </c>
      <c r="E533" s="391">
        <f t="shared" ca="1" si="47"/>
        <v>11</v>
      </c>
      <c r="F533" s="125"/>
      <c r="J533" s="130"/>
      <c r="K533" s="132"/>
      <c r="L533" s="413"/>
      <c r="M533" s="413"/>
      <c r="N533" s="414"/>
      <c r="O533" s="415"/>
      <c r="P533" s="133"/>
      <c r="Q533" s="130"/>
      <c r="R533" s="132"/>
      <c r="S533" s="132"/>
      <c r="T533" s="130"/>
    </row>
    <row r="534" spans="1:20" s="131" customFormat="1" ht="14.1" customHeight="1" x14ac:dyDescent="0.25">
      <c r="A534" s="390">
        <f ca="1">IF($H534="UNIDADE CONSTRUTIVA",OFFSET(A534,-1,0)+1,LARGE(A$3:A533,1))</f>
        <v>0</v>
      </c>
      <c r="B534" s="390">
        <f t="shared" ca="1" si="44"/>
        <v>3</v>
      </c>
      <c r="C534" s="390">
        <f t="shared" ca="1" si="45"/>
        <v>1</v>
      </c>
      <c r="D534" s="391">
        <f t="shared" ca="1" si="46"/>
        <v>2</v>
      </c>
      <c r="E534" s="391">
        <f t="shared" ca="1" si="47"/>
        <v>11</v>
      </c>
      <c r="F534" s="125"/>
      <c r="J534" s="130"/>
      <c r="K534" s="132"/>
      <c r="L534" s="413"/>
      <c r="M534" s="413"/>
      <c r="N534" s="414"/>
      <c r="O534" s="415"/>
      <c r="P534" s="133"/>
      <c r="Q534" s="130"/>
      <c r="R534" s="132"/>
      <c r="S534" s="132"/>
      <c r="T534" s="130"/>
    </row>
    <row r="535" spans="1:20" s="131" customFormat="1" ht="14.1" customHeight="1" x14ac:dyDescent="0.25">
      <c r="A535" s="390">
        <f ca="1">IF($H535="UNIDADE CONSTRUTIVA",OFFSET(A535,-1,0)+1,LARGE(A$3:A534,1))</f>
        <v>0</v>
      </c>
      <c r="B535" s="390">
        <f t="shared" ca="1" si="44"/>
        <v>3</v>
      </c>
      <c r="C535" s="390">
        <f t="shared" ca="1" si="45"/>
        <v>1</v>
      </c>
      <c r="D535" s="391">
        <f t="shared" ca="1" si="46"/>
        <v>2</v>
      </c>
      <c r="E535" s="391">
        <f t="shared" ca="1" si="47"/>
        <v>11</v>
      </c>
      <c r="F535" s="125"/>
      <c r="J535" s="130"/>
      <c r="K535" s="132"/>
      <c r="L535" s="413"/>
      <c r="M535" s="413"/>
      <c r="N535" s="414"/>
      <c r="O535" s="415"/>
      <c r="P535" s="133"/>
      <c r="Q535" s="130"/>
      <c r="R535" s="132"/>
      <c r="S535" s="132"/>
      <c r="T535" s="130"/>
    </row>
    <row r="536" spans="1:20" s="131" customFormat="1" ht="14.1" customHeight="1" x14ac:dyDescent="0.25">
      <c r="A536" s="390">
        <f ca="1">IF($H536="UNIDADE CONSTRUTIVA",OFFSET(A536,-1,0)+1,LARGE(A$3:A535,1))</f>
        <v>0</v>
      </c>
      <c r="B536" s="390">
        <f t="shared" ca="1" si="44"/>
        <v>3</v>
      </c>
      <c r="C536" s="390">
        <f t="shared" ca="1" si="45"/>
        <v>1</v>
      </c>
      <c r="D536" s="391">
        <f t="shared" ca="1" si="46"/>
        <v>2</v>
      </c>
      <c r="E536" s="391">
        <f t="shared" ca="1" si="47"/>
        <v>11</v>
      </c>
      <c r="F536" s="125"/>
      <c r="J536" s="130"/>
      <c r="K536" s="132"/>
      <c r="L536" s="413"/>
      <c r="M536" s="413"/>
      <c r="N536" s="414"/>
      <c r="O536" s="415"/>
      <c r="P536" s="133"/>
      <c r="Q536" s="130"/>
      <c r="R536" s="132"/>
      <c r="S536" s="132"/>
      <c r="T536" s="130"/>
    </row>
    <row r="537" spans="1:20" s="131" customFormat="1" ht="14.1" customHeight="1" x14ac:dyDescent="0.25">
      <c r="A537" s="390">
        <f ca="1">IF($H537="UNIDADE CONSTRUTIVA",OFFSET(A537,-1,0)+1,LARGE(A$3:A536,1))</f>
        <v>0</v>
      </c>
      <c r="B537" s="390">
        <f t="shared" ca="1" si="44"/>
        <v>3</v>
      </c>
      <c r="C537" s="390">
        <f t="shared" ca="1" si="45"/>
        <v>1</v>
      </c>
      <c r="D537" s="391">
        <f t="shared" ca="1" si="46"/>
        <v>2</v>
      </c>
      <c r="E537" s="391">
        <f t="shared" ca="1" si="47"/>
        <v>11</v>
      </c>
      <c r="F537" s="125"/>
      <c r="J537" s="130"/>
      <c r="K537" s="132"/>
      <c r="L537" s="413"/>
      <c r="M537" s="413"/>
      <c r="N537" s="414"/>
      <c r="O537" s="415"/>
      <c r="P537" s="133"/>
      <c r="Q537" s="130"/>
      <c r="R537" s="132"/>
      <c r="S537" s="132"/>
      <c r="T537" s="130"/>
    </row>
    <row r="538" spans="1:20" s="131" customFormat="1" ht="14.1" customHeight="1" x14ac:dyDescent="0.25">
      <c r="A538" s="390">
        <f ca="1">IF($H538="UNIDADE CONSTRUTIVA",OFFSET(A538,-1,0)+1,LARGE(A$3:A537,1))</f>
        <v>0</v>
      </c>
      <c r="B538" s="390">
        <f t="shared" ca="1" si="44"/>
        <v>3</v>
      </c>
      <c r="C538" s="390">
        <f t="shared" ca="1" si="45"/>
        <v>1</v>
      </c>
      <c r="D538" s="391">
        <f t="shared" ca="1" si="46"/>
        <v>2</v>
      </c>
      <c r="E538" s="391">
        <f t="shared" ca="1" si="47"/>
        <v>11</v>
      </c>
      <c r="F538" s="125"/>
      <c r="J538" s="130"/>
      <c r="K538" s="132"/>
      <c r="L538" s="413"/>
      <c r="M538" s="413"/>
      <c r="N538" s="414"/>
      <c r="O538" s="415"/>
      <c r="P538" s="133"/>
      <c r="Q538" s="130"/>
      <c r="R538" s="132"/>
      <c r="S538" s="132"/>
      <c r="T538" s="130"/>
    </row>
    <row r="539" spans="1:20" s="131" customFormat="1" ht="14.1" customHeight="1" x14ac:dyDescent="0.25">
      <c r="A539" s="390">
        <f ca="1">IF($H539="UNIDADE CONSTRUTIVA",OFFSET(A539,-1,0)+1,LARGE(A$3:A538,1))</f>
        <v>0</v>
      </c>
      <c r="B539" s="390">
        <f t="shared" ca="1" si="44"/>
        <v>3</v>
      </c>
      <c r="C539" s="390">
        <f t="shared" ca="1" si="45"/>
        <v>1</v>
      </c>
      <c r="D539" s="391">
        <f t="shared" ca="1" si="46"/>
        <v>2</v>
      </c>
      <c r="E539" s="391">
        <f t="shared" ca="1" si="47"/>
        <v>11</v>
      </c>
      <c r="F539" s="125"/>
      <c r="J539" s="130"/>
      <c r="K539" s="132"/>
      <c r="L539" s="413"/>
      <c r="M539" s="413"/>
      <c r="N539" s="414"/>
      <c r="O539" s="415"/>
      <c r="P539" s="133"/>
      <c r="Q539" s="130"/>
      <c r="R539" s="132"/>
      <c r="S539" s="132"/>
      <c r="T539" s="130"/>
    </row>
    <row r="540" spans="1:20" s="131" customFormat="1" ht="14.1" customHeight="1" x14ac:dyDescent="0.25">
      <c r="A540" s="390">
        <f ca="1">IF($H540="UNIDADE CONSTRUTIVA",OFFSET(A540,-1,0)+1,LARGE(A$3:A539,1))</f>
        <v>0</v>
      </c>
      <c r="B540" s="390">
        <f t="shared" ca="1" si="44"/>
        <v>3</v>
      </c>
      <c r="C540" s="390">
        <f t="shared" ca="1" si="45"/>
        <v>1</v>
      </c>
      <c r="D540" s="391">
        <f t="shared" ca="1" si="46"/>
        <v>2</v>
      </c>
      <c r="E540" s="391">
        <f t="shared" ca="1" si="47"/>
        <v>11</v>
      </c>
      <c r="F540" s="125"/>
      <c r="J540" s="130"/>
      <c r="K540" s="132"/>
      <c r="L540" s="413"/>
      <c r="M540" s="413"/>
      <c r="N540" s="414"/>
      <c r="O540" s="415"/>
      <c r="P540" s="133"/>
      <c r="Q540" s="130"/>
      <c r="R540" s="132"/>
      <c r="S540" s="132"/>
      <c r="T540" s="130"/>
    </row>
    <row r="541" spans="1:20" s="131" customFormat="1" ht="14.1" customHeight="1" x14ac:dyDescent="0.25">
      <c r="A541" s="390">
        <f ca="1">IF($H541="UNIDADE CONSTRUTIVA",OFFSET(A541,-1,0)+1,LARGE(A$3:A540,1))</f>
        <v>0</v>
      </c>
      <c r="B541" s="390">
        <f t="shared" ca="1" si="44"/>
        <v>3</v>
      </c>
      <c r="C541" s="390">
        <f t="shared" ca="1" si="45"/>
        <v>1</v>
      </c>
      <c r="D541" s="391">
        <f t="shared" ca="1" si="46"/>
        <v>2</v>
      </c>
      <c r="E541" s="391">
        <f t="shared" ca="1" si="47"/>
        <v>11</v>
      </c>
      <c r="F541" s="125"/>
      <c r="J541" s="130"/>
      <c r="K541" s="132"/>
      <c r="L541" s="413"/>
      <c r="M541" s="413"/>
      <c r="N541" s="414"/>
      <c r="O541" s="415"/>
      <c r="P541" s="133"/>
      <c r="Q541" s="130"/>
      <c r="R541" s="132"/>
      <c r="S541" s="132"/>
      <c r="T541" s="130"/>
    </row>
    <row r="542" spans="1:20" s="131" customFormat="1" ht="14.1" customHeight="1" x14ac:dyDescent="0.25">
      <c r="A542" s="390">
        <f ca="1">IF($H542="UNIDADE CONSTRUTIVA",OFFSET(A542,-1,0)+1,LARGE(A$3:A541,1))</f>
        <v>0</v>
      </c>
      <c r="B542" s="390">
        <f t="shared" ca="1" si="44"/>
        <v>3</v>
      </c>
      <c r="C542" s="390">
        <f t="shared" ca="1" si="45"/>
        <v>1</v>
      </c>
      <c r="D542" s="391">
        <f t="shared" ca="1" si="46"/>
        <v>2</v>
      </c>
      <c r="E542" s="391">
        <f t="shared" ca="1" si="47"/>
        <v>11</v>
      </c>
      <c r="F542" s="125"/>
      <c r="J542" s="130"/>
      <c r="K542" s="132"/>
      <c r="L542" s="413"/>
      <c r="M542" s="413"/>
      <c r="N542" s="414"/>
      <c r="O542" s="415"/>
      <c r="P542" s="133"/>
      <c r="Q542" s="130"/>
      <c r="R542" s="132"/>
      <c r="S542" s="132"/>
      <c r="T542" s="130"/>
    </row>
    <row r="543" spans="1:20" s="131" customFormat="1" ht="14.1" customHeight="1" x14ac:dyDescent="0.25">
      <c r="A543" s="390">
        <f ca="1">IF($H543="UNIDADE CONSTRUTIVA",OFFSET(A543,-1,0)+1,LARGE(A$3:A542,1))</f>
        <v>0</v>
      </c>
      <c r="B543" s="390">
        <f t="shared" ca="1" si="44"/>
        <v>3</v>
      </c>
      <c r="C543" s="390">
        <f t="shared" ca="1" si="45"/>
        <v>1</v>
      </c>
      <c r="D543" s="391">
        <f t="shared" ca="1" si="46"/>
        <v>2</v>
      </c>
      <c r="E543" s="391">
        <f t="shared" ca="1" si="47"/>
        <v>11</v>
      </c>
      <c r="F543" s="125"/>
      <c r="J543" s="130"/>
      <c r="K543" s="132"/>
      <c r="L543" s="413"/>
      <c r="M543" s="413"/>
      <c r="N543" s="414"/>
      <c r="O543" s="415"/>
      <c r="P543" s="133"/>
      <c r="Q543" s="130"/>
      <c r="R543" s="132"/>
      <c r="S543" s="132"/>
      <c r="T543" s="130"/>
    </row>
    <row r="544" spans="1:20" s="131" customFormat="1" ht="14.1" customHeight="1" x14ac:dyDescent="0.25">
      <c r="A544" s="390">
        <f ca="1">IF($H544="UNIDADE CONSTRUTIVA",OFFSET(A544,-1,0)+1,LARGE(A$3:A543,1))</f>
        <v>0</v>
      </c>
      <c r="B544" s="390">
        <f t="shared" ca="1" si="44"/>
        <v>3</v>
      </c>
      <c r="C544" s="390">
        <f t="shared" ca="1" si="45"/>
        <v>1</v>
      </c>
      <c r="D544" s="391">
        <f t="shared" ca="1" si="46"/>
        <v>2</v>
      </c>
      <c r="E544" s="391">
        <f t="shared" ca="1" si="47"/>
        <v>11</v>
      </c>
      <c r="F544" s="125"/>
      <c r="J544" s="130"/>
      <c r="K544" s="132"/>
      <c r="L544" s="413"/>
      <c r="M544" s="413"/>
      <c r="N544" s="414"/>
      <c r="O544" s="415"/>
      <c r="P544" s="133"/>
      <c r="Q544" s="130"/>
      <c r="R544" s="132"/>
      <c r="S544" s="132"/>
      <c r="T544" s="130"/>
    </row>
    <row r="545" spans="1:20" s="131" customFormat="1" ht="14.1" customHeight="1" x14ac:dyDescent="0.25">
      <c r="A545" s="390">
        <f ca="1">IF($H545="UNIDADE CONSTRUTIVA",OFFSET(A545,-1,0)+1,LARGE(A$3:A544,1))</f>
        <v>0</v>
      </c>
      <c r="B545" s="390">
        <f t="shared" ca="1" si="44"/>
        <v>3</v>
      </c>
      <c r="C545" s="390">
        <f t="shared" ca="1" si="45"/>
        <v>1</v>
      </c>
      <c r="D545" s="391">
        <f t="shared" ca="1" si="46"/>
        <v>2</v>
      </c>
      <c r="E545" s="391">
        <f t="shared" ca="1" si="47"/>
        <v>11</v>
      </c>
      <c r="F545" s="125"/>
      <c r="J545" s="130"/>
      <c r="K545" s="132"/>
      <c r="L545" s="413"/>
      <c r="M545" s="413"/>
      <c r="N545" s="414"/>
      <c r="O545" s="415"/>
      <c r="P545" s="133"/>
      <c r="Q545" s="130"/>
      <c r="R545" s="132"/>
      <c r="S545" s="132"/>
      <c r="T545" s="130"/>
    </row>
    <row r="546" spans="1:20" s="131" customFormat="1" ht="14.1" customHeight="1" x14ac:dyDescent="0.25">
      <c r="A546" s="390">
        <f ca="1">IF($H546="UNIDADE CONSTRUTIVA",OFFSET(A546,-1,0)+1,LARGE(A$3:A545,1))</f>
        <v>0</v>
      </c>
      <c r="B546" s="390">
        <f t="shared" ca="1" si="44"/>
        <v>3</v>
      </c>
      <c r="C546" s="390">
        <f t="shared" ca="1" si="45"/>
        <v>1</v>
      </c>
      <c r="D546" s="391">
        <f t="shared" ca="1" si="46"/>
        <v>2</v>
      </c>
      <c r="E546" s="391">
        <f t="shared" ca="1" si="47"/>
        <v>11</v>
      </c>
      <c r="F546" s="125"/>
      <c r="J546" s="130"/>
      <c r="K546" s="132"/>
      <c r="L546" s="413"/>
      <c r="M546" s="413"/>
      <c r="N546" s="414"/>
      <c r="O546" s="415"/>
      <c r="P546" s="133"/>
      <c r="Q546" s="130"/>
      <c r="R546" s="132"/>
      <c r="S546" s="132"/>
      <c r="T546" s="130"/>
    </row>
    <row r="547" spans="1:20" s="131" customFormat="1" ht="14.1" customHeight="1" x14ac:dyDescent="0.25">
      <c r="A547" s="390">
        <f ca="1">IF($H547="UNIDADE CONSTRUTIVA",OFFSET(A547,-1,0)+1,LARGE(A$3:A546,1))</f>
        <v>0</v>
      </c>
      <c r="B547" s="390">
        <f t="shared" ca="1" si="44"/>
        <v>3</v>
      </c>
      <c r="C547" s="390">
        <f t="shared" ca="1" si="45"/>
        <v>1</v>
      </c>
      <c r="D547" s="391">
        <f t="shared" ca="1" si="46"/>
        <v>2</v>
      </c>
      <c r="E547" s="391">
        <f t="shared" ca="1" si="47"/>
        <v>11</v>
      </c>
      <c r="F547" s="125"/>
      <c r="J547" s="130"/>
      <c r="K547" s="132"/>
      <c r="L547" s="413"/>
      <c r="M547" s="413"/>
      <c r="N547" s="414"/>
      <c r="O547" s="415"/>
      <c r="P547" s="133"/>
      <c r="Q547" s="130"/>
      <c r="R547" s="132"/>
      <c r="S547" s="132"/>
      <c r="T547" s="130"/>
    </row>
    <row r="548" spans="1:20" s="131" customFormat="1" ht="14.1" customHeight="1" x14ac:dyDescent="0.25">
      <c r="A548" s="390">
        <f ca="1">IF($H548="UNIDADE CONSTRUTIVA",OFFSET(A548,-1,0)+1,LARGE(A$3:A547,1))</f>
        <v>0</v>
      </c>
      <c r="B548" s="390">
        <f t="shared" ca="1" si="44"/>
        <v>3</v>
      </c>
      <c r="C548" s="390">
        <f t="shared" ca="1" si="45"/>
        <v>1</v>
      </c>
      <c r="D548" s="391">
        <f t="shared" ca="1" si="46"/>
        <v>2</v>
      </c>
      <c r="E548" s="391">
        <f t="shared" ca="1" si="47"/>
        <v>11</v>
      </c>
      <c r="F548" s="125"/>
      <c r="J548" s="130"/>
      <c r="K548" s="132"/>
      <c r="L548" s="413"/>
      <c r="M548" s="413"/>
      <c r="N548" s="414"/>
      <c r="O548" s="415"/>
      <c r="P548" s="133"/>
      <c r="Q548" s="130"/>
      <c r="R548" s="132"/>
      <c r="S548" s="132"/>
      <c r="T548" s="130"/>
    </row>
    <row r="549" spans="1:20" s="131" customFormat="1" ht="14.1" customHeight="1" x14ac:dyDescent="0.25">
      <c r="A549" s="390">
        <f ca="1">IF($H549="UNIDADE CONSTRUTIVA",OFFSET(A549,-1,0)+1,LARGE(A$3:A548,1))</f>
        <v>0</v>
      </c>
      <c r="B549" s="390">
        <f t="shared" ca="1" si="44"/>
        <v>3</v>
      </c>
      <c r="C549" s="390">
        <f t="shared" ca="1" si="45"/>
        <v>1</v>
      </c>
      <c r="D549" s="391">
        <f t="shared" ca="1" si="46"/>
        <v>2</v>
      </c>
      <c r="E549" s="391">
        <f t="shared" ca="1" si="47"/>
        <v>11</v>
      </c>
      <c r="F549" s="125"/>
      <c r="J549" s="130"/>
      <c r="K549" s="132"/>
      <c r="L549" s="413"/>
      <c r="M549" s="413"/>
      <c r="N549" s="414"/>
      <c r="O549" s="415"/>
      <c r="P549" s="133"/>
      <c r="Q549" s="130"/>
      <c r="R549" s="132"/>
      <c r="S549" s="132"/>
      <c r="T549" s="130"/>
    </row>
    <row r="550" spans="1:20" s="131" customFormat="1" ht="14.1" customHeight="1" x14ac:dyDescent="0.25">
      <c r="A550" s="390">
        <f ca="1">IF($H550="UNIDADE CONSTRUTIVA",OFFSET(A550,-1,0)+1,LARGE(A$3:A549,1))</f>
        <v>0</v>
      </c>
      <c r="B550" s="390">
        <f t="shared" ca="1" si="44"/>
        <v>3</v>
      </c>
      <c r="C550" s="390">
        <f t="shared" ca="1" si="45"/>
        <v>1</v>
      </c>
      <c r="D550" s="391">
        <f t="shared" ca="1" si="46"/>
        <v>2</v>
      </c>
      <c r="E550" s="391">
        <f t="shared" ca="1" si="47"/>
        <v>11</v>
      </c>
      <c r="F550" s="125"/>
      <c r="J550" s="130"/>
      <c r="K550" s="132"/>
      <c r="L550" s="413"/>
      <c r="M550" s="413"/>
      <c r="N550" s="414"/>
      <c r="O550" s="415"/>
      <c r="P550" s="133"/>
      <c r="Q550" s="130"/>
      <c r="R550" s="132"/>
      <c r="S550" s="132"/>
      <c r="T550" s="130"/>
    </row>
    <row r="551" spans="1:20" s="131" customFormat="1" ht="14.1" customHeight="1" x14ac:dyDescent="0.25">
      <c r="A551" s="390">
        <f ca="1">IF($H551="UNIDADE CONSTRUTIVA",OFFSET(A551,-1,0)+1,LARGE(A$3:A550,1))</f>
        <v>0</v>
      </c>
      <c r="B551" s="390">
        <f t="shared" ca="1" si="44"/>
        <v>3</v>
      </c>
      <c r="C551" s="390">
        <f t="shared" ca="1" si="45"/>
        <v>1</v>
      </c>
      <c r="D551" s="391">
        <f t="shared" ca="1" si="46"/>
        <v>2</v>
      </c>
      <c r="E551" s="391">
        <f t="shared" ca="1" si="47"/>
        <v>11</v>
      </c>
      <c r="F551" s="125"/>
      <c r="J551" s="130"/>
      <c r="K551" s="132"/>
      <c r="L551" s="413"/>
      <c r="M551" s="413"/>
      <c r="N551" s="414"/>
      <c r="O551" s="415"/>
      <c r="P551" s="133"/>
      <c r="Q551" s="130"/>
      <c r="R551" s="132"/>
      <c r="S551" s="132"/>
      <c r="T551" s="130"/>
    </row>
    <row r="552" spans="1:20" s="131" customFormat="1" ht="14.1" customHeight="1" x14ac:dyDescent="0.25">
      <c r="A552" s="390">
        <f ca="1">IF($H552="UNIDADE CONSTRUTIVA",OFFSET(A552,-1,0)+1,LARGE(A$3:A551,1))</f>
        <v>0</v>
      </c>
      <c r="B552" s="390">
        <f t="shared" ca="1" si="44"/>
        <v>3</v>
      </c>
      <c r="C552" s="390">
        <f t="shared" ca="1" si="45"/>
        <v>1</v>
      </c>
      <c r="D552" s="391">
        <f t="shared" ca="1" si="46"/>
        <v>2</v>
      </c>
      <c r="E552" s="391">
        <f t="shared" ca="1" si="47"/>
        <v>11</v>
      </c>
      <c r="F552" s="125"/>
      <c r="J552" s="130"/>
      <c r="K552" s="132"/>
      <c r="L552" s="413"/>
      <c r="M552" s="413"/>
      <c r="N552" s="414"/>
      <c r="O552" s="415"/>
      <c r="P552" s="133"/>
      <c r="Q552" s="130"/>
      <c r="R552" s="132"/>
      <c r="S552" s="132"/>
      <c r="T552" s="130"/>
    </row>
    <row r="553" spans="1:20" s="131" customFormat="1" ht="14.1" customHeight="1" x14ac:dyDescent="0.25">
      <c r="A553" s="390">
        <f ca="1">IF($H553="UNIDADE CONSTRUTIVA",OFFSET(A553,-1,0)+1,LARGE(A$3:A552,1))</f>
        <v>0</v>
      </c>
      <c r="B553" s="390">
        <f t="shared" ca="1" si="44"/>
        <v>3</v>
      </c>
      <c r="C553" s="390">
        <f t="shared" ca="1" si="45"/>
        <v>1</v>
      </c>
      <c r="D553" s="391">
        <f t="shared" ca="1" si="46"/>
        <v>2</v>
      </c>
      <c r="E553" s="391">
        <f t="shared" ca="1" si="47"/>
        <v>11</v>
      </c>
      <c r="F553" s="125"/>
      <c r="J553" s="130"/>
      <c r="K553" s="132"/>
      <c r="L553" s="413"/>
      <c r="M553" s="413"/>
      <c r="N553" s="414"/>
      <c r="O553" s="415"/>
      <c r="P553" s="133"/>
      <c r="Q553" s="130"/>
      <c r="R553" s="132"/>
      <c r="S553" s="132"/>
      <c r="T553" s="130"/>
    </row>
    <row r="554" spans="1:20" s="131" customFormat="1" ht="14.1" customHeight="1" x14ac:dyDescent="0.25">
      <c r="A554" s="390">
        <f ca="1">IF($H554="UNIDADE CONSTRUTIVA",OFFSET(A554,-1,0)+1,LARGE(A$3:A553,1))</f>
        <v>0</v>
      </c>
      <c r="B554" s="390">
        <f t="shared" ca="1" si="44"/>
        <v>3</v>
      </c>
      <c r="C554" s="390">
        <f t="shared" ca="1" si="45"/>
        <v>1</v>
      </c>
      <c r="D554" s="391">
        <f t="shared" ca="1" si="46"/>
        <v>2</v>
      </c>
      <c r="E554" s="391">
        <f t="shared" ca="1" si="47"/>
        <v>11</v>
      </c>
      <c r="F554" s="125"/>
      <c r="J554" s="130"/>
      <c r="K554" s="132"/>
      <c r="L554" s="413"/>
      <c r="M554" s="413"/>
      <c r="N554" s="414"/>
      <c r="O554" s="415"/>
      <c r="P554" s="133"/>
      <c r="Q554" s="130"/>
      <c r="R554" s="132"/>
      <c r="S554" s="132"/>
      <c r="T554" s="130"/>
    </row>
    <row r="555" spans="1:20" s="131" customFormat="1" ht="14.1" customHeight="1" x14ac:dyDescent="0.25">
      <c r="A555" s="390">
        <f ca="1">IF($H555="UNIDADE CONSTRUTIVA",OFFSET(A555,-1,0)+1,LARGE(A$3:A554,1))</f>
        <v>0</v>
      </c>
      <c r="B555" s="390">
        <f t="shared" ca="1" si="44"/>
        <v>3</v>
      </c>
      <c r="C555" s="390">
        <f t="shared" ca="1" si="45"/>
        <v>1</v>
      </c>
      <c r="D555" s="391">
        <f t="shared" ca="1" si="46"/>
        <v>2</v>
      </c>
      <c r="E555" s="391">
        <f t="shared" ca="1" si="47"/>
        <v>11</v>
      </c>
      <c r="F555" s="125"/>
      <c r="J555" s="130"/>
      <c r="K555" s="132"/>
      <c r="L555" s="413"/>
      <c r="M555" s="413"/>
      <c r="N555" s="414"/>
      <c r="O555" s="415"/>
      <c r="P555" s="133"/>
      <c r="Q555" s="130"/>
      <c r="R555" s="132"/>
      <c r="S555" s="132"/>
      <c r="T555" s="130"/>
    </row>
    <row r="556" spans="1:20" s="131" customFormat="1" ht="14.1" customHeight="1" x14ac:dyDescent="0.25">
      <c r="A556" s="390">
        <f ca="1">IF($H556="UNIDADE CONSTRUTIVA",OFFSET(A556,-1,0)+1,LARGE(A$3:A555,1))</f>
        <v>0</v>
      </c>
      <c r="B556" s="390">
        <f t="shared" ca="1" si="44"/>
        <v>3</v>
      </c>
      <c r="C556" s="390">
        <f t="shared" ca="1" si="45"/>
        <v>1</v>
      </c>
      <c r="D556" s="391">
        <f t="shared" ca="1" si="46"/>
        <v>2</v>
      </c>
      <c r="E556" s="391">
        <f t="shared" ca="1" si="47"/>
        <v>11</v>
      </c>
      <c r="F556" s="125"/>
      <c r="J556" s="130"/>
      <c r="K556" s="132"/>
      <c r="L556" s="413"/>
      <c r="M556" s="413"/>
      <c r="N556" s="414"/>
      <c r="O556" s="415"/>
      <c r="P556" s="133"/>
      <c r="Q556" s="130"/>
      <c r="R556" s="132"/>
      <c r="S556" s="132"/>
      <c r="T556" s="130"/>
    </row>
    <row r="557" spans="1:20" s="131" customFormat="1" ht="14.1" customHeight="1" x14ac:dyDescent="0.25">
      <c r="A557" s="390">
        <f ca="1">IF($H557="UNIDADE CONSTRUTIVA",OFFSET(A557,-1,0)+1,LARGE(A$3:A556,1))</f>
        <v>0</v>
      </c>
      <c r="B557" s="390">
        <f t="shared" ca="1" si="44"/>
        <v>3</v>
      </c>
      <c r="C557" s="390">
        <f t="shared" ca="1" si="45"/>
        <v>1</v>
      </c>
      <c r="D557" s="391">
        <f t="shared" ca="1" si="46"/>
        <v>2</v>
      </c>
      <c r="E557" s="391">
        <f t="shared" ca="1" si="47"/>
        <v>11</v>
      </c>
      <c r="F557" s="125"/>
      <c r="J557" s="130"/>
      <c r="K557" s="132"/>
      <c r="L557" s="413"/>
      <c r="M557" s="413"/>
      <c r="N557" s="414"/>
      <c r="O557" s="415"/>
      <c r="P557" s="133"/>
      <c r="Q557" s="130"/>
      <c r="R557" s="132"/>
      <c r="S557" s="132"/>
      <c r="T557" s="130"/>
    </row>
    <row r="558" spans="1:20" s="131" customFormat="1" ht="14.1" customHeight="1" x14ac:dyDescent="0.25">
      <c r="A558" s="390">
        <f ca="1">IF($H558="UNIDADE CONSTRUTIVA",OFFSET(A558,-1,0)+1,LARGE(A$3:A557,1))</f>
        <v>0</v>
      </c>
      <c r="B558" s="390">
        <f t="shared" ca="1" si="44"/>
        <v>3</v>
      </c>
      <c r="C558" s="390">
        <f t="shared" ca="1" si="45"/>
        <v>1</v>
      </c>
      <c r="D558" s="391">
        <f t="shared" ca="1" si="46"/>
        <v>2</v>
      </c>
      <c r="E558" s="391">
        <f t="shared" ca="1" si="47"/>
        <v>11</v>
      </c>
      <c r="F558" s="125"/>
      <c r="J558" s="130"/>
      <c r="K558" s="132"/>
      <c r="L558" s="413"/>
      <c r="M558" s="413"/>
      <c r="N558" s="414"/>
      <c r="O558" s="415"/>
      <c r="P558" s="133"/>
      <c r="Q558" s="130"/>
      <c r="R558" s="132"/>
      <c r="S558" s="132"/>
      <c r="T558" s="130"/>
    </row>
    <row r="559" spans="1:20" s="131" customFormat="1" ht="14.1" customHeight="1" x14ac:dyDescent="0.25">
      <c r="A559" s="390">
        <f ca="1">IF($H559="UNIDADE CONSTRUTIVA",OFFSET(A559,-1,0)+1,LARGE(A$3:A558,1))</f>
        <v>0</v>
      </c>
      <c r="B559" s="390">
        <f t="shared" ca="1" si="44"/>
        <v>3</v>
      </c>
      <c r="C559" s="390">
        <f t="shared" ca="1" si="45"/>
        <v>1</v>
      </c>
      <c r="D559" s="391">
        <f t="shared" ca="1" si="46"/>
        <v>2</v>
      </c>
      <c r="E559" s="391">
        <f t="shared" ca="1" si="47"/>
        <v>11</v>
      </c>
      <c r="F559" s="125"/>
      <c r="J559" s="130"/>
      <c r="K559" s="132"/>
      <c r="L559" s="413"/>
      <c r="M559" s="413"/>
      <c r="N559" s="414"/>
      <c r="O559" s="415"/>
      <c r="P559" s="133"/>
      <c r="Q559" s="130"/>
      <c r="R559" s="132"/>
      <c r="S559" s="132"/>
      <c r="T559" s="130"/>
    </row>
    <row r="560" spans="1:20" s="131" customFormat="1" ht="14.1" customHeight="1" x14ac:dyDescent="0.25">
      <c r="A560" s="390">
        <f ca="1">IF($H560="UNIDADE CONSTRUTIVA",OFFSET(A560,-1,0)+1,LARGE(A$3:A559,1))</f>
        <v>0</v>
      </c>
      <c r="B560" s="390">
        <f t="shared" ca="1" si="44"/>
        <v>3</v>
      </c>
      <c r="C560" s="390">
        <f t="shared" ca="1" si="45"/>
        <v>1</v>
      </c>
      <c r="D560" s="391">
        <f t="shared" ca="1" si="46"/>
        <v>2</v>
      </c>
      <c r="E560" s="391">
        <f t="shared" ca="1" si="47"/>
        <v>11</v>
      </c>
      <c r="F560" s="125"/>
      <c r="J560" s="130"/>
      <c r="K560" s="132"/>
      <c r="L560" s="413"/>
      <c r="M560" s="413"/>
      <c r="N560" s="414"/>
      <c r="O560" s="415"/>
      <c r="P560" s="133"/>
      <c r="Q560" s="130"/>
      <c r="R560" s="132"/>
      <c r="S560" s="132"/>
      <c r="T560" s="130"/>
    </row>
    <row r="561" spans="1:20" s="131" customFormat="1" ht="14.1" customHeight="1" x14ac:dyDescent="0.25">
      <c r="A561" s="390">
        <f ca="1">IF($H561="UNIDADE CONSTRUTIVA",OFFSET(A561,-1,0)+1,LARGE(A$3:A560,1))</f>
        <v>0</v>
      </c>
      <c r="B561" s="390">
        <f t="shared" ca="1" si="44"/>
        <v>3</v>
      </c>
      <c r="C561" s="390">
        <f t="shared" ca="1" si="45"/>
        <v>1</v>
      </c>
      <c r="D561" s="391">
        <f t="shared" ca="1" si="46"/>
        <v>2</v>
      </c>
      <c r="E561" s="391">
        <f t="shared" ca="1" si="47"/>
        <v>11</v>
      </c>
      <c r="F561" s="125"/>
      <c r="J561" s="130"/>
      <c r="K561" s="132"/>
      <c r="L561" s="413"/>
      <c r="M561" s="413"/>
      <c r="N561" s="414"/>
      <c r="O561" s="415"/>
      <c r="P561" s="133"/>
      <c r="Q561" s="130"/>
      <c r="R561" s="132"/>
      <c r="S561" s="132"/>
      <c r="T561" s="130"/>
    </row>
    <row r="562" spans="1:20" s="131" customFormat="1" ht="14.1" customHeight="1" x14ac:dyDescent="0.25">
      <c r="A562" s="390">
        <f ca="1">IF($H562="UNIDADE CONSTRUTIVA",OFFSET(A562,-1,0)+1,LARGE(A$3:A561,1))</f>
        <v>0</v>
      </c>
      <c r="B562" s="390">
        <f t="shared" ca="1" si="44"/>
        <v>3</v>
      </c>
      <c r="C562" s="390">
        <f t="shared" ca="1" si="45"/>
        <v>1</v>
      </c>
      <c r="D562" s="391">
        <f t="shared" ca="1" si="46"/>
        <v>2</v>
      </c>
      <c r="E562" s="391">
        <f t="shared" ca="1" si="47"/>
        <v>11</v>
      </c>
      <c r="F562" s="125"/>
      <c r="J562" s="130"/>
      <c r="K562" s="132"/>
      <c r="L562" s="413"/>
      <c r="M562" s="413"/>
      <c r="N562" s="414"/>
      <c r="O562" s="415"/>
      <c r="P562" s="133"/>
      <c r="Q562" s="130"/>
      <c r="R562" s="132"/>
      <c r="S562" s="132"/>
      <c r="T562" s="130"/>
    </row>
    <row r="563" spans="1:20" s="131" customFormat="1" ht="14.1" customHeight="1" x14ac:dyDescent="0.25">
      <c r="A563" s="390">
        <f ca="1">IF($H563="UNIDADE CONSTRUTIVA",OFFSET(A563,-1,0)+1,LARGE(A$3:A562,1))</f>
        <v>0</v>
      </c>
      <c r="B563" s="390">
        <f t="shared" ca="1" si="44"/>
        <v>3</v>
      </c>
      <c r="C563" s="390">
        <f t="shared" ca="1" si="45"/>
        <v>1</v>
      </c>
      <c r="D563" s="391">
        <f t="shared" ca="1" si="46"/>
        <v>2</v>
      </c>
      <c r="E563" s="391">
        <f t="shared" ca="1" si="47"/>
        <v>11</v>
      </c>
      <c r="F563" s="125"/>
      <c r="J563" s="130"/>
      <c r="K563" s="132"/>
      <c r="L563" s="413"/>
      <c r="M563" s="413"/>
      <c r="N563" s="414"/>
      <c r="O563" s="415"/>
      <c r="P563" s="133"/>
      <c r="Q563" s="130"/>
      <c r="R563" s="132"/>
      <c r="S563" s="132"/>
      <c r="T563" s="130"/>
    </row>
    <row r="564" spans="1:20" s="131" customFormat="1" ht="14.1" customHeight="1" x14ac:dyDescent="0.25">
      <c r="A564" s="390">
        <f ca="1">IF($H564="UNIDADE CONSTRUTIVA",OFFSET(A564,-1,0)+1,LARGE(A$3:A563,1))</f>
        <v>0</v>
      </c>
      <c r="B564" s="390">
        <f t="shared" ca="1" si="44"/>
        <v>3</v>
      </c>
      <c r="C564" s="390">
        <f t="shared" ca="1" si="45"/>
        <v>1</v>
      </c>
      <c r="D564" s="391">
        <f t="shared" ca="1" si="46"/>
        <v>2</v>
      </c>
      <c r="E564" s="391">
        <f t="shared" ca="1" si="47"/>
        <v>11</v>
      </c>
      <c r="F564" s="125"/>
      <c r="J564" s="130"/>
      <c r="K564" s="132"/>
      <c r="L564" s="413"/>
      <c r="M564" s="413"/>
      <c r="N564" s="414"/>
      <c r="O564" s="415"/>
      <c r="P564" s="133"/>
      <c r="Q564" s="130"/>
      <c r="R564" s="132"/>
      <c r="S564" s="132"/>
      <c r="T564" s="130"/>
    </row>
    <row r="565" spans="1:20" s="131" customFormat="1" ht="14.1" customHeight="1" x14ac:dyDescent="0.25">
      <c r="A565" s="390">
        <f ca="1">IF($H565="UNIDADE CONSTRUTIVA",OFFSET(A565,-1,0)+1,LARGE(A$3:A564,1))</f>
        <v>0</v>
      </c>
      <c r="B565" s="390">
        <f t="shared" ca="1" si="44"/>
        <v>3</v>
      </c>
      <c r="C565" s="390">
        <f t="shared" ca="1" si="45"/>
        <v>1</v>
      </c>
      <c r="D565" s="391">
        <f t="shared" ca="1" si="46"/>
        <v>2</v>
      </c>
      <c r="E565" s="391">
        <f t="shared" ca="1" si="47"/>
        <v>11</v>
      </c>
      <c r="F565" s="125"/>
      <c r="J565" s="130"/>
      <c r="K565" s="132"/>
      <c r="L565" s="413"/>
      <c r="M565" s="413"/>
      <c r="N565" s="414"/>
      <c r="O565" s="415"/>
      <c r="P565" s="133"/>
      <c r="Q565" s="130"/>
      <c r="R565" s="132"/>
      <c r="S565" s="132"/>
      <c r="T565" s="130"/>
    </row>
    <row r="566" spans="1:20" s="131" customFormat="1" ht="14.1" customHeight="1" x14ac:dyDescent="0.25">
      <c r="A566" s="390">
        <f ca="1">IF($H566="UNIDADE CONSTRUTIVA",OFFSET(A566,-1,0)+1,LARGE(A$3:A565,1))</f>
        <v>0</v>
      </c>
      <c r="B566" s="390">
        <f t="shared" ca="1" si="44"/>
        <v>3</v>
      </c>
      <c r="C566" s="390">
        <f t="shared" ca="1" si="45"/>
        <v>1</v>
      </c>
      <c r="D566" s="391">
        <f t="shared" ca="1" si="46"/>
        <v>2</v>
      </c>
      <c r="E566" s="391">
        <f t="shared" ca="1" si="47"/>
        <v>11</v>
      </c>
      <c r="F566" s="125"/>
      <c r="J566" s="130"/>
      <c r="K566" s="132"/>
      <c r="L566" s="413"/>
      <c r="M566" s="413"/>
      <c r="N566" s="414"/>
      <c r="O566" s="415"/>
      <c r="P566" s="133"/>
      <c r="Q566" s="130"/>
      <c r="R566" s="132"/>
      <c r="S566" s="132"/>
      <c r="T566" s="130"/>
    </row>
    <row r="567" spans="1:20" s="131" customFormat="1" ht="14.1" customHeight="1" x14ac:dyDescent="0.25">
      <c r="A567" s="390">
        <f ca="1">IF($H567="UNIDADE CONSTRUTIVA",OFFSET(A567,-1,0)+1,LARGE(A$3:A566,1))</f>
        <v>0</v>
      </c>
      <c r="B567" s="390">
        <f t="shared" ca="1" si="44"/>
        <v>3</v>
      </c>
      <c r="C567" s="390">
        <f t="shared" ca="1" si="45"/>
        <v>1</v>
      </c>
      <c r="D567" s="391">
        <f t="shared" ca="1" si="46"/>
        <v>2</v>
      </c>
      <c r="E567" s="391">
        <f t="shared" ca="1" si="47"/>
        <v>11</v>
      </c>
      <c r="F567" s="125"/>
      <c r="J567" s="130"/>
      <c r="K567" s="132"/>
      <c r="L567" s="413"/>
      <c r="M567" s="413"/>
      <c r="N567" s="414"/>
      <c r="O567" s="415"/>
      <c r="P567" s="133"/>
      <c r="Q567" s="130"/>
      <c r="R567" s="132"/>
      <c r="S567" s="132"/>
      <c r="T567" s="130"/>
    </row>
    <row r="568" spans="1:20" s="131" customFormat="1" ht="14.1" customHeight="1" x14ac:dyDescent="0.25">
      <c r="A568" s="390">
        <f ca="1">IF($H568="UNIDADE CONSTRUTIVA",OFFSET(A568,-1,0)+1,LARGE(A$3:A567,1))</f>
        <v>0</v>
      </c>
      <c r="B568" s="390">
        <f t="shared" ca="1" si="44"/>
        <v>3</v>
      </c>
      <c r="C568" s="390">
        <f t="shared" ca="1" si="45"/>
        <v>1</v>
      </c>
      <c r="D568" s="391">
        <f t="shared" ca="1" si="46"/>
        <v>2</v>
      </c>
      <c r="E568" s="391">
        <f t="shared" ca="1" si="47"/>
        <v>11</v>
      </c>
      <c r="F568" s="125"/>
      <c r="J568" s="130"/>
      <c r="K568" s="132"/>
      <c r="L568" s="413"/>
      <c r="M568" s="413"/>
      <c r="N568" s="414"/>
      <c r="O568" s="415"/>
      <c r="P568" s="133"/>
      <c r="Q568" s="130"/>
      <c r="R568" s="132"/>
      <c r="S568" s="132"/>
      <c r="T568" s="130"/>
    </row>
    <row r="569" spans="1:20" s="131" customFormat="1" ht="14.1" customHeight="1" x14ac:dyDescent="0.25">
      <c r="A569" s="390">
        <f ca="1">IF($H569="UNIDADE CONSTRUTIVA",OFFSET(A569,-1,0)+1,LARGE(A$3:A568,1))</f>
        <v>0</v>
      </c>
      <c r="B569" s="390">
        <f t="shared" ca="1" si="44"/>
        <v>3</v>
      </c>
      <c r="C569" s="390">
        <f t="shared" ca="1" si="45"/>
        <v>1</v>
      </c>
      <c r="D569" s="391">
        <f t="shared" ca="1" si="46"/>
        <v>2</v>
      </c>
      <c r="E569" s="391">
        <f t="shared" ca="1" si="47"/>
        <v>11</v>
      </c>
      <c r="F569" s="125"/>
      <c r="J569" s="130"/>
      <c r="K569" s="132"/>
      <c r="L569" s="413"/>
      <c r="M569" s="413"/>
      <c r="N569" s="414"/>
      <c r="O569" s="415"/>
      <c r="P569" s="133"/>
      <c r="Q569" s="130"/>
      <c r="R569" s="132"/>
      <c r="S569" s="132"/>
      <c r="T569" s="130"/>
    </row>
    <row r="570" spans="1:20" s="131" customFormat="1" ht="14.1" customHeight="1" x14ac:dyDescent="0.25">
      <c r="A570" s="390">
        <f ca="1">IF($H570="UNIDADE CONSTRUTIVA",OFFSET(A570,-1,0)+1,LARGE(A$3:A569,1))</f>
        <v>0</v>
      </c>
      <c r="B570" s="390">
        <f t="shared" ca="1" si="44"/>
        <v>3</v>
      </c>
      <c r="C570" s="390">
        <f t="shared" ca="1" si="45"/>
        <v>1</v>
      </c>
      <c r="D570" s="391">
        <f t="shared" ca="1" si="46"/>
        <v>2</v>
      </c>
      <c r="E570" s="391">
        <f t="shared" ca="1" si="47"/>
        <v>11</v>
      </c>
      <c r="F570" s="125"/>
      <c r="J570" s="130"/>
      <c r="K570" s="132"/>
      <c r="L570" s="413"/>
      <c r="M570" s="413"/>
      <c r="N570" s="414"/>
      <c r="O570" s="415"/>
      <c r="P570" s="133"/>
      <c r="Q570" s="130"/>
      <c r="R570" s="132"/>
      <c r="S570" s="132"/>
      <c r="T570" s="130"/>
    </row>
    <row r="571" spans="1:20" s="131" customFormat="1" ht="14.1" customHeight="1" x14ac:dyDescent="0.25">
      <c r="A571" s="390">
        <f ca="1">IF($H571="UNIDADE CONSTRUTIVA",OFFSET(A571,-1,0)+1,LARGE(A$3:A570,1))</f>
        <v>0</v>
      </c>
      <c r="B571" s="390">
        <f t="shared" ca="1" si="44"/>
        <v>3</v>
      </c>
      <c r="C571" s="390">
        <f t="shared" ca="1" si="45"/>
        <v>1</v>
      </c>
      <c r="D571" s="391">
        <f t="shared" ca="1" si="46"/>
        <v>2</v>
      </c>
      <c r="E571" s="391">
        <f t="shared" ca="1" si="47"/>
        <v>11</v>
      </c>
      <c r="F571" s="125"/>
      <c r="J571" s="130"/>
      <c r="K571" s="132"/>
      <c r="L571" s="413"/>
      <c r="M571" s="413"/>
      <c r="N571" s="414"/>
      <c r="O571" s="415"/>
      <c r="P571" s="133"/>
      <c r="Q571" s="130"/>
      <c r="R571" s="132"/>
      <c r="S571" s="132"/>
      <c r="T571" s="130"/>
    </row>
    <row r="572" spans="1:20" s="131" customFormat="1" ht="14.1" customHeight="1" x14ac:dyDescent="0.25">
      <c r="A572" s="390">
        <f ca="1">IF($H572="UNIDADE CONSTRUTIVA",OFFSET(A572,-1,0)+1,LARGE(A$3:A571,1))</f>
        <v>0</v>
      </c>
      <c r="B572" s="390">
        <f t="shared" ca="1" si="44"/>
        <v>3</v>
      </c>
      <c r="C572" s="390">
        <f t="shared" ca="1" si="45"/>
        <v>1</v>
      </c>
      <c r="D572" s="391">
        <f t="shared" ca="1" si="46"/>
        <v>2</v>
      </c>
      <c r="E572" s="391">
        <f t="shared" ca="1" si="47"/>
        <v>11</v>
      </c>
      <c r="F572" s="125"/>
      <c r="J572" s="130"/>
      <c r="K572" s="132"/>
      <c r="L572" s="413"/>
      <c r="M572" s="413"/>
      <c r="N572" s="414"/>
      <c r="O572" s="415"/>
      <c r="P572" s="133"/>
      <c r="Q572" s="130"/>
      <c r="R572" s="132"/>
      <c r="S572" s="132"/>
      <c r="T572" s="130"/>
    </row>
    <row r="573" spans="1:20" s="131" customFormat="1" ht="14.1" customHeight="1" x14ac:dyDescent="0.25">
      <c r="A573" s="390">
        <f ca="1">IF($H573="UNIDADE CONSTRUTIVA",OFFSET(A573,-1,0)+1,LARGE(A$3:A572,1))</f>
        <v>0</v>
      </c>
      <c r="B573" s="390">
        <f t="shared" ca="1" si="44"/>
        <v>3</v>
      </c>
      <c r="C573" s="390">
        <f t="shared" ca="1" si="45"/>
        <v>1</v>
      </c>
      <c r="D573" s="391">
        <f t="shared" ca="1" si="46"/>
        <v>2</v>
      </c>
      <c r="E573" s="391">
        <f t="shared" ca="1" si="47"/>
        <v>11</v>
      </c>
      <c r="F573" s="125"/>
      <c r="J573" s="130"/>
      <c r="K573" s="132"/>
      <c r="L573" s="413"/>
      <c r="M573" s="413"/>
      <c r="N573" s="414"/>
      <c r="O573" s="415"/>
      <c r="P573" s="133"/>
      <c r="Q573" s="130"/>
      <c r="R573" s="132"/>
      <c r="S573" s="132"/>
      <c r="T573" s="130"/>
    </row>
    <row r="574" spans="1:20" s="131" customFormat="1" ht="14.1" customHeight="1" x14ac:dyDescent="0.25">
      <c r="A574" s="390">
        <f ca="1">IF($H574="UNIDADE CONSTRUTIVA",OFFSET(A574,-1,0)+1,LARGE(A$3:A573,1))</f>
        <v>0</v>
      </c>
      <c r="B574" s="390">
        <f t="shared" ca="1" si="44"/>
        <v>3</v>
      </c>
      <c r="C574" s="390">
        <f t="shared" ca="1" si="45"/>
        <v>1</v>
      </c>
      <c r="D574" s="391">
        <f t="shared" ca="1" si="46"/>
        <v>2</v>
      </c>
      <c r="E574" s="391">
        <f t="shared" ca="1" si="47"/>
        <v>11</v>
      </c>
      <c r="F574" s="125"/>
      <c r="J574" s="130"/>
      <c r="K574" s="132"/>
      <c r="L574" s="413"/>
      <c r="M574" s="413"/>
      <c r="N574" s="414"/>
      <c r="O574" s="415"/>
      <c r="P574" s="133"/>
      <c r="Q574" s="130"/>
      <c r="R574" s="132"/>
      <c r="S574" s="132"/>
      <c r="T574" s="130"/>
    </row>
    <row r="575" spans="1:20" s="131" customFormat="1" ht="14.1" customHeight="1" x14ac:dyDescent="0.25">
      <c r="A575" s="390">
        <f ca="1">IF($H575="UNIDADE CONSTRUTIVA",OFFSET(A575,-1,0)+1,LARGE(A$3:A574,1))</f>
        <v>0</v>
      </c>
      <c r="B575" s="390">
        <f t="shared" ca="1" si="44"/>
        <v>3</v>
      </c>
      <c r="C575" s="390">
        <f t="shared" ca="1" si="45"/>
        <v>1</v>
      </c>
      <c r="D575" s="391">
        <f t="shared" ca="1" si="46"/>
        <v>2</v>
      </c>
      <c r="E575" s="391">
        <f t="shared" ca="1" si="47"/>
        <v>11</v>
      </c>
      <c r="F575" s="125"/>
      <c r="J575" s="130"/>
      <c r="K575" s="132"/>
      <c r="L575" s="413"/>
      <c r="M575" s="413"/>
      <c r="N575" s="414"/>
      <c r="O575" s="415"/>
      <c r="P575" s="133"/>
      <c r="Q575" s="130"/>
      <c r="R575" s="132"/>
      <c r="S575" s="132"/>
      <c r="T575" s="130"/>
    </row>
    <row r="576" spans="1:20" s="131" customFormat="1" ht="14.1" customHeight="1" x14ac:dyDescent="0.25">
      <c r="A576" s="390">
        <f ca="1">IF($H576="UNIDADE CONSTRUTIVA",OFFSET(A576,-1,0)+1,LARGE(A$3:A575,1))</f>
        <v>0</v>
      </c>
      <c r="B576" s="390">
        <f t="shared" ca="1" si="44"/>
        <v>3</v>
      </c>
      <c r="C576" s="390">
        <f t="shared" ca="1" si="45"/>
        <v>1</v>
      </c>
      <c r="D576" s="391">
        <f t="shared" ca="1" si="46"/>
        <v>2</v>
      </c>
      <c r="E576" s="391">
        <f t="shared" ca="1" si="47"/>
        <v>11</v>
      </c>
      <c r="F576" s="125"/>
      <c r="J576" s="130"/>
      <c r="K576" s="132"/>
      <c r="L576" s="413"/>
      <c r="M576" s="413"/>
      <c r="N576" s="414"/>
      <c r="O576" s="415"/>
      <c r="P576" s="133"/>
      <c r="Q576" s="130"/>
      <c r="R576" s="132"/>
      <c r="S576" s="132"/>
      <c r="T576" s="130"/>
    </row>
    <row r="577" spans="1:20" s="131" customFormat="1" ht="14.1" customHeight="1" x14ac:dyDescent="0.25">
      <c r="A577" s="390">
        <f ca="1">IF($H577="UNIDADE CONSTRUTIVA",OFFSET(A577,-1,0)+1,LARGE(A$3:A576,1))</f>
        <v>0</v>
      </c>
      <c r="B577" s="390">
        <f t="shared" ca="1" si="44"/>
        <v>3</v>
      </c>
      <c r="C577" s="390">
        <f t="shared" ca="1" si="45"/>
        <v>1</v>
      </c>
      <c r="D577" s="391">
        <f t="shared" ca="1" si="46"/>
        <v>2</v>
      </c>
      <c r="E577" s="391">
        <f t="shared" ca="1" si="47"/>
        <v>11</v>
      </c>
      <c r="F577" s="125"/>
      <c r="J577" s="130"/>
      <c r="K577" s="132"/>
      <c r="L577" s="413"/>
      <c r="M577" s="413"/>
      <c r="N577" s="414"/>
      <c r="O577" s="415"/>
      <c r="P577" s="133"/>
      <c r="Q577" s="130"/>
      <c r="R577" s="132"/>
      <c r="S577" s="132"/>
      <c r="T577" s="130"/>
    </row>
    <row r="578" spans="1:20" s="131" customFormat="1" ht="14.1" customHeight="1" x14ac:dyDescent="0.25">
      <c r="A578" s="390">
        <f ca="1">IF($H578="UNIDADE CONSTRUTIVA",OFFSET(A578,-1,0)+1,LARGE(A$3:A577,1))</f>
        <v>0</v>
      </c>
      <c r="B578" s="390">
        <f t="shared" ca="1" si="44"/>
        <v>3</v>
      </c>
      <c r="C578" s="390">
        <f t="shared" ca="1" si="45"/>
        <v>1</v>
      </c>
      <c r="D578" s="391">
        <f t="shared" ca="1" si="46"/>
        <v>2</v>
      </c>
      <c r="E578" s="391">
        <f t="shared" ca="1" si="47"/>
        <v>11</v>
      </c>
      <c r="F578" s="125"/>
      <c r="J578" s="130"/>
      <c r="K578" s="132"/>
      <c r="L578" s="413"/>
      <c r="M578" s="413"/>
      <c r="N578" s="414"/>
      <c r="O578" s="415"/>
      <c r="P578" s="133"/>
      <c r="Q578" s="130"/>
      <c r="R578" s="132"/>
      <c r="S578" s="132"/>
      <c r="T578" s="130"/>
    </row>
    <row r="579" spans="1:20" s="131" customFormat="1" ht="14.1" customHeight="1" x14ac:dyDescent="0.25">
      <c r="A579" s="390">
        <f ca="1">IF($H579="UNIDADE CONSTRUTIVA",OFFSET(A579,-1,0)+1,LARGE(A$3:A578,1))</f>
        <v>0</v>
      </c>
      <c r="B579" s="390">
        <f t="shared" ca="1" si="44"/>
        <v>3</v>
      </c>
      <c r="C579" s="390">
        <f t="shared" ca="1" si="45"/>
        <v>1</v>
      </c>
      <c r="D579" s="391">
        <f t="shared" ca="1" si="46"/>
        <v>2</v>
      </c>
      <c r="E579" s="391">
        <f t="shared" ca="1" si="47"/>
        <v>11</v>
      </c>
      <c r="F579" s="125"/>
      <c r="J579" s="130"/>
      <c r="K579" s="132"/>
      <c r="L579" s="413"/>
      <c r="M579" s="413"/>
      <c r="N579" s="414"/>
      <c r="O579" s="415"/>
      <c r="P579" s="133"/>
      <c r="Q579" s="130"/>
      <c r="R579" s="132"/>
      <c r="S579" s="132"/>
      <c r="T579" s="130"/>
    </row>
    <row r="580" spans="1:20" s="131" customFormat="1" ht="14.1" customHeight="1" x14ac:dyDescent="0.25">
      <c r="A580" s="390">
        <f ca="1">IF($H580="UNIDADE CONSTRUTIVA",OFFSET(A580,-1,0)+1,LARGE(A$3:A579,1))</f>
        <v>0</v>
      </c>
      <c r="B580" s="390">
        <f t="shared" ca="1" si="44"/>
        <v>3</v>
      </c>
      <c r="C580" s="390">
        <f t="shared" ca="1" si="45"/>
        <v>1</v>
      </c>
      <c r="D580" s="391">
        <f t="shared" ca="1" si="46"/>
        <v>2</v>
      </c>
      <c r="E580" s="391">
        <f t="shared" ca="1" si="47"/>
        <v>11</v>
      </c>
      <c r="F580" s="125"/>
      <c r="J580" s="130"/>
      <c r="K580" s="132"/>
      <c r="L580" s="413"/>
      <c r="M580" s="413"/>
      <c r="N580" s="414"/>
      <c r="O580" s="415"/>
      <c r="P580" s="133"/>
      <c r="Q580" s="130"/>
      <c r="R580" s="132"/>
      <c r="S580" s="132"/>
      <c r="T580" s="130"/>
    </row>
    <row r="581" spans="1:20" s="131" customFormat="1" ht="14.1" customHeight="1" x14ac:dyDescent="0.25">
      <c r="A581" s="390">
        <f ca="1">IF($H581="UNIDADE CONSTRUTIVA",OFFSET(A581,-1,0)+1,LARGE(A$3:A580,1))</f>
        <v>0</v>
      </c>
      <c r="B581" s="390">
        <f t="shared" ca="1" si="44"/>
        <v>3</v>
      </c>
      <c r="C581" s="390">
        <f t="shared" ca="1" si="45"/>
        <v>1</v>
      </c>
      <c r="D581" s="391">
        <f t="shared" ca="1" si="46"/>
        <v>2</v>
      </c>
      <c r="E581" s="391">
        <f t="shared" ca="1" si="47"/>
        <v>11</v>
      </c>
      <c r="F581" s="125"/>
      <c r="J581" s="130"/>
      <c r="K581" s="132"/>
      <c r="L581" s="413"/>
      <c r="M581" s="413"/>
      <c r="N581" s="414"/>
      <c r="O581" s="415"/>
      <c r="P581" s="133"/>
      <c r="Q581" s="130"/>
      <c r="R581" s="132"/>
      <c r="S581" s="132"/>
      <c r="T581" s="130"/>
    </row>
    <row r="582" spans="1:20" s="131" customFormat="1" ht="14.1" customHeight="1" x14ac:dyDescent="0.25">
      <c r="A582" s="390">
        <f ca="1">IF($H582="UNIDADE CONSTRUTIVA",OFFSET(A582,-1,0)+1,LARGE(A$3:A581,1))</f>
        <v>0</v>
      </c>
      <c r="B582" s="390">
        <f t="shared" ca="1" si="44"/>
        <v>3</v>
      </c>
      <c r="C582" s="390">
        <f t="shared" ca="1" si="45"/>
        <v>1</v>
      </c>
      <c r="D582" s="391">
        <f t="shared" ca="1" si="46"/>
        <v>2</v>
      </c>
      <c r="E582" s="391">
        <f t="shared" ca="1" si="47"/>
        <v>11</v>
      </c>
      <c r="F582" s="125"/>
      <c r="J582" s="130"/>
      <c r="K582" s="132"/>
      <c r="L582" s="413"/>
      <c r="M582" s="413"/>
      <c r="N582" s="414"/>
      <c r="O582" s="415"/>
      <c r="P582" s="133"/>
      <c r="Q582" s="130"/>
      <c r="R582" s="132"/>
      <c r="S582" s="132"/>
      <c r="T582" s="130"/>
    </row>
    <row r="583" spans="1:20" s="131" customFormat="1" ht="14.1" customHeight="1" x14ac:dyDescent="0.25">
      <c r="A583" s="390">
        <f ca="1">IF($H583="UNIDADE CONSTRUTIVA",OFFSET(A583,-1,0)+1,LARGE(A$3:A582,1))</f>
        <v>0</v>
      </c>
      <c r="B583" s="390">
        <f t="shared" ca="1" si="44"/>
        <v>3</v>
      </c>
      <c r="C583" s="390">
        <f t="shared" ca="1" si="45"/>
        <v>1</v>
      </c>
      <c r="D583" s="391">
        <f t="shared" ca="1" si="46"/>
        <v>2</v>
      </c>
      <c r="E583" s="391">
        <f t="shared" ca="1" si="47"/>
        <v>11</v>
      </c>
      <c r="F583" s="125"/>
      <c r="J583" s="130"/>
      <c r="K583" s="132"/>
      <c r="L583" s="413"/>
      <c r="M583" s="413"/>
      <c r="N583" s="414"/>
      <c r="O583" s="415"/>
      <c r="P583" s="133"/>
      <c r="Q583" s="130"/>
      <c r="R583" s="132"/>
      <c r="S583" s="132"/>
      <c r="T583" s="130"/>
    </row>
    <row r="584" spans="1:20" s="131" customFormat="1" ht="14.1" customHeight="1" x14ac:dyDescent="0.25">
      <c r="A584" s="390">
        <f ca="1">IF($H584="UNIDADE CONSTRUTIVA",OFFSET(A584,-1,0)+1,LARGE(A$3:A583,1))</f>
        <v>0</v>
      </c>
      <c r="B584" s="390">
        <f t="shared" ca="1" si="44"/>
        <v>3</v>
      </c>
      <c r="C584" s="390">
        <f t="shared" ca="1" si="45"/>
        <v>1</v>
      </c>
      <c r="D584" s="391">
        <f t="shared" ca="1" si="46"/>
        <v>2</v>
      </c>
      <c r="E584" s="391">
        <f t="shared" ca="1" si="47"/>
        <v>11</v>
      </c>
      <c r="F584" s="125"/>
      <c r="J584" s="130"/>
      <c r="K584" s="132"/>
      <c r="L584" s="413"/>
      <c r="M584" s="413"/>
      <c r="N584" s="414"/>
      <c r="O584" s="415"/>
      <c r="P584" s="133"/>
      <c r="Q584" s="130"/>
      <c r="R584" s="132"/>
      <c r="S584" s="132"/>
      <c r="T584" s="130"/>
    </row>
    <row r="585" spans="1:20" s="131" customFormat="1" ht="14.1" customHeight="1" x14ac:dyDescent="0.25">
      <c r="A585" s="390">
        <f ca="1">IF($H585="UNIDADE CONSTRUTIVA",OFFSET(A585,-1,0)+1,LARGE(A$3:A584,1))</f>
        <v>0</v>
      </c>
      <c r="B585" s="390">
        <f t="shared" ref="B585:B648" ca="1" si="48">IF(H585="UNIDADE CONSTRUTIVA",0,IF(H585="CÉLULA CONSTRUTIVA",OFFSET(B585,-1,0)+1,OFFSET(B585,-1,0)))</f>
        <v>3</v>
      </c>
      <c r="C585" s="390">
        <f t="shared" ref="C585:C648" ca="1" si="49">IF(H585="CÉLULA CONSTRUTIVA",0,IF(H585="ETAPA",OFFSET(C585,-1,0)+1,OFFSET(C585,-1,0)))</f>
        <v>1</v>
      </c>
      <c r="D585" s="391">
        <f t="shared" ref="D585:D648" ca="1" si="50">IF(H585="ETAPA",0,IF(H585="SUBETAPA",OFFSET(D585,-1,0)+1,OFFSET(D585,-1,0)))</f>
        <v>2</v>
      </c>
      <c r="E585" s="391">
        <f t="shared" ref="E585:E648" ca="1" si="51">IF(H585="Subetapa",0,IF(H585="serviço",OFFSET(E585,-1,0)+1,OFFSET(E585,-1,0)))</f>
        <v>11</v>
      </c>
      <c r="F585" s="125"/>
      <c r="J585" s="130"/>
      <c r="K585" s="132"/>
      <c r="L585" s="413"/>
      <c r="M585" s="413"/>
      <c r="N585" s="414"/>
      <c r="O585" s="415"/>
      <c r="P585" s="133"/>
      <c r="Q585" s="130"/>
      <c r="R585" s="132"/>
      <c r="S585" s="132"/>
      <c r="T585" s="130"/>
    </row>
    <row r="586" spans="1:20" s="131" customFormat="1" ht="14.1" customHeight="1" x14ac:dyDescent="0.25">
      <c r="A586" s="390">
        <f ca="1">IF($H586="UNIDADE CONSTRUTIVA",OFFSET(A586,-1,0)+1,LARGE(A$3:A585,1))</f>
        <v>0</v>
      </c>
      <c r="B586" s="390">
        <f t="shared" ca="1" si="48"/>
        <v>3</v>
      </c>
      <c r="C586" s="390">
        <f t="shared" ca="1" si="49"/>
        <v>1</v>
      </c>
      <c r="D586" s="391">
        <f t="shared" ca="1" si="50"/>
        <v>2</v>
      </c>
      <c r="E586" s="391">
        <f t="shared" ca="1" si="51"/>
        <v>11</v>
      </c>
      <c r="F586" s="125"/>
      <c r="J586" s="130"/>
      <c r="K586" s="132"/>
      <c r="L586" s="413"/>
      <c r="M586" s="413"/>
      <c r="N586" s="414"/>
      <c r="O586" s="415"/>
      <c r="P586" s="133"/>
      <c r="Q586" s="130"/>
      <c r="R586" s="132"/>
      <c r="S586" s="132"/>
      <c r="T586" s="130"/>
    </row>
    <row r="587" spans="1:20" s="131" customFormat="1" ht="14.1" customHeight="1" x14ac:dyDescent="0.25">
      <c r="A587" s="390">
        <f ca="1">IF($H587="UNIDADE CONSTRUTIVA",OFFSET(A587,-1,0)+1,LARGE(A$3:A586,1))</f>
        <v>0</v>
      </c>
      <c r="B587" s="390">
        <f t="shared" ca="1" si="48"/>
        <v>3</v>
      </c>
      <c r="C587" s="390">
        <f t="shared" ca="1" si="49"/>
        <v>1</v>
      </c>
      <c r="D587" s="391">
        <f t="shared" ca="1" si="50"/>
        <v>2</v>
      </c>
      <c r="E587" s="391">
        <f t="shared" ca="1" si="51"/>
        <v>11</v>
      </c>
      <c r="F587" s="125"/>
      <c r="J587" s="130"/>
      <c r="K587" s="132"/>
      <c r="L587" s="413"/>
      <c r="M587" s="413"/>
      <c r="N587" s="414"/>
      <c r="O587" s="415"/>
      <c r="P587" s="133"/>
      <c r="Q587" s="130"/>
      <c r="R587" s="132"/>
      <c r="S587" s="132"/>
      <c r="T587" s="130"/>
    </row>
    <row r="588" spans="1:20" s="131" customFormat="1" ht="14.1" customHeight="1" x14ac:dyDescent="0.25">
      <c r="A588" s="390">
        <f ca="1">IF($H588="UNIDADE CONSTRUTIVA",OFFSET(A588,-1,0)+1,LARGE(A$3:A587,1))</f>
        <v>0</v>
      </c>
      <c r="B588" s="390">
        <f t="shared" ca="1" si="48"/>
        <v>3</v>
      </c>
      <c r="C588" s="390">
        <f t="shared" ca="1" si="49"/>
        <v>1</v>
      </c>
      <c r="D588" s="391">
        <f t="shared" ca="1" si="50"/>
        <v>2</v>
      </c>
      <c r="E588" s="391">
        <f t="shared" ca="1" si="51"/>
        <v>11</v>
      </c>
      <c r="F588" s="125"/>
      <c r="J588" s="130"/>
      <c r="K588" s="132"/>
      <c r="L588" s="413"/>
      <c r="M588" s="413"/>
      <c r="N588" s="414"/>
      <c r="O588" s="415"/>
      <c r="P588" s="133"/>
      <c r="Q588" s="130"/>
      <c r="R588" s="132"/>
      <c r="S588" s="132"/>
      <c r="T588" s="130"/>
    </row>
    <row r="589" spans="1:20" s="131" customFormat="1" ht="14.1" customHeight="1" x14ac:dyDescent="0.25">
      <c r="A589" s="390">
        <f ca="1">IF($H589="UNIDADE CONSTRUTIVA",OFFSET(A589,-1,0)+1,LARGE(A$3:A588,1))</f>
        <v>0</v>
      </c>
      <c r="B589" s="390">
        <f t="shared" ca="1" si="48"/>
        <v>3</v>
      </c>
      <c r="C589" s="390">
        <f t="shared" ca="1" si="49"/>
        <v>1</v>
      </c>
      <c r="D589" s="391">
        <f t="shared" ca="1" si="50"/>
        <v>2</v>
      </c>
      <c r="E589" s="391">
        <f t="shared" ca="1" si="51"/>
        <v>11</v>
      </c>
      <c r="F589" s="125"/>
      <c r="J589" s="130"/>
      <c r="K589" s="132"/>
      <c r="L589" s="413"/>
      <c r="M589" s="413"/>
      <c r="N589" s="414"/>
      <c r="O589" s="415"/>
      <c r="P589" s="133"/>
      <c r="Q589" s="130"/>
      <c r="R589" s="132"/>
      <c r="S589" s="132"/>
      <c r="T589" s="130"/>
    </row>
    <row r="590" spans="1:20" s="131" customFormat="1" ht="14.1" customHeight="1" x14ac:dyDescent="0.25">
      <c r="A590" s="390">
        <f ca="1">IF($H590="UNIDADE CONSTRUTIVA",OFFSET(A590,-1,0)+1,LARGE(A$3:A589,1))</f>
        <v>0</v>
      </c>
      <c r="B590" s="390">
        <f t="shared" ca="1" si="48"/>
        <v>3</v>
      </c>
      <c r="C590" s="390">
        <f t="shared" ca="1" si="49"/>
        <v>1</v>
      </c>
      <c r="D590" s="391">
        <f t="shared" ca="1" si="50"/>
        <v>2</v>
      </c>
      <c r="E590" s="391">
        <f t="shared" ca="1" si="51"/>
        <v>11</v>
      </c>
      <c r="F590" s="125"/>
      <c r="J590" s="130"/>
      <c r="K590" s="132"/>
      <c r="L590" s="413"/>
      <c r="M590" s="413"/>
      <c r="N590" s="414"/>
      <c r="O590" s="415"/>
      <c r="P590" s="133"/>
      <c r="Q590" s="130"/>
      <c r="R590" s="132"/>
      <c r="S590" s="132"/>
      <c r="T590" s="130"/>
    </row>
    <row r="591" spans="1:20" s="131" customFormat="1" ht="14.1" customHeight="1" x14ac:dyDescent="0.25">
      <c r="A591" s="390">
        <f ca="1">IF($H591="UNIDADE CONSTRUTIVA",OFFSET(A591,-1,0)+1,LARGE(A$3:A590,1))</f>
        <v>0</v>
      </c>
      <c r="B591" s="390">
        <f t="shared" ca="1" si="48"/>
        <v>3</v>
      </c>
      <c r="C591" s="390">
        <f t="shared" ca="1" si="49"/>
        <v>1</v>
      </c>
      <c r="D591" s="391">
        <f t="shared" ca="1" si="50"/>
        <v>2</v>
      </c>
      <c r="E591" s="391">
        <f t="shared" ca="1" si="51"/>
        <v>11</v>
      </c>
      <c r="F591" s="125"/>
      <c r="J591" s="130"/>
      <c r="K591" s="132"/>
      <c r="L591" s="413"/>
      <c r="M591" s="413"/>
      <c r="N591" s="414"/>
      <c r="O591" s="415"/>
      <c r="P591" s="133"/>
      <c r="Q591" s="130"/>
      <c r="R591" s="132"/>
      <c r="S591" s="132"/>
      <c r="T591" s="130"/>
    </row>
    <row r="592" spans="1:20" s="131" customFormat="1" ht="14.1" customHeight="1" x14ac:dyDescent="0.25">
      <c r="A592" s="390">
        <f ca="1">IF($H592="UNIDADE CONSTRUTIVA",OFFSET(A592,-1,0)+1,LARGE(A$3:A591,1))</f>
        <v>0</v>
      </c>
      <c r="B592" s="390">
        <f t="shared" ca="1" si="48"/>
        <v>3</v>
      </c>
      <c r="C592" s="390">
        <f t="shared" ca="1" si="49"/>
        <v>1</v>
      </c>
      <c r="D592" s="391">
        <f t="shared" ca="1" si="50"/>
        <v>2</v>
      </c>
      <c r="E592" s="391">
        <f t="shared" ca="1" si="51"/>
        <v>11</v>
      </c>
      <c r="F592" s="125"/>
      <c r="J592" s="130"/>
      <c r="K592" s="132"/>
      <c r="L592" s="413"/>
      <c r="M592" s="413"/>
      <c r="N592" s="414"/>
      <c r="O592" s="415"/>
      <c r="P592" s="133"/>
      <c r="Q592" s="130"/>
      <c r="R592" s="132"/>
      <c r="S592" s="132"/>
      <c r="T592" s="130"/>
    </row>
    <row r="593" spans="1:20" s="131" customFormat="1" ht="14.1" customHeight="1" x14ac:dyDescent="0.25">
      <c r="A593" s="390">
        <f ca="1">IF($H593="UNIDADE CONSTRUTIVA",OFFSET(A593,-1,0)+1,LARGE(A$3:A592,1))</f>
        <v>0</v>
      </c>
      <c r="B593" s="390">
        <f t="shared" ca="1" si="48"/>
        <v>3</v>
      </c>
      <c r="C593" s="390">
        <f t="shared" ca="1" si="49"/>
        <v>1</v>
      </c>
      <c r="D593" s="391">
        <f t="shared" ca="1" si="50"/>
        <v>2</v>
      </c>
      <c r="E593" s="391">
        <f t="shared" ca="1" si="51"/>
        <v>11</v>
      </c>
      <c r="F593" s="125"/>
      <c r="J593" s="130"/>
      <c r="K593" s="132"/>
      <c r="L593" s="413"/>
      <c r="M593" s="413"/>
      <c r="N593" s="414"/>
      <c r="O593" s="415"/>
      <c r="P593" s="133"/>
      <c r="Q593" s="130"/>
      <c r="R593" s="132"/>
      <c r="S593" s="132"/>
      <c r="T593" s="130"/>
    </row>
    <row r="594" spans="1:20" s="131" customFormat="1" ht="14.1" customHeight="1" x14ac:dyDescent="0.25">
      <c r="A594" s="390">
        <f ca="1">IF($H594="UNIDADE CONSTRUTIVA",OFFSET(A594,-1,0)+1,LARGE(A$3:A593,1))</f>
        <v>0</v>
      </c>
      <c r="B594" s="390">
        <f t="shared" ca="1" si="48"/>
        <v>3</v>
      </c>
      <c r="C594" s="390">
        <f t="shared" ca="1" si="49"/>
        <v>1</v>
      </c>
      <c r="D594" s="391">
        <f t="shared" ca="1" si="50"/>
        <v>2</v>
      </c>
      <c r="E594" s="391">
        <f t="shared" ca="1" si="51"/>
        <v>11</v>
      </c>
      <c r="F594" s="125"/>
      <c r="J594" s="130"/>
      <c r="K594" s="132"/>
      <c r="L594" s="413"/>
      <c r="M594" s="413"/>
      <c r="N594" s="414"/>
      <c r="O594" s="415"/>
      <c r="P594" s="133"/>
      <c r="Q594" s="130"/>
      <c r="R594" s="132"/>
      <c r="S594" s="132"/>
      <c r="T594" s="130"/>
    </row>
    <row r="595" spans="1:20" s="131" customFormat="1" ht="14.1" customHeight="1" x14ac:dyDescent="0.25">
      <c r="A595" s="390">
        <f ca="1">IF($H595="UNIDADE CONSTRUTIVA",OFFSET(A595,-1,0)+1,LARGE(A$3:A594,1))</f>
        <v>0</v>
      </c>
      <c r="B595" s="390">
        <f t="shared" ca="1" si="48"/>
        <v>3</v>
      </c>
      <c r="C595" s="390">
        <f t="shared" ca="1" si="49"/>
        <v>1</v>
      </c>
      <c r="D595" s="391">
        <f t="shared" ca="1" si="50"/>
        <v>2</v>
      </c>
      <c r="E595" s="391">
        <f t="shared" ca="1" si="51"/>
        <v>11</v>
      </c>
      <c r="F595" s="125"/>
      <c r="J595" s="130"/>
      <c r="K595" s="132"/>
      <c r="L595" s="413"/>
      <c r="M595" s="413"/>
      <c r="N595" s="414"/>
      <c r="O595" s="415"/>
      <c r="P595" s="133"/>
      <c r="Q595" s="130"/>
      <c r="R595" s="132"/>
      <c r="S595" s="132"/>
      <c r="T595" s="130"/>
    </row>
    <row r="596" spans="1:20" s="131" customFormat="1" ht="14.1" customHeight="1" x14ac:dyDescent="0.25">
      <c r="A596" s="390">
        <f ca="1">IF($H596="UNIDADE CONSTRUTIVA",OFFSET(A596,-1,0)+1,LARGE(A$3:A595,1))</f>
        <v>0</v>
      </c>
      <c r="B596" s="390">
        <f t="shared" ca="1" si="48"/>
        <v>3</v>
      </c>
      <c r="C596" s="390">
        <f t="shared" ca="1" si="49"/>
        <v>1</v>
      </c>
      <c r="D596" s="391">
        <f t="shared" ca="1" si="50"/>
        <v>2</v>
      </c>
      <c r="E596" s="391">
        <f t="shared" ca="1" si="51"/>
        <v>11</v>
      </c>
      <c r="F596" s="125"/>
      <c r="J596" s="130"/>
      <c r="K596" s="132"/>
      <c r="L596" s="413"/>
      <c r="M596" s="413"/>
      <c r="N596" s="414"/>
      <c r="O596" s="415"/>
      <c r="P596" s="133"/>
      <c r="Q596" s="130"/>
      <c r="R596" s="132"/>
      <c r="S596" s="132"/>
      <c r="T596" s="130"/>
    </row>
    <row r="597" spans="1:20" s="131" customFormat="1" ht="14.1" customHeight="1" x14ac:dyDescent="0.25">
      <c r="A597" s="390">
        <f ca="1">IF($H597="UNIDADE CONSTRUTIVA",OFFSET(A597,-1,0)+1,LARGE(A$3:A596,1))</f>
        <v>0</v>
      </c>
      <c r="B597" s="390">
        <f t="shared" ca="1" si="48"/>
        <v>3</v>
      </c>
      <c r="C597" s="390">
        <f t="shared" ca="1" si="49"/>
        <v>1</v>
      </c>
      <c r="D597" s="391">
        <f t="shared" ca="1" si="50"/>
        <v>2</v>
      </c>
      <c r="E597" s="391">
        <f t="shared" ca="1" si="51"/>
        <v>11</v>
      </c>
      <c r="F597" s="125"/>
      <c r="J597" s="130"/>
      <c r="K597" s="132"/>
      <c r="L597" s="413"/>
      <c r="M597" s="413"/>
      <c r="N597" s="414"/>
      <c r="O597" s="415"/>
      <c r="P597" s="133"/>
      <c r="Q597" s="130"/>
      <c r="R597" s="132"/>
      <c r="S597" s="132"/>
      <c r="T597" s="130"/>
    </row>
    <row r="598" spans="1:20" s="131" customFormat="1" ht="14.1" customHeight="1" x14ac:dyDescent="0.25">
      <c r="A598" s="390">
        <f ca="1">IF($H598="UNIDADE CONSTRUTIVA",OFFSET(A598,-1,0)+1,LARGE(A$3:A597,1))</f>
        <v>0</v>
      </c>
      <c r="B598" s="390">
        <f t="shared" ca="1" si="48"/>
        <v>3</v>
      </c>
      <c r="C598" s="390">
        <f t="shared" ca="1" si="49"/>
        <v>1</v>
      </c>
      <c r="D598" s="391">
        <f t="shared" ca="1" si="50"/>
        <v>2</v>
      </c>
      <c r="E598" s="391">
        <f t="shared" ca="1" si="51"/>
        <v>11</v>
      </c>
      <c r="F598" s="125"/>
      <c r="J598" s="130"/>
      <c r="K598" s="132"/>
      <c r="L598" s="413"/>
      <c r="M598" s="413"/>
      <c r="N598" s="414"/>
      <c r="O598" s="415"/>
      <c r="P598" s="133"/>
      <c r="Q598" s="130"/>
      <c r="R598" s="132"/>
      <c r="S598" s="132"/>
      <c r="T598" s="130"/>
    </row>
    <row r="599" spans="1:20" s="131" customFormat="1" ht="14.1" customHeight="1" x14ac:dyDescent="0.25">
      <c r="A599" s="390">
        <f ca="1">IF($H599="UNIDADE CONSTRUTIVA",OFFSET(A599,-1,0)+1,LARGE(A$3:A598,1))</f>
        <v>0</v>
      </c>
      <c r="B599" s="390">
        <f t="shared" ca="1" si="48"/>
        <v>3</v>
      </c>
      <c r="C599" s="390">
        <f t="shared" ca="1" si="49"/>
        <v>1</v>
      </c>
      <c r="D599" s="391">
        <f t="shared" ca="1" si="50"/>
        <v>2</v>
      </c>
      <c r="E599" s="391">
        <f t="shared" ca="1" si="51"/>
        <v>11</v>
      </c>
      <c r="F599" s="125"/>
      <c r="J599" s="130"/>
      <c r="K599" s="132"/>
      <c r="L599" s="413"/>
      <c r="M599" s="413"/>
      <c r="N599" s="414"/>
      <c r="O599" s="415"/>
      <c r="P599" s="133"/>
      <c r="Q599" s="130"/>
      <c r="R599" s="132"/>
      <c r="S599" s="132"/>
      <c r="T599" s="130"/>
    </row>
    <row r="600" spans="1:20" s="131" customFormat="1" ht="14.1" customHeight="1" x14ac:dyDescent="0.25">
      <c r="A600" s="390">
        <f ca="1">IF($H600="UNIDADE CONSTRUTIVA",OFFSET(A600,-1,0)+1,LARGE(A$3:A599,1))</f>
        <v>0</v>
      </c>
      <c r="B600" s="390">
        <f t="shared" ca="1" si="48"/>
        <v>3</v>
      </c>
      <c r="C600" s="390">
        <f t="shared" ca="1" si="49"/>
        <v>1</v>
      </c>
      <c r="D600" s="391">
        <f t="shared" ca="1" si="50"/>
        <v>2</v>
      </c>
      <c r="E600" s="391">
        <f t="shared" ca="1" si="51"/>
        <v>11</v>
      </c>
      <c r="F600" s="125"/>
      <c r="J600" s="130"/>
      <c r="K600" s="132"/>
      <c r="L600" s="413"/>
      <c r="M600" s="413"/>
      <c r="N600" s="414"/>
      <c r="O600" s="415"/>
      <c r="P600" s="133"/>
      <c r="Q600" s="130"/>
      <c r="R600" s="132"/>
      <c r="S600" s="132"/>
      <c r="T600" s="130"/>
    </row>
    <row r="601" spans="1:20" s="131" customFormat="1" ht="14.1" customHeight="1" x14ac:dyDescent="0.25">
      <c r="A601" s="390">
        <f ca="1">IF($H601="UNIDADE CONSTRUTIVA",OFFSET(A601,-1,0)+1,LARGE(A$3:A600,1))</f>
        <v>0</v>
      </c>
      <c r="B601" s="390">
        <f t="shared" ca="1" si="48"/>
        <v>3</v>
      </c>
      <c r="C601" s="390">
        <f t="shared" ca="1" si="49"/>
        <v>1</v>
      </c>
      <c r="D601" s="391">
        <f t="shared" ca="1" si="50"/>
        <v>2</v>
      </c>
      <c r="E601" s="391">
        <f t="shared" ca="1" si="51"/>
        <v>11</v>
      </c>
      <c r="F601" s="125"/>
      <c r="J601" s="130"/>
      <c r="K601" s="132"/>
      <c r="L601" s="413"/>
      <c r="M601" s="413"/>
      <c r="N601" s="414"/>
      <c r="O601" s="415"/>
      <c r="P601" s="133"/>
      <c r="Q601" s="130"/>
      <c r="R601" s="132"/>
      <c r="S601" s="132"/>
      <c r="T601" s="130"/>
    </row>
    <row r="602" spans="1:20" s="131" customFormat="1" ht="14.1" customHeight="1" x14ac:dyDescent="0.25">
      <c r="A602" s="390">
        <f ca="1">IF($H602="UNIDADE CONSTRUTIVA",OFFSET(A602,-1,0)+1,LARGE(A$3:A601,1))</f>
        <v>0</v>
      </c>
      <c r="B602" s="390">
        <f t="shared" ca="1" si="48"/>
        <v>3</v>
      </c>
      <c r="C602" s="390">
        <f t="shared" ca="1" si="49"/>
        <v>1</v>
      </c>
      <c r="D602" s="391">
        <f t="shared" ca="1" si="50"/>
        <v>2</v>
      </c>
      <c r="E602" s="391">
        <f t="shared" ca="1" si="51"/>
        <v>11</v>
      </c>
      <c r="F602" s="125"/>
      <c r="J602" s="130"/>
      <c r="K602" s="132"/>
      <c r="L602" s="413"/>
      <c r="M602" s="413"/>
      <c r="N602" s="414"/>
      <c r="O602" s="415"/>
      <c r="P602" s="133"/>
      <c r="Q602" s="130"/>
      <c r="R602" s="132"/>
      <c r="S602" s="132"/>
      <c r="T602" s="130"/>
    </row>
    <row r="603" spans="1:20" s="131" customFormat="1" ht="14.1" customHeight="1" x14ac:dyDescent="0.25">
      <c r="A603" s="390">
        <f ca="1">IF($H603="UNIDADE CONSTRUTIVA",OFFSET(A603,-1,0)+1,LARGE(A$3:A602,1))</f>
        <v>0</v>
      </c>
      <c r="B603" s="390">
        <f t="shared" ca="1" si="48"/>
        <v>3</v>
      </c>
      <c r="C603" s="390">
        <f t="shared" ca="1" si="49"/>
        <v>1</v>
      </c>
      <c r="D603" s="391">
        <f t="shared" ca="1" si="50"/>
        <v>2</v>
      </c>
      <c r="E603" s="391">
        <f t="shared" ca="1" si="51"/>
        <v>11</v>
      </c>
      <c r="F603" s="125"/>
      <c r="J603" s="130"/>
      <c r="K603" s="132"/>
      <c r="L603" s="413"/>
      <c r="M603" s="413"/>
      <c r="N603" s="414"/>
      <c r="O603" s="415"/>
      <c r="P603" s="133"/>
      <c r="Q603" s="130"/>
      <c r="R603" s="132"/>
      <c r="S603" s="132"/>
      <c r="T603" s="130"/>
    </row>
    <row r="604" spans="1:20" s="131" customFormat="1" ht="14.1" customHeight="1" x14ac:dyDescent="0.25">
      <c r="A604" s="390">
        <f ca="1">IF($H604="UNIDADE CONSTRUTIVA",OFFSET(A604,-1,0)+1,LARGE(A$3:A603,1))</f>
        <v>0</v>
      </c>
      <c r="B604" s="390">
        <f t="shared" ca="1" si="48"/>
        <v>3</v>
      </c>
      <c r="C604" s="390">
        <f t="shared" ca="1" si="49"/>
        <v>1</v>
      </c>
      <c r="D604" s="391">
        <f t="shared" ca="1" si="50"/>
        <v>2</v>
      </c>
      <c r="E604" s="391">
        <f t="shared" ca="1" si="51"/>
        <v>11</v>
      </c>
      <c r="F604" s="125"/>
      <c r="J604" s="130"/>
      <c r="K604" s="132"/>
      <c r="L604" s="413"/>
      <c r="M604" s="413"/>
      <c r="N604" s="414"/>
      <c r="O604" s="415"/>
      <c r="P604" s="133"/>
      <c r="Q604" s="130"/>
      <c r="R604" s="132"/>
      <c r="S604" s="132"/>
      <c r="T604" s="130"/>
    </row>
    <row r="605" spans="1:20" s="131" customFormat="1" ht="14.1" customHeight="1" x14ac:dyDescent="0.25">
      <c r="A605" s="390">
        <f ca="1">IF($H605="UNIDADE CONSTRUTIVA",OFFSET(A605,-1,0)+1,LARGE(A$3:A604,1))</f>
        <v>0</v>
      </c>
      <c r="B605" s="390">
        <f t="shared" ca="1" si="48"/>
        <v>3</v>
      </c>
      <c r="C605" s="390">
        <f t="shared" ca="1" si="49"/>
        <v>1</v>
      </c>
      <c r="D605" s="391">
        <f t="shared" ca="1" si="50"/>
        <v>2</v>
      </c>
      <c r="E605" s="391">
        <f t="shared" ca="1" si="51"/>
        <v>11</v>
      </c>
      <c r="F605" s="125"/>
      <c r="J605" s="130"/>
      <c r="K605" s="132"/>
      <c r="L605" s="413"/>
      <c r="M605" s="413"/>
      <c r="N605" s="414"/>
      <c r="O605" s="415"/>
      <c r="P605" s="133"/>
      <c r="Q605" s="130"/>
      <c r="R605" s="132"/>
      <c r="S605" s="132"/>
      <c r="T605" s="130"/>
    </row>
    <row r="606" spans="1:20" s="131" customFormat="1" ht="14.1" customHeight="1" x14ac:dyDescent="0.25">
      <c r="A606" s="390">
        <f ca="1">IF($H606="UNIDADE CONSTRUTIVA",OFFSET(A606,-1,0)+1,LARGE(A$3:A605,1))</f>
        <v>0</v>
      </c>
      <c r="B606" s="390">
        <f t="shared" ca="1" si="48"/>
        <v>3</v>
      </c>
      <c r="C606" s="390">
        <f t="shared" ca="1" si="49"/>
        <v>1</v>
      </c>
      <c r="D606" s="391">
        <f t="shared" ca="1" si="50"/>
        <v>2</v>
      </c>
      <c r="E606" s="391">
        <f t="shared" ca="1" si="51"/>
        <v>11</v>
      </c>
      <c r="F606" s="125"/>
      <c r="J606" s="130"/>
      <c r="K606" s="132"/>
      <c r="L606" s="413"/>
      <c r="M606" s="413"/>
      <c r="N606" s="414"/>
      <c r="O606" s="415"/>
      <c r="P606" s="133"/>
      <c r="Q606" s="130"/>
      <c r="R606" s="132"/>
      <c r="S606" s="132"/>
      <c r="T606" s="130"/>
    </row>
    <row r="607" spans="1:20" s="131" customFormat="1" ht="14.1" customHeight="1" x14ac:dyDescent="0.25">
      <c r="A607" s="390">
        <f ca="1">IF($H607="UNIDADE CONSTRUTIVA",OFFSET(A607,-1,0)+1,LARGE(A$3:A606,1))</f>
        <v>0</v>
      </c>
      <c r="B607" s="390">
        <f t="shared" ca="1" si="48"/>
        <v>3</v>
      </c>
      <c r="C607" s="390">
        <f t="shared" ca="1" si="49"/>
        <v>1</v>
      </c>
      <c r="D607" s="391">
        <f t="shared" ca="1" si="50"/>
        <v>2</v>
      </c>
      <c r="E607" s="391">
        <f t="shared" ca="1" si="51"/>
        <v>11</v>
      </c>
      <c r="F607" s="125"/>
      <c r="J607" s="130"/>
      <c r="K607" s="132"/>
      <c r="L607" s="413"/>
      <c r="M607" s="413"/>
      <c r="N607" s="414"/>
      <c r="O607" s="415"/>
      <c r="P607" s="133"/>
      <c r="Q607" s="130"/>
      <c r="R607" s="132"/>
      <c r="S607" s="132"/>
      <c r="T607" s="130"/>
    </row>
    <row r="608" spans="1:20" s="131" customFormat="1" ht="14.1" customHeight="1" x14ac:dyDescent="0.25">
      <c r="A608" s="390">
        <f ca="1">IF($H608="UNIDADE CONSTRUTIVA",OFFSET(A608,-1,0)+1,LARGE(A$3:A607,1))</f>
        <v>0</v>
      </c>
      <c r="B608" s="390">
        <f t="shared" ca="1" si="48"/>
        <v>3</v>
      </c>
      <c r="C608" s="390">
        <f t="shared" ca="1" si="49"/>
        <v>1</v>
      </c>
      <c r="D608" s="391">
        <f t="shared" ca="1" si="50"/>
        <v>2</v>
      </c>
      <c r="E608" s="391">
        <f t="shared" ca="1" si="51"/>
        <v>11</v>
      </c>
      <c r="F608" s="125"/>
      <c r="J608" s="130"/>
      <c r="K608" s="132"/>
      <c r="L608" s="413"/>
      <c r="M608" s="413"/>
      <c r="N608" s="414"/>
      <c r="O608" s="415"/>
      <c r="P608" s="133"/>
      <c r="Q608" s="130"/>
      <c r="R608" s="132"/>
      <c r="S608" s="132"/>
      <c r="T608" s="130"/>
    </row>
    <row r="609" spans="1:20" s="131" customFormat="1" ht="14.1" customHeight="1" x14ac:dyDescent="0.25">
      <c r="A609" s="390">
        <f ca="1">IF($H609="UNIDADE CONSTRUTIVA",OFFSET(A609,-1,0)+1,LARGE(A$3:A608,1))</f>
        <v>0</v>
      </c>
      <c r="B609" s="390">
        <f t="shared" ca="1" si="48"/>
        <v>3</v>
      </c>
      <c r="C609" s="390">
        <f t="shared" ca="1" si="49"/>
        <v>1</v>
      </c>
      <c r="D609" s="391">
        <f t="shared" ca="1" si="50"/>
        <v>2</v>
      </c>
      <c r="E609" s="391">
        <f t="shared" ca="1" si="51"/>
        <v>11</v>
      </c>
      <c r="F609" s="125"/>
      <c r="J609" s="130"/>
      <c r="K609" s="132"/>
      <c r="L609" s="413"/>
      <c r="M609" s="413"/>
      <c r="N609" s="414"/>
      <c r="O609" s="415"/>
      <c r="P609" s="133"/>
      <c r="Q609" s="130"/>
      <c r="R609" s="132"/>
      <c r="S609" s="132"/>
      <c r="T609" s="130"/>
    </row>
    <row r="610" spans="1:20" s="131" customFormat="1" ht="14.1" customHeight="1" x14ac:dyDescent="0.25">
      <c r="A610" s="390">
        <f ca="1">IF($H610="UNIDADE CONSTRUTIVA",OFFSET(A610,-1,0)+1,LARGE(A$3:A609,1))</f>
        <v>0</v>
      </c>
      <c r="B610" s="390">
        <f t="shared" ca="1" si="48"/>
        <v>3</v>
      </c>
      <c r="C610" s="390">
        <f t="shared" ca="1" si="49"/>
        <v>1</v>
      </c>
      <c r="D610" s="391">
        <f t="shared" ca="1" si="50"/>
        <v>2</v>
      </c>
      <c r="E610" s="391">
        <f t="shared" ca="1" si="51"/>
        <v>11</v>
      </c>
      <c r="F610" s="125"/>
      <c r="J610" s="130"/>
      <c r="K610" s="132"/>
      <c r="L610" s="413"/>
      <c r="M610" s="413"/>
      <c r="N610" s="414"/>
      <c r="O610" s="415"/>
      <c r="P610" s="133"/>
      <c r="Q610" s="130"/>
      <c r="R610" s="132"/>
      <c r="S610" s="132"/>
      <c r="T610" s="130"/>
    </row>
    <row r="611" spans="1:20" s="131" customFormat="1" ht="14.1" customHeight="1" x14ac:dyDescent="0.25">
      <c r="A611" s="390">
        <f ca="1">IF($H611="UNIDADE CONSTRUTIVA",OFFSET(A611,-1,0)+1,LARGE(A$3:A610,1))</f>
        <v>0</v>
      </c>
      <c r="B611" s="390">
        <f t="shared" ca="1" si="48"/>
        <v>3</v>
      </c>
      <c r="C611" s="390">
        <f t="shared" ca="1" si="49"/>
        <v>1</v>
      </c>
      <c r="D611" s="391">
        <f t="shared" ca="1" si="50"/>
        <v>2</v>
      </c>
      <c r="E611" s="391">
        <f t="shared" ca="1" si="51"/>
        <v>11</v>
      </c>
      <c r="F611" s="125"/>
      <c r="J611" s="130"/>
      <c r="K611" s="132"/>
      <c r="L611" s="413"/>
      <c r="M611" s="413"/>
      <c r="N611" s="414"/>
      <c r="O611" s="415"/>
      <c r="P611" s="133"/>
      <c r="Q611" s="130"/>
      <c r="R611" s="132"/>
      <c r="S611" s="132"/>
      <c r="T611" s="130"/>
    </row>
    <row r="612" spans="1:20" s="131" customFormat="1" ht="14.1" customHeight="1" x14ac:dyDescent="0.25">
      <c r="A612" s="390">
        <f ca="1">IF($H612="UNIDADE CONSTRUTIVA",OFFSET(A612,-1,0)+1,LARGE(A$3:A611,1))</f>
        <v>0</v>
      </c>
      <c r="B612" s="390">
        <f t="shared" ca="1" si="48"/>
        <v>3</v>
      </c>
      <c r="C612" s="390">
        <f t="shared" ca="1" si="49"/>
        <v>1</v>
      </c>
      <c r="D612" s="391">
        <f t="shared" ca="1" si="50"/>
        <v>2</v>
      </c>
      <c r="E612" s="391">
        <f t="shared" ca="1" si="51"/>
        <v>11</v>
      </c>
      <c r="F612" s="125"/>
      <c r="J612" s="130"/>
      <c r="K612" s="132"/>
      <c r="L612" s="413"/>
      <c r="M612" s="413"/>
      <c r="N612" s="414"/>
      <c r="O612" s="415"/>
      <c r="P612" s="133"/>
      <c r="Q612" s="130"/>
      <c r="R612" s="132"/>
      <c r="S612" s="132"/>
      <c r="T612" s="130"/>
    </row>
    <row r="613" spans="1:20" s="131" customFormat="1" ht="14.1" customHeight="1" x14ac:dyDescent="0.25">
      <c r="A613" s="390">
        <f ca="1">IF($H613="UNIDADE CONSTRUTIVA",OFFSET(A613,-1,0)+1,LARGE(A$3:A612,1))</f>
        <v>0</v>
      </c>
      <c r="B613" s="390">
        <f t="shared" ca="1" si="48"/>
        <v>3</v>
      </c>
      <c r="C613" s="390">
        <f t="shared" ca="1" si="49"/>
        <v>1</v>
      </c>
      <c r="D613" s="391">
        <f t="shared" ca="1" si="50"/>
        <v>2</v>
      </c>
      <c r="E613" s="391">
        <f t="shared" ca="1" si="51"/>
        <v>11</v>
      </c>
      <c r="F613" s="125"/>
      <c r="J613" s="130"/>
      <c r="K613" s="132"/>
      <c r="L613" s="413"/>
      <c r="M613" s="413"/>
      <c r="N613" s="414"/>
      <c r="O613" s="415"/>
      <c r="P613" s="133"/>
      <c r="Q613" s="130"/>
      <c r="R613" s="132"/>
      <c r="S613" s="132"/>
      <c r="T613" s="130"/>
    </row>
    <row r="614" spans="1:20" s="131" customFormat="1" ht="14.1" customHeight="1" x14ac:dyDescent="0.25">
      <c r="A614" s="390">
        <f ca="1">IF($H614="UNIDADE CONSTRUTIVA",OFFSET(A614,-1,0)+1,LARGE(A$3:A613,1))</f>
        <v>0</v>
      </c>
      <c r="B614" s="390">
        <f t="shared" ca="1" si="48"/>
        <v>3</v>
      </c>
      <c r="C614" s="390">
        <f t="shared" ca="1" si="49"/>
        <v>1</v>
      </c>
      <c r="D614" s="391">
        <f t="shared" ca="1" si="50"/>
        <v>2</v>
      </c>
      <c r="E614" s="391">
        <f t="shared" ca="1" si="51"/>
        <v>11</v>
      </c>
      <c r="F614" s="125"/>
      <c r="J614" s="130"/>
      <c r="K614" s="132"/>
      <c r="L614" s="413"/>
      <c r="M614" s="413"/>
      <c r="N614" s="414"/>
      <c r="O614" s="415"/>
      <c r="P614" s="133"/>
      <c r="Q614" s="130"/>
      <c r="R614" s="132"/>
      <c r="S614" s="132"/>
      <c r="T614" s="130"/>
    </row>
    <row r="615" spans="1:20" s="131" customFormat="1" ht="14.1" customHeight="1" x14ac:dyDescent="0.25">
      <c r="A615" s="390">
        <f ca="1">IF($H615="UNIDADE CONSTRUTIVA",OFFSET(A615,-1,0)+1,LARGE(A$3:A614,1))</f>
        <v>0</v>
      </c>
      <c r="B615" s="390">
        <f t="shared" ca="1" si="48"/>
        <v>3</v>
      </c>
      <c r="C615" s="390">
        <f t="shared" ca="1" si="49"/>
        <v>1</v>
      </c>
      <c r="D615" s="391">
        <f t="shared" ca="1" si="50"/>
        <v>2</v>
      </c>
      <c r="E615" s="391">
        <f t="shared" ca="1" si="51"/>
        <v>11</v>
      </c>
      <c r="F615" s="125"/>
      <c r="J615" s="130"/>
      <c r="K615" s="132"/>
      <c r="L615" s="413"/>
      <c r="M615" s="413"/>
      <c r="N615" s="414"/>
      <c r="O615" s="415"/>
      <c r="P615" s="133"/>
      <c r="Q615" s="130"/>
      <c r="R615" s="132"/>
      <c r="S615" s="132"/>
      <c r="T615" s="130"/>
    </row>
    <row r="616" spans="1:20" s="131" customFormat="1" ht="14.1" customHeight="1" x14ac:dyDescent="0.25">
      <c r="A616" s="390">
        <f ca="1">IF($H616="UNIDADE CONSTRUTIVA",OFFSET(A616,-1,0)+1,LARGE(A$3:A615,1))</f>
        <v>0</v>
      </c>
      <c r="B616" s="390">
        <f t="shared" ca="1" si="48"/>
        <v>3</v>
      </c>
      <c r="C616" s="390">
        <f t="shared" ca="1" si="49"/>
        <v>1</v>
      </c>
      <c r="D616" s="391">
        <f t="shared" ca="1" si="50"/>
        <v>2</v>
      </c>
      <c r="E616" s="391">
        <f t="shared" ca="1" si="51"/>
        <v>11</v>
      </c>
      <c r="F616" s="125"/>
      <c r="J616" s="130"/>
      <c r="K616" s="132"/>
      <c r="L616" s="413"/>
      <c r="M616" s="413"/>
      <c r="N616" s="414"/>
      <c r="O616" s="415"/>
      <c r="P616" s="133"/>
      <c r="Q616" s="130"/>
      <c r="R616" s="132"/>
      <c r="S616" s="132"/>
      <c r="T616" s="130"/>
    </row>
    <row r="617" spans="1:20" s="131" customFormat="1" ht="14.1" customHeight="1" x14ac:dyDescent="0.25">
      <c r="A617" s="390">
        <f ca="1">IF($H617="UNIDADE CONSTRUTIVA",OFFSET(A617,-1,0)+1,LARGE(A$3:A616,1))</f>
        <v>0</v>
      </c>
      <c r="B617" s="390">
        <f t="shared" ca="1" si="48"/>
        <v>3</v>
      </c>
      <c r="C617" s="390">
        <f t="shared" ca="1" si="49"/>
        <v>1</v>
      </c>
      <c r="D617" s="391">
        <f t="shared" ca="1" si="50"/>
        <v>2</v>
      </c>
      <c r="E617" s="391">
        <f t="shared" ca="1" si="51"/>
        <v>11</v>
      </c>
      <c r="F617" s="125"/>
      <c r="J617" s="130"/>
      <c r="K617" s="132"/>
      <c r="L617" s="413"/>
      <c r="M617" s="413"/>
      <c r="N617" s="414"/>
      <c r="O617" s="415"/>
      <c r="P617" s="133"/>
      <c r="Q617" s="130"/>
      <c r="R617" s="132"/>
      <c r="S617" s="132"/>
      <c r="T617" s="130"/>
    </row>
    <row r="618" spans="1:20" s="131" customFormat="1" ht="14.1" customHeight="1" x14ac:dyDescent="0.25">
      <c r="A618" s="390">
        <f ca="1">IF($H618="UNIDADE CONSTRUTIVA",OFFSET(A618,-1,0)+1,LARGE(A$3:A617,1))</f>
        <v>0</v>
      </c>
      <c r="B618" s="390">
        <f t="shared" ca="1" si="48"/>
        <v>3</v>
      </c>
      <c r="C618" s="390">
        <f t="shared" ca="1" si="49"/>
        <v>1</v>
      </c>
      <c r="D618" s="391">
        <f t="shared" ca="1" si="50"/>
        <v>2</v>
      </c>
      <c r="E618" s="391">
        <f t="shared" ca="1" si="51"/>
        <v>11</v>
      </c>
      <c r="F618" s="125"/>
      <c r="J618" s="130"/>
      <c r="K618" s="132"/>
      <c r="L618" s="413"/>
      <c r="M618" s="413"/>
      <c r="N618" s="414"/>
      <c r="O618" s="415"/>
      <c r="P618" s="133"/>
      <c r="Q618" s="130"/>
      <c r="R618" s="132"/>
      <c r="S618" s="132"/>
      <c r="T618" s="130"/>
    </row>
    <row r="619" spans="1:20" s="131" customFormat="1" ht="14.1" customHeight="1" x14ac:dyDescent="0.25">
      <c r="A619" s="390">
        <f ca="1">IF($H619="UNIDADE CONSTRUTIVA",OFFSET(A619,-1,0)+1,LARGE(A$3:A618,1))</f>
        <v>0</v>
      </c>
      <c r="B619" s="390">
        <f t="shared" ca="1" si="48"/>
        <v>3</v>
      </c>
      <c r="C619" s="390">
        <f t="shared" ca="1" si="49"/>
        <v>1</v>
      </c>
      <c r="D619" s="391">
        <f t="shared" ca="1" si="50"/>
        <v>2</v>
      </c>
      <c r="E619" s="391">
        <f t="shared" ca="1" si="51"/>
        <v>11</v>
      </c>
      <c r="F619" s="125"/>
      <c r="J619" s="130"/>
      <c r="K619" s="132"/>
      <c r="L619" s="413"/>
      <c r="M619" s="413"/>
      <c r="N619" s="414"/>
      <c r="O619" s="415"/>
      <c r="P619" s="133"/>
      <c r="Q619" s="130"/>
      <c r="R619" s="132"/>
      <c r="S619" s="132"/>
      <c r="T619" s="130"/>
    </row>
    <row r="620" spans="1:20" s="131" customFormat="1" ht="14.1" customHeight="1" x14ac:dyDescent="0.25">
      <c r="A620" s="390">
        <f ca="1">IF($H620="UNIDADE CONSTRUTIVA",OFFSET(A620,-1,0)+1,LARGE(A$3:A619,1))</f>
        <v>0</v>
      </c>
      <c r="B620" s="390">
        <f t="shared" ca="1" si="48"/>
        <v>3</v>
      </c>
      <c r="C620" s="390">
        <f t="shared" ca="1" si="49"/>
        <v>1</v>
      </c>
      <c r="D620" s="391">
        <f t="shared" ca="1" si="50"/>
        <v>2</v>
      </c>
      <c r="E620" s="391">
        <f t="shared" ca="1" si="51"/>
        <v>11</v>
      </c>
      <c r="F620" s="125"/>
      <c r="J620" s="130"/>
      <c r="K620" s="132"/>
      <c r="L620" s="413"/>
      <c r="M620" s="413"/>
      <c r="N620" s="414"/>
      <c r="O620" s="415"/>
      <c r="P620" s="133"/>
      <c r="Q620" s="130"/>
      <c r="R620" s="132"/>
      <c r="S620" s="132"/>
      <c r="T620" s="130"/>
    </row>
    <row r="621" spans="1:20" s="131" customFormat="1" ht="14.1" customHeight="1" x14ac:dyDescent="0.25">
      <c r="A621" s="390">
        <f ca="1">IF($H621="UNIDADE CONSTRUTIVA",OFFSET(A621,-1,0)+1,LARGE(A$3:A620,1))</f>
        <v>0</v>
      </c>
      <c r="B621" s="390">
        <f t="shared" ca="1" si="48"/>
        <v>3</v>
      </c>
      <c r="C621" s="390">
        <f t="shared" ca="1" si="49"/>
        <v>1</v>
      </c>
      <c r="D621" s="391">
        <f t="shared" ca="1" si="50"/>
        <v>2</v>
      </c>
      <c r="E621" s="391">
        <f t="shared" ca="1" si="51"/>
        <v>11</v>
      </c>
      <c r="F621" s="125"/>
      <c r="J621" s="130"/>
      <c r="K621" s="132"/>
      <c r="L621" s="413"/>
      <c r="M621" s="413"/>
      <c r="N621" s="414"/>
      <c r="O621" s="415"/>
      <c r="P621" s="133"/>
      <c r="Q621" s="130"/>
      <c r="R621" s="132"/>
      <c r="S621" s="132"/>
      <c r="T621" s="130"/>
    </row>
    <row r="622" spans="1:20" s="131" customFormat="1" ht="14.1" customHeight="1" x14ac:dyDescent="0.25">
      <c r="A622" s="390">
        <f ca="1">IF($H622="UNIDADE CONSTRUTIVA",OFFSET(A622,-1,0)+1,LARGE(A$3:A621,1))</f>
        <v>0</v>
      </c>
      <c r="B622" s="390">
        <f t="shared" ca="1" si="48"/>
        <v>3</v>
      </c>
      <c r="C622" s="390">
        <f t="shared" ca="1" si="49"/>
        <v>1</v>
      </c>
      <c r="D622" s="391">
        <f t="shared" ca="1" si="50"/>
        <v>2</v>
      </c>
      <c r="E622" s="391">
        <f t="shared" ca="1" si="51"/>
        <v>11</v>
      </c>
      <c r="F622" s="125"/>
      <c r="J622" s="130"/>
      <c r="K622" s="132"/>
      <c r="L622" s="413"/>
      <c r="M622" s="413"/>
      <c r="N622" s="414"/>
      <c r="O622" s="415"/>
      <c r="P622" s="133"/>
      <c r="Q622" s="130"/>
      <c r="R622" s="132"/>
      <c r="S622" s="132"/>
      <c r="T622" s="130"/>
    </row>
    <row r="623" spans="1:20" s="131" customFormat="1" ht="14.1" customHeight="1" x14ac:dyDescent="0.25">
      <c r="A623" s="390">
        <f ca="1">IF($H623="UNIDADE CONSTRUTIVA",OFFSET(A623,-1,0)+1,LARGE(A$3:A622,1))</f>
        <v>0</v>
      </c>
      <c r="B623" s="390">
        <f t="shared" ca="1" si="48"/>
        <v>3</v>
      </c>
      <c r="C623" s="390">
        <f t="shared" ca="1" si="49"/>
        <v>1</v>
      </c>
      <c r="D623" s="391">
        <f t="shared" ca="1" si="50"/>
        <v>2</v>
      </c>
      <c r="E623" s="391">
        <f t="shared" ca="1" si="51"/>
        <v>11</v>
      </c>
      <c r="F623" s="125"/>
      <c r="J623" s="130"/>
      <c r="K623" s="132"/>
      <c r="L623" s="413"/>
      <c r="M623" s="413"/>
      <c r="N623" s="414"/>
      <c r="O623" s="415"/>
      <c r="P623" s="133"/>
      <c r="Q623" s="130"/>
      <c r="R623" s="132"/>
      <c r="S623" s="132"/>
      <c r="T623" s="130"/>
    </row>
    <row r="624" spans="1:20" s="131" customFormat="1" ht="14.1" customHeight="1" x14ac:dyDescent="0.25">
      <c r="A624" s="390">
        <f ca="1">IF($H624="UNIDADE CONSTRUTIVA",OFFSET(A624,-1,0)+1,LARGE(A$3:A623,1))</f>
        <v>0</v>
      </c>
      <c r="B624" s="390">
        <f t="shared" ca="1" si="48"/>
        <v>3</v>
      </c>
      <c r="C624" s="390">
        <f t="shared" ca="1" si="49"/>
        <v>1</v>
      </c>
      <c r="D624" s="391">
        <f t="shared" ca="1" si="50"/>
        <v>2</v>
      </c>
      <c r="E624" s="391">
        <f t="shared" ca="1" si="51"/>
        <v>11</v>
      </c>
      <c r="F624" s="125"/>
      <c r="J624" s="130"/>
      <c r="K624" s="132"/>
      <c r="L624" s="413"/>
      <c r="M624" s="413"/>
      <c r="N624" s="414"/>
      <c r="O624" s="415"/>
      <c r="P624" s="133"/>
      <c r="Q624" s="130"/>
      <c r="R624" s="132"/>
      <c r="S624" s="132"/>
      <c r="T624" s="130"/>
    </row>
    <row r="625" spans="1:20" s="131" customFormat="1" ht="14.1" customHeight="1" x14ac:dyDescent="0.25">
      <c r="A625" s="390">
        <f ca="1">IF($H625="UNIDADE CONSTRUTIVA",OFFSET(A625,-1,0)+1,LARGE(A$3:A624,1))</f>
        <v>0</v>
      </c>
      <c r="B625" s="390">
        <f t="shared" ca="1" si="48"/>
        <v>3</v>
      </c>
      <c r="C625" s="390">
        <f t="shared" ca="1" si="49"/>
        <v>1</v>
      </c>
      <c r="D625" s="391">
        <f t="shared" ca="1" si="50"/>
        <v>2</v>
      </c>
      <c r="E625" s="391">
        <f t="shared" ca="1" si="51"/>
        <v>11</v>
      </c>
      <c r="F625" s="125"/>
      <c r="J625" s="130"/>
      <c r="K625" s="132"/>
      <c r="L625" s="413"/>
      <c r="M625" s="413"/>
      <c r="N625" s="414"/>
      <c r="O625" s="415"/>
      <c r="P625" s="133"/>
      <c r="Q625" s="130"/>
      <c r="R625" s="132"/>
      <c r="S625" s="132"/>
      <c r="T625" s="130"/>
    </row>
    <row r="626" spans="1:20" s="131" customFormat="1" ht="14.1" customHeight="1" x14ac:dyDescent="0.25">
      <c r="A626" s="390">
        <f ca="1">IF($H626="UNIDADE CONSTRUTIVA",OFFSET(A626,-1,0)+1,LARGE(A$3:A625,1))</f>
        <v>0</v>
      </c>
      <c r="B626" s="390">
        <f t="shared" ca="1" si="48"/>
        <v>3</v>
      </c>
      <c r="C626" s="390">
        <f t="shared" ca="1" si="49"/>
        <v>1</v>
      </c>
      <c r="D626" s="391">
        <f t="shared" ca="1" si="50"/>
        <v>2</v>
      </c>
      <c r="E626" s="391">
        <f t="shared" ca="1" si="51"/>
        <v>11</v>
      </c>
      <c r="F626" s="125"/>
      <c r="J626" s="130"/>
      <c r="K626" s="132"/>
      <c r="L626" s="413"/>
      <c r="M626" s="413"/>
      <c r="N626" s="414"/>
      <c r="O626" s="415"/>
      <c r="P626" s="133"/>
      <c r="Q626" s="130"/>
      <c r="R626" s="132"/>
      <c r="S626" s="132"/>
      <c r="T626" s="130"/>
    </row>
    <row r="627" spans="1:20" s="131" customFormat="1" ht="14.1" customHeight="1" x14ac:dyDescent="0.25">
      <c r="A627" s="390">
        <f ca="1">IF($H627="UNIDADE CONSTRUTIVA",OFFSET(A627,-1,0)+1,LARGE(A$3:A626,1))</f>
        <v>0</v>
      </c>
      <c r="B627" s="390">
        <f t="shared" ca="1" si="48"/>
        <v>3</v>
      </c>
      <c r="C627" s="390">
        <f t="shared" ca="1" si="49"/>
        <v>1</v>
      </c>
      <c r="D627" s="391">
        <f t="shared" ca="1" si="50"/>
        <v>2</v>
      </c>
      <c r="E627" s="391">
        <f t="shared" ca="1" si="51"/>
        <v>11</v>
      </c>
      <c r="F627" s="125"/>
      <c r="J627" s="130"/>
      <c r="K627" s="132"/>
      <c r="L627" s="413"/>
      <c r="M627" s="413"/>
      <c r="N627" s="414"/>
      <c r="O627" s="415"/>
      <c r="P627" s="133"/>
      <c r="Q627" s="130"/>
      <c r="R627" s="132"/>
      <c r="S627" s="132"/>
      <c r="T627" s="130"/>
    </row>
    <row r="628" spans="1:20" s="131" customFormat="1" ht="14.1" customHeight="1" x14ac:dyDescent="0.25">
      <c r="A628" s="390">
        <f ca="1">IF($H628="UNIDADE CONSTRUTIVA",OFFSET(A628,-1,0)+1,LARGE(A$3:A627,1))</f>
        <v>0</v>
      </c>
      <c r="B628" s="390">
        <f t="shared" ca="1" si="48"/>
        <v>3</v>
      </c>
      <c r="C628" s="390">
        <f t="shared" ca="1" si="49"/>
        <v>1</v>
      </c>
      <c r="D628" s="391">
        <f t="shared" ca="1" si="50"/>
        <v>2</v>
      </c>
      <c r="E628" s="391">
        <f t="shared" ca="1" si="51"/>
        <v>11</v>
      </c>
      <c r="F628" s="125"/>
      <c r="J628" s="130"/>
      <c r="K628" s="132"/>
      <c r="L628" s="413"/>
      <c r="M628" s="413"/>
      <c r="N628" s="414"/>
      <c r="O628" s="415"/>
      <c r="P628" s="133"/>
      <c r="Q628" s="130"/>
      <c r="R628" s="132"/>
      <c r="S628" s="132"/>
      <c r="T628" s="130"/>
    </row>
    <row r="629" spans="1:20" s="131" customFormat="1" ht="14.1" customHeight="1" x14ac:dyDescent="0.25">
      <c r="A629" s="390">
        <f ca="1">IF($H629="UNIDADE CONSTRUTIVA",OFFSET(A629,-1,0)+1,LARGE(A$3:A628,1))</f>
        <v>0</v>
      </c>
      <c r="B629" s="390">
        <f t="shared" ca="1" si="48"/>
        <v>3</v>
      </c>
      <c r="C629" s="390">
        <f t="shared" ca="1" si="49"/>
        <v>1</v>
      </c>
      <c r="D629" s="391">
        <f t="shared" ca="1" si="50"/>
        <v>2</v>
      </c>
      <c r="E629" s="391">
        <f t="shared" ca="1" si="51"/>
        <v>11</v>
      </c>
      <c r="F629" s="125"/>
      <c r="J629" s="130"/>
      <c r="K629" s="132"/>
      <c r="L629" s="413"/>
      <c r="M629" s="413"/>
      <c r="N629" s="414"/>
      <c r="O629" s="415"/>
      <c r="P629" s="133"/>
      <c r="Q629" s="130"/>
      <c r="R629" s="132"/>
      <c r="S629" s="132"/>
      <c r="T629" s="130"/>
    </row>
    <row r="630" spans="1:20" s="131" customFormat="1" ht="14.1" customHeight="1" x14ac:dyDescent="0.25">
      <c r="A630" s="390">
        <f ca="1">IF($H630="UNIDADE CONSTRUTIVA",OFFSET(A630,-1,0)+1,LARGE(A$3:A629,1))</f>
        <v>0</v>
      </c>
      <c r="B630" s="390">
        <f t="shared" ca="1" si="48"/>
        <v>3</v>
      </c>
      <c r="C630" s="390">
        <f t="shared" ca="1" si="49"/>
        <v>1</v>
      </c>
      <c r="D630" s="391">
        <f t="shared" ca="1" si="50"/>
        <v>2</v>
      </c>
      <c r="E630" s="391">
        <f t="shared" ca="1" si="51"/>
        <v>11</v>
      </c>
      <c r="F630" s="125"/>
      <c r="J630" s="130"/>
      <c r="K630" s="132"/>
      <c r="L630" s="413"/>
      <c r="M630" s="413"/>
      <c r="N630" s="414"/>
      <c r="O630" s="415"/>
      <c r="P630" s="133"/>
      <c r="Q630" s="130"/>
      <c r="R630" s="132"/>
      <c r="S630" s="132"/>
      <c r="T630" s="130"/>
    </row>
    <row r="631" spans="1:20" s="131" customFormat="1" ht="14.1" customHeight="1" x14ac:dyDescent="0.25">
      <c r="A631" s="390">
        <f ca="1">IF($H631="UNIDADE CONSTRUTIVA",OFFSET(A631,-1,0)+1,LARGE(A$3:A630,1))</f>
        <v>0</v>
      </c>
      <c r="B631" s="390">
        <f t="shared" ca="1" si="48"/>
        <v>3</v>
      </c>
      <c r="C631" s="390">
        <f t="shared" ca="1" si="49"/>
        <v>1</v>
      </c>
      <c r="D631" s="391">
        <f t="shared" ca="1" si="50"/>
        <v>2</v>
      </c>
      <c r="E631" s="391">
        <f t="shared" ca="1" si="51"/>
        <v>11</v>
      </c>
      <c r="F631" s="125"/>
      <c r="J631" s="130"/>
      <c r="K631" s="132"/>
      <c r="L631" s="413"/>
      <c r="M631" s="413"/>
      <c r="N631" s="414"/>
      <c r="O631" s="415"/>
      <c r="P631" s="133"/>
      <c r="Q631" s="130"/>
      <c r="R631" s="132"/>
      <c r="S631" s="132"/>
      <c r="T631" s="130"/>
    </row>
    <row r="632" spans="1:20" s="131" customFormat="1" ht="14.1" customHeight="1" x14ac:dyDescent="0.25">
      <c r="A632" s="390">
        <f ca="1">IF($H632="UNIDADE CONSTRUTIVA",OFFSET(A632,-1,0)+1,LARGE(A$3:A631,1))</f>
        <v>0</v>
      </c>
      <c r="B632" s="390">
        <f t="shared" ca="1" si="48"/>
        <v>3</v>
      </c>
      <c r="C632" s="390">
        <f t="shared" ca="1" si="49"/>
        <v>1</v>
      </c>
      <c r="D632" s="391">
        <f t="shared" ca="1" si="50"/>
        <v>2</v>
      </c>
      <c r="E632" s="391">
        <f t="shared" ca="1" si="51"/>
        <v>11</v>
      </c>
      <c r="F632" s="125"/>
      <c r="J632" s="130"/>
      <c r="K632" s="132"/>
      <c r="L632" s="413"/>
      <c r="M632" s="413"/>
      <c r="N632" s="414"/>
      <c r="O632" s="415"/>
      <c r="P632" s="133"/>
      <c r="Q632" s="130"/>
      <c r="R632" s="132"/>
      <c r="S632" s="132"/>
      <c r="T632" s="130"/>
    </row>
    <row r="633" spans="1:20" s="131" customFormat="1" ht="14.1" customHeight="1" x14ac:dyDescent="0.25">
      <c r="A633" s="390">
        <f ca="1">IF($H633="UNIDADE CONSTRUTIVA",OFFSET(A633,-1,0)+1,LARGE(A$3:A632,1))</f>
        <v>0</v>
      </c>
      <c r="B633" s="390">
        <f t="shared" ca="1" si="48"/>
        <v>3</v>
      </c>
      <c r="C633" s="390">
        <f t="shared" ca="1" si="49"/>
        <v>1</v>
      </c>
      <c r="D633" s="391">
        <f t="shared" ca="1" si="50"/>
        <v>2</v>
      </c>
      <c r="E633" s="391">
        <f t="shared" ca="1" si="51"/>
        <v>11</v>
      </c>
      <c r="F633" s="125"/>
      <c r="J633" s="130"/>
      <c r="K633" s="132"/>
      <c r="L633" s="413"/>
      <c r="M633" s="413"/>
      <c r="N633" s="414"/>
      <c r="O633" s="415"/>
      <c r="P633" s="133"/>
      <c r="Q633" s="130"/>
      <c r="R633" s="132"/>
      <c r="S633" s="132"/>
      <c r="T633" s="130"/>
    </row>
    <row r="634" spans="1:20" s="131" customFormat="1" ht="14.1" customHeight="1" x14ac:dyDescent="0.25">
      <c r="A634" s="390">
        <f ca="1">IF($H634="UNIDADE CONSTRUTIVA",OFFSET(A634,-1,0)+1,LARGE(A$3:A633,1))</f>
        <v>0</v>
      </c>
      <c r="B634" s="390">
        <f t="shared" ca="1" si="48"/>
        <v>3</v>
      </c>
      <c r="C634" s="390">
        <f t="shared" ca="1" si="49"/>
        <v>1</v>
      </c>
      <c r="D634" s="391">
        <f t="shared" ca="1" si="50"/>
        <v>2</v>
      </c>
      <c r="E634" s="391">
        <f t="shared" ca="1" si="51"/>
        <v>11</v>
      </c>
      <c r="F634" s="125"/>
      <c r="J634" s="130"/>
      <c r="K634" s="132"/>
      <c r="L634" s="413"/>
      <c r="M634" s="413"/>
      <c r="N634" s="414"/>
      <c r="O634" s="415"/>
      <c r="P634" s="133"/>
      <c r="Q634" s="130"/>
      <c r="R634" s="132"/>
      <c r="S634" s="132"/>
      <c r="T634" s="130"/>
    </row>
    <row r="635" spans="1:20" s="131" customFormat="1" ht="14.1" customHeight="1" x14ac:dyDescent="0.25">
      <c r="A635" s="390">
        <f ca="1">IF($H635="UNIDADE CONSTRUTIVA",OFFSET(A635,-1,0)+1,LARGE(A$3:A634,1))</f>
        <v>0</v>
      </c>
      <c r="B635" s="390">
        <f t="shared" ca="1" si="48"/>
        <v>3</v>
      </c>
      <c r="C635" s="390">
        <f t="shared" ca="1" si="49"/>
        <v>1</v>
      </c>
      <c r="D635" s="391">
        <f t="shared" ca="1" si="50"/>
        <v>2</v>
      </c>
      <c r="E635" s="391">
        <f t="shared" ca="1" si="51"/>
        <v>11</v>
      </c>
      <c r="F635" s="125"/>
      <c r="J635" s="130"/>
      <c r="K635" s="132"/>
      <c r="L635" s="413"/>
      <c r="M635" s="413"/>
      <c r="N635" s="414"/>
      <c r="O635" s="415"/>
      <c r="P635" s="133"/>
      <c r="Q635" s="130"/>
      <c r="R635" s="132"/>
      <c r="S635" s="132"/>
      <c r="T635" s="130"/>
    </row>
    <row r="636" spans="1:20" s="131" customFormat="1" ht="14.1" customHeight="1" x14ac:dyDescent="0.25">
      <c r="A636" s="390">
        <f ca="1">IF($H636="UNIDADE CONSTRUTIVA",OFFSET(A636,-1,0)+1,LARGE(A$3:A635,1))</f>
        <v>0</v>
      </c>
      <c r="B636" s="390">
        <f t="shared" ca="1" si="48"/>
        <v>3</v>
      </c>
      <c r="C636" s="390">
        <f t="shared" ca="1" si="49"/>
        <v>1</v>
      </c>
      <c r="D636" s="391">
        <f t="shared" ca="1" si="50"/>
        <v>2</v>
      </c>
      <c r="E636" s="391">
        <f t="shared" ca="1" si="51"/>
        <v>11</v>
      </c>
      <c r="F636" s="125"/>
      <c r="J636" s="130"/>
      <c r="K636" s="132"/>
      <c r="L636" s="413"/>
      <c r="M636" s="413"/>
      <c r="N636" s="414"/>
      <c r="O636" s="415"/>
      <c r="P636" s="133"/>
      <c r="Q636" s="130"/>
      <c r="R636" s="132"/>
      <c r="S636" s="132"/>
      <c r="T636" s="130"/>
    </row>
    <row r="637" spans="1:20" s="131" customFormat="1" ht="14.1" customHeight="1" x14ac:dyDescent="0.25">
      <c r="A637" s="390">
        <f ca="1">IF($H637="UNIDADE CONSTRUTIVA",OFFSET(A637,-1,0)+1,LARGE(A$3:A636,1))</f>
        <v>0</v>
      </c>
      <c r="B637" s="390">
        <f t="shared" ca="1" si="48"/>
        <v>3</v>
      </c>
      <c r="C637" s="390">
        <f t="shared" ca="1" si="49"/>
        <v>1</v>
      </c>
      <c r="D637" s="391">
        <f t="shared" ca="1" si="50"/>
        <v>2</v>
      </c>
      <c r="E637" s="391">
        <f t="shared" ca="1" si="51"/>
        <v>11</v>
      </c>
      <c r="F637" s="125"/>
      <c r="J637" s="130"/>
      <c r="K637" s="132"/>
      <c r="L637" s="413"/>
      <c r="M637" s="413"/>
      <c r="N637" s="414"/>
      <c r="O637" s="415"/>
      <c r="P637" s="133"/>
      <c r="Q637" s="130"/>
      <c r="R637" s="132"/>
      <c r="S637" s="132"/>
      <c r="T637" s="130"/>
    </row>
    <row r="638" spans="1:20" s="131" customFormat="1" ht="14.1" customHeight="1" x14ac:dyDescent="0.25">
      <c r="A638" s="390">
        <f ca="1">IF($H638="UNIDADE CONSTRUTIVA",OFFSET(A638,-1,0)+1,LARGE(A$3:A637,1))</f>
        <v>0</v>
      </c>
      <c r="B638" s="390">
        <f t="shared" ca="1" si="48"/>
        <v>3</v>
      </c>
      <c r="C638" s="390">
        <f t="shared" ca="1" si="49"/>
        <v>1</v>
      </c>
      <c r="D638" s="391">
        <f t="shared" ca="1" si="50"/>
        <v>2</v>
      </c>
      <c r="E638" s="391">
        <f t="shared" ca="1" si="51"/>
        <v>11</v>
      </c>
      <c r="F638" s="125"/>
      <c r="J638" s="130"/>
      <c r="K638" s="132"/>
      <c r="L638" s="413"/>
      <c r="M638" s="413"/>
      <c r="N638" s="414"/>
      <c r="O638" s="415"/>
      <c r="P638" s="133"/>
      <c r="Q638" s="130"/>
      <c r="R638" s="132"/>
      <c r="S638" s="132"/>
      <c r="T638" s="130"/>
    </row>
    <row r="639" spans="1:20" s="131" customFormat="1" ht="14.1" customHeight="1" x14ac:dyDescent="0.25">
      <c r="A639" s="390">
        <f ca="1">IF($H639="UNIDADE CONSTRUTIVA",OFFSET(A639,-1,0)+1,LARGE(A$3:A638,1))</f>
        <v>0</v>
      </c>
      <c r="B639" s="390">
        <f t="shared" ca="1" si="48"/>
        <v>3</v>
      </c>
      <c r="C639" s="390">
        <f t="shared" ca="1" si="49"/>
        <v>1</v>
      </c>
      <c r="D639" s="391">
        <f t="shared" ca="1" si="50"/>
        <v>2</v>
      </c>
      <c r="E639" s="391">
        <f t="shared" ca="1" si="51"/>
        <v>11</v>
      </c>
      <c r="F639" s="125"/>
      <c r="J639" s="130"/>
      <c r="K639" s="132"/>
      <c r="L639" s="413"/>
      <c r="M639" s="413"/>
      <c r="N639" s="414"/>
      <c r="O639" s="415"/>
      <c r="P639" s="133"/>
      <c r="Q639" s="130"/>
      <c r="R639" s="132"/>
      <c r="S639" s="132"/>
      <c r="T639" s="130"/>
    </row>
    <row r="640" spans="1:20" s="131" customFormat="1" ht="14.1" customHeight="1" x14ac:dyDescent="0.25">
      <c r="A640" s="390">
        <f ca="1">IF($H640="UNIDADE CONSTRUTIVA",OFFSET(A640,-1,0)+1,LARGE(A$3:A639,1))</f>
        <v>0</v>
      </c>
      <c r="B640" s="390">
        <f t="shared" ca="1" si="48"/>
        <v>3</v>
      </c>
      <c r="C640" s="390">
        <f t="shared" ca="1" si="49"/>
        <v>1</v>
      </c>
      <c r="D640" s="391">
        <f t="shared" ca="1" si="50"/>
        <v>2</v>
      </c>
      <c r="E640" s="391">
        <f t="shared" ca="1" si="51"/>
        <v>11</v>
      </c>
      <c r="F640" s="125"/>
      <c r="J640" s="130"/>
      <c r="K640" s="132"/>
      <c r="L640" s="413"/>
      <c r="M640" s="413"/>
      <c r="N640" s="414"/>
      <c r="O640" s="415"/>
      <c r="P640" s="133"/>
      <c r="Q640" s="130"/>
      <c r="R640" s="132"/>
      <c r="S640" s="132"/>
      <c r="T640" s="130"/>
    </row>
    <row r="641" spans="1:20" s="131" customFormat="1" ht="14.1" customHeight="1" x14ac:dyDescent="0.25">
      <c r="A641" s="390">
        <f ca="1">IF($H641="UNIDADE CONSTRUTIVA",OFFSET(A641,-1,0)+1,LARGE(A$3:A640,1))</f>
        <v>0</v>
      </c>
      <c r="B641" s="390">
        <f t="shared" ca="1" si="48"/>
        <v>3</v>
      </c>
      <c r="C641" s="390">
        <f t="shared" ca="1" si="49"/>
        <v>1</v>
      </c>
      <c r="D641" s="391">
        <f t="shared" ca="1" si="50"/>
        <v>2</v>
      </c>
      <c r="E641" s="391">
        <f t="shared" ca="1" si="51"/>
        <v>11</v>
      </c>
      <c r="F641" s="125"/>
      <c r="J641" s="130"/>
      <c r="K641" s="132"/>
      <c r="L641" s="413"/>
      <c r="M641" s="413"/>
      <c r="N641" s="414"/>
      <c r="O641" s="415"/>
      <c r="P641" s="133"/>
      <c r="Q641" s="130"/>
      <c r="R641" s="132"/>
      <c r="S641" s="132"/>
      <c r="T641" s="130"/>
    </row>
    <row r="642" spans="1:20" s="131" customFormat="1" ht="14.1" customHeight="1" x14ac:dyDescent="0.25">
      <c r="A642" s="390">
        <f ca="1">IF($H642="UNIDADE CONSTRUTIVA",OFFSET(A642,-1,0)+1,LARGE(A$3:A641,1))</f>
        <v>0</v>
      </c>
      <c r="B642" s="390">
        <f t="shared" ca="1" si="48"/>
        <v>3</v>
      </c>
      <c r="C642" s="390">
        <f t="shared" ca="1" si="49"/>
        <v>1</v>
      </c>
      <c r="D642" s="391">
        <f t="shared" ca="1" si="50"/>
        <v>2</v>
      </c>
      <c r="E642" s="391">
        <f t="shared" ca="1" si="51"/>
        <v>11</v>
      </c>
      <c r="F642" s="125"/>
      <c r="J642" s="130"/>
      <c r="K642" s="132"/>
      <c r="L642" s="413"/>
      <c r="M642" s="413"/>
      <c r="N642" s="414"/>
      <c r="O642" s="415"/>
      <c r="P642" s="133"/>
      <c r="Q642" s="130"/>
      <c r="R642" s="132"/>
      <c r="S642" s="132"/>
      <c r="T642" s="130"/>
    </row>
    <row r="643" spans="1:20" s="131" customFormat="1" ht="14.1" customHeight="1" x14ac:dyDescent="0.25">
      <c r="A643" s="390">
        <f ca="1">IF($H643="UNIDADE CONSTRUTIVA",OFFSET(A643,-1,0)+1,LARGE(A$3:A642,1))</f>
        <v>0</v>
      </c>
      <c r="B643" s="390">
        <f t="shared" ca="1" si="48"/>
        <v>3</v>
      </c>
      <c r="C643" s="390">
        <f t="shared" ca="1" si="49"/>
        <v>1</v>
      </c>
      <c r="D643" s="391">
        <f t="shared" ca="1" si="50"/>
        <v>2</v>
      </c>
      <c r="E643" s="391">
        <f t="shared" ca="1" si="51"/>
        <v>11</v>
      </c>
      <c r="F643" s="125"/>
      <c r="J643" s="130"/>
      <c r="K643" s="132"/>
      <c r="L643" s="413"/>
      <c r="M643" s="413"/>
      <c r="N643" s="414"/>
      <c r="O643" s="415"/>
      <c r="P643" s="133"/>
      <c r="Q643" s="130"/>
      <c r="R643" s="132"/>
      <c r="S643" s="132"/>
      <c r="T643" s="130"/>
    </row>
    <row r="644" spans="1:20" s="131" customFormat="1" ht="14.1" customHeight="1" x14ac:dyDescent="0.25">
      <c r="A644" s="390">
        <f ca="1">IF($H644="UNIDADE CONSTRUTIVA",OFFSET(A644,-1,0)+1,LARGE(A$3:A643,1))</f>
        <v>0</v>
      </c>
      <c r="B644" s="390">
        <f t="shared" ca="1" si="48"/>
        <v>3</v>
      </c>
      <c r="C644" s="390">
        <f t="shared" ca="1" si="49"/>
        <v>1</v>
      </c>
      <c r="D644" s="391">
        <f t="shared" ca="1" si="50"/>
        <v>2</v>
      </c>
      <c r="E644" s="391">
        <f t="shared" ca="1" si="51"/>
        <v>11</v>
      </c>
      <c r="F644" s="125"/>
      <c r="J644" s="130"/>
      <c r="K644" s="132"/>
      <c r="L644" s="413"/>
      <c r="M644" s="413"/>
      <c r="N644" s="414"/>
      <c r="O644" s="415"/>
      <c r="P644" s="133"/>
      <c r="Q644" s="130"/>
      <c r="R644" s="132"/>
      <c r="S644" s="132"/>
      <c r="T644" s="130"/>
    </row>
    <row r="645" spans="1:20" s="131" customFormat="1" ht="14.1" customHeight="1" x14ac:dyDescent="0.25">
      <c r="A645" s="390">
        <f ca="1">IF($H645="UNIDADE CONSTRUTIVA",OFFSET(A645,-1,0)+1,LARGE(A$3:A644,1))</f>
        <v>0</v>
      </c>
      <c r="B645" s="390">
        <f t="shared" ca="1" si="48"/>
        <v>3</v>
      </c>
      <c r="C645" s="390">
        <f t="shared" ca="1" si="49"/>
        <v>1</v>
      </c>
      <c r="D645" s="391">
        <f t="shared" ca="1" si="50"/>
        <v>2</v>
      </c>
      <c r="E645" s="391">
        <f t="shared" ca="1" si="51"/>
        <v>11</v>
      </c>
      <c r="F645" s="125"/>
      <c r="J645" s="130"/>
      <c r="K645" s="132"/>
      <c r="L645" s="413"/>
      <c r="M645" s="413"/>
      <c r="N645" s="414"/>
      <c r="O645" s="415"/>
      <c r="P645" s="133"/>
      <c r="Q645" s="130"/>
      <c r="R645" s="132"/>
      <c r="S645" s="132"/>
      <c r="T645" s="130"/>
    </row>
    <row r="646" spans="1:20" s="131" customFormat="1" ht="14.1" customHeight="1" x14ac:dyDescent="0.25">
      <c r="A646" s="390">
        <f ca="1">IF($H646="UNIDADE CONSTRUTIVA",OFFSET(A646,-1,0)+1,LARGE(A$3:A645,1))</f>
        <v>0</v>
      </c>
      <c r="B646" s="390">
        <f t="shared" ca="1" si="48"/>
        <v>3</v>
      </c>
      <c r="C646" s="390">
        <f t="shared" ca="1" si="49"/>
        <v>1</v>
      </c>
      <c r="D646" s="391">
        <f t="shared" ca="1" si="50"/>
        <v>2</v>
      </c>
      <c r="E646" s="391">
        <f t="shared" ca="1" si="51"/>
        <v>11</v>
      </c>
      <c r="F646" s="125"/>
      <c r="J646" s="130"/>
      <c r="K646" s="132"/>
      <c r="L646" s="413"/>
      <c r="M646" s="413"/>
      <c r="N646" s="414"/>
      <c r="O646" s="415"/>
      <c r="P646" s="133"/>
      <c r="Q646" s="130"/>
      <c r="R646" s="132"/>
      <c r="S646" s="132"/>
      <c r="T646" s="130"/>
    </row>
    <row r="647" spans="1:20" s="131" customFormat="1" ht="14.1" customHeight="1" x14ac:dyDescent="0.25">
      <c r="A647" s="390">
        <f ca="1">IF($H647="UNIDADE CONSTRUTIVA",OFFSET(A647,-1,0)+1,LARGE(A$3:A646,1))</f>
        <v>0</v>
      </c>
      <c r="B647" s="390">
        <f t="shared" ca="1" si="48"/>
        <v>3</v>
      </c>
      <c r="C647" s="390">
        <f t="shared" ca="1" si="49"/>
        <v>1</v>
      </c>
      <c r="D647" s="391">
        <f t="shared" ca="1" si="50"/>
        <v>2</v>
      </c>
      <c r="E647" s="391">
        <f t="shared" ca="1" si="51"/>
        <v>11</v>
      </c>
      <c r="F647" s="125"/>
      <c r="J647" s="130"/>
      <c r="K647" s="132"/>
      <c r="L647" s="413"/>
      <c r="M647" s="413"/>
      <c r="N647" s="414"/>
      <c r="O647" s="415"/>
      <c r="P647" s="133"/>
      <c r="Q647" s="130"/>
      <c r="R647" s="132"/>
      <c r="S647" s="132"/>
      <c r="T647" s="130"/>
    </row>
    <row r="648" spans="1:20" s="131" customFormat="1" ht="14.1" customHeight="1" x14ac:dyDescent="0.25">
      <c r="A648" s="390">
        <f ca="1">IF($H648="UNIDADE CONSTRUTIVA",OFFSET(A648,-1,0)+1,LARGE(A$3:A647,1))</f>
        <v>0</v>
      </c>
      <c r="B648" s="390">
        <f t="shared" ca="1" si="48"/>
        <v>3</v>
      </c>
      <c r="C648" s="390">
        <f t="shared" ca="1" si="49"/>
        <v>1</v>
      </c>
      <c r="D648" s="391">
        <f t="shared" ca="1" si="50"/>
        <v>2</v>
      </c>
      <c r="E648" s="391">
        <f t="shared" ca="1" si="51"/>
        <v>11</v>
      </c>
      <c r="F648" s="125"/>
      <c r="J648" s="130"/>
      <c r="K648" s="132"/>
      <c r="L648" s="413"/>
      <c r="M648" s="413"/>
      <c r="N648" s="414"/>
      <c r="O648" s="415"/>
      <c r="P648" s="133"/>
      <c r="Q648" s="130"/>
      <c r="R648" s="132"/>
      <c r="S648" s="132"/>
      <c r="T648" s="130"/>
    </row>
    <row r="649" spans="1:20" s="131" customFormat="1" ht="14.1" customHeight="1" x14ac:dyDescent="0.25">
      <c r="A649" s="390">
        <f ca="1">IF($H649="UNIDADE CONSTRUTIVA",OFFSET(A649,-1,0)+1,LARGE(A$3:A648,1))</f>
        <v>0</v>
      </c>
      <c r="B649" s="390">
        <f t="shared" ref="B649:B712" ca="1" si="52">IF(H649="UNIDADE CONSTRUTIVA",0,IF(H649="CÉLULA CONSTRUTIVA",OFFSET(B649,-1,0)+1,OFFSET(B649,-1,0)))</f>
        <v>3</v>
      </c>
      <c r="C649" s="390">
        <f t="shared" ref="C649:C712" ca="1" si="53">IF(H649="CÉLULA CONSTRUTIVA",0,IF(H649="ETAPA",OFFSET(C649,-1,0)+1,OFFSET(C649,-1,0)))</f>
        <v>1</v>
      </c>
      <c r="D649" s="391">
        <f t="shared" ref="D649:D712" ca="1" si="54">IF(H649="ETAPA",0,IF(H649="SUBETAPA",OFFSET(D649,-1,0)+1,OFFSET(D649,-1,0)))</f>
        <v>2</v>
      </c>
      <c r="E649" s="391">
        <f t="shared" ref="E649:E712" ca="1" si="55">IF(H649="Subetapa",0,IF(H649="serviço",OFFSET(E649,-1,0)+1,OFFSET(E649,-1,0)))</f>
        <v>11</v>
      </c>
      <c r="F649" s="125"/>
      <c r="J649" s="130"/>
      <c r="K649" s="132"/>
      <c r="L649" s="413"/>
      <c r="M649" s="413"/>
      <c r="N649" s="414"/>
      <c r="O649" s="415"/>
      <c r="P649" s="133"/>
      <c r="Q649" s="130"/>
      <c r="R649" s="132"/>
      <c r="S649" s="132"/>
      <c r="T649" s="130"/>
    </row>
    <row r="650" spans="1:20" s="131" customFormat="1" ht="14.1" customHeight="1" x14ac:dyDescent="0.25">
      <c r="A650" s="390">
        <f ca="1">IF($H650="UNIDADE CONSTRUTIVA",OFFSET(A650,-1,0)+1,LARGE(A$3:A649,1))</f>
        <v>0</v>
      </c>
      <c r="B650" s="390">
        <f t="shared" ca="1" si="52"/>
        <v>3</v>
      </c>
      <c r="C650" s="390">
        <f t="shared" ca="1" si="53"/>
        <v>1</v>
      </c>
      <c r="D650" s="391">
        <f t="shared" ca="1" si="54"/>
        <v>2</v>
      </c>
      <c r="E650" s="391">
        <f t="shared" ca="1" si="55"/>
        <v>11</v>
      </c>
      <c r="F650" s="125"/>
      <c r="J650" s="130"/>
      <c r="K650" s="132"/>
      <c r="L650" s="413"/>
      <c r="M650" s="413"/>
      <c r="N650" s="414"/>
      <c r="O650" s="415"/>
      <c r="P650" s="133"/>
      <c r="Q650" s="130"/>
      <c r="R650" s="132"/>
      <c r="S650" s="132"/>
      <c r="T650" s="130"/>
    </row>
    <row r="651" spans="1:20" s="131" customFormat="1" ht="14.1" customHeight="1" x14ac:dyDescent="0.25">
      <c r="A651" s="390">
        <f ca="1">IF($H651="UNIDADE CONSTRUTIVA",OFFSET(A651,-1,0)+1,LARGE(A$3:A650,1))</f>
        <v>0</v>
      </c>
      <c r="B651" s="390">
        <f t="shared" ca="1" si="52"/>
        <v>3</v>
      </c>
      <c r="C651" s="390">
        <f t="shared" ca="1" si="53"/>
        <v>1</v>
      </c>
      <c r="D651" s="391">
        <f t="shared" ca="1" si="54"/>
        <v>2</v>
      </c>
      <c r="E651" s="391">
        <f t="shared" ca="1" si="55"/>
        <v>11</v>
      </c>
      <c r="F651" s="125"/>
      <c r="J651" s="130"/>
      <c r="K651" s="132"/>
      <c r="L651" s="413"/>
      <c r="M651" s="413"/>
      <c r="N651" s="414"/>
      <c r="O651" s="415"/>
      <c r="P651" s="133"/>
      <c r="Q651" s="130"/>
      <c r="R651" s="132"/>
      <c r="S651" s="132"/>
      <c r="T651" s="130"/>
    </row>
    <row r="652" spans="1:20" s="131" customFormat="1" ht="14.1" customHeight="1" x14ac:dyDescent="0.25">
      <c r="A652" s="390">
        <f ca="1">IF($H652="UNIDADE CONSTRUTIVA",OFFSET(A652,-1,0)+1,LARGE(A$3:A651,1))</f>
        <v>0</v>
      </c>
      <c r="B652" s="390">
        <f t="shared" ca="1" si="52"/>
        <v>3</v>
      </c>
      <c r="C652" s="390">
        <f t="shared" ca="1" si="53"/>
        <v>1</v>
      </c>
      <c r="D652" s="391">
        <f t="shared" ca="1" si="54"/>
        <v>2</v>
      </c>
      <c r="E652" s="391">
        <f t="shared" ca="1" si="55"/>
        <v>11</v>
      </c>
      <c r="F652" s="125"/>
      <c r="J652" s="130"/>
      <c r="K652" s="132"/>
      <c r="L652" s="413"/>
      <c r="M652" s="413"/>
      <c r="N652" s="414"/>
      <c r="O652" s="415"/>
      <c r="P652" s="133"/>
      <c r="Q652" s="130"/>
      <c r="R652" s="132"/>
      <c r="S652" s="132"/>
      <c r="T652" s="130"/>
    </row>
    <row r="653" spans="1:20" s="131" customFormat="1" ht="14.1" customHeight="1" x14ac:dyDescent="0.25">
      <c r="A653" s="390">
        <f ca="1">IF($H653="UNIDADE CONSTRUTIVA",OFFSET(A653,-1,0)+1,LARGE(A$3:A652,1))</f>
        <v>0</v>
      </c>
      <c r="B653" s="390">
        <f t="shared" ca="1" si="52"/>
        <v>3</v>
      </c>
      <c r="C653" s="390">
        <f t="shared" ca="1" si="53"/>
        <v>1</v>
      </c>
      <c r="D653" s="391">
        <f t="shared" ca="1" si="54"/>
        <v>2</v>
      </c>
      <c r="E653" s="391">
        <f t="shared" ca="1" si="55"/>
        <v>11</v>
      </c>
      <c r="F653" s="125"/>
      <c r="J653" s="130"/>
      <c r="K653" s="132"/>
      <c r="L653" s="413"/>
      <c r="M653" s="413"/>
      <c r="N653" s="414"/>
      <c r="O653" s="415"/>
      <c r="P653" s="133"/>
      <c r="Q653" s="130"/>
      <c r="R653" s="132"/>
      <c r="S653" s="132"/>
      <c r="T653" s="130"/>
    </row>
    <row r="654" spans="1:20" s="131" customFormat="1" ht="14.1" customHeight="1" x14ac:dyDescent="0.25">
      <c r="A654" s="390">
        <f ca="1">IF($H654="UNIDADE CONSTRUTIVA",OFFSET(A654,-1,0)+1,LARGE(A$3:A653,1))</f>
        <v>0</v>
      </c>
      <c r="B654" s="390">
        <f t="shared" ca="1" si="52"/>
        <v>3</v>
      </c>
      <c r="C654" s="390">
        <f t="shared" ca="1" si="53"/>
        <v>1</v>
      </c>
      <c r="D654" s="391">
        <f t="shared" ca="1" si="54"/>
        <v>2</v>
      </c>
      <c r="E654" s="391">
        <f t="shared" ca="1" si="55"/>
        <v>11</v>
      </c>
      <c r="F654" s="125"/>
      <c r="J654" s="130"/>
      <c r="K654" s="132"/>
      <c r="L654" s="413"/>
      <c r="M654" s="413"/>
      <c r="N654" s="414"/>
      <c r="O654" s="415"/>
      <c r="P654" s="133"/>
      <c r="Q654" s="130"/>
      <c r="R654" s="132"/>
      <c r="S654" s="132"/>
      <c r="T654" s="130"/>
    </row>
    <row r="655" spans="1:20" s="131" customFormat="1" ht="14.1" customHeight="1" x14ac:dyDescent="0.25">
      <c r="A655" s="390">
        <f ca="1">IF($H655="UNIDADE CONSTRUTIVA",OFFSET(A655,-1,0)+1,LARGE(A$3:A654,1))</f>
        <v>0</v>
      </c>
      <c r="B655" s="390">
        <f t="shared" ca="1" si="52"/>
        <v>3</v>
      </c>
      <c r="C655" s="390">
        <f t="shared" ca="1" si="53"/>
        <v>1</v>
      </c>
      <c r="D655" s="391">
        <f t="shared" ca="1" si="54"/>
        <v>2</v>
      </c>
      <c r="E655" s="391">
        <f t="shared" ca="1" si="55"/>
        <v>11</v>
      </c>
      <c r="F655" s="125"/>
      <c r="J655" s="130"/>
      <c r="K655" s="132"/>
      <c r="L655" s="413"/>
      <c r="M655" s="413"/>
      <c r="N655" s="414"/>
      <c r="O655" s="415"/>
      <c r="P655" s="133"/>
      <c r="Q655" s="130"/>
      <c r="R655" s="132"/>
      <c r="S655" s="132"/>
      <c r="T655" s="130"/>
    </row>
    <row r="656" spans="1:20" s="131" customFormat="1" ht="14.1" customHeight="1" x14ac:dyDescent="0.25">
      <c r="A656" s="390">
        <f ca="1">IF($H656="UNIDADE CONSTRUTIVA",OFFSET(A656,-1,0)+1,LARGE(A$3:A655,1))</f>
        <v>0</v>
      </c>
      <c r="B656" s="390">
        <f t="shared" ca="1" si="52"/>
        <v>3</v>
      </c>
      <c r="C656" s="390">
        <f t="shared" ca="1" si="53"/>
        <v>1</v>
      </c>
      <c r="D656" s="391">
        <f t="shared" ca="1" si="54"/>
        <v>2</v>
      </c>
      <c r="E656" s="391">
        <f t="shared" ca="1" si="55"/>
        <v>11</v>
      </c>
      <c r="F656" s="125"/>
      <c r="J656" s="130"/>
      <c r="K656" s="132"/>
      <c r="L656" s="413"/>
      <c r="M656" s="413"/>
      <c r="N656" s="414"/>
      <c r="O656" s="415"/>
      <c r="P656" s="133"/>
      <c r="Q656" s="130"/>
      <c r="R656" s="132"/>
      <c r="S656" s="132"/>
      <c r="T656" s="130"/>
    </row>
    <row r="657" spans="1:20" s="131" customFormat="1" ht="14.1" customHeight="1" x14ac:dyDescent="0.25">
      <c r="A657" s="390">
        <f ca="1">IF($H657="UNIDADE CONSTRUTIVA",OFFSET(A657,-1,0)+1,LARGE(A$3:A656,1))</f>
        <v>0</v>
      </c>
      <c r="B657" s="390">
        <f t="shared" ca="1" si="52"/>
        <v>3</v>
      </c>
      <c r="C657" s="390">
        <f t="shared" ca="1" si="53"/>
        <v>1</v>
      </c>
      <c r="D657" s="391">
        <f t="shared" ca="1" si="54"/>
        <v>2</v>
      </c>
      <c r="E657" s="391">
        <f t="shared" ca="1" si="55"/>
        <v>11</v>
      </c>
      <c r="F657" s="125"/>
      <c r="J657" s="130"/>
      <c r="K657" s="132"/>
      <c r="L657" s="413"/>
      <c r="M657" s="413"/>
      <c r="N657" s="414"/>
      <c r="O657" s="415"/>
      <c r="P657" s="133"/>
      <c r="Q657" s="130"/>
      <c r="R657" s="132"/>
      <c r="S657" s="132"/>
      <c r="T657" s="130"/>
    </row>
    <row r="658" spans="1:20" s="131" customFormat="1" ht="14.1" customHeight="1" x14ac:dyDescent="0.25">
      <c r="A658" s="390">
        <f ca="1">IF($H658="UNIDADE CONSTRUTIVA",OFFSET(A658,-1,0)+1,LARGE(A$3:A657,1))</f>
        <v>0</v>
      </c>
      <c r="B658" s="390">
        <f t="shared" ca="1" si="52"/>
        <v>3</v>
      </c>
      <c r="C658" s="390">
        <f t="shared" ca="1" si="53"/>
        <v>1</v>
      </c>
      <c r="D658" s="391">
        <f t="shared" ca="1" si="54"/>
        <v>2</v>
      </c>
      <c r="E658" s="391">
        <f t="shared" ca="1" si="55"/>
        <v>11</v>
      </c>
      <c r="F658" s="125"/>
      <c r="J658" s="130"/>
      <c r="K658" s="132"/>
      <c r="L658" s="413"/>
      <c r="M658" s="413"/>
      <c r="N658" s="414"/>
      <c r="O658" s="415"/>
      <c r="P658" s="133"/>
      <c r="Q658" s="130"/>
      <c r="R658" s="132"/>
      <c r="S658" s="132"/>
      <c r="T658" s="130"/>
    </row>
    <row r="659" spans="1:20" s="131" customFormat="1" ht="14.1" customHeight="1" x14ac:dyDescent="0.25">
      <c r="A659" s="390">
        <f ca="1">IF($H659="UNIDADE CONSTRUTIVA",OFFSET(A659,-1,0)+1,LARGE(A$3:A658,1))</f>
        <v>0</v>
      </c>
      <c r="B659" s="390">
        <f t="shared" ca="1" si="52"/>
        <v>3</v>
      </c>
      <c r="C659" s="390">
        <f t="shared" ca="1" si="53"/>
        <v>1</v>
      </c>
      <c r="D659" s="391">
        <f t="shared" ca="1" si="54"/>
        <v>2</v>
      </c>
      <c r="E659" s="391">
        <f t="shared" ca="1" si="55"/>
        <v>11</v>
      </c>
      <c r="F659" s="125"/>
      <c r="J659" s="130"/>
      <c r="K659" s="132"/>
      <c r="L659" s="413"/>
      <c r="M659" s="413"/>
      <c r="N659" s="414"/>
      <c r="O659" s="415"/>
      <c r="P659" s="133"/>
      <c r="Q659" s="130"/>
      <c r="R659" s="132"/>
      <c r="S659" s="132"/>
      <c r="T659" s="130"/>
    </row>
    <row r="660" spans="1:20" s="131" customFormat="1" ht="14.1" customHeight="1" x14ac:dyDescent="0.25">
      <c r="A660" s="390">
        <f ca="1">IF($H660="UNIDADE CONSTRUTIVA",OFFSET(A660,-1,0)+1,LARGE(A$3:A659,1))</f>
        <v>0</v>
      </c>
      <c r="B660" s="390">
        <f t="shared" ca="1" si="52"/>
        <v>3</v>
      </c>
      <c r="C660" s="390">
        <f t="shared" ca="1" si="53"/>
        <v>1</v>
      </c>
      <c r="D660" s="391">
        <f t="shared" ca="1" si="54"/>
        <v>2</v>
      </c>
      <c r="E660" s="391">
        <f t="shared" ca="1" si="55"/>
        <v>11</v>
      </c>
      <c r="F660" s="125"/>
      <c r="J660" s="130"/>
      <c r="K660" s="132"/>
      <c r="L660" s="413"/>
      <c r="M660" s="413"/>
      <c r="N660" s="414"/>
      <c r="O660" s="415"/>
      <c r="P660" s="133"/>
      <c r="Q660" s="130"/>
      <c r="R660" s="132"/>
      <c r="S660" s="132"/>
      <c r="T660" s="130"/>
    </row>
    <row r="661" spans="1:20" s="131" customFormat="1" ht="14.1" customHeight="1" x14ac:dyDescent="0.25">
      <c r="A661" s="390">
        <f ca="1">IF($H661="UNIDADE CONSTRUTIVA",OFFSET(A661,-1,0)+1,LARGE(A$3:A660,1))</f>
        <v>0</v>
      </c>
      <c r="B661" s="390">
        <f t="shared" ca="1" si="52"/>
        <v>3</v>
      </c>
      <c r="C661" s="390">
        <f t="shared" ca="1" si="53"/>
        <v>1</v>
      </c>
      <c r="D661" s="391">
        <f t="shared" ca="1" si="54"/>
        <v>2</v>
      </c>
      <c r="E661" s="391">
        <f t="shared" ca="1" si="55"/>
        <v>11</v>
      </c>
      <c r="F661" s="125"/>
      <c r="J661" s="130"/>
      <c r="K661" s="132"/>
      <c r="L661" s="413"/>
      <c r="M661" s="413"/>
      <c r="N661" s="414"/>
      <c r="O661" s="415"/>
      <c r="P661" s="133"/>
      <c r="Q661" s="130"/>
      <c r="R661" s="132"/>
      <c r="S661" s="132"/>
      <c r="T661" s="130"/>
    </row>
    <row r="662" spans="1:20" s="131" customFormat="1" ht="14.1" customHeight="1" x14ac:dyDescent="0.25">
      <c r="A662" s="390">
        <f ca="1">IF($H662="UNIDADE CONSTRUTIVA",OFFSET(A662,-1,0)+1,LARGE(A$3:A661,1))</f>
        <v>0</v>
      </c>
      <c r="B662" s="390">
        <f t="shared" ca="1" si="52"/>
        <v>3</v>
      </c>
      <c r="C662" s="390">
        <f t="shared" ca="1" si="53"/>
        <v>1</v>
      </c>
      <c r="D662" s="391">
        <f t="shared" ca="1" si="54"/>
        <v>2</v>
      </c>
      <c r="E662" s="391">
        <f t="shared" ca="1" si="55"/>
        <v>11</v>
      </c>
      <c r="F662" s="125"/>
      <c r="J662" s="130"/>
      <c r="K662" s="132"/>
      <c r="L662" s="413"/>
      <c r="M662" s="413"/>
      <c r="N662" s="414"/>
      <c r="O662" s="415"/>
      <c r="P662" s="133"/>
      <c r="Q662" s="130"/>
      <c r="R662" s="132"/>
      <c r="S662" s="132"/>
      <c r="T662" s="130"/>
    </row>
    <row r="663" spans="1:20" s="131" customFormat="1" ht="14.1" customHeight="1" x14ac:dyDescent="0.25">
      <c r="A663" s="390">
        <f ca="1">IF($H663="UNIDADE CONSTRUTIVA",OFFSET(A663,-1,0)+1,LARGE(A$3:A662,1))</f>
        <v>0</v>
      </c>
      <c r="B663" s="390">
        <f t="shared" ca="1" si="52"/>
        <v>3</v>
      </c>
      <c r="C663" s="390">
        <f t="shared" ca="1" si="53"/>
        <v>1</v>
      </c>
      <c r="D663" s="391">
        <f t="shared" ca="1" si="54"/>
        <v>2</v>
      </c>
      <c r="E663" s="391">
        <f t="shared" ca="1" si="55"/>
        <v>11</v>
      </c>
      <c r="F663" s="125"/>
      <c r="J663" s="130"/>
      <c r="K663" s="132"/>
      <c r="L663" s="413"/>
      <c r="M663" s="413"/>
      <c r="N663" s="414"/>
      <c r="O663" s="415"/>
      <c r="P663" s="133"/>
      <c r="Q663" s="130"/>
      <c r="R663" s="132"/>
      <c r="S663" s="132"/>
      <c r="T663" s="130"/>
    </row>
    <row r="664" spans="1:20" s="131" customFormat="1" ht="14.1" customHeight="1" x14ac:dyDescent="0.25">
      <c r="A664" s="390">
        <f ca="1">IF($H664="UNIDADE CONSTRUTIVA",OFFSET(A664,-1,0)+1,LARGE(A$3:A663,1))</f>
        <v>0</v>
      </c>
      <c r="B664" s="390">
        <f t="shared" ca="1" si="52"/>
        <v>3</v>
      </c>
      <c r="C664" s="390">
        <f t="shared" ca="1" si="53"/>
        <v>1</v>
      </c>
      <c r="D664" s="391">
        <f t="shared" ca="1" si="54"/>
        <v>2</v>
      </c>
      <c r="E664" s="391">
        <f t="shared" ca="1" si="55"/>
        <v>11</v>
      </c>
      <c r="F664" s="125"/>
      <c r="J664" s="130"/>
      <c r="K664" s="132"/>
      <c r="L664" s="413"/>
      <c r="M664" s="413"/>
      <c r="N664" s="414"/>
      <c r="O664" s="415"/>
      <c r="P664" s="133"/>
      <c r="Q664" s="130"/>
      <c r="R664" s="132"/>
      <c r="S664" s="132"/>
      <c r="T664" s="130"/>
    </row>
    <row r="665" spans="1:20" s="131" customFormat="1" ht="14.1" customHeight="1" x14ac:dyDescent="0.25">
      <c r="A665" s="390">
        <f ca="1">IF($H665="UNIDADE CONSTRUTIVA",OFFSET(A665,-1,0)+1,LARGE(A$3:A664,1))</f>
        <v>0</v>
      </c>
      <c r="B665" s="390">
        <f t="shared" ca="1" si="52"/>
        <v>3</v>
      </c>
      <c r="C665" s="390">
        <f t="shared" ca="1" si="53"/>
        <v>1</v>
      </c>
      <c r="D665" s="391">
        <f t="shared" ca="1" si="54"/>
        <v>2</v>
      </c>
      <c r="E665" s="391">
        <f t="shared" ca="1" si="55"/>
        <v>11</v>
      </c>
      <c r="F665" s="125"/>
      <c r="J665" s="130"/>
      <c r="K665" s="132"/>
      <c r="L665" s="413"/>
      <c r="M665" s="413"/>
      <c r="N665" s="414"/>
      <c r="O665" s="415"/>
      <c r="P665" s="133"/>
      <c r="Q665" s="130"/>
      <c r="R665" s="132"/>
      <c r="S665" s="132"/>
      <c r="T665" s="130"/>
    </row>
    <row r="666" spans="1:20" s="131" customFormat="1" ht="14.1" customHeight="1" x14ac:dyDescent="0.25">
      <c r="A666" s="390">
        <f ca="1">IF($H666="UNIDADE CONSTRUTIVA",OFFSET(A666,-1,0)+1,LARGE(A$3:A665,1))</f>
        <v>0</v>
      </c>
      <c r="B666" s="390">
        <f t="shared" ca="1" si="52"/>
        <v>3</v>
      </c>
      <c r="C666" s="390">
        <f t="shared" ca="1" si="53"/>
        <v>1</v>
      </c>
      <c r="D666" s="391">
        <f t="shared" ca="1" si="54"/>
        <v>2</v>
      </c>
      <c r="E666" s="391">
        <f t="shared" ca="1" si="55"/>
        <v>11</v>
      </c>
      <c r="F666" s="125"/>
      <c r="J666" s="130"/>
      <c r="K666" s="132"/>
      <c r="L666" s="413"/>
      <c r="M666" s="413"/>
      <c r="N666" s="414"/>
      <c r="O666" s="415"/>
      <c r="P666" s="133"/>
      <c r="Q666" s="130"/>
      <c r="R666" s="132"/>
      <c r="S666" s="132"/>
      <c r="T666" s="130"/>
    </row>
    <row r="667" spans="1:20" s="131" customFormat="1" ht="14.1" customHeight="1" x14ac:dyDescent="0.25">
      <c r="A667" s="390">
        <f ca="1">IF($H667="UNIDADE CONSTRUTIVA",OFFSET(A667,-1,0)+1,LARGE(A$3:A666,1))</f>
        <v>0</v>
      </c>
      <c r="B667" s="390">
        <f t="shared" ca="1" si="52"/>
        <v>3</v>
      </c>
      <c r="C667" s="390">
        <f t="shared" ca="1" si="53"/>
        <v>1</v>
      </c>
      <c r="D667" s="391">
        <f t="shared" ca="1" si="54"/>
        <v>2</v>
      </c>
      <c r="E667" s="391">
        <f t="shared" ca="1" si="55"/>
        <v>11</v>
      </c>
      <c r="F667" s="125"/>
      <c r="J667" s="130"/>
      <c r="K667" s="132"/>
      <c r="L667" s="413"/>
      <c r="M667" s="413"/>
      <c r="N667" s="414"/>
      <c r="O667" s="415"/>
      <c r="P667" s="133"/>
      <c r="Q667" s="130"/>
      <c r="R667" s="132"/>
      <c r="S667" s="132"/>
      <c r="T667" s="130"/>
    </row>
    <row r="668" spans="1:20" s="131" customFormat="1" ht="14.1" customHeight="1" x14ac:dyDescent="0.25">
      <c r="A668" s="390">
        <f ca="1">IF($H668="UNIDADE CONSTRUTIVA",OFFSET(A668,-1,0)+1,LARGE(A$3:A667,1))</f>
        <v>0</v>
      </c>
      <c r="B668" s="390">
        <f t="shared" ca="1" si="52"/>
        <v>3</v>
      </c>
      <c r="C668" s="390">
        <f t="shared" ca="1" si="53"/>
        <v>1</v>
      </c>
      <c r="D668" s="391">
        <f t="shared" ca="1" si="54"/>
        <v>2</v>
      </c>
      <c r="E668" s="391">
        <f t="shared" ca="1" si="55"/>
        <v>11</v>
      </c>
      <c r="F668" s="125"/>
      <c r="J668" s="130"/>
      <c r="K668" s="132"/>
      <c r="L668" s="413"/>
      <c r="M668" s="413"/>
      <c r="N668" s="414"/>
      <c r="O668" s="415"/>
      <c r="P668" s="133"/>
      <c r="Q668" s="130"/>
      <c r="R668" s="132"/>
      <c r="S668" s="132"/>
      <c r="T668" s="130"/>
    </row>
    <row r="669" spans="1:20" s="131" customFormat="1" ht="14.1" customHeight="1" x14ac:dyDescent="0.25">
      <c r="A669" s="390">
        <f ca="1">IF($H669="UNIDADE CONSTRUTIVA",OFFSET(A669,-1,0)+1,LARGE(A$3:A668,1))</f>
        <v>0</v>
      </c>
      <c r="B669" s="390">
        <f t="shared" ca="1" si="52"/>
        <v>3</v>
      </c>
      <c r="C669" s="390">
        <f t="shared" ca="1" si="53"/>
        <v>1</v>
      </c>
      <c r="D669" s="391">
        <f t="shared" ca="1" si="54"/>
        <v>2</v>
      </c>
      <c r="E669" s="391">
        <f t="shared" ca="1" si="55"/>
        <v>11</v>
      </c>
      <c r="F669" s="125"/>
      <c r="J669" s="130"/>
      <c r="K669" s="132"/>
      <c r="L669" s="413"/>
      <c r="M669" s="413"/>
      <c r="N669" s="414"/>
      <c r="O669" s="415"/>
      <c r="P669" s="133"/>
      <c r="Q669" s="130"/>
      <c r="R669" s="132"/>
      <c r="S669" s="132"/>
      <c r="T669" s="130"/>
    </row>
    <row r="670" spans="1:20" s="131" customFormat="1" ht="14.1" customHeight="1" x14ac:dyDescent="0.25">
      <c r="A670" s="390">
        <f ca="1">IF($H670="UNIDADE CONSTRUTIVA",OFFSET(A670,-1,0)+1,LARGE(A$3:A669,1))</f>
        <v>0</v>
      </c>
      <c r="B670" s="390">
        <f t="shared" ca="1" si="52"/>
        <v>3</v>
      </c>
      <c r="C670" s="390">
        <f t="shared" ca="1" si="53"/>
        <v>1</v>
      </c>
      <c r="D670" s="391">
        <f t="shared" ca="1" si="54"/>
        <v>2</v>
      </c>
      <c r="E670" s="391">
        <f t="shared" ca="1" si="55"/>
        <v>11</v>
      </c>
      <c r="F670" s="125"/>
      <c r="J670" s="130"/>
      <c r="K670" s="132"/>
      <c r="L670" s="413"/>
      <c r="M670" s="413"/>
      <c r="N670" s="414"/>
      <c r="O670" s="415"/>
      <c r="P670" s="133"/>
      <c r="Q670" s="130"/>
      <c r="R670" s="132"/>
      <c r="S670" s="132"/>
      <c r="T670" s="130"/>
    </row>
    <row r="671" spans="1:20" s="131" customFormat="1" ht="14.1" customHeight="1" x14ac:dyDescent="0.25">
      <c r="A671" s="390">
        <f ca="1">IF($H671="UNIDADE CONSTRUTIVA",OFFSET(A671,-1,0)+1,LARGE(A$3:A670,1))</f>
        <v>0</v>
      </c>
      <c r="B671" s="390">
        <f t="shared" ca="1" si="52"/>
        <v>3</v>
      </c>
      <c r="C671" s="390">
        <f t="shared" ca="1" si="53"/>
        <v>1</v>
      </c>
      <c r="D671" s="391">
        <f t="shared" ca="1" si="54"/>
        <v>2</v>
      </c>
      <c r="E671" s="391">
        <f t="shared" ca="1" si="55"/>
        <v>11</v>
      </c>
      <c r="F671" s="125"/>
      <c r="J671" s="130"/>
      <c r="K671" s="132"/>
      <c r="L671" s="413"/>
      <c r="M671" s="413"/>
      <c r="N671" s="414"/>
      <c r="O671" s="415"/>
      <c r="P671" s="133"/>
      <c r="Q671" s="130"/>
      <c r="R671" s="132"/>
      <c r="S671" s="132"/>
      <c r="T671" s="130"/>
    </row>
    <row r="672" spans="1:20" s="131" customFormat="1" ht="14.1" customHeight="1" x14ac:dyDescent="0.25">
      <c r="A672" s="390">
        <f ca="1">IF($H672="UNIDADE CONSTRUTIVA",OFFSET(A672,-1,0)+1,LARGE(A$3:A671,1))</f>
        <v>0</v>
      </c>
      <c r="B672" s="390">
        <f t="shared" ca="1" si="52"/>
        <v>3</v>
      </c>
      <c r="C672" s="390">
        <f t="shared" ca="1" si="53"/>
        <v>1</v>
      </c>
      <c r="D672" s="391">
        <f t="shared" ca="1" si="54"/>
        <v>2</v>
      </c>
      <c r="E672" s="391">
        <f t="shared" ca="1" si="55"/>
        <v>11</v>
      </c>
      <c r="F672" s="125"/>
      <c r="J672" s="130"/>
      <c r="K672" s="132"/>
      <c r="L672" s="413"/>
      <c r="M672" s="413"/>
      <c r="N672" s="414"/>
      <c r="O672" s="415"/>
      <c r="P672" s="133"/>
      <c r="Q672" s="130"/>
      <c r="R672" s="132"/>
      <c r="S672" s="132"/>
      <c r="T672" s="130"/>
    </row>
    <row r="673" spans="1:20" s="131" customFormat="1" ht="14.1" customHeight="1" x14ac:dyDescent="0.25">
      <c r="A673" s="390">
        <f ca="1">IF($H673="UNIDADE CONSTRUTIVA",OFFSET(A673,-1,0)+1,LARGE(A$3:A672,1))</f>
        <v>0</v>
      </c>
      <c r="B673" s="390">
        <f t="shared" ca="1" si="52"/>
        <v>3</v>
      </c>
      <c r="C673" s="390">
        <f t="shared" ca="1" si="53"/>
        <v>1</v>
      </c>
      <c r="D673" s="391">
        <f t="shared" ca="1" si="54"/>
        <v>2</v>
      </c>
      <c r="E673" s="391">
        <f t="shared" ca="1" si="55"/>
        <v>11</v>
      </c>
      <c r="F673" s="125"/>
      <c r="J673" s="130"/>
      <c r="K673" s="132"/>
      <c r="L673" s="413"/>
      <c r="M673" s="413"/>
      <c r="N673" s="414"/>
      <c r="O673" s="415"/>
      <c r="P673" s="133"/>
      <c r="Q673" s="130"/>
      <c r="R673" s="132"/>
      <c r="S673" s="132"/>
      <c r="T673" s="130"/>
    </row>
    <row r="674" spans="1:20" s="131" customFormat="1" ht="14.1" customHeight="1" x14ac:dyDescent="0.25">
      <c r="A674" s="390">
        <f ca="1">IF($H674="UNIDADE CONSTRUTIVA",OFFSET(A674,-1,0)+1,LARGE(A$3:A673,1))</f>
        <v>0</v>
      </c>
      <c r="B674" s="390">
        <f t="shared" ca="1" si="52"/>
        <v>3</v>
      </c>
      <c r="C674" s="390">
        <f t="shared" ca="1" si="53"/>
        <v>1</v>
      </c>
      <c r="D674" s="391">
        <f t="shared" ca="1" si="54"/>
        <v>2</v>
      </c>
      <c r="E674" s="391">
        <f t="shared" ca="1" si="55"/>
        <v>11</v>
      </c>
      <c r="F674" s="125"/>
      <c r="J674" s="130"/>
      <c r="K674" s="132"/>
      <c r="L674" s="413"/>
      <c r="M674" s="413"/>
      <c r="N674" s="414"/>
      <c r="O674" s="415"/>
      <c r="P674" s="133"/>
      <c r="Q674" s="130"/>
      <c r="R674" s="132"/>
      <c r="S674" s="132"/>
      <c r="T674" s="130"/>
    </row>
    <row r="675" spans="1:20" s="131" customFormat="1" ht="14.1" customHeight="1" x14ac:dyDescent="0.25">
      <c r="A675" s="390">
        <f ca="1">IF($H675="UNIDADE CONSTRUTIVA",OFFSET(A675,-1,0)+1,LARGE(A$3:A674,1))</f>
        <v>0</v>
      </c>
      <c r="B675" s="390">
        <f t="shared" ca="1" si="52"/>
        <v>3</v>
      </c>
      <c r="C675" s="390">
        <f t="shared" ca="1" si="53"/>
        <v>1</v>
      </c>
      <c r="D675" s="391">
        <f t="shared" ca="1" si="54"/>
        <v>2</v>
      </c>
      <c r="E675" s="391">
        <f t="shared" ca="1" si="55"/>
        <v>11</v>
      </c>
      <c r="F675" s="125"/>
      <c r="J675" s="130"/>
      <c r="K675" s="132"/>
      <c r="L675" s="413"/>
      <c r="M675" s="413"/>
      <c r="N675" s="414"/>
      <c r="O675" s="415"/>
      <c r="P675" s="133"/>
      <c r="Q675" s="130"/>
      <c r="R675" s="132"/>
      <c r="S675" s="132"/>
      <c r="T675" s="130"/>
    </row>
    <row r="676" spans="1:20" s="131" customFormat="1" ht="14.1" customHeight="1" x14ac:dyDescent="0.25">
      <c r="A676" s="390">
        <f ca="1">IF($H676="UNIDADE CONSTRUTIVA",OFFSET(A676,-1,0)+1,LARGE(A$3:A675,1))</f>
        <v>0</v>
      </c>
      <c r="B676" s="390">
        <f t="shared" ca="1" si="52"/>
        <v>3</v>
      </c>
      <c r="C676" s="390">
        <f t="shared" ca="1" si="53"/>
        <v>1</v>
      </c>
      <c r="D676" s="391">
        <f t="shared" ca="1" si="54"/>
        <v>2</v>
      </c>
      <c r="E676" s="391">
        <f t="shared" ca="1" si="55"/>
        <v>11</v>
      </c>
      <c r="F676" s="125"/>
      <c r="J676" s="130"/>
      <c r="K676" s="132"/>
      <c r="L676" s="413"/>
      <c r="M676" s="413"/>
      <c r="N676" s="414"/>
      <c r="O676" s="415"/>
      <c r="P676" s="133"/>
      <c r="Q676" s="130"/>
      <c r="R676" s="132"/>
      <c r="S676" s="132"/>
      <c r="T676" s="130"/>
    </row>
    <row r="677" spans="1:20" s="131" customFormat="1" ht="14.1" customHeight="1" x14ac:dyDescent="0.25">
      <c r="A677" s="390">
        <f ca="1">IF($H677="UNIDADE CONSTRUTIVA",OFFSET(A677,-1,0)+1,LARGE(A$3:A676,1))</f>
        <v>0</v>
      </c>
      <c r="B677" s="390">
        <f t="shared" ca="1" si="52"/>
        <v>3</v>
      </c>
      <c r="C677" s="390">
        <f t="shared" ca="1" si="53"/>
        <v>1</v>
      </c>
      <c r="D677" s="391">
        <f t="shared" ca="1" si="54"/>
        <v>2</v>
      </c>
      <c r="E677" s="391">
        <f t="shared" ca="1" si="55"/>
        <v>11</v>
      </c>
      <c r="F677" s="125"/>
      <c r="J677" s="130"/>
      <c r="K677" s="132"/>
      <c r="L677" s="413"/>
      <c r="M677" s="413"/>
      <c r="N677" s="414"/>
      <c r="O677" s="415"/>
      <c r="P677" s="133"/>
      <c r="Q677" s="130"/>
      <c r="R677" s="132"/>
      <c r="S677" s="132"/>
      <c r="T677" s="130"/>
    </row>
    <row r="678" spans="1:20" s="131" customFormat="1" ht="14.1" customHeight="1" x14ac:dyDescent="0.25">
      <c r="A678" s="390">
        <f ca="1">IF($H678="UNIDADE CONSTRUTIVA",OFFSET(A678,-1,0)+1,LARGE(A$3:A677,1))</f>
        <v>0</v>
      </c>
      <c r="B678" s="390">
        <f t="shared" ca="1" si="52"/>
        <v>3</v>
      </c>
      <c r="C678" s="390">
        <f t="shared" ca="1" si="53"/>
        <v>1</v>
      </c>
      <c r="D678" s="391">
        <f t="shared" ca="1" si="54"/>
        <v>2</v>
      </c>
      <c r="E678" s="391">
        <f t="shared" ca="1" si="55"/>
        <v>11</v>
      </c>
      <c r="F678" s="125"/>
      <c r="J678" s="130"/>
      <c r="K678" s="132"/>
      <c r="L678" s="413"/>
      <c r="M678" s="413"/>
      <c r="N678" s="414"/>
      <c r="O678" s="415"/>
      <c r="P678" s="133"/>
      <c r="Q678" s="130"/>
      <c r="R678" s="132"/>
      <c r="S678" s="132"/>
      <c r="T678" s="130"/>
    </row>
    <row r="679" spans="1:20" s="131" customFormat="1" ht="14.1" customHeight="1" x14ac:dyDescent="0.25">
      <c r="A679" s="390">
        <f ca="1">IF($H679="UNIDADE CONSTRUTIVA",OFFSET(A679,-1,0)+1,LARGE(A$3:A678,1))</f>
        <v>0</v>
      </c>
      <c r="B679" s="390">
        <f t="shared" ca="1" si="52"/>
        <v>3</v>
      </c>
      <c r="C679" s="390">
        <f t="shared" ca="1" si="53"/>
        <v>1</v>
      </c>
      <c r="D679" s="391">
        <f t="shared" ca="1" si="54"/>
        <v>2</v>
      </c>
      <c r="E679" s="391">
        <f t="shared" ca="1" si="55"/>
        <v>11</v>
      </c>
      <c r="F679" s="125"/>
      <c r="J679" s="130"/>
      <c r="K679" s="132"/>
      <c r="L679" s="413"/>
      <c r="M679" s="413"/>
      <c r="N679" s="414"/>
      <c r="O679" s="415"/>
      <c r="P679" s="133"/>
      <c r="Q679" s="130"/>
      <c r="R679" s="132"/>
      <c r="S679" s="132"/>
      <c r="T679" s="130"/>
    </row>
    <row r="680" spans="1:20" s="131" customFormat="1" ht="14.1" customHeight="1" x14ac:dyDescent="0.25">
      <c r="A680" s="390">
        <f ca="1">IF($H680="UNIDADE CONSTRUTIVA",OFFSET(A680,-1,0)+1,LARGE(A$3:A679,1))</f>
        <v>0</v>
      </c>
      <c r="B680" s="390">
        <f t="shared" ca="1" si="52"/>
        <v>3</v>
      </c>
      <c r="C680" s="390">
        <f t="shared" ca="1" si="53"/>
        <v>1</v>
      </c>
      <c r="D680" s="391">
        <f t="shared" ca="1" si="54"/>
        <v>2</v>
      </c>
      <c r="E680" s="391">
        <f t="shared" ca="1" si="55"/>
        <v>11</v>
      </c>
      <c r="F680" s="125"/>
      <c r="J680" s="130"/>
      <c r="K680" s="132"/>
      <c r="L680" s="413"/>
      <c r="M680" s="413"/>
      <c r="N680" s="414"/>
      <c r="O680" s="415"/>
      <c r="P680" s="133"/>
      <c r="Q680" s="130"/>
      <c r="R680" s="132"/>
      <c r="S680" s="132"/>
      <c r="T680" s="130"/>
    </row>
    <row r="681" spans="1:20" s="131" customFormat="1" ht="14.1" customHeight="1" x14ac:dyDescent="0.25">
      <c r="A681" s="390">
        <f ca="1">IF($H681="UNIDADE CONSTRUTIVA",OFFSET(A681,-1,0)+1,LARGE(A$3:A680,1))</f>
        <v>0</v>
      </c>
      <c r="B681" s="390">
        <f t="shared" ca="1" si="52"/>
        <v>3</v>
      </c>
      <c r="C681" s="390">
        <f t="shared" ca="1" si="53"/>
        <v>1</v>
      </c>
      <c r="D681" s="391">
        <f t="shared" ca="1" si="54"/>
        <v>2</v>
      </c>
      <c r="E681" s="391">
        <f t="shared" ca="1" si="55"/>
        <v>11</v>
      </c>
      <c r="F681" s="125"/>
      <c r="J681" s="130"/>
      <c r="K681" s="132"/>
      <c r="L681" s="413"/>
      <c r="M681" s="413"/>
      <c r="N681" s="414"/>
      <c r="O681" s="415"/>
      <c r="P681" s="133"/>
      <c r="Q681" s="130"/>
      <c r="R681" s="132"/>
      <c r="S681" s="132"/>
      <c r="T681" s="130"/>
    </row>
    <row r="682" spans="1:20" s="131" customFormat="1" ht="14.1" customHeight="1" x14ac:dyDescent="0.25">
      <c r="A682" s="390">
        <f ca="1">IF($H682="UNIDADE CONSTRUTIVA",OFFSET(A682,-1,0)+1,LARGE(A$3:A681,1))</f>
        <v>0</v>
      </c>
      <c r="B682" s="390">
        <f t="shared" ca="1" si="52"/>
        <v>3</v>
      </c>
      <c r="C682" s="390">
        <f t="shared" ca="1" si="53"/>
        <v>1</v>
      </c>
      <c r="D682" s="391">
        <f t="shared" ca="1" si="54"/>
        <v>2</v>
      </c>
      <c r="E682" s="391">
        <f t="shared" ca="1" si="55"/>
        <v>11</v>
      </c>
      <c r="F682" s="125"/>
      <c r="J682" s="130"/>
      <c r="K682" s="132"/>
      <c r="L682" s="413"/>
      <c r="M682" s="413"/>
      <c r="N682" s="414"/>
      <c r="O682" s="415"/>
      <c r="P682" s="133"/>
      <c r="Q682" s="130"/>
      <c r="R682" s="132"/>
      <c r="S682" s="132"/>
      <c r="T682" s="130"/>
    </row>
    <row r="683" spans="1:20" s="131" customFormat="1" ht="14.1" customHeight="1" x14ac:dyDescent="0.25">
      <c r="A683" s="390">
        <f ca="1">IF($H683="UNIDADE CONSTRUTIVA",OFFSET(A683,-1,0)+1,LARGE(A$3:A682,1))</f>
        <v>0</v>
      </c>
      <c r="B683" s="390">
        <f t="shared" ca="1" si="52"/>
        <v>3</v>
      </c>
      <c r="C683" s="390">
        <f t="shared" ca="1" si="53"/>
        <v>1</v>
      </c>
      <c r="D683" s="391">
        <f t="shared" ca="1" si="54"/>
        <v>2</v>
      </c>
      <c r="E683" s="391">
        <f t="shared" ca="1" si="55"/>
        <v>11</v>
      </c>
      <c r="F683" s="125"/>
      <c r="J683" s="130"/>
      <c r="K683" s="132"/>
      <c r="L683" s="413"/>
      <c r="M683" s="413"/>
      <c r="N683" s="414"/>
      <c r="O683" s="415"/>
      <c r="P683" s="133"/>
      <c r="Q683" s="130"/>
      <c r="R683" s="132"/>
      <c r="S683" s="132"/>
      <c r="T683" s="130"/>
    </row>
    <row r="684" spans="1:20" s="131" customFormat="1" ht="14.1" customHeight="1" x14ac:dyDescent="0.25">
      <c r="A684" s="390">
        <f ca="1">IF($H684="UNIDADE CONSTRUTIVA",OFFSET(A684,-1,0)+1,LARGE(A$3:A683,1))</f>
        <v>0</v>
      </c>
      <c r="B684" s="390">
        <f t="shared" ca="1" si="52"/>
        <v>3</v>
      </c>
      <c r="C684" s="390">
        <f t="shared" ca="1" si="53"/>
        <v>1</v>
      </c>
      <c r="D684" s="391">
        <f t="shared" ca="1" si="54"/>
        <v>2</v>
      </c>
      <c r="E684" s="391">
        <f t="shared" ca="1" si="55"/>
        <v>11</v>
      </c>
      <c r="F684" s="125"/>
      <c r="J684" s="130"/>
      <c r="K684" s="132"/>
      <c r="L684" s="413"/>
      <c r="M684" s="413"/>
      <c r="N684" s="414"/>
      <c r="O684" s="415"/>
      <c r="P684" s="133"/>
      <c r="Q684" s="130"/>
      <c r="R684" s="132"/>
      <c r="S684" s="132"/>
      <c r="T684" s="130"/>
    </row>
    <row r="685" spans="1:20" s="131" customFormat="1" ht="14.1" customHeight="1" x14ac:dyDescent="0.25">
      <c r="A685" s="390">
        <f ca="1">IF($H685="UNIDADE CONSTRUTIVA",OFFSET(A685,-1,0)+1,LARGE(A$3:A684,1))</f>
        <v>0</v>
      </c>
      <c r="B685" s="390">
        <f t="shared" ca="1" si="52"/>
        <v>3</v>
      </c>
      <c r="C685" s="390">
        <f t="shared" ca="1" si="53"/>
        <v>1</v>
      </c>
      <c r="D685" s="391">
        <f t="shared" ca="1" si="54"/>
        <v>2</v>
      </c>
      <c r="E685" s="391">
        <f t="shared" ca="1" si="55"/>
        <v>11</v>
      </c>
      <c r="F685" s="125"/>
      <c r="J685" s="130"/>
      <c r="K685" s="132"/>
      <c r="L685" s="413"/>
      <c r="M685" s="413"/>
      <c r="N685" s="414"/>
      <c r="O685" s="415"/>
      <c r="P685" s="133"/>
      <c r="Q685" s="130"/>
      <c r="R685" s="132"/>
      <c r="S685" s="132"/>
      <c r="T685" s="130"/>
    </row>
    <row r="686" spans="1:20" s="131" customFormat="1" ht="14.1" customHeight="1" x14ac:dyDescent="0.25">
      <c r="A686" s="390">
        <f ca="1">IF($H686="UNIDADE CONSTRUTIVA",OFFSET(A686,-1,0)+1,LARGE(A$3:A685,1))</f>
        <v>0</v>
      </c>
      <c r="B686" s="390">
        <f t="shared" ca="1" si="52"/>
        <v>3</v>
      </c>
      <c r="C686" s="390">
        <f t="shared" ca="1" si="53"/>
        <v>1</v>
      </c>
      <c r="D686" s="391">
        <f t="shared" ca="1" si="54"/>
        <v>2</v>
      </c>
      <c r="E686" s="391">
        <f t="shared" ca="1" si="55"/>
        <v>11</v>
      </c>
      <c r="F686" s="125"/>
      <c r="J686" s="130"/>
      <c r="K686" s="132"/>
      <c r="L686" s="413"/>
      <c r="M686" s="413"/>
      <c r="N686" s="414"/>
      <c r="O686" s="415"/>
      <c r="P686" s="133"/>
      <c r="Q686" s="130"/>
      <c r="R686" s="132"/>
      <c r="S686" s="132"/>
      <c r="T686" s="130"/>
    </row>
    <row r="687" spans="1:20" s="131" customFormat="1" ht="14.1" customHeight="1" x14ac:dyDescent="0.25">
      <c r="A687" s="390">
        <f ca="1">IF($H687="UNIDADE CONSTRUTIVA",OFFSET(A687,-1,0)+1,LARGE(A$3:A686,1))</f>
        <v>0</v>
      </c>
      <c r="B687" s="390">
        <f t="shared" ca="1" si="52"/>
        <v>3</v>
      </c>
      <c r="C687" s="390">
        <f t="shared" ca="1" si="53"/>
        <v>1</v>
      </c>
      <c r="D687" s="391">
        <f t="shared" ca="1" si="54"/>
        <v>2</v>
      </c>
      <c r="E687" s="391">
        <f t="shared" ca="1" si="55"/>
        <v>11</v>
      </c>
      <c r="F687" s="125"/>
      <c r="J687" s="130"/>
      <c r="K687" s="132"/>
      <c r="L687" s="413"/>
      <c r="M687" s="413"/>
      <c r="N687" s="414"/>
      <c r="O687" s="415"/>
      <c r="P687" s="133"/>
      <c r="Q687" s="130"/>
      <c r="R687" s="132"/>
      <c r="S687" s="132"/>
      <c r="T687" s="130"/>
    </row>
    <row r="688" spans="1:20" s="131" customFormat="1" ht="14.1" customHeight="1" x14ac:dyDescent="0.25">
      <c r="A688" s="390">
        <f ca="1">IF($H688="UNIDADE CONSTRUTIVA",OFFSET(A688,-1,0)+1,LARGE(A$3:A687,1))</f>
        <v>0</v>
      </c>
      <c r="B688" s="390">
        <f t="shared" ca="1" si="52"/>
        <v>3</v>
      </c>
      <c r="C688" s="390">
        <f t="shared" ca="1" si="53"/>
        <v>1</v>
      </c>
      <c r="D688" s="391">
        <f t="shared" ca="1" si="54"/>
        <v>2</v>
      </c>
      <c r="E688" s="391">
        <f t="shared" ca="1" si="55"/>
        <v>11</v>
      </c>
      <c r="F688" s="125"/>
      <c r="J688" s="130"/>
      <c r="K688" s="132"/>
      <c r="L688" s="413"/>
      <c r="M688" s="413"/>
      <c r="N688" s="414"/>
      <c r="O688" s="415"/>
      <c r="P688" s="133"/>
      <c r="Q688" s="130"/>
      <c r="R688" s="132"/>
      <c r="S688" s="132"/>
      <c r="T688" s="130"/>
    </row>
    <row r="689" spans="1:20" s="131" customFormat="1" ht="14.1" customHeight="1" x14ac:dyDescent="0.25">
      <c r="A689" s="390">
        <f ca="1">IF($H689="UNIDADE CONSTRUTIVA",OFFSET(A689,-1,0)+1,LARGE(A$3:A688,1))</f>
        <v>0</v>
      </c>
      <c r="B689" s="390">
        <f t="shared" ca="1" si="52"/>
        <v>3</v>
      </c>
      <c r="C689" s="390">
        <f t="shared" ca="1" si="53"/>
        <v>1</v>
      </c>
      <c r="D689" s="391">
        <f t="shared" ca="1" si="54"/>
        <v>2</v>
      </c>
      <c r="E689" s="391">
        <f t="shared" ca="1" si="55"/>
        <v>11</v>
      </c>
      <c r="F689" s="125"/>
      <c r="J689" s="130"/>
      <c r="K689" s="132"/>
      <c r="L689" s="413"/>
      <c r="M689" s="413"/>
      <c r="N689" s="414"/>
      <c r="O689" s="415"/>
      <c r="P689" s="133"/>
      <c r="Q689" s="130"/>
      <c r="R689" s="132"/>
      <c r="S689" s="132"/>
      <c r="T689" s="130"/>
    </row>
    <row r="690" spans="1:20" s="131" customFormat="1" ht="14.1" customHeight="1" x14ac:dyDescent="0.25">
      <c r="A690" s="390">
        <f ca="1">IF($H690="UNIDADE CONSTRUTIVA",OFFSET(A690,-1,0)+1,LARGE(A$3:A689,1))</f>
        <v>0</v>
      </c>
      <c r="B690" s="390">
        <f t="shared" ca="1" si="52"/>
        <v>3</v>
      </c>
      <c r="C690" s="390">
        <f t="shared" ca="1" si="53"/>
        <v>1</v>
      </c>
      <c r="D690" s="391">
        <f t="shared" ca="1" si="54"/>
        <v>2</v>
      </c>
      <c r="E690" s="391">
        <f t="shared" ca="1" si="55"/>
        <v>11</v>
      </c>
      <c r="F690" s="125"/>
      <c r="J690" s="130"/>
      <c r="K690" s="132"/>
      <c r="L690" s="413"/>
      <c r="M690" s="413"/>
      <c r="N690" s="414"/>
      <c r="O690" s="415"/>
      <c r="P690" s="133"/>
      <c r="Q690" s="130"/>
      <c r="R690" s="132"/>
      <c r="S690" s="132"/>
      <c r="T690" s="130"/>
    </row>
    <row r="691" spans="1:20" s="131" customFormat="1" ht="14.1" customHeight="1" x14ac:dyDescent="0.25">
      <c r="A691" s="390">
        <f ca="1">IF($H691="UNIDADE CONSTRUTIVA",OFFSET(A691,-1,0)+1,LARGE(A$3:A690,1))</f>
        <v>0</v>
      </c>
      <c r="B691" s="390">
        <f t="shared" ca="1" si="52"/>
        <v>3</v>
      </c>
      <c r="C691" s="390">
        <f t="shared" ca="1" si="53"/>
        <v>1</v>
      </c>
      <c r="D691" s="391">
        <f t="shared" ca="1" si="54"/>
        <v>2</v>
      </c>
      <c r="E691" s="391">
        <f t="shared" ca="1" si="55"/>
        <v>11</v>
      </c>
      <c r="F691" s="125"/>
      <c r="J691" s="130"/>
      <c r="K691" s="132"/>
      <c r="L691" s="413"/>
      <c r="M691" s="413"/>
      <c r="N691" s="414"/>
      <c r="O691" s="415"/>
      <c r="P691" s="133"/>
      <c r="Q691" s="130"/>
      <c r="R691" s="132"/>
      <c r="S691" s="132"/>
      <c r="T691" s="130"/>
    </row>
    <row r="692" spans="1:20" s="131" customFormat="1" ht="14.1" customHeight="1" x14ac:dyDescent="0.25">
      <c r="A692" s="390">
        <f ca="1">IF($H692="UNIDADE CONSTRUTIVA",OFFSET(A692,-1,0)+1,LARGE(A$3:A691,1))</f>
        <v>0</v>
      </c>
      <c r="B692" s="390">
        <f t="shared" ca="1" si="52"/>
        <v>3</v>
      </c>
      <c r="C692" s="390">
        <f t="shared" ca="1" si="53"/>
        <v>1</v>
      </c>
      <c r="D692" s="391">
        <f t="shared" ca="1" si="54"/>
        <v>2</v>
      </c>
      <c r="E692" s="391">
        <f t="shared" ca="1" si="55"/>
        <v>11</v>
      </c>
      <c r="F692" s="125"/>
      <c r="J692" s="130"/>
      <c r="K692" s="132"/>
      <c r="L692" s="413"/>
      <c r="M692" s="413"/>
      <c r="N692" s="414"/>
      <c r="O692" s="415"/>
      <c r="P692" s="133"/>
      <c r="Q692" s="130"/>
      <c r="R692" s="132"/>
      <c r="S692" s="132"/>
      <c r="T692" s="130"/>
    </row>
    <row r="693" spans="1:20" s="131" customFormat="1" ht="14.1" customHeight="1" x14ac:dyDescent="0.25">
      <c r="A693" s="390">
        <f ca="1">IF($H693="UNIDADE CONSTRUTIVA",OFFSET(A693,-1,0)+1,LARGE(A$3:A692,1))</f>
        <v>0</v>
      </c>
      <c r="B693" s="390">
        <f t="shared" ca="1" si="52"/>
        <v>3</v>
      </c>
      <c r="C693" s="390">
        <f t="shared" ca="1" si="53"/>
        <v>1</v>
      </c>
      <c r="D693" s="391">
        <f t="shared" ca="1" si="54"/>
        <v>2</v>
      </c>
      <c r="E693" s="391">
        <f t="shared" ca="1" si="55"/>
        <v>11</v>
      </c>
      <c r="F693" s="125"/>
      <c r="J693" s="130"/>
      <c r="K693" s="132"/>
      <c r="L693" s="413"/>
      <c r="M693" s="413"/>
      <c r="N693" s="414"/>
      <c r="O693" s="415"/>
      <c r="P693" s="133"/>
      <c r="Q693" s="130"/>
      <c r="R693" s="132"/>
      <c r="S693" s="132"/>
      <c r="T693" s="130"/>
    </row>
    <row r="694" spans="1:20" s="131" customFormat="1" ht="14.1" customHeight="1" x14ac:dyDescent="0.25">
      <c r="A694" s="390">
        <f ca="1">IF($H694="UNIDADE CONSTRUTIVA",OFFSET(A694,-1,0)+1,LARGE(A$3:A693,1))</f>
        <v>0</v>
      </c>
      <c r="B694" s="390">
        <f t="shared" ca="1" si="52"/>
        <v>3</v>
      </c>
      <c r="C694" s="390">
        <f t="shared" ca="1" si="53"/>
        <v>1</v>
      </c>
      <c r="D694" s="391">
        <f t="shared" ca="1" si="54"/>
        <v>2</v>
      </c>
      <c r="E694" s="391">
        <f t="shared" ca="1" si="55"/>
        <v>11</v>
      </c>
      <c r="F694" s="125"/>
      <c r="J694" s="130"/>
      <c r="K694" s="132"/>
      <c r="L694" s="413"/>
      <c r="M694" s="413"/>
      <c r="N694" s="414"/>
      <c r="O694" s="415"/>
      <c r="P694" s="133"/>
      <c r="Q694" s="130"/>
      <c r="R694" s="132"/>
      <c r="S694" s="132"/>
      <c r="T694" s="130"/>
    </row>
    <row r="695" spans="1:20" s="131" customFormat="1" ht="14.1" customHeight="1" x14ac:dyDescent="0.25">
      <c r="A695" s="390">
        <f ca="1">IF($H695="UNIDADE CONSTRUTIVA",OFFSET(A695,-1,0)+1,LARGE(A$3:A694,1))</f>
        <v>0</v>
      </c>
      <c r="B695" s="390">
        <f t="shared" ca="1" si="52"/>
        <v>3</v>
      </c>
      <c r="C695" s="390">
        <f t="shared" ca="1" si="53"/>
        <v>1</v>
      </c>
      <c r="D695" s="391">
        <f t="shared" ca="1" si="54"/>
        <v>2</v>
      </c>
      <c r="E695" s="391">
        <f t="shared" ca="1" si="55"/>
        <v>11</v>
      </c>
      <c r="F695" s="125"/>
      <c r="J695" s="130"/>
      <c r="K695" s="132"/>
      <c r="L695" s="413"/>
      <c r="M695" s="413"/>
      <c r="N695" s="414"/>
      <c r="O695" s="415"/>
      <c r="P695" s="133"/>
      <c r="Q695" s="130"/>
      <c r="R695" s="132"/>
      <c r="S695" s="132"/>
      <c r="T695" s="130"/>
    </row>
    <row r="696" spans="1:20" s="131" customFormat="1" ht="14.1" customHeight="1" x14ac:dyDescent="0.25">
      <c r="A696" s="390">
        <f ca="1">IF($H696="UNIDADE CONSTRUTIVA",OFFSET(A696,-1,0)+1,LARGE(A$3:A695,1))</f>
        <v>0</v>
      </c>
      <c r="B696" s="390">
        <f t="shared" ca="1" si="52"/>
        <v>3</v>
      </c>
      <c r="C696" s="390">
        <f t="shared" ca="1" si="53"/>
        <v>1</v>
      </c>
      <c r="D696" s="391">
        <f t="shared" ca="1" si="54"/>
        <v>2</v>
      </c>
      <c r="E696" s="391">
        <f t="shared" ca="1" si="55"/>
        <v>11</v>
      </c>
      <c r="F696" s="125"/>
      <c r="J696" s="130"/>
      <c r="K696" s="132"/>
      <c r="L696" s="413"/>
      <c r="M696" s="413"/>
      <c r="N696" s="414"/>
      <c r="O696" s="415"/>
      <c r="P696" s="133"/>
      <c r="Q696" s="130"/>
      <c r="R696" s="132"/>
      <c r="S696" s="132"/>
      <c r="T696" s="130"/>
    </row>
    <row r="697" spans="1:20" s="131" customFormat="1" ht="14.1" customHeight="1" x14ac:dyDescent="0.25">
      <c r="A697" s="390">
        <f ca="1">IF($H697="UNIDADE CONSTRUTIVA",OFFSET(A697,-1,0)+1,LARGE(A$3:A696,1))</f>
        <v>0</v>
      </c>
      <c r="B697" s="390">
        <f t="shared" ca="1" si="52"/>
        <v>3</v>
      </c>
      <c r="C697" s="390">
        <f t="shared" ca="1" si="53"/>
        <v>1</v>
      </c>
      <c r="D697" s="391">
        <f t="shared" ca="1" si="54"/>
        <v>2</v>
      </c>
      <c r="E697" s="391">
        <f t="shared" ca="1" si="55"/>
        <v>11</v>
      </c>
      <c r="F697" s="130"/>
      <c r="J697" s="130"/>
      <c r="K697" s="132"/>
      <c r="L697" s="413"/>
      <c r="M697" s="413"/>
      <c r="N697" s="414"/>
      <c r="O697" s="415"/>
      <c r="P697" s="133"/>
      <c r="Q697" s="130"/>
      <c r="R697" s="132"/>
      <c r="S697" s="132"/>
      <c r="T697" s="130"/>
    </row>
    <row r="698" spans="1:20" s="131" customFormat="1" ht="14.1" customHeight="1" x14ac:dyDescent="0.25">
      <c r="A698" s="390">
        <f ca="1">IF($H698="UNIDADE CONSTRUTIVA",OFFSET(A698,-1,0)+1,LARGE(A$3:A697,1))</f>
        <v>0</v>
      </c>
      <c r="B698" s="390">
        <f t="shared" ca="1" si="52"/>
        <v>3</v>
      </c>
      <c r="C698" s="390">
        <f t="shared" ca="1" si="53"/>
        <v>1</v>
      </c>
      <c r="D698" s="391">
        <f t="shared" ca="1" si="54"/>
        <v>2</v>
      </c>
      <c r="E698" s="391">
        <f t="shared" ca="1" si="55"/>
        <v>11</v>
      </c>
      <c r="F698" s="130"/>
      <c r="J698" s="130"/>
      <c r="K698" s="132"/>
      <c r="L698" s="413"/>
      <c r="M698" s="413"/>
      <c r="N698" s="414"/>
      <c r="O698" s="415"/>
      <c r="P698" s="133"/>
      <c r="Q698" s="130"/>
      <c r="R698" s="132"/>
      <c r="S698" s="132"/>
      <c r="T698" s="130"/>
    </row>
    <row r="699" spans="1:20" s="131" customFormat="1" ht="14.1" customHeight="1" x14ac:dyDescent="0.25">
      <c r="A699" s="390">
        <f ca="1">IF($H699="UNIDADE CONSTRUTIVA",OFFSET(A699,-1,0)+1,LARGE(A$3:A698,1))</f>
        <v>0</v>
      </c>
      <c r="B699" s="390">
        <f t="shared" ca="1" si="52"/>
        <v>3</v>
      </c>
      <c r="C699" s="390">
        <f t="shared" ca="1" si="53"/>
        <v>1</v>
      </c>
      <c r="D699" s="391">
        <f t="shared" ca="1" si="54"/>
        <v>2</v>
      </c>
      <c r="E699" s="391">
        <f t="shared" ca="1" si="55"/>
        <v>11</v>
      </c>
      <c r="F699" s="130"/>
      <c r="J699" s="130"/>
      <c r="K699" s="132"/>
      <c r="L699" s="413"/>
      <c r="M699" s="413"/>
      <c r="N699" s="414"/>
      <c r="O699" s="415"/>
      <c r="P699" s="133"/>
      <c r="Q699" s="130"/>
      <c r="R699" s="132"/>
      <c r="S699" s="132"/>
      <c r="T699" s="130"/>
    </row>
    <row r="700" spans="1:20" s="131" customFormat="1" ht="14.1" customHeight="1" x14ac:dyDescent="0.25">
      <c r="A700" s="390">
        <f ca="1">IF($H700="UNIDADE CONSTRUTIVA",OFFSET(A700,-1,0)+1,LARGE(A$3:A699,1))</f>
        <v>0</v>
      </c>
      <c r="B700" s="390">
        <f t="shared" ca="1" si="52"/>
        <v>3</v>
      </c>
      <c r="C700" s="390">
        <f t="shared" ca="1" si="53"/>
        <v>1</v>
      </c>
      <c r="D700" s="391">
        <f t="shared" ca="1" si="54"/>
        <v>2</v>
      </c>
      <c r="E700" s="391">
        <f t="shared" ca="1" si="55"/>
        <v>11</v>
      </c>
      <c r="F700" s="130"/>
      <c r="J700" s="130"/>
      <c r="K700" s="132"/>
      <c r="L700" s="413"/>
      <c r="M700" s="413"/>
      <c r="N700" s="414"/>
      <c r="O700" s="415"/>
      <c r="P700" s="133"/>
      <c r="Q700" s="130"/>
      <c r="R700" s="132"/>
      <c r="S700" s="132"/>
      <c r="T700" s="130"/>
    </row>
    <row r="701" spans="1:20" s="131" customFormat="1" ht="14.1" customHeight="1" x14ac:dyDescent="0.25">
      <c r="A701" s="390">
        <f ca="1">IF($H701="UNIDADE CONSTRUTIVA",OFFSET(A701,-1,0)+1,LARGE(A$3:A700,1))</f>
        <v>0</v>
      </c>
      <c r="B701" s="390">
        <f t="shared" ca="1" si="52"/>
        <v>3</v>
      </c>
      <c r="C701" s="390">
        <f t="shared" ca="1" si="53"/>
        <v>1</v>
      </c>
      <c r="D701" s="391">
        <f t="shared" ca="1" si="54"/>
        <v>2</v>
      </c>
      <c r="E701" s="391">
        <f t="shared" ca="1" si="55"/>
        <v>11</v>
      </c>
      <c r="F701" s="130"/>
      <c r="J701" s="130"/>
      <c r="K701" s="132"/>
      <c r="L701" s="413"/>
      <c r="M701" s="413"/>
      <c r="N701" s="414"/>
      <c r="O701" s="415"/>
      <c r="P701" s="133"/>
      <c r="Q701" s="130"/>
      <c r="R701" s="132"/>
      <c r="S701" s="132"/>
      <c r="T701" s="130"/>
    </row>
    <row r="702" spans="1:20" s="131" customFormat="1" ht="14.1" customHeight="1" x14ac:dyDescent="0.25">
      <c r="A702" s="390">
        <f ca="1">IF($H702="UNIDADE CONSTRUTIVA",OFFSET(A702,-1,0)+1,LARGE(A$3:A701,1))</f>
        <v>0</v>
      </c>
      <c r="B702" s="390">
        <f t="shared" ca="1" si="52"/>
        <v>3</v>
      </c>
      <c r="C702" s="390">
        <f t="shared" ca="1" si="53"/>
        <v>1</v>
      </c>
      <c r="D702" s="391">
        <f t="shared" ca="1" si="54"/>
        <v>2</v>
      </c>
      <c r="E702" s="391">
        <f t="shared" ca="1" si="55"/>
        <v>11</v>
      </c>
      <c r="F702" s="130"/>
      <c r="J702" s="130"/>
      <c r="K702" s="132"/>
      <c r="L702" s="413"/>
      <c r="M702" s="413"/>
      <c r="N702" s="414"/>
      <c r="O702" s="415"/>
      <c r="P702" s="133"/>
      <c r="Q702" s="130"/>
      <c r="R702" s="132"/>
      <c r="S702" s="132"/>
      <c r="T702" s="130"/>
    </row>
    <row r="703" spans="1:20" s="131" customFormat="1" ht="14.1" customHeight="1" x14ac:dyDescent="0.25">
      <c r="A703" s="390">
        <f ca="1">IF($H703="UNIDADE CONSTRUTIVA",OFFSET(A703,-1,0)+1,LARGE(A$3:A702,1))</f>
        <v>0</v>
      </c>
      <c r="B703" s="390">
        <f t="shared" ca="1" si="52"/>
        <v>3</v>
      </c>
      <c r="C703" s="390">
        <f t="shared" ca="1" si="53"/>
        <v>1</v>
      </c>
      <c r="D703" s="391">
        <f t="shared" ca="1" si="54"/>
        <v>2</v>
      </c>
      <c r="E703" s="391">
        <f t="shared" ca="1" si="55"/>
        <v>11</v>
      </c>
      <c r="F703" s="130"/>
      <c r="J703" s="130"/>
      <c r="K703" s="132"/>
      <c r="L703" s="413"/>
      <c r="M703" s="413"/>
      <c r="N703" s="414"/>
      <c r="O703" s="415"/>
      <c r="P703" s="133"/>
      <c r="Q703" s="130"/>
      <c r="R703" s="132"/>
      <c r="S703" s="132"/>
      <c r="T703" s="130"/>
    </row>
    <row r="704" spans="1:20" s="131" customFormat="1" ht="14.1" customHeight="1" x14ac:dyDescent="0.25">
      <c r="A704" s="390">
        <f ca="1">IF($H704="UNIDADE CONSTRUTIVA",OFFSET(A704,-1,0)+1,LARGE(A$3:A703,1))</f>
        <v>0</v>
      </c>
      <c r="B704" s="390">
        <f t="shared" ca="1" si="52"/>
        <v>3</v>
      </c>
      <c r="C704" s="390">
        <f t="shared" ca="1" si="53"/>
        <v>1</v>
      </c>
      <c r="D704" s="391">
        <f t="shared" ca="1" si="54"/>
        <v>2</v>
      </c>
      <c r="E704" s="391">
        <f t="shared" ca="1" si="55"/>
        <v>11</v>
      </c>
      <c r="F704" s="130"/>
      <c r="J704" s="130"/>
      <c r="K704" s="132"/>
      <c r="L704" s="413"/>
      <c r="M704" s="413"/>
      <c r="N704" s="414"/>
      <c r="O704" s="415"/>
      <c r="P704" s="133"/>
      <c r="Q704" s="130"/>
      <c r="R704" s="132"/>
      <c r="S704" s="132"/>
      <c r="T704" s="130"/>
    </row>
    <row r="705" spans="1:20" s="131" customFormat="1" ht="14.1" customHeight="1" x14ac:dyDescent="0.25">
      <c r="A705" s="390">
        <f ca="1">IF($H705="UNIDADE CONSTRUTIVA",OFFSET(A705,-1,0)+1,LARGE(A$3:A704,1))</f>
        <v>0</v>
      </c>
      <c r="B705" s="390">
        <f t="shared" ca="1" si="52"/>
        <v>3</v>
      </c>
      <c r="C705" s="390">
        <f t="shared" ca="1" si="53"/>
        <v>1</v>
      </c>
      <c r="D705" s="391">
        <f t="shared" ca="1" si="54"/>
        <v>2</v>
      </c>
      <c r="E705" s="391">
        <f t="shared" ca="1" si="55"/>
        <v>11</v>
      </c>
      <c r="F705" s="130"/>
      <c r="J705" s="130"/>
      <c r="K705" s="132"/>
      <c r="L705" s="413"/>
      <c r="M705" s="413"/>
      <c r="N705" s="414"/>
      <c r="O705" s="415"/>
      <c r="P705" s="133"/>
      <c r="Q705" s="130"/>
      <c r="R705" s="132"/>
      <c r="S705" s="132"/>
      <c r="T705" s="130"/>
    </row>
    <row r="706" spans="1:20" s="131" customFormat="1" ht="14.1" customHeight="1" x14ac:dyDescent="0.25">
      <c r="A706" s="390">
        <f ca="1">IF($H706="UNIDADE CONSTRUTIVA",OFFSET(A706,-1,0)+1,LARGE(A$3:A705,1))</f>
        <v>0</v>
      </c>
      <c r="B706" s="390">
        <f t="shared" ca="1" si="52"/>
        <v>3</v>
      </c>
      <c r="C706" s="390">
        <f t="shared" ca="1" si="53"/>
        <v>1</v>
      </c>
      <c r="D706" s="391">
        <f t="shared" ca="1" si="54"/>
        <v>2</v>
      </c>
      <c r="E706" s="391">
        <f t="shared" ca="1" si="55"/>
        <v>11</v>
      </c>
      <c r="F706" s="130"/>
      <c r="J706" s="130"/>
      <c r="K706" s="132"/>
      <c r="L706" s="413"/>
      <c r="M706" s="413"/>
      <c r="N706" s="414"/>
      <c r="O706" s="415"/>
      <c r="P706" s="133"/>
      <c r="Q706" s="130"/>
      <c r="R706" s="132"/>
      <c r="S706" s="132"/>
      <c r="T706" s="130"/>
    </row>
    <row r="707" spans="1:20" s="131" customFormat="1" ht="14.1" customHeight="1" x14ac:dyDescent="0.25">
      <c r="A707" s="390">
        <f ca="1">IF($H707="UNIDADE CONSTRUTIVA",OFFSET(A707,-1,0)+1,LARGE(A$3:A706,1))</f>
        <v>0</v>
      </c>
      <c r="B707" s="390">
        <f t="shared" ca="1" si="52"/>
        <v>3</v>
      </c>
      <c r="C707" s="390">
        <f t="shared" ca="1" si="53"/>
        <v>1</v>
      </c>
      <c r="D707" s="391">
        <f t="shared" ca="1" si="54"/>
        <v>2</v>
      </c>
      <c r="E707" s="391">
        <f t="shared" ca="1" si="55"/>
        <v>11</v>
      </c>
      <c r="F707" s="130"/>
      <c r="J707" s="130"/>
      <c r="K707" s="132"/>
      <c r="L707" s="413"/>
      <c r="M707" s="413"/>
      <c r="N707" s="414"/>
      <c r="O707" s="415"/>
      <c r="P707" s="133"/>
      <c r="Q707" s="130"/>
      <c r="R707" s="132"/>
      <c r="S707" s="132"/>
      <c r="T707" s="130"/>
    </row>
    <row r="708" spans="1:20" s="131" customFormat="1" ht="14.1" customHeight="1" x14ac:dyDescent="0.25">
      <c r="A708" s="390">
        <f ca="1">IF($H708="UNIDADE CONSTRUTIVA",OFFSET(A708,-1,0)+1,LARGE(A$3:A707,1))</f>
        <v>0</v>
      </c>
      <c r="B708" s="390">
        <f t="shared" ca="1" si="52"/>
        <v>3</v>
      </c>
      <c r="C708" s="390">
        <f t="shared" ca="1" si="53"/>
        <v>1</v>
      </c>
      <c r="D708" s="391">
        <f t="shared" ca="1" si="54"/>
        <v>2</v>
      </c>
      <c r="E708" s="391">
        <f t="shared" ca="1" si="55"/>
        <v>11</v>
      </c>
      <c r="F708" s="130"/>
      <c r="J708" s="130"/>
      <c r="K708" s="132"/>
      <c r="L708" s="413"/>
      <c r="M708" s="413"/>
      <c r="N708" s="414"/>
      <c r="O708" s="415"/>
      <c r="P708" s="133"/>
      <c r="Q708" s="130"/>
      <c r="R708" s="132"/>
      <c r="S708" s="132"/>
      <c r="T708" s="130"/>
    </row>
    <row r="709" spans="1:20" ht="14.1" customHeight="1" x14ac:dyDescent="0.25">
      <c r="A709" s="390">
        <f ca="1">IF($H709="UNIDADE CONSTRUTIVA",OFFSET(A709,-1,0)+1,LARGE(A$3:A708,1))</f>
        <v>0</v>
      </c>
      <c r="B709" s="390">
        <f t="shared" ca="1" si="52"/>
        <v>3</v>
      </c>
      <c r="C709" s="390">
        <f t="shared" ca="1" si="53"/>
        <v>1</v>
      </c>
      <c r="D709" s="391">
        <f t="shared" ca="1" si="54"/>
        <v>2</v>
      </c>
      <c r="E709" s="391">
        <f t="shared" ca="1" si="55"/>
        <v>11</v>
      </c>
    </row>
    <row r="710" spans="1:20" ht="14.1" customHeight="1" x14ac:dyDescent="0.25">
      <c r="A710" s="390">
        <f ca="1">IF($H710="UNIDADE CONSTRUTIVA",OFFSET(A710,-1,0)+1,LARGE(A$3:A709,1))</f>
        <v>0</v>
      </c>
      <c r="B710" s="390">
        <f t="shared" ca="1" si="52"/>
        <v>3</v>
      </c>
      <c r="C710" s="390">
        <f t="shared" ca="1" si="53"/>
        <v>1</v>
      </c>
      <c r="D710" s="391">
        <f t="shared" ca="1" si="54"/>
        <v>2</v>
      </c>
      <c r="E710" s="391">
        <f t="shared" ca="1" si="55"/>
        <v>11</v>
      </c>
    </row>
    <row r="711" spans="1:20" ht="14.1" customHeight="1" x14ac:dyDescent="0.25">
      <c r="A711" s="390">
        <f ca="1">IF($H711="UNIDADE CONSTRUTIVA",OFFSET(A711,-1,0)+1,LARGE(A$3:A710,1))</f>
        <v>0</v>
      </c>
      <c r="B711" s="390">
        <f t="shared" ca="1" si="52"/>
        <v>3</v>
      </c>
      <c r="C711" s="390">
        <f t="shared" ca="1" si="53"/>
        <v>1</v>
      </c>
      <c r="D711" s="391">
        <f t="shared" ca="1" si="54"/>
        <v>2</v>
      </c>
      <c r="E711" s="391">
        <f t="shared" ca="1" si="55"/>
        <v>11</v>
      </c>
    </row>
    <row r="712" spans="1:20" ht="14.1" customHeight="1" x14ac:dyDescent="0.25">
      <c r="A712" s="390">
        <f ca="1">IF($H712="UNIDADE CONSTRUTIVA",OFFSET(A712,-1,0)+1,LARGE(A$3:A711,1))</f>
        <v>0</v>
      </c>
      <c r="B712" s="390">
        <f t="shared" ca="1" si="52"/>
        <v>3</v>
      </c>
      <c r="C712" s="390">
        <f t="shared" ca="1" si="53"/>
        <v>1</v>
      </c>
      <c r="D712" s="391">
        <f t="shared" ca="1" si="54"/>
        <v>2</v>
      </c>
      <c r="E712" s="391">
        <f t="shared" ca="1" si="55"/>
        <v>11</v>
      </c>
    </row>
    <row r="713" spans="1:20" ht="14.1" customHeight="1" x14ac:dyDescent="0.25">
      <c r="A713" s="390">
        <f ca="1">IF($H713="UNIDADE CONSTRUTIVA",OFFSET(A713,-1,0)+1,LARGE(A$3:A712,1))</f>
        <v>0</v>
      </c>
      <c r="B713" s="390">
        <f t="shared" ref="B713:B754" ca="1" si="56">IF(H713="UNIDADE CONSTRUTIVA",0,IF(H713="CÉLULA CONSTRUTIVA",OFFSET(B713,-1,0)+1,OFFSET(B713,-1,0)))</f>
        <v>3</v>
      </c>
      <c r="C713" s="390">
        <f t="shared" ref="C713:C754" ca="1" si="57">IF(H713="CÉLULA CONSTRUTIVA",0,IF(H713="ETAPA",OFFSET(C713,-1,0)+1,OFFSET(C713,-1,0)))</f>
        <v>1</v>
      </c>
      <c r="D713" s="391">
        <f t="shared" ref="D713:D754" ca="1" si="58">IF(H713="ETAPA",0,IF(H713="SUBETAPA",OFFSET(D713,-1,0)+1,OFFSET(D713,-1,0)))</f>
        <v>2</v>
      </c>
      <c r="E713" s="391">
        <f t="shared" ref="E713:E754" ca="1" si="59">IF(H713="Subetapa",0,IF(H713="serviço",OFFSET(E713,-1,0)+1,OFFSET(E713,-1,0)))</f>
        <v>11</v>
      </c>
    </row>
    <row r="714" spans="1:20" ht="14.1" customHeight="1" x14ac:dyDescent="0.25">
      <c r="A714" s="390">
        <f ca="1">IF($H714="UNIDADE CONSTRUTIVA",OFFSET(A714,-1,0)+1,LARGE(A$3:A713,1))</f>
        <v>0</v>
      </c>
      <c r="B714" s="390">
        <f t="shared" ca="1" si="56"/>
        <v>3</v>
      </c>
      <c r="C714" s="390">
        <f t="shared" ca="1" si="57"/>
        <v>1</v>
      </c>
      <c r="D714" s="391">
        <f t="shared" ca="1" si="58"/>
        <v>2</v>
      </c>
      <c r="E714" s="391">
        <f t="shared" ca="1" si="59"/>
        <v>11</v>
      </c>
    </row>
    <row r="715" spans="1:20" ht="14.1" customHeight="1" x14ac:dyDescent="0.25">
      <c r="A715" s="390">
        <f ca="1">IF($H715="UNIDADE CONSTRUTIVA",OFFSET(A715,-1,0)+1,LARGE(A$3:A714,1))</f>
        <v>0</v>
      </c>
      <c r="B715" s="390">
        <f t="shared" ca="1" si="56"/>
        <v>3</v>
      </c>
      <c r="C715" s="390">
        <f t="shared" ca="1" si="57"/>
        <v>1</v>
      </c>
      <c r="D715" s="391">
        <f t="shared" ca="1" si="58"/>
        <v>2</v>
      </c>
      <c r="E715" s="391">
        <f t="shared" ca="1" si="59"/>
        <v>11</v>
      </c>
    </row>
    <row r="716" spans="1:20" ht="14.1" customHeight="1" x14ac:dyDescent="0.25">
      <c r="A716" s="390">
        <f ca="1">IF($H716="UNIDADE CONSTRUTIVA",OFFSET(A716,-1,0)+1,LARGE(A$3:A715,1))</f>
        <v>0</v>
      </c>
      <c r="B716" s="390">
        <f t="shared" ca="1" si="56"/>
        <v>3</v>
      </c>
      <c r="C716" s="390">
        <f t="shared" ca="1" si="57"/>
        <v>1</v>
      </c>
      <c r="D716" s="391">
        <f t="shared" ca="1" si="58"/>
        <v>2</v>
      </c>
      <c r="E716" s="391">
        <f t="shared" ca="1" si="59"/>
        <v>11</v>
      </c>
    </row>
    <row r="717" spans="1:20" ht="14.1" customHeight="1" x14ac:dyDescent="0.25">
      <c r="A717" s="390">
        <f ca="1">IF($H717="UNIDADE CONSTRUTIVA",OFFSET(A717,-1,0)+1,LARGE(A$3:A716,1))</f>
        <v>0</v>
      </c>
      <c r="B717" s="390">
        <f t="shared" ca="1" si="56"/>
        <v>3</v>
      </c>
      <c r="C717" s="390">
        <f t="shared" ca="1" si="57"/>
        <v>1</v>
      </c>
      <c r="D717" s="391">
        <f t="shared" ca="1" si="58"/>
        <v>2</v>
      </c>
      <c r="E717" s="391">
        <f t="shared" ca="1" si="59"/>
        <v>11</v>
      </c>
    </row>
    <row r="718" spans="1:20" ht="14.1" customHeight="1" x14ac:dyDescent="0.25">
      <c r="A718" s="390">
        <f ca="1">IF($H718="UNIDADE CONSTRUTIVA",OFFSET(A718,-1,0)+1,LARGE(A$3:A717,1))</f>
        <v>0</v>
      </c>
      <c r="B718" s="390">
        <f t="shared" ca="1" si="56"/>
        <v>3</v>
      </c>
      <c r="C718" s="390">
        <f t="shared" ca="1" si="57"/>
        <v>1</v>
      </c>
      <c r="D718" s="391">
        <f t="shared" ca="1" si="58"/>
        <v>2</v>
      </c>
      <c r="E718" s="391">
        <f t="shared" ca="1" si="59"/>
        <v>11</v>
      </c>
    </row>
    <row r="719" spans="1:20" ht="14.1" customHeight="1" x14ac:dyDescent="0.25">
      <c r="A719" s="390">
        <f ca="1">IF($H719="UNIDADE CONSTRUTIVA",OFFSET(A719,-1,0)+1,LARGE(A$3:A718,1))</f>
        <v>0</v>
      </c>
      <c r="B719" s="390">
        <f t="shared" ca="1" si="56"/>
        <v>3</v>
      </c>
      <c r="C719" s="390">
        <f t="shared" ca="1" si="57"/>
        <v>1</v>
      </c>
      <c r="D719" s="391">
        <f t="shared" ca="1" si="58"/>
        <v>2</v>
      </c>
      <c r="E719" s="391">
        <f t="shared" ca="1" si="59"/>
        <v>11</v>
      </c>
    </row>
    <row r="720" spans="1:20" ht="14.1" customHeight="1" x14ac:dyDescent="0.25">
      <c r="A720" s="390">
        <f ca="1">IF($H720="UNIDADE CONSTRUTIVA",OFFSET(A720,-1,0)+1,LARGE(A$3:A719,1))</f>
        <v>0</v>
      </c>
      <c r="B720" s="390">
        <f t="shared" ca="1" si="56"/>
        <v>3</v>
      </c>
      <c r="C720" s="390">
        <f t="shared" ca="1" si="57"/>
        <v>1</v>
      </c>
      <c r="D720" s="391">
        <f t="shared" ca="1" si="58"/>
        <v>2</v>
      </c>
      <c r="E720" s="391">
        <f t="shared" ca="1" si="59"/>
        <v>11</v>
      </c>
    </row>
    <row r="721" spans="1:5" ht="14.1" customHeight="1" x14ac:dyDescent="0.25">
      <c r="A721" s="390">
        <f ca="1">IF($H721="UNIDADE CONSTRUTIVA",OFFSET(A721,-1,0)+1,LARGE(A$3:A720,1))</f>
        <v>0</v>
      </c>
      <c r="B721" s="390">
        <f t="shared" ca="1" si="56"/>
        <v>3</v>
      </c>
      <c r="C721" s="390">
        <f t="shared" ca="1" si="57"/>
        <v>1</v>
      </c>
      <c r="D721" s="391">
        <f t="shared" ca="1" si="58"/>
        <v>2</v>
      </c>
      <c r="E721" s="391">
        <f t="shared" ca="1" si="59"/>
        <v>11</v>
      </c>
    </row>
    <row r="722" spans="1:5" ht="14.1" customHeight="1" x14ac:dyDescent="0.25">
      <c r="A722" s="390">
        <f ca="1">IF($H722="UNIDADE CONSTRUTIVA",OFFSET(A722,-1,0)+1,LARGE(A$3:A721,1))</f>
        <v>0</v>
      </c>
      <c r="B722" s="390">
        <f t="shared" ca="1" si="56"/>
        <v>3</v>
      </c>
      <c r="C722" s="390">
        <f t="shared" ca="1" si="57"/>
        <v>1</v>
      </c>
      <c r="D722" s="391">
        <f t="shared" ca="1" si="58"/>
        <v>2</v>
      </c>
      <c r="E722" s="391">
        <f t="shared" ca="1" si="59"/>
        <v>11</v>
      </c>
    </row>
    <row r="723" spans="1:5" ht="14.1" customHeight="1" x14ac:dyDescent="0.25">
      <c r="A723" s="390">
        <f ca="1">IF($H723="UNIDADE CONSTRUTIVA",OFFSET(A723,-1,0)+1,LARGE(A$3:A722,1))</f>
        <v>0</v>
      </c>
      <c r="B723" s="390">
        <f t="shared" ca="1" si="56"/>
        <v>3</v>
      </c>
      <c r="C723" s="390">
        <f t="shared" ca="1" si="57"/>
        <v>1</v>
      </c>
      <c r="D723" s="391">
        <f t="shared" ca="1" si="58"/>
        <v>2</v>
      </c>
      <c r="E723" s="391">
        <f t="shared" ca="1" si="59"/>
        <v>11</v>
      </c>
    </row>
    <row r="724" spans="1:5" ht="14.1" customHeight="1" x14ac:dyDescent="0.25">
      <c r="A724" s="390">
        <f ca="1">IF($H724="UNIDADE CONSTRUTIVA",OFFSET(A724,-1,0)+1,LARGE(A$3:A723,1))</f>
        <v>0</v>
      </c>
      <c r="B724" s="390">
        <f t="shared" ca="1" si="56"/>
        <v>3</v>
      </c>
      <c r="C724" s="390">
        <f t="shared" ca="1" si="57"/>
        <v>1</v>
      </c>
      <c r="D724" s="391">
        <f t="shared" ca="1" si="58"/>
        <v>2</v>
      </c>
      <c r="E724" s="391">
        <f t="shared" ca="1" si="59"/>
        <v>11</v>
      </c>
    </row>
    <row r="725" spans="1:5" ht="14.1" customHeight="1" x14ac:dyDescent="0.25">
      <c r="A725" s="390">
        <f ca="1">IF($H725="UNIDADE CONSTRUTIVA",OFFSET(A725,-1,0)+1,LARGE(A$3:A724,1))</f>
        <v>0</v>
      </c>
      <c r="B725" s="390">
        <f t="shared" ca="1" si="56"/>
        <v>3</v>
      </c>
      <c r="C725" s="390">
        <f t="shared" ca="1" si="57"/>
        <v>1</v>
      </c>
      <c r="D725" s="391">
        <f t="shared" ca="1" si="58"/>
        <v>2</v>
      </c>
      <c r="E725" s="391">
        <f t="shared" ca="1" si="59"/>
        <v>11</v>
      </c>
    </row>
    <row r="726" spans="1:5" ht="14.1" customHeight="1" x14ac:dyDescent="0.25">
      <c r="A726" s="390">
        <f ca="1">IF($H726="UNIDADE CONSTRUTIVA",OFFSET(A726,-1,0)+1,LARGE(A$3:A725,1))</f>
        <v>0</v>
      </c>
      <c r="B726" s="390">
        <f t="shared" ca="1" si="56"/>
        <v>3</v>
      </c>
      <c r="C726" s="390">
        <f t="shared" ca="1" si="57"/>
        <v>1</v>
      </c>
      <c r="D726" s="391">
        <f t="shared" ca="1" si="58"/>
        <v>2</v>
      </c>
      <c r="E726" s="391">
        <f t="shared" ca="1" si="59"/>
        <v>11</v>
      </c>
    </row>
    <row r="727" spans="1:5" ht="14.1" customHeight="1" x14ac:dyDescent="0.25">
      <c r="A727" s="390">
        <f ca="1">IF($H727="UNIDADE CONSTRUTIVA",OFFSET(A727,-1,0)+1,LARGE(A$3:A726,1))</f>
        <v>0</v>
      </c>
      <c r="B727" s="390">
        <f t="shared" ca="1" si="56"/>
        <v>3</v>
      </c>
      <c r="C727" s="390">
        <f t="shared" ca="1" si="57"/>
        <v>1</v>
      </c>
      <c r="D727" s="391">
        <f t="shared" ca="1" si="58"/>
        <v>2</v>
      </c>
      <c r="E727" s="391">
        <f t="shared" ca="1" si="59"/>
        <v>11</v>
      </c>
    </row>
    <row r="728" spans="1:5" ht="14.1" customHeight="1" x14ac:dyDescent="0.25">
      <c r="A728" s="390">
        <f ca="1">IF($H728="UNIDADE CONSTRUTIVA",OFFSET(A728,-1,0)+1,LARGE(A$3:A727,1))</f>
        <v>0</v>
      </c>
      <c r="B728" s="390">
        <f t="shared" ca="1" si="56"/>
        <v>3</v>
      </c>
      <c r="C728" s="390">
        <f t="shared" ca="1" si="57"/>
        <v>1</v>
      </c>
      <c r="D728" s="391">
        <f t="shared" ca="1" si="58"/>
        <v>2</v>
      </c>
      <c r="E728" s="391">
        <f t="shared" ca="1" si="59"/>
        <v>11</v>
      </c>
    </row>
    <row r="729" spans="1:5" ht="14.1" customHeight="1" x14ac:dyDescent="0.25">
      <c r="A729" s="390">
        <f ca="1">IF($H729="UNIDADE CONSTRUTIVA",OFFSET(A729,-1,0)+1,LARGE(A$3:A728,1))</f>
        <v>0</v>
      </c>
      <c r="B729" s="390">
        <f t="shared" ca="1" si="56"/>
        <v>3</v>
      </c>
      <c r="C729" s="390">
        <f t="shared" ca="1" si="57"/>
        <v>1</v>
      </c>
      <c r="D729" s="391">
        <f t="shared" ca="1" si="58"/>
        <v>2</v>
      </c>
      <c r="E729" s="391">
        <f t="shared" ca="1" si="59"/>
        <v>11</v>
      </c>
    </row>
    <row r="730" spans="1:5" ht="14.1" customHeight="1" x14ac:dyDescent="0.25">
      <c r="A730" s="390">
        <f ca="1">IF($H730="UNIDADE CONSTRUTIVA",OFFSET(A730,-1,0)+1,LARGE(A$3:A729,1))</f>
        <v>0</v>
      </c>
      <c r="B730" s="390">
        <f t="shared" ca="1" si="56"/>
        <v>3</v>
      </c>
      <c r="C730" s="390">
        <f t="shared" ca="1" si="57"/>
        <v>1</v>
      </c>
      <c r="D730" s="391">
        <f t="shared" ca="1" si="58"/>
        <v>2</v>
      </c>
      <c r="E730" s="391">
        <f t="shared" ca="1" si="59"/>
        <v>11</v>
      </c>
    </row>
    <row r="731" spans="1:5" ht="14.1" customHeight="1" x14ac:dyDescent="0.25">
      <c r="A731" s="390">
        <f ca="1">IF($H731="UNIDADE CONSTRUTIVA",OFFSET(A731,-1,0)+1,LARGE(A$3:A730,1))</f>
        <v>0</v>
      </c>
      <c r="B731" s="390">
        <f t="shared" ca="1" si="56"/>
        <v>3</v>
      </c>
      <c r="C731" s="390">
        <f t="shared" ca="1" si="57"/>
        <v>1</v>
      </c>
      <c r="D731" s="391">
        <f t="shared" ca="1" si="58"/>
        <v>2</v>
      </c>
      <c r="E731" s="391">
        <f t="shared" ca="1" si="59"/>
        <v>11</v>
      </c>
    </row>
    <row r="732" spans="1:5" ht="14.1" customHeight="1" x14ac:dyDescent="0.25">
      <c r="A732" s="390">
        <f ca="1">IF($H732="UNIDADE CONSTRUTIVA",OFFSET(A732,-1,0)+1,LARGE(A$3:A731,1))</f>
        <v>0</v>
      </c>
      <c r="B732" s="390">
        <f t="shared" ca="1" si="56"/>
        <v>3</v>
      </c>
      <c r="C732" s="390">
        <f t="shared" ca="1" si="57"/>
        <v>1</v>
      </c>
      <c r="D732" s="391">
        <f t="shared" ca="1" si="58"/>
        <v>2</v>
      </c>
      <c r="E732" s="391">
        <f t="shared" ca="1" si="59"/>
        <v>11</v>
      </c>
    </row>
    <row r="733" spans="1:5" ht="14.1" customHeight="1" x14ac:dyDescent="0.25">
      <c r="A733" s="390">
        <f ca="1">IF($H733="UNIDADE CONSTRUTIVA",OFFSET(A733,-1,0)+1,LARGE(A$3:A732,1))</f>
        <v>0</v>
      </c>
      <c r="B733" s="390">
        <f t="shared" ca="1" si="56"/>
        <v>3</v>
      </c>
      <c r="C733" s="390">
        <f t="shared" ca="1" si="57"/>
        <v>1</v>
      </c>
      <c r="D733" s="391">
        <f t="shared" ca="1" si="58"/>
        <v>2</v>
      </c>
      <c r="E733" s="391">
        <f t="shared" ca="1" si="59"/>
        <v>11</v>
      </c>
    </row>
    <row r="734" spans="1:5" ht="14.1" customHeight="1" x14ac:dyDescent="0.25">
      <c r="A734" s="390">
        <f ca="1">IF($H734="UNIDADE CONSTRUTIVA",OFFSET(A734,-1,0)+1,LARGE(A$3:A733,1))</f>
        <v>0</v>
      </c>
      <c r="B734" s="390">
        <f t="shared" ca="1" si="56"/>
        <v>3</v>
      </c>
      <c r="C734" s="390">
        <f t="shared" ca="1" si="57"/>
        <v>1</v>
      </c>
      <c r="D734" s="391">
        <f t="shared" ca="1" si="58"/>
        <v>2</v>
      </c>
      <c r="E734" s="391">
        <f t="shared" ca="1" si="59"/>
        <v>11</v>
      </c>
    </row>
    <row r="735" spans="1:5" ht="14.1" customHeight="1" x14ac:dyDescent="0.25">
      <c r="A735" s="390">
        <f ca="1">IF($H735="UNIDADE CONSTRUTIVA",OFFSET(A735,-1,0)+1,LARGE(A$3:A734,1))</f>
        <v>0</v>
      </c>
      <c r="B735" s="390">
        <f t="shared" ca="1" si="56"/>
        <v>3</v>
      </c>
      <c r="C735" s="390">
        <f t="shared" ca="1" si="57"/>
        <v>1</v>
      </c>
      <c r="D735" s="391">
        <f t="shared" ca="1" si="58"/>
        <v>2</v>
      </c>
      <c r="E735" s="391">
        <f t="shared" ca="1" si="59"/>
        <v>11</v>
      </c>
    </row>
    <row r="736" spans="1:5" ht="14.1" customHeight="1" x14ac:dyDescent="0.25">
      <c r="A736" s="390">
        <f ca="1">IF($H736="UNIDADE CONSTRUTIVA",OFFSET(A736,-1,0)+1,LARGE(A$3:A735,1))</f>
        <v>0</v>
      </c>
      <c r="B736" s="390">
        <f t="shared" ca="1" si="56"/>
        <v>3</v>
      </c>
      <c r="C736" s="390">
        <f t="shared" ca="1" si="57"/>
        <v>1</v>
      </c>
      <c r="D736" s="391">
        <f t="shared" ca="1" si="58"/>
        <v>2</v>
      </c>
      <c r="E736" s="391">
        <f t="shared" ca="1" si="59"/>
        <v>11</v>
      </c>
    </row>
    <row r="737" spans="1:5" ht="14.1" customHeight="1" x14ac:dyDescent="0.25">
      <c r="A737" s="390">
        <f ca="1">IF($H737="UNIDADE CONSTRUTIVA",OFFSET(A737,-1,0)+1,LARGE(A$3:A736,1))</f>
        <v>0</v>
      </c>
      <c r="B737" s="390">
        <f t="shared" ca="1" si="56"/>
        <v>3</v>
      </c>
      <c r="C737" s="390">
        <f t="shared" ca="1" si="57"/>
        <v>1</v>
      </c>
      <c r="D737" s="391">
        <f t="shared" ca="1" si="58"/>
        <v>2</v>
      </c>
      <c r="E737" s="391">
        <f t="shared" ca="1" si="59"/>
        <v>11</v>
      </c>
    </row>
    <row r="738" spans="1:5" ht="14.1" customHeight="1" x14ac:dyDescent="0.25">
      <c r="A738" s="390">
        <f ca="1">IF($H738="UNIDADE CONSTRUTIVA",OFFSET(A738,-1,0)+1,LARGE(A$3:A737,1))</f>
        <v>0</v>
      </c>
      <c r="B738" s="390">
        <f t="shared" ca="1" si="56"/>
        <v>3</v>
      </c>
      <c r="C738" s="390">
        <f t="shared" ca="1" si="57"/>
        <v>1</v>
      </c>
      <c r="D738" s="391">
        <f t="shared" ca="1" si="58"/>
        <v>2</v>
      </c>
      <c r="E738" s="391">
        <f t="shared" ca="1" si="59"/>
        <v>11</v>
      </c>
    </row>
    <row r="739" spans="1:5" ht="14.1" customHeight="1" x14ac:dyDescent="0.25">
      <c r="A739" s="390">
        <f ca="1">IF($H739="UNIDADE CONSTRUTIVA",OFFSET(A739,-1,0)+1,LARGE(A$3:A738,1))</f>
        <v>0</v>
      </c>
      <c r="B739" s="390">
        <f t="shared" ca="1" si="56"/>
        <v>3</v>
      </c>
      <c r="C739" s="390">
        <f t="shared" ca="1" si="57"/>
        <v>1</v>
      </c>
      <c r="D739" s="391">
        <f t="shared" ca="1" si="58"/>
        <v>2</v>
      </c>
      <c r="E739" s="391">
        <f t="shared" ca="1" si="59"/>
        <v>11</v>
      </c>
    </row>
    <row r="740" spans="1:5" ht="14.1" customHeight="1" x14ac:dyDescent="0.25">
      <c r="A740" s="390">
        <f ca="1">IF($H740="UNIDADE CONSTRUTIVA",OFFSET(A740,-1,0)+1,LARGE(A$3:A739,1))</f>
        <v>0</v>
      </c>
      <c r="B740" s="390">
        <f t="shared" ca="1" si="56"/>
        <v>3</v>
      </c>
      <c r="C740" s="390">
        <f t="shared" ca="1" si="57"/>
        <v>1</v>
      </c>
      <c r="D740" s="391">
        <f t="shared" ca="1" si="58"/>
        <v>2</v>
      </c>
      <c r="E740" s="391">
        <f t="shared" ca="1" si="59"/>
        <v>11</v>
      </c>
    </row>
    <row r="741" spans="1:5" ht="14.1" customHeight="1" x14ac:dyDescent="0.25">
      <c r="A741" s="390">
        <f ca="1">IF($H741="UNIDADE CONSTRUTIVA",OFFSET(A741,-1,0)+1,LARGE(A$3:A740,1))</f>
        <v>0</v>
      </c>
      <c r="B741" s="390">
        <f t="shared" ca="1" si="56"/>
        <v>3</v>
      </c>
      <c r="C741" s="390">
        <f t="shared" ca="1" si="57"/>
        <v>1</v>
      </c>
      <c r="D741" s="391">
        <f t="shared" ca="1" si="58"/>
        <v>2</v>
      </c>
      <c r="E741" s="391">
        <f t="shared" ca="1" si="59"/>
        <v>11</v>
      </c>
    </row>
    <row r="742" spans="1:5" ht="14.1" customHeight="1" x14ac:dyDescent="0.25">
      <c r="A742" s="390">
        <f ca="1">IF($H742="UNIDADE CONSTRUTIVA",OFFSET(A742,-1,0)+1,LARGE(A$3:A741,1))</f>
        <v>0</v>
      </c>
      <c r="B742" s="390">
        <f t="shared" ca="1" si="56"/>
        <v>3</v>
      </c>
      <c r="C742" s="390">
        <f t="shared" ca="1" si="57"/>
        <v>1</v>
      </c>
      <c r="D742" s="391">
        <f t="shared" ca="1" si="58"/>
        <v>2</v>
      </c>
      <c r="E742" s="391">
        <f t="shared" ca="1" si="59"/>
        <v>11</v>
      </c>
    </row>
    <row r="743" spans="1:5" ht="14.1" customHeight="1" x14ac:dyDescent="0.25">
      <c r="A743" s="390">
        <f ca="1">IF($H743="UNIDADE CONSTRUTIVA",OFFSET(A743,-1,0)+1,LARGE(A$3:A742,1))</f>
        <v>0</v>
      </c>
      <c r="B743" s="390">
        <f t="shared" ca="1" si="56"/>
        <v>3</v>
      </c>
      <c r="C743" s="390">
        <f t="shared" ca="1" si="57"/>
        <v>1</v>
      </c>
      <c r="D743" s="391">
        <f t="shared" ca="1" si="58"/>
        <v>2</v>
      </c>
      <c r="E743" s="391">
        <f t="shared" ca="1" si="59"/>
        <v>11</v>
      </c>
    </row>
    <row r="744" spans="1:5" ht="14.1" customHeight="1" x14ac:dyDescent="0.25">
      <c r="A744" s="390">
        <f ca="1">IF($H744="UNIDADE CONSTRUTIVA",OFFSET(A744,-1,0)+1,LARGE(A$3:A743,1))</f>
        <v>0</v>
      </c>
      <c r="B744" s="390">
        <f t="shared" ca="1" si="56"/>
        <v>3</v>
      </c>
      <c r="C744" s="390">
        <f t="shared" ca="1" si="57"/>
        <v>1</v>
      </c>
      <c r="D744" s="391">
        <f t="shared" ca="1" si="58"/>
        <v>2</v>
      </c>
      <c r="E744" s="391">
        <f t="shared" ca="1" si="59"/>
        <v>11</v>
      </c>
    </row>
    <row r="745" spans="1:5" ht="14.1" customHeight="1" x14ac:dyDescent="0.25">
      <c r="A745" s="390">
        <f ca="1">IF($H745="UNIDADE CONSTRUTIVA",OFFSET(A745,-1,0)+1,LARGE(A$3:A744,1))</f>
        <v>0</v>
      </c>
      <c r="B745" s="390">
        <f t="shared" ca="1" si="56"/>
        <v>3</v>
      </c>
      <c r="C745" s="390">
        <f t="shared" ca="1" si="57"/>
        <v>1</v>
      </c>
      <c r="D745" s="391">
        <f t="shared" ca="1" si="58"/>
        <v>2</v>
      </c>
      <c r="E745" s="391">
        <f t="shared" ca="1" si="59"/>
        <v>11</v>
      </c>
    </row>
    <row r="746" spans="1:5" ht="14.1" customHeight="1" x14ac:dyDescent="0.25">
      <c r="A746" s="390">
        <f ca="1">IF($H746="UNIDADE CONSTRUTIVA",OFFSET(A746,-1,0)+1,LARGE(A$3:A745,1))</f>
        <v>0</v>
      </c>
      <c r="B746" s="390">
        <f t="shared" ca="1" si="56"/>
        <v>3</v>
      </c>
      <c r="C746" s="390">
        <f t="shared" ca="1" si="57"/>
        <v>1</v>
      </c>
      <c r="D746" s="391">
        <f t="shared" ca="1" si="58"/>
        <v>2</v>
      </c>
      <c r="E746" s="391">
        <f t="shared" ca="1" si="59"/>
        <v>11</v>
      </c>
    </row>
    <row r="747" spans="1:5" ht="14.1" customHeight="1" x14ac:dyDescent="0.25">
      <c r="A747" s="390">
        <f ca="1">IF($H747="UNIDADE CONSTRUTIVA",OFFSET(A747,-1,0)+1,LARGE(A$3:A746,1))</f>
        <v>0</v>
      </c>
      <c r="B747" s="390">
        <f t="shared" ca="1" si="56"/>
        <v>3</v>
      </c>
      <c r="C747" s="390">
        <f t="shared" ca="1" si="57"/>
        <v>1</v>
      </c>
      <c r="D747" s="391">
        <f t="shared" ca="1" si="58"/>
        <v>2</v>
      </c>
      <c r="E747" s="391">
        <f t="shared" ca="1" si="59"/>
        <v>11</v>
      </c>
    </row>
    <row r="748" spans="1:5" ht="14.1" customHeight="1" x14ac:dyDescent="0.25">
      <c r="A748" s="390">
        <f ca="1">IF($H748="UNIDADE CONSTRUTIVA",OFFSET(A748,-1,0)+1,LARGE(A$3:A747,1))</f>
        <v>0</v>
      </c>
      <c r="B748" s="390">
        <f t="shared" ca="1" si="56"/>
        <v>3</v>
      </c>
      <c r="C748" s="390">
        <f t="shared" ca="1" si="57"/>
        <v>1</v>
      </c>
      <c r="D748" s="391">
        <f t="shared" ca="1" si="58"/>
        <v>2</v>
      </c>
      <c r="E748" s="391">
        <f t="shared" ca="1" si="59"/>
        <v>11</v>
      </c>
    </row>
    <row r="749" spans="1:5" ht="14.1" customHeight="1" x14ac:dyDescent="0.25">
      <c r="A749" s="390">
        <f ca="1">IF($H749="UNIDADE CONSTRUTIVA",OFFSET(A749,-1,0)+1,LARGE(A$3:A748,1))</f>
        <v>0</v>
      </c>
      <c r="B749" s="390">
        <f t="shared" ca="1" si="56"/>
        <v>3</v>
      </c>
      <c r="C749" s="390">
        <f t="shared" ca="1" si="57"/>
        <v>1</v>
      </c>
      <c r="D749" s="391">
        <f t="shared" ca="1" si="58"/>
        <v>2</v>
      </c>
      <c r="E749" s="391">
        <f t="shared" ca="1" si="59"/>
        <v>11</v>
      </c>
    </row>
    <row r="750" spans="1:5" ht="14.1" customHeight="1" x14ac:dyDescent="0.25">
      <c r="A750" s="390">
        <f ca="1">IF($H750="UNIDADE CONSTRUTIVA",OFFSET(A750,-1,0)+1,LARGE(A$3:A749,1))</f>
        <v>0</v>
      </c>
      <c r="B750" s="390">
        <f t="shared" ca="1" si="56"/>
        <v>3</v>
      </c>
      <c r="C750" s="390">
        <f t="shared" ca="1" si="57"/>
        <v>1</v>
      </c>
      <c r="D750" s="391">
        <f t="shared" ca="1" si="58"/>
        <v>2</v>
      </c>
      <c r="E750" s="391">
        <f t="shared" ca="1" si="59"/>
        <v>11</v>
      </c>
    </row>
    <row r="751" spans="1:5" ht="14.1" customHeight="1" x14ac:dyDescent="0.25">
      <c r="A751" s="390">
        <f ca="1">IF($H751="UNIDADE CONSTRUTIVA",OFFSET(A751,-1,0)+1,LARGE(A$3:A750,1))</f>
        <v>0</v>
      </c>
      <c r="B751" s="390">
        <f t="shared" ca="1" si="56"/>
        <v>3</v>
      </c>
      <c r="C751" s="390">
        <f t="shared" ca="1" si="57"/>
        <v>1</v>
      </c>
      <c r="D751" s="391">
        <f t="shared" ca="1" si="58"/>
        <v>2</v>
      </c>
      <c r="E751" s="391">
        <f t="shared" ca="1" si="59"/>
        <v>11</v>
      </c>
    </row>
    <row r="752" spans="1:5" ht="14.1" customHeight="1" x14ac:dyDescent="0.25">
      <c r="A752" s="390">
        <f ca="1">IF($H752="UNIDADE CONSTRUTIVA",OFFSET(A752,-1,0)+1,LARGE(A$3:A751,1))</f>
        <v>0</v>
      </c>
      <c r="B752" s="390">
        <f t="shared" ca="1" si="56"/>
        <v>3</v>
      </c>
      <c r="C752" s="390">
        <f t="shared" ca="1" si="57"/>
        <v>1</v>
      </c>
      <c r="D752" s="391">
        <f t="shared" ca="1" si="58"/>
        <v>2</v>
      </c>
      <c r="E752" s="391">
        <f t="shared" ca="1" si="59"/>
        <v>11</v>
      </c>
    </row>
    <row r="753" spans="1:5" ht="14.1" customHeight="1" x14ac:dyDescent="0.25">
      <c r="A753" s="390">
        <f ca="1">IF($H753="UNIDADE CONSTRUTIVA",OFFSET(A753,-1,0)+1,LARGE(A$3:A752,1))</f>
        <v>0</v>
      </c>
      <c r="B753" s="390">
        <f t="shared" ca="1" si="56"/>
        <v>3</v>
      </c>
      <c r="C753" s="390">
        <f t="shared" ca="1" si="57"/>
        <v>1</v>
      </c>
      <c r="D753" s="391">
        <f t="shared" ca="1" si="58"/>
        <v>2</v>
      </c>
      <c r="E753" s="391">
        <f t="shared" ca="1" si="59"/>
        <v>11</v>
      </c>
    </row>
    <row r="754" spans="1:5" ht="14.1" customHeight="1" x14ac:dyDescent="0.25">
      <c r="A754" s="390">
        <f ca="1">IF($H754="UNIDADE CONSTRUTIVA",OFFSET(A754,-1,0)+1,LARGE(A$3:A753,1))</f>
        <v>0</v>
      </c>
      <c r="B754" s="390">
        <f t="shared" ca="1" si="56"/>
        <v>3</v>
      </c>
      <c r="C754" s="390">
        <f t="shared" ca="1" si="57"/>
        <v>1</v>
      </c>
      <c r="D754" s="391">
        <f t="shared" ca="1" si="58"/>
        <v>2</v>
      </c>
      <c r="E754" s="391">
        <f t="shared" ca="1" si="59"/>
        <v>11</v>
      </c>
    </row>
  </sheetData>
  <autoFilter ref="A7:P754" xr:uid="{00000000-0009-0000-0000-000002000000}"/>
  <mergeCells count="1">
    <mergeCell ref="G6:P6"/>
  </mergeCells>
  <phoneticPr fontId="23" type="noConversion"/>
  <conditionalFormatting sqref="G53:H57">
    <cfRule type="expression" dxfId="4453" priority="564">
      <formula>$H53="SUBETAPA"</formula>
    </cfRule>
    <cfRule type="expression" dxfId="4452" priority="565">
      <formula>$H53="CÉLULA CONSTRUTIVA"</formula>
    </cfRule>
  </conditionalFormatting>
  <conditionalFormatting sqref="G62:H72">
    <cfRule type="expression" dxfId="4451" priority="500">
      <formula>$H62="CÉLULA CONSTRUTIVA"</formula>
    </cfRule>
  </conditionalFormatting>
  <conditionalFormatting sqref="G67:H72">
    <cfRule type="expression" dxfId="4450" priority="501">
      <formula>$H67="ETAPA"</formula>
    </cfRule>
  </conditionalFormatting>
  <conditionalFormatting sqref="G95:H95 G62:I65">
    <cfRule type="expression" dxfId="4449" priority="850">
      <formula>$H62="ETAPA"</formula>
    </cfRule>
  </conditionalFormatting>
  <conditionalFormatting sqref="G95:H95 G16:M16 K55:M61 O66:P67 K70:M72 G62:H65 O70:P72 J21:J26 G11:J12 G14:J14 P55:P61 G68:H72 K106:M112 G8:M10 J54:M54 P100 P104">
    <cfRule type="expression" dxfId="4448" priority="894">
      <formula>$H8="SUBETAPA"</formula>
    </cfRule>
  </conditionalFormatting>
  <conditionalFormatting sqref="G95:H95">
    <cfRule type="expression" dxfId="4447" priority="849">
      <formula>$H95="CÉLULA CONSTRUTIVA"</formula>
    </cfRule>
  </conditionalFormatting>
  <conditionalFormatting sqref="G97:H98">
    <cfRule type="expression" dxfId="4446" priority="866">
      <formula>$H97="ETAPA"</formula>
    </cfRule>
    <cfRule type="expression" dxfId="4445" priority="865">
      <formula>$H97="CÉLULA CONSTRUTIVA"</formula>
    </cfRule>
    <cfRule type="expression" dxfId="4444" priority="864">
      <formula>$H97="SUBETAPA"</formula>
    </cfRule>
  </conditionalFormatting>
  <conditionalFormatting sqref="G100:H100">
    <cfRule type="expression" dxfId="4443" priority="102">
      <formula>$H100="CÉLULA CONSTRUTIVA"</formula>
    </cfRule>
    <cfRule type="expression" dxfId="4442" priority="101">
      <formula>$H100="SUBETAPA"</formula>
    </cfRule>
    <cfRule type="expression" dxfId="4441" priority="103">
      <formula>$H100="ETAPA"</formula>
    </cfRule>
  </conditionalFormatting>
  <conditionalFormatting sqref="G18:I19 J27:M27 O27:P27 J28 G29:J29 O45:P45 O77:P77 O90:P90 H95:J95 O35:P35 G35:M35 G45:M45 G46:J47 G77:M77 G90:M90">
    <cfRule type="expression" dxfId="4440" priority="875">
      <formula>$H18="ETAPA"</formula>
    </cfRule>
  </conditionalFormatting>
  <conditionalFormatting sqref="G20:I28">
    <cfRule type="expression" dxfId="4439" priority="734">
      <formula>$H20="SUBETAPA"</formula>
    </cfRule>
    <cfRule type="expression" dxfId="4438" priority="736">
      <formula>$H20="ETAPA"</formula>
    </cfRule>
    <cfRule type="expression" dxfId="4437" priority="735">
      <formula>$H20="CÉLULA CONSTRUTIVA"</formula>
    </cfRule>
  </conditionalFormatting>
  <conditionalFormatting sqref="G53:I56">
    <cfRule type="expression" dxfId="4436" priority="869">
      <formula>$H53="ETAPA"</formula>
    </cfRule>
  </conditionalFormatting>
  <conditionalFormatting sqref="G57:I57">
    <cfRule type="expression" dxfId="4435" priority="568">
      <formula>$H57="ETAPA"</formula>
    </cfRule>
  </conditionalFormatting>
  <conditionalFormatting sqref="G12:J14">
    <cfRule type="expression" dxfId="4434" priority="631">
      <formula>$H12="ETAPA"</formula>
    </cfRule>
  </conditionalFormatting>
  <conditionalFormatting sqref="G13:J13">
    <cfRule type="expression" dxfId="4433" priority="629">
      <formula>$H13="SUBETAPA"</formula>
    </cfRule>
    <cfRule type="expression" dxfId="4432" priority="630">
      <formula>$H13="CÉLULA CONSTRUTIVA"</formula>
    </cfRule>
  </conditionalFormatting>
  <conditionalFormatting sqref="G15:J15">
    <cfRule type="expression" dxfId="4431" priority="364">
      <formula>$H15="ETAPA"</formula>
    </cfRule>
    <cfRule type="expression" dxfId="4430" priority="375">
      <formula>$H15="SUBETAPA"</formula>
    </cfRule>
    <cfRule type="expression" dxfId="4429" priority="376">
      <formula>$H15="CÉLULA CONSTRUTIVA"</formula>
    </cfRule>
  </conditionalFormatting>
  <conditionalFormatting sqref="G36:J44">
    <cfRule type="expression" dxfId="4428" priority="179">
      <formula>$H36="ETAPA"</formula>
    </cfRule>
  </conditionalFormatting>
  <conditionalFormatting sqref="G66:J66">
    <cfRule type="expression" dxfId="4427" priority="507">
      <formula>$H66="ETAPA"</formula>
    </cfRule>
  </conditionalFormatting>
  <conditionalFormatting sqref="G74:J75">
    <cfRule type="expression" dxfId="4426" priority="151">
      <formula>$H74="ETAPA"</formula>
    </cfRule>
  </conditionalFormatting>
  <conditionalFormatting sqref="G78:J89">
    <cfRule type="expression" dxfId="4425" priority="441">
      <formula>$H78="ETAPA"</formula>
    </cfRule>
  </conditionalFormatting>
  <conditionalFormatting sqref="G91:J94">
    <cfRule type="expression" dxfId="4424" priority="418">
      <formula>$H91="SUBETAPA"</formula>
    </cfRule>
    <cfRule type="expression" dxfId="4423" priority="419">
      <formula>$H91="CÉLULA CONSTRUTIVA"</formula>
    </cfRule>
    <cfRule type="expression" dxfId="4422" priority="420">
      <formula>$H91="ETAPA"</formula>
    </cfRule>
  </conditionalFormatting>
  <conditionalFormatting sqref="G104:J104">
    <cfRule type="expression" dxfId="4421" priority="404">
      <formula>$H104="ETAPA"</formula>
    </cfRule>
  </conditionalFormatting>
  <conditionalFormatting sqref="G106:J113">
    <cfRule type="expression" dxfId="4420" priority="120">
      <formula>$H106="CÉLULA CONSTRUTIVA"</formula>
    </cfRule>
    <cfRule type="expression" dxfId="4419" priority="119">
      <formula>$H106="SUBETAPA"</formula>
    </cfRule>
  </conditionalFormatting>
  <conditionalFormatting sqref="G113:J114">
    <cfRule type="expression" dxfId="4418" priority="121">
      <formula>$H113="ETAPA"</formula>
    </cfRule>
  </conditionalFormatting>
  <conditionalFormatting sqref="G115:J116">
    <cfRule type="expression" dxfId="4417" priority="18">
      <formula>$H115="ETAPA"</formula>
    </cfRule>
  </conditionalFormatting>
  <conditionalFormatting sqref="G8:M10 G11:J11 J54:M54 P66:P67 P100 P104 G17:J17 P17:P26 P78:P89 P91:P95 P97:P98 P34 P36:P44 G48:M48 O8:P10 P11:P15">
    <cfRule type="expression" dxfId="4416" priority="896">
      <formula>$H8="ETAPA"</formula>
    </cfRule>
  </conditionalFormatting>
  <conditionalFormatting sqref="G8:M10 G11:J12 G14:J14 G16:M16 J21:J26 J54:M54 K55:M61 P55:P61 O66:P67 K70:M72 O70:P72 P100 P104 K106:M112">
    <cfRule type="expression" dxfId="4415" priority="895">
      <formula>$H8="CÉLULA CONSTRUTIVA"</formula>
    </cfRule>
  </conditionalFormatting>
  <conditionalFormatting sqref="G30:M31">
    <cfRule type="expression" dxfId="4414" priority="70">
      <formula>$H30="CÉLULA CONSTRUTIVA"</formula>
    </cfRule>
    <cfRule type="expression" dxfId="4413" priority="69">
      <formula>$H30="SUBETAPA"</formula>
    </cfRule>
  </conditionalFormatting>
  <conditionalFormatting sqref="G73:M75">
    <cfRule type="expression" dxfId="4412" priority="138">
      <formula>$H73="SUBETAPA"</formula>
    </cfRule>
    <cfRule type="expression" dxfId="4411" priority="139">
      <formula>$H73="CÉLULA CONSTRUTIVA"</formula>
    </cfRule>
  </conditionalFormatting>
  <conditionalFormatting sqref="G99:M99 O99:P99">
    <cfRule type="expression" dxfId="4410" priority="100">
      <formula>$H99="ETAPA"</formula>
    </cfRule>
    <cfRule type="expression" dxfId="4409" priority="99">
      <formula>$H99="CÉLULA CONSTRUTIVA"</formula>
    </cfRule>
  </conditionalFormatting>
  <conditionalFormatting sqref="G101:M105">
    <cfRule type="expression" dxfId="4408" priority="8">
      <formula>$H101="SUBETAPA"</formula>
    </cfRule>
    <cfRule type="expression" dxfId="4407" priority="9">
      <formula>$H101="CÉLULA CONSTRUTIVA"</formula>
    </cfRule>
  </conditionalFormatting>
  <conditionalFormatting sqref="G105:M112">
    <cfRule type="expression" dxfId="4406" priority="211">
      <formula>$H105="ETAPA"</formula>
    </cfRule>
  </conditionalFormatting>
  <conditionalFormatting sqref="G114:M116">
    <cfRule type="expression" dxfId="4405" priority="3">
      <formula>$H114="CÉLULA CONSTRUTIVA"</formula>
    </cfRule>
    <cfRule type="expression" dxfId="4404" priority="2">
      <formula>$H114="SUBETAPA"</formula>
    </cfRule>
  </conditionalFormatting>
  <conditionalFormatting sqref="H97:J98">
    <cfRule type="expression" dxfId="4403" priority="797">
      <formula>$H97="ETAPA"</formula>
    </cfRule>
  </conditionalFormatting>
  <conditionalFormatting sqref="H100:J100">
    <cfRule type="expression" dxfId="4402" priority="92">
      <formula>$H100="ETAPA"</formula>
    </cfRule>
  </conditionalFormatting>
  <conditionalFormatting sqref="H100:M100">
    <cfRule type="expression" dxfId="4401" priority="85">
      <formula>$H100="CÉLULA CONSTRUTIVA"</formula>
    </cfRule>
    <cfRule type="expression" dxfId="4400" priority="84">
      <formula>$H100="SUBETAPA"</formula>
    </cfRule>
  </conditionalFormatting>
  <conditionalFormatting sqref="I54:I57">
    <cfRule type="expression" dxfId="4399" priority="566">
      <formula>$H54="SUBETAPA"</formula>
    </cfRule>
    <cfRule type="expression" dxfId="4398" priority="567">
      <formula>$H54="CÉLULA CONSTRUTIVA"</formula>
    </cfRule>
  </conditionalFormatting>
  <conditionalFormatting sqref="I67:J67">
    <cfRule type="expression" dxfId="4397" priority="492">
      <formula>$H67="ETAPA"</formula>
    </cfRule>
  </conditionalFormatting>
  <conditionalFormatting sqref="I70:J72">
    <cfRule type="expression" dxfId="4396" priority="844">
      <formula>$H70="SUBETAPA"</formula>
    </cfRule>
    <cfRule type="expression" dxfId="4395" priority="845">
      <formula>$H70="CÉLULA CONSTRUTIVA"</formula>
    </cfRule>
  </conditionalFormatting>
  <conditionalFormatting sqref="I49:M50 G49:H51 I51:J51 G52:J52 I53:J53 G58:J61 G96:M96 O96:P96">
    <cfRule type="expression" dxfId="4394" priority="852">
      <formula>$H49="CÉLULA CONSTRUTIVA"</formula>
    </cfRule>
  </conditionalFormatting>
  <conditionalFormatting sqref="J18:J26">
    <cfRule type="expression" dxfId="4393" priority="739">
      <formula>$H18="ETAPA"</formula>
    </cfRule>
  </conditionalFormatting>
  <conditionalFormatting sqref="J20">
    <cfRule type="expression" dxfId="4392" priority="737">
      <formula>$H20="SUBETAPA"</formula>
    </cfRule>
    <cfRule type="expression" dxfId="4391" priority="738">
      <formula>$H20="CÉLULA CONSTRUTIVA"</formula>
    </cfRule>
  </conditionalFormatting>
  <conditionalFormatting sqref="J55:J57">
    <cfRule type="expression" dxfId="4390" priority="570">
      <formula>$H55="CÉLULA CONSTRUTIVA"</formula>
    </cfRule>
    <cfRule type="expression" dxfId="4389" priority="569">
      <formula>$H55="SUBETAPA"</formula>
    </cfRule>
    <cfRule type="expression" dxfId="4388" priority="571">
      <formula>$H55="ETAPA"</formula>
    </cfRule>
  </conditionalFormatting>
  <conditionalFormatting sqref="J70">
    <cfRule type="expression" dxfId="4387" priority="846">
      <formula>$H70="ETAPA"</formula>
    </cfRule>
  </conditionalFormatting>
  <conditionalFormatting sqref="J49:M50 G49:I51 J51 G52:J52 J53 G58:J61 G96:M96 O96:P96 I68:I70 I71:J72 G16:M16 O16:P16 O17:O26 K55:M61 O66:O67 K70:M72 O78:O89 O91:O95">
    <cfRule type="expression" dxfId="4386" priority="853">
      <formula>$H16="ETAPA"</formula>
    </cfRule>
  </conditionalFormatting>
  <conditionalFormatting sqref="K11:M15 K17:M26 K28:M29 G32:M48 K51:M53 I62:M65 G66:M67 G76:M90 K91:M95 H97:M98">
    <cfRule type="expression" dxfId="4385" priority="156">
      <formula>$H11="SUBETAPA"</formula>
    </cfRule>
  </conditionalFormatting>
  <conditionalFormatting sqref="K11:M15 K17:M26 K28:M29 G32:M48 K51:M53 I62:M67 G76:M90 K91:M95 H97:M98">
    <cfRule type="expression" dxfId="4384" priority="157">
      <formula>$H11="CÉLULA CONSTRUTIVA"</formula>
    </cfRule>
  </conditionalFormatting>
  <conditionalFormatting sqref="K11:M15 K17:M26 K28:M29 K34:M34 K36:M44 K46:M47 K51:M53 K63:M64 K66:M67 K78:M89 K91:M95 K97:M98">
    <cfRule type="expression" dxfId="4383" priority="155">
      <formula>$H11="ETAPA"</formula>
    </cfRule>
  </conditionalFormatting>
  <conditionalFormatting sqref="K31:M31">
    <cfRule type="expression" dxfId="4382" priority="68">
      <formula>$H31="ETAPA"</formula>
    </cfRule>
  </conditionalFormatting>
  <conditionalFormatting sqref="K74:M76">
    <cfRule type="expression" dxfId="4381" priority="137">
      <formula>$H74="ETAPA"</formula>
    </cfRule>
  </conditionalFormatting>
  <conditionalFormatting sqref="K100:M100">
    <cfRule type="expression" dxfId="4380" priority="83">
      <formula>$H100="ETAPA"</formula>
    </cfRule>
  </conditionalFormatting>
  <conditionalFormatting sqref="K104:M104">
    <cfRule type="expression" dxfId="4379" priority="7">
      <formula>$H104="ETAPA"</formula>
    </cfRule>
  </conditionalFormatting>
  <conditionalFormatting sqref="K113:M113">
    <cfRule type="expression" dxfId="4378" priority="108">
      <formula>$H113="SUBETAPA"</formula>
    </cfRule>
    <cfRule type="expression" dxfId="4377" priority="109">
      <formula>$H113="CÉLULA CONSTRUTIVA"</formula>
    </cfRule>
  </conditionalFormatting>
  <conditionalFormatting sqref="K113:M116">
    <cfRule type="expression" dxfId="4376" priority="1">
      <formula>$H113="ETAPA"</formula>
    </cfRule>
  </conditionalFormatting>
  <conditionalFormatting sqref="M122">
    <cfRule type="expression" dxfId="4375" priority="41">
      <formula>$H119="SUBETAPA"</formula>
    </cfRule>
    <cfRule type="expression" dxfId="4374" priority="42">
      <formula>$H119="CÉLULA CONSTRUTIVA"</formula>
    </cfRule>
    <cfRule type="expression" dxfId="4373" priority="43">
      <formula>$H119="ETAPA"</formula>
    </cfRule>
  </conditionalFormatting>
  <conditionalFormatting sqref="M118:N122">
    <cfRule type="expression" dxfId="4372" priority="38">
      <formula>$H118="SUBETAPA"</formula>
    </cfRule>
    <cfRule type="expression" dxfId="4371" priority="40">
      <formula>$H118="ETAPA"</formula>
    </cfRule>
    <cfRule type="expression" dxfId="4370" priority="39">
      <formula>$H118="CÉLULA CONSTRUTIVA"</formula>
    </cfRule>
  </conditionalFormatting>
  <conditionalFormatting sqref="N8:N116 P115:P116">
    <cfRule type="expression" dxfId="4369" priority="27">
      <formula>$H8="ETAPA"</formula>
    </cfRule>
  </conditionalFormatting>
  <conditionalFormatting sqref="N8:N116">
    <cfRule type="expression" dxfId="4368" priority="25">
      <formula>$H8="SUBETAPA"</formula>
    </cfRule>
    <cfRule type="expression" dxfId="4367" priority="26">
      <formula>$H8="CÉLULA CONSTRUTIVA"</formula>
    </cfRule>
  </conditionalFormatting>
  <conditionalFormatting sqref="O11:O15">
    <cfRule type="expression" dxfId="4366" priority="152">
      <formula>$H11="ETAPA"</formula>
    </cfRule>
  </conditionalFormatting>
  <conditionalFormatting sqref="O34">
    <cfRule type="expression" dxfId="4365" priority="182">
      <formula>$H34="ETAPA"</formula>
    </cfRule>
  </conditionalFormatting>
  <conditionalFormatting sqref="O36:O44">
    <cfRule type="expression" dxfId="4364" priority="176">
      <formula>$H36="ETAPA"</formula>
    </cfRule>
  </conditionalFormatting>
  <conditionalFormatting sqref="O55:O61">
    <cfRule type="expression" dxfId="4363" priority="550">
      <formula>$H55="SUBETAPA"</formula>
    </cfRule>
    <cfRule type="expression" dxfId="4362" priority="551">
      <formula>$H55="CÉLULA CONSTRUTIVA"</formula>
    </cfRule>
  </conditionalFormatting>
  <conditionalFormatting sqref="O97:O98">
    <cfRule type="expression" dxfId="4361" priority="234">
      <formula>$H97="ETAPA"</formula>
    </cfRule>
  </conditionalFormatting>
  <conditionalFormatting sqref="O8:P15">
    <cfRule type="expression" dxfId="4360" priority="153">
      <formula>$H8="SUBETAPA"</formula>
    </cfRule>
    <cfRule type="expression" dxfId="4359" priority="154">
      <formula>$H8="CÉLULA CONSTRUTIVA"</formula>
    </cfRule>
  </conditionalFormatting>
  <conditionalFormatting sqref="O16:P27 G17:J19 J27:M27 J28 G29:J29 O45:P45 O77:P95 H95:J95">
    <cfRule type="expression" dxfId="4358" priority="874">
      <formula>$H16="CÉLULA CONSTRUTIVA"</formula>
    </cfRule>
  </conditionalFormatting>
  <conditionalFormatting sqref="O16:P27 O77:P95 H95:J95 G17:J19 O45:P45 J27:M27 J28 G29:J29">
    <cfRule type="expression" dxfId="4357" priority="873">
      <formula>$H16="SUBETAPA"</formula>
    </cfRule>
  </conditionalFormatting>
  <conditionalFormatting sqref="O28:P30 J30:M30 G30:I31 J31">
    <cfRule type="expression" dxfId="4356" priority="82">
      <formula>$H28="ETAPA"</formula>
    </cfRule>
  </conditionalFormatting>
  <conditionalFormatting sqref="O28:P30">
    <cfRule type="expression" dxfId="4355" priority="80">
      <formula>$H28="SUBETAPA"</formula>
    </cfRule>
    <cfRule type="expression" dxfId="4354" priority="81">
      <formula>$H28="CÉLULA CONSTRUTIVA"</formula>
    </cfRule>
  </conditionalFormatting>
  <conditionalFormatting sqref="O31:P31">
    <cfRule type="expression" dxfId="4353" priority="73">
      <formula>$H31="CÉLULA CONSTRUTIVA"</formula>
    </cfRule>
    <cfRule type="expression" dxfId="4352" priority="74">
      <formula>$H31="ETAPA"</formula>
    </cfRule>
    <cfRule type="expression" dxfId="4351" priority="72">
      <formula>$H31="SUBETAPA"</formula>
    </cfRule>
  </conditionalFormatting>
  <conditionalFormatting sqref="O32:P33 G32:M33 G34:J34">
    <cfRule type="expression" dxfId="4350" priority="190">
      <formula>$H32="ETAPA"</formula>
    </cfRule>
  </conditionalFormatting>
  <conditionalFormatting sqref="O32:P35">
    <cfRule type="expression" dxfId="4349" priority="189">
      <formula>$H32="CÉLULA CONSTRUTIVA"</formula>
    </cfRule>
    <cfRule type="expression" dxfId="4348" priority="188">
      <formula>$H32="SUBETAPA"</formula>
    </cfRule>
  </conditionalFormatting>
  <conditionalFormatting sqref="O36:P44">
    <cfRule type="expression" dxfId="4347" priority="181">
      <formula>$H36="CÉLULA CONSTRUTIVA"</formula>
    </cfRule>
    <cfRule type="expression" dxfId="4346" priority="180">
      <formula>$H36="SUBETAPA"</formula>
    </cfRule>
  </conditionalFormatting>
  <conditionalFormatting sqref="O46:P53">
    <cfRule type="expression" dxfId="4345" priority="167">
      <formula>$H46="ETAPA"</formula>
    </cfRule>
  </conditionalFormatting>
  <conditionalFormatting sqref="O46:P54">
    <cfRule type="expression" dxfId="4344" priority="165">
      <formula>$H46="SUBETAPA"</formula>
    </cfRule>
    <cfRule type="expression" dxfId="4343" priority="166">
      <formula>$H46="CÉLULA CONSTRUTIVA"</formula>
    </cfRule>
  </conditionalFormatting>
  <conditionalFormatting sqref="O54:P61">
    <cfRule type="expression" dxfId="4342" priority="552">
      <formula>$H54="ETAPA"</formula>
    </cfRule>
  </conditionalFormatting>
  <conditionalFormatting sqref="O62:P65 I68:M69 O68:P69">
    <cfRule type="expression" dxfId="4341" priority="826">
      <formula>$H62="CÉLULA CONSTRUTIVA"</formula>
    </cfRule>
  </conditionalFormatting>
  <conditionalFormatting sqref="O62:P65 J68:M69 O68:P72 J62:M62 J63:J64 J65:M65">
    <cfRule type="expression" dxfId="4340" priority="827">
      <formula>$H62="ETAPA"</formula>
    </cfRule>
  </conditionalFormatting>
  <conditionalFormatting sqref="O62:P65 O68:P69 I68:M69">
    <cfRule type="expression" dxfId="4339" priority="825">
      <formula>$H62="SUBETAPA"</formula>
    </cfRule>
  </conditionalFormatting>
  <conditionalFormatting sqref="O73:P73 G76:J76 G73:M73">
    <cfRule type="expression" dxfId="4338" priority="468">
      <formula>$H73="ETAPA"</formula>
    </cfRule>
  </conditionalFormatting>
  <conditionalFormatting sqref="O73:P73">
    <cfRule type="expression" dxfId="4337" priority="466">
      <formula>$H73="SUBETAPA"</formula>
    </cfRule>
    <cfRule type="expression" dxfId="4336" priority="467">
      <formula>$H73="CÉLULA CONSTRUTIVA"</formula>
    </cfRule>
  </conditionalFormatting>
  <conditionalFormatting sqref="O74:P76">
    <cfRule type="expression" dxfId="4335" priority="141">
      <formula>$H74="SUBETAPA"</formula>
    </cfRule>
    <cfRule type="expression" dxfId="4334" priority="142">
      <formula>$H74="CÉLULA CONSTRUTIVA"</formula>
    </cfRule>
    <cfRule type="expression" dxfId="4333" priority="143">
      <formula>$H74="ETAPA"</formula>
    </cfRule>
  </conditionalFormatting>
  <conditionalFormatting sqref="O96:P96 I49:M50 G49:H51 I51:J51 G52:J52 I53:J53 G58:J61 G96:M96">
    <cfRule type="expression" dxfId="4332" priority="851">
      <formula>$H49="SUBETAPA"</formula>
    </cfRule>
  </conditionalFormatting>
  <conditionalFormatting sqref="O97:P98">
    <cfRule type="expression" dxfId="4331" priority="239">
      <formula>$H97="CÉLULA CONSTRUTIVA"</formula>
    </cfRule>
    <cfRule type="expression" dxfId="4330" priority="238">
      <formula>$H97="SUBETAPA"</formula>
    </cfRule>
  </conditionalFormatting>
  <conditionalFormatting sqref="O99:P99 G99:M99">
    <cfRule type="expression" dxfId="4329" priority="98">
      <formula>$H99="SUBETAPA"</formula>
    </cfRule>
  </conditionalFormatting>
  <conditionalFormatting sqref="O101:P103 G101:M103">
    <cfRule type="expression" dxfId="4328" priority="412">
      <formula>$H101="ETAPA"</formula>
    </cfRule>
  </conditionalFormatting>
  <conditionalFormatting sqref="O101:P103">
    <cfRule type="expression" dxfId="4327" priority="411">
      <formula>$H101="CÉLULA CONSTRUTIVA"</formula>
    </cfRule>
    <cfRule type="expression" dxfId="4326" priority="410">
      <formula>$H101="SUBETAPA"</formula>
    </cfRule>
  </conditionalFormatting>
  <conditionalFormatting sqref="O105:P105">
    <cfRule type="expression" dxfId="4325" priority="762">
      <formula>$H105="ETAPA"</formula>
    </cfRule>
  </conditionalFormatting>
  <conditionalFormatting sqref="O105:P114">
    <cfRule type="expression" dxfId="4324" priority="113">
      <formula>$H105="CÉLULA CONSTRUTIVA"</formula>
    </cfRule>
    <cfRule type="expression" dxfId="4323" priority="112">
      <formula>$H105="SUBETAPA"</formula>
    </cfRule>
  </conditionalFormatting>
  <conditionalFormatting sqref="O106:P114">
    <cfRule type="expression" dxfId="4322" priority="111">
      <formula>$H106="ETAPA"</formula>
    </cfRule>
  </conditionalFormatting>
  <conditionalFormatting sqref="P1:P5 P7:P26 P34 P36:P44 P46:P61 P63:P64 P66:P67 P70:P72 P78:P89 P91:P95 P97:P98 P100 P104">
    <cfRule type="containsText" dxfId="4321" priority="901" operator="containsText" text="em andamento">
      <formula>NOT(ISERROR(SEARCH("em andamento",P1)))</formula>
    </cfRule>
    <cfRule type="containsText" dxfId="4320" priority="900" operator="containsText" text="Finalizado">
      <formula>NOT(ISERROR(SEARCH("Finalizado",P1)))</formula>
    </cfRule>
    <cfRule type="containsText" dxfId="4319" priority="899" operator="containsText" text="Pendente">
      <formula>NOT(ISERROR(SEARCH("Pendente",P1)))</formula>
    </cfRule>
  </conditionalFormatting>
  <conditionalFormatting sqref="P7:P26 P34 P36:P44 P66:P67 P78:P89 P91:P95 P97:P98 P100 P104 P46:P61 P70:P72 P63:P64 P1:P5">
    <cfRule type="containsText" dxfId="4318" priority="897" operator="containsText" text="Lançado">
      <formula>NOT(ISERROR(SEARCH("Lançado",P1)))</formula>
    </cfRule>
    <cfRule type="containsText" dxfId="4317" priority="898" operator="containsText" text="N/A">
      <formula>NOT(ISERROR(SEARCH("N/A",P1)))</formula>
    </cfRule>
  </conditionalFormatting>
  <conditionalFormatting sqref="P27:P29">
    <cfRule type="containsText" dxfId="4316" priority="855" operator="containsText" text="N/A">
      <formula>NOT(ISERROR(SEARCH("N/A",P27)))</formula>
    </cfRule>
    <cfRule type="containsText" dxfId="4315" priority="854" operator="containsText" text="Lançado">
      <formula>NOT(ISERROR(SEARCH("Lançado",P27)))</formula>
    </cfRule>
    <cfRule type="containsText" dxfId="4314" priority="858" operator="containsText" text="em andamento">
      <formula>NOT(ISERROR(SEARCH("em andamento",P27)))</formula>
    </cfRule>
    <cfRule type="containsText" dxfId="4313" priority="857" operator="containsText" text="Finalizado">
      <formula>NOT(ISERROR(SEARCH("Finalizado",P27)))</formula>
    </cfRule>
    <cfRule type="containsText" dxfId="4312" priority="856" operator="containsText" text="Pendente">
      <formula>NOT(ISERROR(SEARCH("Pendente",P27)))</formula>
    </cfRule>
  </conditionalFormatting>
  <conditionalFormatting sqref="P30">
    <cfRule type="containsText" dxfId="4311" priority="76" operator="containsText" text="N/A">
      <formula>NOT(ISERROR(SEARCH("N/A",P30)))</formula>
    </cfRule>
    <cfRule type="containsText" dxfId="4310" priority="75" operator="containsText" text="Lançado">
      <formula>NOT(ISERROR(SEARCH("Lançado",P30)))</formula>
    </cfRule>
    <cfRule type="containsText" dxfId="4309" priority="79" operator="containsText" text="em andamento">
      <formula>NOT(ISERROR(SEARCH("em andamento",P30)))</formula>
    </cfRule>
    <cfRule type="containsText" dxfId="4308" priority="78" operator="containsText" text="Finalizado">
      <formula>NOT(ISERROR(SEARCH("Finalizado",P30)))</formula>
    </cfRule>
    <cfRule type="containsText" dxfId="4307" priority="77" operator="containsText" text="Pendente">
      <formula>NOT(ISERROR(SEARCH("Pendente",P30)))</formula>
    </cfRule>
  </conditionalFormatting>
  <conditionalFormatting sqref="P31:P33">
    <cfRule type="containsText" dxfId="4306" priority="200" operator="containsText" text="em andamento">
      <formula>NOT(ISERROR(SEARCH("em andamento",P31)))</formula>
    </cfRule>
    <cfRule type="containsText" dxfId="4305" priority="196" operator="containsText" text="Lançado">
      <formula>NOT(ISERROR(SEARCH("Lançado",P31)))</formula>
    </cfRule>
    <cfRule type="containsText" dxfId="4304" priority="197" operator="containsText" text="N/A">
      <formula>NOT(ISERROR(SEARCH("N/A",P31)))</formula>
    </cfRule>
    <cfRule type="containsText" dxfId="4303" priority="198" operator="containsText" text="Pendente">
      <formula>NOT(ISERROR(SEARCH("Pendente",P31)))</formula>
    </cfRule>
    <cfRule type="containsText" dxfId="4302" priority="199" operator="containsText" text="Finalizado">
      <formula>NOT(ISERROR(SEARCH("Finalizado",P31)))</formula>
    </cfRule>
  </conditionalFormatting>
  <conditionalFormatting sqref="P35">
    <cfRule type="containsText" dxfId="4301" priority="884" operator="containsText" text="Lançado">
      <formula>NOT(ISERROR(SEARCH("Lançado",P35)))</formula>
    </cfRule>
    <cfRule type="containsText" dxfId="4300" priority="885" operator="containsText" text="N/A">
      <formula>NOT(ISERROR(SEARCH("N/A",P35)))</formula>
    </cfRule>
    <cfRule type="containsText" dxfId="4299" priority="887" operator="containsText" text="Finalizado">
      <formula>NOT(ISERROR(SEARCH("Finalizado",P35)))</formula>
    </cfRule>
    <cfRule type="containsText" dxfId="4298" priority="888" operator="containsText" text="em andamento">
      <formula>NOT(ISERROR(SEARCH("em andamento",P35)))</formula>
    </cfRule>
    <cfRule type="containsText" dxfId="4297" priority="886" operator="containsText" text="Pendente">
      <formula>NOT(ISERROR(SEARCH("Pendente",P35)))</formula>
    </cfRule>
  </conditionalFormatting>
  <conditionalFormatting sqref="P45 P62 P65 P68:P69 P73:P77 P90">
    <cfRule type="containsText" dxfId="4296" priority="460" operator="containsText" text="em andamento">
      <formula>NOT(ISERROR(SEARCH("em andamento",P45)))</formula>
    </cfRule>
    <cfRule type="containsText" dxfId="4295" priority="458" operator="containsText" text="Pendente">
      <formula>NOT(ISERROR(SEARCH("Pendente",P45)))</formula>
    </cfRule>
    <cfRule type="containsText" dxfId="4294" priority="459" operator="containsText" text="Finalizado">
      <formula>NOT(ISERROR(SEARCH("Finalizado",P45)))</formula>
    </cfRule>
  </conditionalFormatting>
  <conditionalFormatting sqref="P73:P77 P45 P62 P65 P68:P69 P90">
    <cfRule type="containsText" dxfId="4293" priority="456" operator="containsText" text="Lançado">
      <formula>NOT(ISERROR(SEARCH("Lançado",P45)))</formula>
    </cfRule>
    <cfRule type="containsText" dxfId="4292" priority="457" operator="containsText" text="N/A">
      <formula>NOT(ISERROR(SEARCH("N/A",P45)))</formula>
    </cfRule>
  </conditionalFormatting>
  <conditionalFormatting sqref="P96 P105:P114">
    <cfRule type="containsText" dxfId="4291" priority="800" operator="containsText" text="Pendente">
      <formula>NOT(ISERROR(SEARCH("Pendente",P96)))</formula>
    </cfRule>
    <cfRule type="containsText" dxfId="4290" priority="801" operator="containsText" text="Finalizado">
      <formula>NOT(ISERROR(SEARCH("Finalizado",P96)))</formula>
    </cfRule>
    <cfRule type="containsText" dxfId="4289" priority="802" operator="containsText" text="em andamento">
      <formula>NOT(ISERROR(SEARCH("em andamento",P96)))</formula>
    </cfRule>
  </conditionalFormatting>
  <conditionalFormatting sqref="P99">
    <cfRule type="containsText" dxfId="4288" priority="93" operator="containsText" text="Lançado">
      <formula>NOT(ISERROR(SEARCH("Lançado",P99)))</formula>
    </cfRule>
    <cfRule type="containsText" dxfId="4287" priority="97" operator="containsText" text="em andamento">
      <formula>NOT(ISERROR(SEARCH("em andamento",P99)))</formula>
    </cfRule>
    <cfRule type="containsText" dxfId="4286" priority="96" operator="containsText" text="Finalizado">
      <formula>NOT(ISERROR(SEARCH("Finalizado",P99)))</formula>
    </cfRule>
    <cfRule type="containsText" dxfId="4285" priority="95" operator="containsText" text="Pendente">
      <formula>NOT(ISERROR(SEARCH("Pendente",P99)))</formula>
    </cfRule>
    <cfRule type="containsText" dxfId="4284" priority="94" operator="containsText" text="N/A">
      <formula>NOT(ISERROR(SEARCH("N/A",P99)))</formula>
    </cfRule>
  </conditionalFormatting>
  <conditionalFormatting sqref="P101:P103">
    <cfRule type="containsText" dxfId="4283" priority="413" operator="containsText" text="Lançado">
      <formula>NOT(ISERROR(SEARCH("Lançado",P101)))</formula>
    </cfRule>
    <cfRule type="containsText" dxfId="4282" priority="414" operator="containsText" text="N/A">
      <formula>NOT(ISERROR(SEARCH("N/A",P101)))</formula>
    </cfRule>
    <cfRule type="containsText" dxfId="4281" priority="416" operator="containsText" text="Finalizado">
      <formula>NOT(ISERROR(SEARCH("Finalizado",P101)))</formula>
    </cfRule>
    <cfRule type="containsText" dxfId="4280" priority="417" operator="containsText" text="em andamento">
      <formula>NOT(ISERROR(SEARCH("em andamento",P101)))</formula>
    </cfRule>
    <cfRule type="containsText" dxfId="4279" priority="415" operator="containsText" text="Pendente">
      <formula>NOT(ISERROR(SEARCH("Pendente",P101)))</formula>
    </cfRule>
  </conditionalFormatting>
  <conditionalFormatting sqref="P105:P114 P96">
    <cfRule type="containsText" dxfId="4278" priority="798" operator="containsText" text="Lançado">
      <formula>NOT(ISERROR(SEARCH("Lançado",P96)))</formula>
    </cfRule>
    <cfRule type="containsText" dxfId="4277" priority="799" operator="containsText" text="N/A">
      <formula>NOT(ISERROR(SEARCH("N/A",P96)))</formula>
    </cfRule>
  </conditionalFormatting>
  <conditionalFormatting sqref="P115:P116">
    <cfRule type="containsText" dxfId="4276" priority="36" operator="containsText" text="Finalizado">
      <formula>NOT(ISERROR(SEARCH("Finalizado",P115)))</formula>
    </cfRule>
    <cfRule type="containsText" dxfId="4275" priority="37" operator="containsText" text="em andamento">
      <formula>NOT(ISERROR(SEARCH("em andamento",P115)))</formula>
    </cfRule>
    <cfRule type="expression" dxfId="4274" priority="31">
      <formula>$H115="SUBETAPA"</formula>
    </cfRule>
    <cfRule type="expression" dxfId="4273" priority="32">
      <formula>$H115="CÉLULA CONSTRUTIVA"</formula>
    </cfRule>
    <cfRule type="containsText" dxfId="4272" priority="33" operator="containsText" text="Lançado">
      <formula>NOT(ISERROR(SEARCH("Lançado",P115)))</formula>
    </cfRule>
    <cfRule type="containsText" dxfId="4271" priority="34" operator="containsText" text="N/A">
      <formula>NOT(ISERROR(SEARCH("N/A",P115)))</formula>
    </cfRule>
    <cfRule type="containsText" dxfId="4270" priority="35" operator="containsText" text="Pendente">
      <formula>NOT(ISERROR(SEARCH("Pendente",P115)))</formula>
    </cfRule>
  </conditionalFormatting>
  <dataValidations disablePrompts="1" count="3">
    <dataValidation type="list" allowBlank="1" showInputMessage="1" showErrorMessage="1" sqref="P104 P17:P31 P36:P44 P11:P15 P34 P46:P100 P106:P116" xr:uid="{00000000-0002-0000-0200-000000000000}">
      <formula1>"Finalizado, Em Andamento, Pendente, N/A,Lançado ERP"</formula1>
    </dataValidation>
    <dataValidation type="list" allowBlank="1" showInputMessage="1" showErrorMessage="1" sqref="P10 P16 P35 P45 P33" xr:uid="{00000000-0002-0000-0200-000001000000}">
      <formula1>$R$2:$R$5</formula1>
    </dataValidation>
    <dataValidation type="list" allowBlank="1" showInputMessage="1" showErrorMessage="1" sqref="H8:H116" xr:uid="{00000000-0002-0000-0200-000002000000}">
      <formula1>"UNIDADE CONSTRUTIVA,CÉLULA CONSTRUTIVA,ETAPA,SUBETAPA,SERVIÇO"</formula1>
    </dataValidation>
  </dataValidations>
  <pageMargins left="0.52999994886203072" right="0.52999994886203072" top="0.52999994886203072" bottom="0.68999998212799307" header="0" footer="0"/>
  <pageSetup paperSize="9" scale="63"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outlinePr summaryBelow="0"/>
    <pageSetUpPr fitToPage="1"/>
  </sheetPr>
  <dimension ref="A1:S404"/>
  <sheetViews>
    <sheetView showGridLines="0" tabSelected="1" topLeftCell="F1" zoomScale="98" zoomScaleNormal="98" zoomScaleSheetLayoutView="100" workbookViewId="0">
      <pane ySplit="7" topLeftCell="A152" activePane="bottomLeft" state="frozen"/>
      <selection activeCell="Q1" sqref="Q1:Q1048576"/>
      <selection pane="bottomLeft" activeCell="K190" sqref="K190"/>
    </sheetView>
  </sheetViews>
  <sheetFormatPr defaultColWidth="9.140625" defaultRowHeight="14.1" customHeight="1" outlineLevelRow="2" outlineLevelCol="1" x14ac:dyDescent="0.25"/>
  <cols>
    <col min="1" max="5" width="4" style="130" hidden="1" customWidth="1" outlineLevel="1"/>
    <col min="6" max="6" width="3.140625" style="130" customWidth="1" collapsed="1"/>
    <col min="7" max="7" width="7.28515625" style="131" customWidth="1"/>
    <col min="8" max="8" width="8.5703125" style="131" customWidth="1" outlineLevel="1"/>
    <col min="9" max="9" width="12.28515625" style="131" customWidth="1"/>
    <col min="10" max="10" width="68.5703125" style="130" customWidth="1"/>
    <col min="11" max="11" width="6.85546875" style="132" customWidth="1"/>
    <col min="12" max="12" width="16.28515625" style="413" customWidth="1"/>
    <col min="13" max="13" width="15.140625" style="413" bestFit="1" customWidth="1"/>
    <col min="14" max="14" width="13.85546875" style="414" customWidth="1"/>
    <col min="15" max="15" width="54.85546875" style="415" customWidth="1" outlineLevel="1"/>
    <col min="16" max="16" width="17.5703125" style="133" customWidth="1"/>
    <col min="17" max="17" width="10.5703125" style="130" bestFit="1" customWidth="1"/>
    <col min="18" max="18" width="9.7109375" style="130" bestFit="1" customWidth="1"/>
    <col min="19" max="16384" width="9.140625" style="130"/>
  </cols>
  <sheetData>
    <row r="1" spans="1:17" s="95" customFormat="1" ht="6.75" customHeight="1" x14ac:dyDescent="0.2">
      <c r="G1" s="96"/>
      <c r="H1" s="96"/>
      <c r="I1" s="96"/>
      <c r="J1" s="97"/>
      <c r="K1" s="98"/>
      <c r="L1" s="97"/>
      <c r="M1" s="97"/>
      <c r="N1" s="99"/>
      <c r="O1" s="97"/>
      <c r="P1" s="100"/>
    </row>
    <row r="2" spans="1:17" s="101" customFormat="1" ht="17.45" customHeight="1" x14ac:dyDescent="0.25">
      <c r="G2" s="102"/>
      <c r="H2" s="103"/>
      <c r="I2" s="103"/>
      <c r="J2" s="103"/>
      <c r="K2" s="104"/>
      <c r="L2" s="104"/>
      <c r="M2" s="104"/>
      <c r="N2" s="105"/>
      <c r="O2" s="106"/>
      <c r="P2" s="107"/>
    </row>
    <row r="3" spans="1:17" s="101" customFormat="1" ht="18" customHeight="1" x14ac:dyDescent="0.25">
      <c r="G3" s="108"/>
      <c r="H3" s="109"/>
      <c r="I3" s="109"/>
      <c r="J3" s="109"/>
      <c r="K3" s="110"/>
      <c r="L3" s="110"/>
      <c r="M3" s="110"/>
      <c r="N3" s="111"/>
      <c r="O3" s="112"/>
      <c r="P3" s="113"/>
    </row>
    <row r="4" spans="1:17" s="114" customFormat="1" ht="15" customHeight="1" x14ac:dyDescent="0.2">
      <c r="G4" s="115" t="s">
        <v>177</v>
      </c>
      <c r="H4" s="117"/>
      <c r="I4" s="116" t="str">
        <f>Obra!D1</f>
        <v>Atlantia</v>
      </c>
      <c r="J4" s="382"/>
      <c r="N4" s="383"/>
      <c r="O4" s="117" t="s">
        <v>178</v>
      </c>
      <c r="P4" s="118" t="s">
        <v>179</v>
      </c>
    </row>
    <row r="5" spans="1:17" s="119" customFormat="1" ht="15" customHeight="1" x14ac:dyDescent="0.25">
      <c r="G5" s="120" t="s">
        <v>180</v>
      </c>
      <c r="H5" s="386"/>
      <c r="I5" s="121" t="str">
        <f>Obra!D2</f>
        <v>H empreendimentos</v>
      </c>
      <c r="J5" s="122"/>
      <c r="N5" s="387"/>
      <c r="O5" s="123" t="s">
        <v>4253</v>
      </c>
      <c r="P5" s="124"/>
    </row>
    <row r="6" spans="1:17" s="125" customFormat="1" ht="18" customHeight="1" x14ac:dyDescent="0.2">
      <c r="A6" s="388" t="s">
        <v>423</v>
      </c>
      <c r="B6" s="388" t="s">
        <v>424</v>
      </c>
      <c r="C6" s="388" t="s">
        <v>425</v>
      </c>
      <c r="D6" s="388" t="s">
        <v>426</v>
      </c>
      <c r="E6" s="388" t="s">
        <v>427</v>
      </c>
      <c r="F6" s="119"/>
      <c r="G6" s="1033" t="s">
        <v>428</v>
      </c>
      <c r="H6" s="1033"/>
      <c r="I6" s="1033"/>
      <c r="J6" s="1033"/>
      <c r="K6" s="1033"/>
      <c r="L6" s="1033"/>
      <c r="M6" s="1033"/>
      <c r="N6" s="1033"/>
      <c r="O6" s="1033"/>
      <c r="P6" s="1033"/>
    </row>
    <row r="7" spans="1:17" s="126" customFormat="1" ht="24" customHeight="1" x14ac:dyDescent="0.25">
      <c r="A7" s="390">
        <v>0</v>
      </c>
      <c r="B7" s="390">
        <v>0</v>
      </c>
      <c r="C7" s="390">
        <v>0</v>
      </c>
      <c r="D7" s="391">
        <v>0</v>
      </c>
      <c r="E7" s="391">
        <v>0</v>
      </c>
      <c r="G7" s="127" t="s">
        <v>182</v>
      </c>
      <c r="H7" s="392" t="s">
        <v>429</v>
      </c>
      <c r="I7" s="128" t="s">
        <v>183</v>
      </c>
      <c r="J7" s="129" t="s">
        <v>3</v>
      </c>
      <c r="K7" s="393" t="s">
        <v>4</v>
      </c>
      <c r="L7" s="394" t="s">
        <v>184</v>
      </c>
      <c r="M7" s="394" t="s">
        <v>185</v>
      </c>
      <c r="N7" s="394" t="s">
        <v>105</v>
      </c>
      <c r="O7" s="395" t="s">
        <v>186</v>
      </c>
      <c r="P7" s="396" t="s">
        <v>187</v>
      </c>
    </row>
    <row r="8" spans="1:17" s="125" customFormat="1" ht="13.9" customHeight="1" collapsed="1" x14ac:dyDescent="0.25">
      <c r="A8" s="390">
        <f ca="1">IF($H8="UNIDADE CONSTRUTIVA",OFFSET(A8,-1,0)+1,LARGE(A$3:A7,1))</f>
        <v>0</v>
      </c>
      <c r="B8" s="390">
        <f ca="1">IF(H8="UNIDADE CONSTRUTIVA",0,IF(H8="CÉLULA CONSTRUTIVA",OFFSET(B8,-1,0)+1,OFFSET(B8,-1,0)))</f>
        <v>1</v>
      </c>
      <c r="C8" s="390">
        <f ca="1">IF(H8="CÉLULA CONSTRUTIVA",0,IF(H8="ETAPA",OFFSET(C8,-1,0)+1,OFFSET(C8,-1,0)))</f>
        <v>0</v>
      </c>
      <c r="D8" s="391">
        <f ca="1">IF(H8="ETAPA",0,IF(H8="SUBETAPA",OFFSET(D8,-1,0)+1,OFFSET(D8,-1,0)))</f>
        <v>0</v>
      </c>
      <c r="E8" s="391">
        <f ca="1">IF(H8="Subetapa",0,IF(H8="serviço",OFFSET(E8,-1,0)+1,OFFSET(E8,-1,0)))</f>
        <v>0</v>
      </c>
      <c r="G8" s="398"/>
      <c r="H8" s="399" t="s">
        <v>430</v>
      </c>
      <c r="I8" s="400" t="str">
        <f t="shared" ref="I8:I30" ca="1" si="0">IF(H8="Unidade Construtiva",TEXT(A8,"00"),IF(H8="Célula Construtiva",TEXT(B8,"00"),IF(H8="Etapa",CONCATENATE(TEXT(B8,"00"),".",TEXT(C8,"000")),IF(H8="Subetapa",CONCATENATE(TEXT(B8,"00"),".",TEXT(C8,"000"),".",TEXT(D8,"000")),IF(H8="Serviço",CONCATENATE(TEXT(B8,"00"),".",TEXT(C8,"000"),".",TEXT(D8,"000"),".",TEXT(E8,"000")),"")))))</f>
        <v>01</v>
      </c>
      <c r="J8" s="401" t="s">
        <v>233</v>
      </c>
      <c r="K8" s="402"/>
      <c r="L8" s="403"/>
      <c r="M8" s="403"/>
      <c r="N8" s="404">
        <f t="shared" ref="N8:N71" ca="1" si="1">IF(H8="Serviço",M8*L8,IF(H8="CÉLULA CONSTRUTIVA",SUMIFS($N$8:$N$395,$B$8:$B$395,B8,$H$8:$H$395,"Serviço"),IF(H8="ETAPA",SUMIFS($N$8:$N$395,$B$8:$B$395,B8,$C$8:$C$395,C8,$H$8:$H$395,"Serviço"),IF(H8="SUBETAPA",SUMIFS($N$8:$N$395,$B$8:$B$395,B8,$C$8:$C$395,C8,$D$8:$D$395,D8,$H$8:$H$395,"Serviço"),0))))</f>
        <v>219102.12</v>
      </c>
      <c r="O8" s="405"/>
      <c r="P8" s="406"/>
      <c r="Q8" s="986">
        <f ca="1">N8/Obra!$E$9</f>
        <v>17.07955127440594</v>
      </c>
    </row>
    <row r="9" spans="1:17" s="125" customFormat="1" ht="13.9" hidden="1" customHeight="1" outlineLevel="1" x14ac:dyDescent="0.25">
      <c r="A9" s="390">
        <f ca="1">IF($H9="UNIDADE CONSTRUTIVA",OFFSET(A9,-1,0)+1,LARGE(A$3:A8,1))</f>
        <v>0</v>
      </c>
      <c r="B9" s="390">
        <f t="shared" ref="B9:B72" ca="1" si="2">IF(H9="UNIDADE CONSTRUTIVA",0,IF(H9="CÉLULA CONSTRUTIVA",OFFSET(B9,-1,0)+1,OFFSET(B9,-1,0)))</f>
        <v>1</v>
      </c>
      <c r="C9" s="390">
        <f t="shared" ref="C9:C72" ca="1" si="3">IF(H9="CÉLULA CONSTRUTIVA",0,IF(H9="ETAPA",OFFSET(C9,-1,0)+1,OFFSET(C9,-1,0)))</f>
        <v>1</v>
      </c>
      <c r="D9" s="391">
        <f t="shared" ref="D9:D72" ca="1" si="4">IF(H9="ETAPA",0,IF(H9="SUBETAPA",OFFSET(D9,-1,0)+1,OFFSET(D9,-1,0)))</f>
        <v>0</v>
      </c>
      <c r="E9" s="391">
        <f t="shared" ref="E9:E72" ca="1" si="5">IF(H9="Subetapa",0,IF(H9="serviço",OFFSET(E9,-1,0)+1,OFFSET(E9,-1,0)))</f>
        <v>0</v>
      </c>
      <c r="G9" s="398"/>
      <c r="H9" s="399" t="s">
        <v>229</v>
      </c>
      <c r="I9" s="400" t="str">
        <f t="shared" ca="1" si="0"/>
        <v>01.001</v>
      </c>
      <c r="J9" s="401" t="s">
        <v>431</v>
      </c>
      <c r="K9" s="402"/>
      <c r="L9" s="403"/>
      <c r="M9" s="403"/>
      <c r="N9" s="404">
        <f t="shared" ca="1" si="1"/>
        <v>219102.12</v>
      </c>
      <c r="O9" s="405"/>
      <c r="P9" s="406"/>
    </row>
    <row r="10" spans="1:17" s="125" customFormat="1" ht="13.9" hidden="1" customHeight="1" outlineLevel="1" x14ac:dyDescent="0.25">
      <c r="A10" s="390">
        <f ca="1">IF($H10="UNIDADE CONSTRUTIVA",OFFSET(A10,-1,0)+1,LARGE(A$3:A9,1))</f>
        <v>0</v>
      </c>
      <c r="B10" s="390">
        <f t="shared" ca="1" si="2"/>
        <v>1</v>
      </c>
      <c r="C10" s="390">
        <f t="shared" ca="1" si="3"/>
        <v>1</v>
      </c>
      <c r="D10" s="391">
        <f t="shared" ca="1" si="4"/>
        <v>1</v>
      </c>
      <c r="E10" s="391">
        <f t="shared" ca="1" si="5"/>
        <v>0</v>
      </c>
      <c r="G10" s="398"/>
      <c r="H10" s="399" t="s">
        <v>432</v>
      </c>
      <c r="I10" s="400" t="str">
        <f ca="1">IF(H10="Unidade Construtiva",TEXT(A10,"00"),IF(H10="Célula Construtiva",TEXT(B10,"00"),IF(H10="Etapa",CONCATENATE(TEXT(B10,"00"),".",TEXT(C10,"000")),IF(H10="Subetapa",CONCATENATE(TEXT(B10,"00"),".",TEXT(C10,"000"),".",TEXT(D10,"000")),IF(H10="Serviço",CONCATENATE(TEXT(B10,"00"),".",TEXT(C10,"000"),".",TEXT(D10,"000"),".",TEXT(E10,"000")),"")))))</f>
        <v>01.001.001</v>
      </c>
      <c r="J10" s="401" t="s">
        <v>4190</v>
      </c>
      <c r="K10" s="402"/>
      <c r="L10" s="407"/>
      <c r="M10" s="407"/>
      <c r="N10" s="404">
        <f t="shared" ca="1" si="1"/>
        <v>219102.12</v>
      </c>
      <c r="O10" s="405"/>
      <c r="P10" s="406"/>
    </row>
    <row r="11" spans="1:17" s="125" customFormat="1" ht="13.9" hidden="1" customHeight="1" outlineLevel="2" x14ac:dyDescent="0.25">
      <c r="A11" s="390">
        <f ca="1">IF($H11="UNIDADE CONSTRUTIVA",OFFSET(A11,-1,0)+1,LARGE(A$3:A10,1))</f>
        <v>0</v>
      </c>
      <c r="B11" s="390">
        <f t="shared" ca="1" si="2"/>
        <v>1</v>
      </c>
      <c r="C11" s="390">
        <f t="shared" ca="1" si="3"/>
        <v>1</v>
      </c>
      <c r="D11" s="391">
        <f t="shared" ca="1" si="4"/>
        <v>1</v>
      </c>
      <c r="E11" s="391">
        <f t="shared" ca="1" si="5"/>
        <v>1</v>
      </c>
      <c r="G11" s="398"/>
      <c r="H11" s="399" t="s">
        <v>433</v>
      </c>
      <c r="I11" s="400" t="str">
        <f ca="1">IF(H11="Unidade Construtiva",TEXT(A11,"00"),IF(H11="Célula Construtiva",TEXT(B11,"00"),IF(H11="Etapa",CONCATENATE(TEXT(B11,"00"),".",TEXT(C11,"000")),IF(H11="Subetapa",CONCATENATE(TEXT(B11,"00"),".",TEXT(C11,"000"),".",TEXT(D11,"000")),IF(H11="Serviço",CONCATENATE(TEXT(B11,"00"),".",TEXT(C11,"000"),".",TEXT(D11,"000"),".",TEXT(E11,"000")),"")))))</f>
        <v>01.001.001.001</v>
      </c>
      <c r="J11" s="401" t="s">
        <v>4191</v>
      </c>
      <c r="K11" s="402" t="s">
        <v>74</v>
      </c>
      <c r="L11" s="403">
        <v>1</v>
      </c>
      <c r="M11" s="403">
        <v>219102.12</v>
      </c>
      <c r="N11" s="404">
        <f t="shared" si="1"/>
        <v>219102.12</v>
      </c>
      <c r="O11" s="405" t="s">
        <v>4187</v>
      </c>
      <c r="P11" s="406" t="s">
        <v>3605</v>
      </c>
    </row>
    <row r="12" spans="1:17" s="125" customFormat="1" ht="13.9" customHeight="1" collapsed="1" x14ac:dyDescent="0.25">
      <c r="A12" s="390">
        <f ca="1">IF($H12="UNIDADE CONSTRUTIVA",OFFSET(A12,-1,0)+1,LARGE(A$3:A11,1))</f>
        <v>0</v>
      </c>
      <c r="B12" s="390">
        <f t="shared" ca="1" si="2"/>
        <v>2</v>
      </c>
      <c r="C12" s="390">
        <f t="shared" ca="1" si="3"/>
        <v>0</v>
      </c>
      <c r="D12" s="391">
        <f t="shared" ca="1" si="4"/>
        <v>1</v>
      </c>
      <c r="E12" s="391">
        <f t="shared" ca="1" si="5"/>
        <v>1</v>
      </c>
      <c r="G12" s="398"/>
      <c r="H12" s="399" t="s">
        <v>430</v>
      </c>
      <c r="I12" s="400" t="str">
        <f t="shared" ca="1" si="0"/>
        <v>02</v>
      </c>
      <c r="J12" s="401" t="s">
        <v>234</v>
      </c>
      <c r="K12" s="402"/>
      <c r="L12" s="403"/>
      <c r="M12" s="403"/>
      <c r="N12" s="404">
        <f t="shared" ca="1" si="1"/>
        <v>1917879.85</v>
      </c>
      <c r="O12" s="405"/>
      <c r="P12" s="406"/>
      <c r="Q12" s="986">
        <f ca="1">N12/Obra!$E$9</f>
        <v>149.50347005416916</v>
      </c>
    </row>
    <row r="13" spans="1:17" s="125" customFormat="1" ht="13.9" hidden="1" customHeight="1" outlineLevel="1" x14ac:dyDescent="0.25">
      <c r="A13" s="390">
        <f ca="1">IF($H13="UNIDADE CONSTRUTIVA",OFFSET(A13,-1,0)+1,LARGE(A$3:A12,1))</f>
        <v>0</v>
      </c>
      <c r="B13" s="390">
        <f t="shared" ca="1" si="2"/>
        <v>2</v>
      </c>
      <c r="C13" s="390">
        <f t="shared" ca="1" si="3"/>
        <v>1</v>
      </c>
      <c r="D13" s="391">
        <f t="shared" ca="1" si="4"/>
        <v>0</v>
      </c>
      <c r="E13" s="391">
        <f t="shared" ca="1" si="5"/>
        <v>1</v>
      </c>
      <c r="G13" s="398"/>
      <c r="H13" s="399" t="s">
        <v>229</v>
      </c>
      <c r="I13" s="400" t="str">
        <f t="shared" ca="1" si="0"/>
        <v>02.001</v>
      </c>
      <c r="J13" s="401" t="s">
        <v>190</v>
      </c>
      <c r="K13" s="402"/>
      <c r="L13" s="403"/>
      <c r="M13" s="403"/>
      <c r="N13" s="404">
        <f t="shared" ca="1" si="1"/>
        <v>1917879.85</v>
      </c>
      <c r="O13" s="405"/>
      <c r="P13" s="406"/>
    </row>
    <row r="14" spans="1:17" s="125" customFormat="1" ht="13.9" hidden="1" customHeight="1" outlineLevel="1" x14ac:dyDescent="0.25">
      <c r="A14" s="390">
        <f ca="1">IF($H14="UNIDADE CONSTRUTIVA",OFFSET(A14,-1,0)+1,LARGE(A$3:A13,1))</f>
        <v>0</v>
      </c>
      <c r="B14" s="390">
        <f t="shared" ca="1" si="2"/>
        <v>2</v>
      </c>
      <c r="C14" s="390">
        <f t="shared" ca="1" si="3"/>
        <v>1</v>
      </c>
      <c r="D14" s="391">
        <f t="shared" ca="1" si="4"/>
        <v>1</v>
      </c>
      <c r="E14" s="391">
        <f t="shared" ca="1" si="5"/>
        <v>0</v>
      </c>
      <c r="G14" s="398"/>
      <c r="H14" s="399" t="s">
        <v>432</v>
      </c>
      <c r="I14" s="400" t="str">
        <f t="shared" ca="1" si="0"/>
        <v>02.001.001</v>
      </c>
      <c r="J14" s="401" t="s">
        <v>435</v>
      </c>
      <c r="K14" s="402"/>
      <c r="L14" s="403"/>
      <c r="M14" s="403"/>
      <c r="N14" s="404">
        <f t="shared" ca="1" si="1"/>
        <v>1418259.85</v>
      </c>
      <c r="O14" s="405"/>
      <c r="P14" s="406"/>
    </row>
    <row r="15" spans="1:17" s="125" customFormat="1" ht="13.9" hidden="1" customHeight="1" outlineLevel="2" x14ac:dyDescent="0.25">
      <c r="A15" s="390">
        <f ca="1">IF($H15="UNIDADE CONSTRUTIVA",OFFSET(A15,-1,0)+1,LARGE(A$3:A14,1))</f>
        <v>0</v>
      </c>
      <c r="B15" s="390">
        <f t="shared" ca="1" si="2"/>
        <v>2</v>
      </c>
      <c r="C15" s="390">
        <f t="shared" ca="1" si="3"/>
        <v>1</v>
      </c>
      <c r="D15" s="391">
        <f t="shared" ca="1" si="4"/>
        <v>1</v>
      </c>
      <c r="E15" s="391">
        <f t="shared" ca="1" si="5"/>
        <v>1</v>
      </c>
      <c r="G15" s="398"/>
      <c r="H15" s="399" t="s">
        <v>433</v>
      </c>
      <c r="I15" s="400" t="str">
        <f ca="1">IF(H15="Unidade Construtiva",TEXT(A15,"00"),IF(H15="Célula Construtiva",TEXT(B15,"00"),IF(H15="Etapa",CONCATENATE(TEXT(B15,"00"),".",TEXT(C15,"000")),IF(H15="Subetapa",CONCATENATE(TEXT(B15,"00"),".",TEXT(C15,"000"),".",TEXT(D15,"000")),IF(H15="Serviço",CONCATENATE(TEXT(B15,"00"),".",TEXT(C15,"000"),".",TEXT(D15,"000"),".",TEXT(E15,"000")),"")))))</f>
        <v>02.001.001.001</v>
      </c>
      <c r="J15" s="401" t="s">
        <v>4186</v>
      </c>
      <c r="K15" s="402" t="s">
        <v>74</v>
      </c>
      <c r="L15" s="403">
        <v>1</v>
      </c>
      <c r="M15" s="403">
        <v>320480</v>
      </c>
      <c r="N15" s="404">
        <f t="shared" si="1"/>
        <v>320480</v>
      </c>
      <c r="O15" s="405" t="s">
        <v>4187</v>
      </c>
      <c r="P15" s="406" t="s">
        <v>3605</v>
      </c>
    </row>
    <row r="16" spans="1:17" s="125" customFormat="1" ht="13.9" hidden="1" customHeight="1" outlineLevel="2" x14ac:dyDescent="0.25">
      <c r="A16" s="390">
        <f ca="1">IF($H16="UNIDADE CONSTRUTIVA",OFFSET(A16,-1,0)+1,LARGE(A$3:A15,1))</f>
        <v>0</v>
      </c>
      <c r="B16" s="390">
        <f t="shared" ca="1" si="2"/>
        <v>2</v>
      </c>
      <c r="C16" s="390">
        <f t="shared" ca="1" si="3"/>
        <v>1</v>
      </c>
      <c r="D16" s="391">
        <f t="shared" ca="1" si="4"/>
        <v>1</v>
      </c>
      <c r="E16" s="391">
        <f t="shared" ca="1" si="5"/>
        <v>2</v>
      </c>
      <c r="G16" s="398"/>
      <c r="H16" s="399" t="s">
        <v>433</v>
      </c>
      <c r="I16" s="400" t="str">
        <f t="shared" ca="1" si="0"/>
        <v>02.001.001.002</v>
      </c>
      <c r="J16" s="401" t="s">
        <v>4188</v>
      </c>
      <c r="K16" s="402" t="s">
        <v>74</v>
      </c>
      <c r="L16" s="403">
        <v>1</v>
      </c>
      <c r="M16" s="403">
        <v>156262.85</v>
      </c>
      <c r="N16" s="404">
        <f t="shared" si="1"/>
        <v>156262.85</v>
      </c>
      <c r="O16" s="405" t="s">
        <v>4187</v>
      </c>
      <c r="P16" s="406" t="s">
        <v>3605</v>
      </c>
    </row>
    <row r="17" spans="1:17" s="125" customFormat="1" ht="13.9" hidden="1" customHeight="1" outlineLevel="2" x14ac:dyDescent="0.25">
      <c r="A17" s="390">
        <f ca="1">IF($H17="UNIDADE CONSTRUTIVA",OFFSET(A17,-1,0)+1,LARGE(A$3:A16,1))</f>
        <v>0</v>
      </c>
      <c r="B17" s="390">
        <f t="shared" ca="1" si="2"/>
        <v>2</v>
      </c>
      <c r="C17" s="390">
        <f t="shared" ca="1" si="3"/>
        <v>1</v>
      </c>
      <c r="D17" s="391">
        <f t="shared" ca="1" si="4"/>
        <v>1</v>
      </c>
      <c r="E17" s="391">
        <f t="shared" ca="1" si="5"/>
        <v>3</v>
      </c>
      <c r="G17" s="398"/>
      <c r="H17" s="399" t="s">
        <v>433</v>
      </c>
      <c r="I17" s="400" t="str">
        <f ca="1">IF(H17="Unidade Construtiva",TEXT(A17,"00"),IF(H17="Célula Construtiva",TEXT(B17,"00"),IF(H17="Etapa",CONCATENATE(TEXT(B17,"00"),".",TEXT(C17,"000")),IF(H17="Subetapa",CONCATENATE(TEXT(B17,"00"),".",TEXT(C17,"000"),".",TEXT(D17,"000")),IF(H17="Serviço",CONCATENATE(TEXT(B17,"00"),".",TEXT(C17,"000"),".",TEXT(D17,"000"),".",TEXT(E17,"000")),"")))))</f>
        <v>02.001.001.003</v>
      </c>
      <c r="J17" s="401" t="s">
        <v>4189</v>
      </c>
      <c r="K17" s="402" t="s">
        <v>74</v>
      </c>
      <c r="L17" s="403">
        <v>1</v>
      </c>
      <c r="M17" s="403">
        <v>941517</v>
      </c>
      <c r="N17" s="404">
        <f t="shared" si="1"/>
        <v>941517</v>
      </c>
      <c r="O17" s="405" t="s">
        <v>4187</v>
      </c>
      <c r="P17" s="406" t="s">
        <v>3605</v>
      </c>
    </row>
    <row r="18" spans="1:17" s="125" customFormat="1" ht="13.9" hidden="1" customHeight="1" outlineLevel="1" x14ac:dyDescent="0.25">
      <c r="A18" s="390">
        <f ca="1">IF($H18="UNIDADE CONSTRUTIVA",OFFSET(A18,-1,0)+1,LARGE(A$3:A17,1))</f>
        <v>0</v>
      </c>
      <c r="B18" s="390">
        <f t="shared" ca="1" si="2"/>
        <v>2</v>
      </c>
      <c r="C18" s="390">
        <f t="shared" ca="1" si="3"/>
        <v>1</v>
      </c>
      <c r="D18" s="391">
        <f t="shared" ca="1" si="4"/>
        <v>2</v>
      </c>
      <c r="E18" s="391">
        <f t="shared" ca="1" si="5"/>
        <v>0</v>
      </c>
      <c r="G18" s="398"/>
      <c r="H18" s="399" t="s">
        <v>432</v>
      </c>
      <c r="I18" s="400" t="str">
        <f t="shared" ca="1" si="0"/>
        <v>02.001.002</v>
      </c>
      <c r="J18" s="401" t="s">
        <v>440</v>
      </c>
      <c r="K18" s="402"/>
      <c r="L18" s="407"/>
      <c r="M18" s="407"/>
      <c r="N18" s="404">
        <f t="shared" ca="1" si="1"/>
        <v>499620.00000000006</v>
      </c>
      <c r="O18" s="405"/>
      <c r="P18" s="406"/>
    </row>
    <row r="19" spans="1:17" s="125" customFormat="1" ht="13.9" hidden="1" customHeight="1" outlineLevel="2" x14ac:dyDescent="0.25">
      <c r="A19" s="390">
        <f ca="1">IF($H19="UNIDADE CONSTRUTIVA",OFFSET(A19,-1,0)+1,LARGE(A$3:A18,1))</f>
        <v>0</v>
      </c>
      <c r="B19" s="390">
        <f t="shared" ca="1" si="2"/>
        <v>2</v>
      </c>
      <c r="C19" s="390">
        <f t="shared" ca="1" si="3"/>
        <v>1</v>
      </c>
      <c r="D19" s="391">
        <f t="shared" ca="1" si="4"/>
        <v>2</v>
      </c>
      <c r="E19" s="391">
        <f t="shared" ca="1" si="5"/>
        <v>1</v>
      </c>
      <c r="G19" s="398"/>
      <c r="H19" s="399" t="s">
        <v>433</v>
      </c>
      <c r="I19" s="400" t="str">
        <f ca="1">IF(H19="Unidade Construtiva",TEXT(A19,"00"),IF(H19="Célula Construtiva",TEXT(B19,"00"),IF(H19="Etapa",CONCATENATE(TEXT(B19,"00"),".",TEXT(C19,"000")),IF(H19="Subetapa",CONCATENATE(TEXT(B19,"00"),".",TEXT(C19,"000"),".",TEXT(D19,"000")),IF(H19="Serviço",CONCATENATE(TEXT(B19,"00"),".",TEXT(C19,"000"),".",TEXT(D19,"000"),".",TEXT(E19,"000")),"")))))</f>
        <v>02.001.002.001</v>
      </c>
      <c r="J19" s="401" t="s">
        <v>441</v>
      </c>
      <c r="K19" s="402" t="s">
        <v>66</v>
      </c>
      <c r="L19" s="403">
        <f>Obra!E8</f>
        <v>1410.3</v>
      </c>
      <c r="M19" s="994">
        <f>'Custos Serviços'!$G$8</f>
        <v>354.265049989364</v>
      </c>
      <c r="N19" s="404">
        <f t="shared" si="1"/>
        <v>499620.00000000006</v>
      </c>
      <c r="O19" s="998" t="s">
        <v>4192</v>
      </c>
      <c r="P19" s="406" t="s">
        <v>3605</v>
      </c>
    </row>
    <row r="20" spans="1:17" s="125" customFormat="1" ht="13.9" customHeight="1" collapsed="1" x14ac:dyDescent="0.25">
      <c r="A20" s="390">
        <f ca="1">IF($H20="UNIDADE CONSTRUTIVA",OFFSET(A20,-1,0)+1,LARGE(A$3:A19,1))</f>
        <v>0</v>
      </c>
      <c r="B20" s="390">
        <f t="shared" ca="1" si="2"/>
        <v>3</v>
      </c>
      <c r="C20" s="390">
        <f t="shared" ca="1" si="3"/>
        <v>0</v>
      </c>
      <c r="D20" s="391">
        <f t="shared" ca="1" si="4"/>
        <v>2</v>
      </c>
      <c r="E20" s="391">
        <f t="shared" ca="1" si="5"/>
        <v>1</v>
      </c>
      <c r="G20" s="398"/>
      <c r="H20" s="399" t="s">
        <v>430</v>
      </c>
      <c r="I20" s="400" t="str">
        <f t="shared" ca="1" si="0"/>
        <v>03</v>
      </c>
      <c r="J20" s="401" t="s">
        <v>195</v>
      </c>
      <c r="K20" s="402"/>
      <c r="L20" s="403"/>
      <c r="M20" s="403"/>
      <c r="N20" s="404">
        <f t="shared" ca="1" si="1"/>
        <v>7592333.4607472913</v>
      </c>
      <c r="O20" s="405"/>
      <c r="P20" s="406"/>
      <c r="Q20" s="986">
        <f ca="1">N20/Obra!$E$9</f>
        <v>591.84114072114528</v>
      </c>
    </row>
    <row r="21" spans="1:17" s="125" customFormat="1" ht="13.9" hidden="1" customHeight="1" outlineLevel="1" x14ac:dyDescent="0.25">
      <c r="A21" s="390">
        <f ca="1">IF($H21="UNIDADE CONSTRUTIVA",OFFSET(A21,-1,0)+1,LARGE(A$3:A20,1))</f>
        <v>0</v>
      </c>
      <c r="B21" s="390">
        <f t="shared" ca="1" si="2"/>
        <v>3</v>
      </c>
      <c r="C21" s="390">
        <f t="shared" ca="1" si="3"/>
        <v>1</v>
      </c>
      <c r="D21" s="391">
        <f t="shared" ca="1" si="4"/>
        <v>0</v>
      </c>
      <c r="E21" s="391">
        <f t="shared" ca="1" si="5"/>
        <v>1</v>
      </c>
      <c r="G21" s="398"/>
      <c r="H21" s="399" t="s">
        <v>229</v>
      </c>
      <c r="I21" s="400" t="str">
        <f t="shared" ca="1" si="0"/>
        <v>03.001</v>
      </c>
      <c r="J21" s="401" t="s">
        <v>195</v>
      </c>
      <c r="K21" s="402"/>
      <c r="L21" s="403"/>
      <c r="M21" s="403"/>
      <c r="N21" s="404">
        <f t="shared" ca="1" si="1"/>
        <v>7592333.4607472913</v>
      </c>
      <c r="O21" s="405"/>
      <c r="P21" s="406"/>
    </row>
    <row r="22" spans="1:17" s="125" customFormat="1" ht="13.9" hidden="1" customHeight="1" outlineLevel="1" x14ac:dyDescent="0.25">
      <c r="A22" s="390">
        <f ca="1">IF($H22="UNIDADE CONSTRUTIVA",OFFSET(A22,-1,0)+1,LARGE(A$3:A21,1))</f>
        <v>0</v>
      </c>
      <c r="B22" s="390">
        <f t="shared" ca="1" si="2"/>
        <v>3</v>
      </c>
      <c r="C22" s="390">
        <f t="shared" ca="1" si="3"/>
        <v>1</v>
      </c>
      <c r="D22" s="391">
        <f t="shared" ca="1" si="4"/>
        <v>1</v>
      </c>
      <c r="E22" s="391">
        <f t="shared" ca="1" si="5"/>
        <v>0</v>
      </c>
      <c r="G22" s="398"/>
      <c r="H22" s="399" t="s">
        <v>432</v>
      </c>
      <c r="I22" s="400" t="str">
        <f t="shared" ca="1" si="0"/>
        <v>03.001.001</v>
      </c>
      <c r="J22" s="401" t="s">
        <v>438</v>
      </c>
      <c r="K22" s="402"/>
      <c r="L22" s="403"/>
      <c r="M22" s="403"/>
      <c r="N22" s="404">
        <f t="shared" ca="1" si="1"/>
        <v>550980.29896995123</v>
      </c>
      <c r="O22" s="405"/>
      <c r="P22" s="406"/>
    </row>
    <row r="23" spans="1:17" s="125" customFormat="1" ht="13.9" hidden="1" customHeight="1" outlineLevel="2" x14ac:dyDescent="0.25">
      <c r="A23" s="390">
        <f ca="1">IF($H23="UNIDADE CONSTRUTIVA",OFFSET(A23,-1,0)+1,LARGE(A$3:A22,1))</f>
        <v>0</v>
      </c>
      <c r="B23" s="390">
        <f t="shared" ca="1" si="2"/>
        <v>3</v>
      </c>
      <c r="C23" s="390">
        <f t="shared" ca="1" si="3"/>
        <v>1</v>
      </c>
      <c r="D23" s="391">
        <f t="shared" ca="1" si="4"/>
        <v>1</v>
      </c>
      <c r="E23" s="391">
        <f t="shared" ca="1" si="5"/>
        <v>1</v>
      </c>
      <c r="G23" s="398"/>
      <c r="H23" s="399" t="s">
        <v>433</v>
      </c>
      <c r="I23" s="400" t="str">
        <f t="shared" ref="I23" ca="1" si="6">IF(H23="Unidade Construtiva",TEXT(A23,"00"),IF(H23="Célula Construtiva",TEXT(B23,"00"),IF(H23="Etapa",CONCATENATE(TEXT(B23,"00"),".",TEXT(C23,"000")),IF(H23="Subetapa",CONCATENATE(TEXT(B23,"00"),".",TEXT(C23,"000"),".",TEXT(D23,"000")),IF(H23="Serviço",CONCATENATE(TEXT(B23,"00"),".",TEXT(C23,"000"),".",TEXT(D23,"000"),".",TEXT(E23,"000")),"")))))</f>
        <v>03.001.001.001</v>
      </c>
      <c r="J23" s="401" t="s">
        <v>991</v>
      </c>
      <c r="K23" s="402" t="s">
        <v>66</v>
      </c>
      <c r="L23" s="403">
        <f>'Fundação Rasa'!$M$8/4</f>
        <v>5.0388300000000008</v>
      </c>
      <c r="M23" s="403">
        <v>65.117350000000002</v>
      </c>
      <c r="N23" s="404">
        <f t="shared" si="1"/>
        <v>328.11525670050008</v>
      </c>
      <c r="O23" s="405" t="s">
        <v>1034</v>
      </c>
      <c r="P23" s="406" t="s">
        <v>3605</v>
      </c>
    </row>
    <row r="24" spans="1:17" s="125" customFormat="1" ht="13.9" hidden="1" customHeight="1" outlineLevel="2" x14ac:dyDescent="0.25">
      <c r="A24" s="390">
        <f ca="1">IF($H24="UNIDADE CONSTRUTIVA",OFFSET(A24,-1,0)+1,LARGE(A$3:A23,1))</f>
        <v>0</v>
      </c>
      <c r="B24" s="390">
        <f t="shared" ca="1" si="2"/>
        <v>3</v>
      </c>
      <c r="C24" s="390">
        <f t="shared" ca="1" si="3"/>
        <v>1</v>
      </c>
      <c r="D24" s="391">
        <f t="shared" ca="1" si="4"/>
        <v>1</v>
      </c>
      <c r="E24" s="391">
        <f t="shared" ca="1" si="5"/>
        <v>2</v>
      </c>
      <c r="G24" s="398"/>
      <c r="H24" s="399" t="s">
        <v>433</v>
      </c>
      <c r="I24" s="400" t="str">
        <f t="shared" ref="I24:I29" ca="1" si="7">IF(H24="Unidade Construtiva",TEXT(A24,"00"),IF(H24="Célula Construtiva",TEXT(B24,"00"),IF(H24="Etapa",CONCATENATE(TEXT(B24,"00"),".",TEXT(C24,"000")),IF(H24="Subetapa",CONCATENATE(TEXT(B24,"00"),".",TEXT(C24,"000"),".",TEXT(D24,"000")),IF(H24="Serviço",CONCATENATE(TEXT(B24,"00"),".",TEXT(C24,"000"),".",TEXT(D24,"000"),".",TEXT(E24,"000")),"")))))</f>
        <v>03.001.001.002</v>
      </c>
      <c r="J24" s="401" t="s">
        <v>986</v>
      </c>
      <c r="K24" s="402" t="s">
        <v>66</v>
      </c>
      <c r="L24" s="403">
        <f>SUPRAESTRUTURA!$AM$3</f>
        <v>1051.1217782702211</v>
      </c>
      <c r="M24" s="403">
        <v>110.39342760330577</v>
      </c>
      <c r="N24" s="404">
        <f t="shared" si="1"/>
        <v>116036.93593173167</v>
      </c>
      <c r="O24" s="405" t="s">
        <v>1035</v>
      </c>
      <c r="P24" s="406" t="s">
        <v>3605</v>
      </c>
    </row>
    <row r="25" spans="1:17" s="125" customFormat="1" ht="13.9" hidden="1" customHeight="1" outlineLevel="2" x14ac:dyDescent="0.25">
      <c r="A25" s="390">
        <f ca="1">IF($H25="UNIDADE CONSTRUTIVA",OFFSET(A25,-1,0)+1,LARGE(A$3:A24,1))</f>
        <v>0</v>
      </c>
      <c r="B25" s="390">
        <f t="shared" ca="1" si="2"/>
        <v>3</v>
      </c>
      <c r="C25" s="390">
        <f t="shared" ca="1" si="3"/>
        <v>1</v>
      </c>
      <c r="D25" s="391">
        <f t="shared" ca="1" si="4"/>
        <v>1</v>
      </c>
      <c r="E25" s="391">
        <f t="shared" ca="1" si="5"/>
        <v>3</v>
      </c>
      <c r="G25" s="398"/>
      <c r="H25" s="399" t="s">
        <v>433</v>
      </c>
      <c r="I25" s="400" t="str">
        <f t="shared" ca="1" si="7"/>
        <v>03.001.001.003</v>
      </c>
      <c r="J25" s="401" t="s">
        <v>987</v>
      </c>
      <c r="K25" s="402" t="s">
        <v>66</v>
      </c>
      <c r="L25" s="403">
        <f>SUPRAESTRUTURA!$AN$3</f>
        <v>1391.3373555367266</v>
      </c>
      <c r="M25" s="403">
        <v>91.561495344352608</v>
      </c>
      <c r="N25" s="404">
        <f t="shared" si="1"/>
        <v>127392.92880139986</v>
      </c>
      <c r="O25" s="405" t="s">
        <v>1035</v>
      </c>
      <c r="P25" s="406" t="s">
        <v>3605</v>
      </c>
    </row>
    <row r="26" spans="1:17" s="125" customFormat="1" ht="13.9" hidden="1" customHeight="1" outlineLevel="2" x14ac:dyDescent="0.25">
      <c r="A26" s="390">
        <f ca="1">IF($H26="UNIDADE CONSTRUTIVA",OFFSET(A26,-1,0)+1,LARGE(A$3:A25,1))</f>
        <v>0</v>
      </c>
      <c r="B26" s="390">
        <f t="shared" ca="1" si="2"/>
        <v>3</v>
      </c>
      <c r="C26" s="390">
        <f t="shared" ca="1" si="3"/>
        <v>1</v>
      </c>
      <c r="D26" s="391">
        <f t="shared" ca="1" si="4"/>
        <v>1</v>
      </c>
      <c r="E26" s="391">
        <f t="shared" ca="1" si="5"/>
        <v>4</v>
      </c>
      <c r="G26" s="398"/>
      <c r="H26" s="399" t="s">
        <v>433</v>
      </c>
      <c r="I26" s="400" t="str">
        <f t="shared" ca="1" si="7"/>
        <v>03.001.001.004</v>
      </c>
      <c r="J26" s="401" t="s">
        <v>988</v>
      </c>
      <c r="K26" s="402" t="s">
        <v>66</v>
      </c>
      <c r="L26" s="403">
        <f>SUPRAESTRUTURA!$AO$3+SUPRAESTRUTURA!$AP$3+SUPRAESTRUTURA!$AQ$3</f>
        <v>3026.2968661930527</v>
      </c>
      <c r="M26" s="403">
        <v>70.964828677685944</v>
      </c>
      <c r="N26" s="404">
        <f t="shared" si="1"/>
        <v>214760.63863720786</v>
      </c>
      <c r="O26" s="405" t="s">
        <v>1035</v>
      </c>
      <c r="P26" s="406" t="s">
        <v>3605</v>
      </c>
    </row>
    <row r="27" spans="1:17" s="125" customFormat="1" ht="13.9" hidden="1" customHeight="1" outlineLevel="2" x14ac:dyDescent="0.25">
      <c r="A27" s="390">
        <f ca="1">IF($H27="UNIDADE CONSTRUTIVA",OFFSET(A27,-1,0)+1,LARGE(A$3:A26,1))</f>
        <v>0</v>
      </c>
      <c r="B27" s="390">
        <f t="shared" ca="1" si="2"/>
        <v>3</v>
      </c>
      <c r="C27" s="390">
        <f t="shared" ca="1" si="3"/>
        <v>1</v>
      </c>
      <c r="D27" s="391">
        <f t="shared" ca="1" si="4"/>
        <v>1</v>
      </c>
      <c r="E27" s="391">
        <f t="shared" ca="1" si="5"/>
        <v>5</v>
      </c>
      <c r="G27" s="398"/>
      <c r="H27" s="399" t="s">
        <v>433</v>
      </c>
      <c r="I27" s="400" t="str">
        <f t="shared" ca="1" si="7"/>
        <v>03.001.001.005</v>
      </c>
      <c r="J27" s="401" t="s">
        <v>442</v>
      </c>
      <c r="K27" s="402" t="s">
        <v>66</v>
      </c>
      <c r="L27" s="403">
        <f>SUPRAESTRUTURA!$AM$4</f>
        <v>11036.778671837319</v>
      </c>
      <c r="M27" s="403">
        <v>0.71326000000000001</v>
      </c>
      <c r="N27" s="404">
        <f t="shared" si="1"/>
        <v>7872.0927554746859</v>
      </c>
      <c r="O27" s="405" t="s">
        <v>1035</v>
      </c>
      <c r="P27" s="406" t="s">
        <v>3605</v>
      </c>
    </row>
    <row r="28" spans="1:17" s="125" customFormat="1" ht="13.9" hidden="1" customHeight="1" outlineLevel="2" x14ac:dyDescent="0.25">
      <c r="A28" s="390">
        <f ca="1">IF($H28="UNIDADE CONSTRUTIVA",OFFSET(A28,-1,0)+1,LARGE(A$3:A27,1))</f>
        <v>0</v>
      </c>
      <c r="B28" s="390">
        <f t="shared" ca="1" si="2"/>
        <v>3</v>
      </c>
      <c r="C28" s="390">
        <f t="shared" ca="1" si="3"/>
        <v>1</v>
      </c>
      <c r="D28" s="391">
        <f t="shared" ca="1" si="4"/>
        <v>1</v>
      </c>
      <c r="E28" s="391">
        <f t="shared" ca="1" si="5"/>
        <v>6</v>
      </c>
      <c r="G28" s="398"/>
      <c r="H28" s="399" t="s">
        <v>433</v>
      </c>
      <c r="I28" s="400" t="str">
        <f t="shared" ca="1" si="7"/>
        <v>03.001.001.006</v>
      </c>
      <c r="J28" s="401" t="s">
        <v>443</v>
      </c>
      <c r="K28" s="402" t="s">
        <v>66</v>
      </c>
      <c r="L28" s="403">
        <f>SUPRAESTRUTURA!$AN$4</f>
        <v>14609.042233135629</v>
      </c>
      <c r="M28" s="995">
        <v>4.23881</v>
      </c>
      <c r="N28" s="404">
        <f t="shared" si="1"/>
        <v>61924.95430823764</v>
      </c>
      <c r="O28" s="405" t="s">
        <v>1035</v>
      </c>
      <c r="P28" s="406" t="s">
        <v>3605</v>
      </c>
    </row>
    <row r="29" spans="1:17" s="125" customFormat="1" ht="13.9" hidden="1" customHeight="1" outlineLevel="2" x14ac:dyDescent="0.25">
      <c r="A29" s="390">
        <f ca="1">IF($H29="UNIDADE CONSTRUTIVA",OFFSET(A29,-1,0)+1,LARGE(A$3:A28,1))</f>
        <v>0</v>
      </c>
      <c r="B29" s="390">
        <f t="shared" ca="1" si="2"/>
        <v>3</v>
      </c>
      <c r="C29" s="390">
        <f t="shared" ca="1" si="3"/>
        <v>1</v>
      </c>
      <c r="D29" s="391">
        <f t="shared" ca="1" si="4"/>
        <v>1</v>
      </c>
      <c r="E29" s="391">
        <f t="shared" ca="1" si="5"/>
        <v>7</v>
      </c>
      <c r="G29" s="398"/>
      <c r="H29" s="399" t="s">
        <v>433</v>
      </c>
      <c r="I29" s="400" t="str">
        <f t="shared" ca="1" si="7"/>
        <v>03.001.001.007</v>
      </c>
      <c r="J29" s="401" t="s">
        <v>444</v>
      </c>
      <c r="K29" s="402" t="s">
        <v>66</v>
      </c>
      <c r="L29" s="403">
        <f>SUPRAESTRUTURA!$AO$4+SUPRAESTRUTURA!$AP$4+SUPRAESTRUTURA!$AQ$4</f>
        <v>31776.117095027053</v>
      </c>
      <c r="M29" s="403">
        <v>0.71326000000000001</v>
      </c>
      <c r="N29" s="404">
        <f t="shared" si="1"/>
        <v>22664.633279198995</v>
      </c>
      <c r="O29" s="405" t="s">
        <v>1035</v>
      </c>
      <c r="P29" s="406" t="s">
        <v>3605</v>
      </c>
    </row>
    <row r="30" spans="1:17" s="125" customFormat="1" ht="13.9" hidden="1" customHeight="1" outlineLevel="1" x14ac:dyDescent="0.25">
      <c r="A30" s="390">
        <f ca="1">IF($H30="UNIDADE CONSTRUTIVA",OFFSET(A30,-1,0)+1,LARGE(A$3:A29,1))</f>
        <v>0</v>
      </c>
      <c r="B30" s="390">
        <f t="shared" ca="1" si="2"/>
        <v>3</v>
      </c>
      <c r="C30" s="390">
        <f t="shared" ca="1" si="3"/>
        <v>1</v>
      </c>
      <c r="D30" s="391">
        <f t="shared" ca="1" si="4"/>
        <v>2</v>
      </c>
      <c r="E30" s="391">
        <f t="shared" ca="1" si="5"/>
        <v>0</v>
      </c>
      <c r="G30" s="398"/>
      <c r="H30" s="399" t="s">
        <v>432</v>
      </c>
      <c r="I30" s="400" t="str">
        <f t="shared" ca="1" si="0"/>
        <v>03.001.002</v>
      </c>
      <c r="J30" s="401" t="s">
        <v>436</v>
      </c>
      <c r="K30" s="402"/>
      <c r="L30" s="403"/>
      <c r="M30" s="403"/>
      <c r="N30" s="404">
        <f t="shared" ca="1" si="1"/>
        <v>1604329.2637544998</v>
      </c>
      <c r="O30" s="405"/>
      <c r="P30" s="406"/>
    </row>
    <row r="31" spans="1:17" s="125" customFormat="1" ht="13.9" hidden="1" customHeight="1" outlineLevel="2" x14ac:dyDescent="0.25">
      <c r="A31" s="390">
        <f ca="1">IF($H31="UNIDADE CONSTRUTIVA",OFFSET(A31,-1,0)+1,LARGE(A$3:A30,1))</f>
        <v>0</v>
      </c>
      <c r="B31" s="390">
        <f t="shared" ca="1" si="2"/>
        <v>3</v>
      </c>
      <c r="C31" s="390">
        <f t="shared" ca="1" si="3"/>
        <v>1</v>
      </c>
      <c r="D31" s="391">
        <f t="shared" ca="1" si="4"/>
        <v>2</v>
      </c>
      <c r="E31" s="391">
        <f t="shared" ca="1" si="5"/>
        <v>1</v>
      </c>
      <c r="G31" s="398"/>
      <c r="H31" s="399" t="s">
        <v>433</v>
      </c>
      <c r="I31" s="400" t="str">
        <f ca="1">IF(H31="Unidade Construtiva",TEXT(A31,"00"),IF(H31="Célula Construtiva",TEXT(B31,"00"),IF(H31="Etapa",CONCATENATE(TEXT(B31,"00"),".",TEXT(C31,"000")),IF(H31="Subetapa",CONCATENATE(TEXT(B31,"00"),".",TEXT(C31,"000"),".",TEXT(D31,"000")),IF(H31="Serviço",CONCATENATE(TEXT(B31,"00"),".",TEXT(C31,"000"),".",TEXT(D31,"000"),".",TEXT(E31,"000")),"")))))</f>
        <v>03.001.002.001</v>
      </c>
      <c r="J31" s="401" t="s">
        <v>445</v>
      </c>
      <c r="K31" s="402" t="s">
        <v>437</v>
      </c>
      <c r="L31" s="403">
        <f>SUPRAESTRUTURA!$Q$29</f>
        <v>9266.3000000000011</v>
      </c>
      <c r="M31" s="403">
        <v>5.9542750000000009</v>
      </c>
      <c r="N31" s="404">
        <f t="shared" si="1"/>
        <v>55174.098432500017</v>
      </c>
      <c r="O31" s="405" t="s">
        <v>1036</v>
      </c>
      <c r="P31" s="406" t="s">
        <v>3605</v>
      </c>
    </row>
    <row r="32" spans="1:17" s="125" customFormat="1" ht="13.9" hidden="1" customHeight="1" outlineLevel="2" x14ac:dyDescent="0.25">
      <c r="A32" s="390">
        <f ca="1">IF($H32="UNIDADE CONSTRUTIVA",OFFSET(A32,-1,0)+1,LARGE(A$3:A31,1))</f>
        <v>0</v>
      </c>
      <c r="B32" s="390">
        <f t="shared" ca="1" si="2"/>
        <v>3</v>
      </c>
      <c r="C32" s="390">
        <f t="shared" ca="1" si="3"/>
        <v>1</v>
      </c>
      <c r="D32" s="391">
        <f t="shared" ca="1" si="4"/>
        <v>2</v>
      </c>
      <c r="E32" s="391">
        <f t="shared" ca="1" si="5"/>
        <v>2</v>
      </c>
      <c r="G32" s="398"/>
      <c r="H32" s="399" t="s">
        <v>433</v>
      </c>
      <c r="I32" s="400" t="str">
        <f ca="1">IF(H32="Unidade Construtiva",TEXT(A32,"00"),IF(H32="Célula Construtiva",TEXT(B32,"00"),IF(H32="Etapa",CONCATENATE(TEXT(B32,"00"),".",TEXT(C32,"000")),IF(H32="Subetapa",CONCATENATE(TEXT(B32,"00"),".",TEXT(C32,"000"),".",TEXT(D32,"000")),IF(H32="Serviço",CONCATENATE(TEXT(B32,"00"),".",TEXT(C32,"000"),".",TEXT(D32,"000"),".",TEXT(E32,"000")),"")))))</f>
        <v>03.001.002.002</v>
      </c>
      <c r="J32" s="401" t="s">
        <v>446</v>
      </c>
      <c r="K32" s="402" t="s">
        <v>437</v>
      </c>
      <c r="L32" s="403">
        <f>SUPRAESTRUTURA!$R$29</f>
        <v>12924.900000000001</v>
      </c>
      <c r="M32" s="403">
        <v>5.954275</v>
      </c>
      <c r="N32" s="404">
        <f t="shared" si="1"/>
        <v>76958.408947500007</v>
      </c>
      <c r="O32" s="405" t="s">
        <v>1036</v>
      </c>
      <c r="P32" s="406" t="s">
        <v>3605</v>
      </c>
    </row>
    <row r="33" spans="1:16" s="125" customFormat="1" ht="13.9" hidden="1" customHeight="1" outlineLevel="2" x14ac:dyDescent="0.25">
      <c r="A33" s="390">
        <f ca="1">IF($H33="UNIDADE CONSTRUTIVA",OFFSET(A33,-1,0)+1,LARGE(A$3:A32,1))</f>
        <v>0</v>
      </c>
      <c r="B33" s="390">
        <f t="shared" ca="1" si="2"/>
        <v>3</v>
      </c>
      <c r="C33" s="390">
        <f t="shared" ca="1" si="3"/>
        <v>1</v>
      </c>
      <c r="D33" s="391">
        <f t="shared" ca="1" si="4"/>
        <v>2</v>
      </c>
      <c r="E33" s="391">
        <f t="shared" ca="1" si="5"/>
        <v>3</v>
      </c>
      <c r="G33" s="398"/>
      <c r="H33" s="399" t="s">
        <v>433</v>
      </c>
      <c r="I33" s="400" t="str">
        <f t="shared" ref="I33:I63" ca="1" si="8">IF(H33="Unidade Construtiva",TEXT(A33,"00"),IF(H33="Célula Construtiva",TEXT(B33,"00"),IF(H33="Etapa",CONCATENATE(TEXT(B33,"00"),".",TEXT(C33,"000")),IF(H33="Subetapa",CONCATENATE(TEXT(B33,"00"),".",TEXT(C33,"000"),".",TEXT(D33,"000")),IF(H33="Serviço",CONCATENATE(TEXT(B33,"00"),".",TEXT(C33,"000"),".",TEXT(D33,"000"),".",TEXT(E33,"000")),"")))))</f>
        <v>03.001.002.003</v>
      </c>
      <c r="J33" s="401" t="s">
        <v>447</v>
      </c>
      <c r="K33" s="402" t="s">
        <v>437</v>
      </c>
      <c r="L33" s="403">
        <f>SUPRAESTRUTURA!$S$29</f>
        <v>36468.800000000003</v>
      </c>
      <c r="M33" s="403">
        <v>5.954275</v>
      </c>
      <c r="N33" s="404">
        <f t="shared" si="1"/>
        <v>217145.26412000001</v>
      </c>
      <c r="O33" s="405" t="s">
        <v>1036</v>
      </c>
      <c r="P33" s="406" t="s">
        <v>3605</v>
      </c>
    </row>
    <row r="34" spans="1:16" s="125" customFormat="1" ht="13.9" hidden="1" customHeight="1" outlineLevel="2" x14ac:dyDescent="0.25">
      <c r="A34" s="390">
        <f ca="1">IF($H34="UNIDADE CONSTRUTIVA",OFFSET(A34,-1,0)+1,LARGE(A$3:A33,1))</f>
        <v>0</v>
      </c>
      <c r="B34" s="390">
        <f t="shared" ca="1" si="2"/>
        <v>3</v>
      </c>
      <c r="C34" s="390">
        <f t="shared" ca="1" si="3"/>
        <v>1</v>
      </c>
      <c r="D34" s="391">
        <f t="shared" ca="1" si="4"/>
        <v>2</v>
      </c>
      <c r="E34" s="391">
        <f t="shared" ca="1" si="5"/>
        <v>4</v>
      </c>
      <c r="G34" s="398"/>
      <c r="H34" s="399" t="s">
        <v>433</v>
      </c>
      <c r="I34" s="400" t="str">
        <f t="shared" ca="1" si="8"/>
        <v>03.001.002.004</v>
      </c>
      <c r="J34" s="401" t="s">
        <v>448</v>
      </c>
      <c r="K34" s="402" t="s">
        <v>437</v>
      </c>
      <c r="L34" s="403">
        <f>SUPRAESTRUTURA!$T$29</f>
        <v>65862.900000000009</v>
      </c>
      <c r="M34" s="403">
        <v>5.954275</v>
      </c>
      <c r="N34" s="404">
        <f t="shared" si="1"/>
        <v>392165.81889750005</v>
      </c>
      <c r="O34" s="405" t="s">
        <v>1036</v>
      </c>
      <c r="P34" s="406" t="s">
        <v>3605</v>
      </c>
    </row>
    <row r="35" spans="1:16" s="125" customFormat="1" ht="13.9" hidden="1" customHeight="1" outlineLevel="2" x14ac:dyDescent="0.25">
      <c r="A35" s="390">
        <f ca="1">IF($H35="UNIDADE CONSTRUTIVA",OFFSET(A35,-1,0)+1,LARGE(A$3:A34,1))</f>
        <v>0</v>
      </c>
      <c r="B35" s="390">
        <f t="shared" ca="1" si="2"/>
        <v>3</v>
      </c>
      <c r="C35" s="390">
        <f t="shared" ca="1" si="3"/>
        <v>1</v>
      </c>
      <c r="D35" s="391">
        <f t="shared" ca="1" si="4"/>
        <v>2</v>
      </c>
      <c r="E35" s="391">
        <f t="shared" ca="1" si="5"/>
        <v>5</v>
      </c>
      <c r="G35" s="398"/>
      <c r="H35" s="399" t="s">
        <v>433</v>
      </c>
      <c r="I35" s="400" t="str">
        <f t="shared" ca="1" si="8"/>
        <v>03.001.002.005</v>
      </c>
      <c r="J35" s="401" t="s">
        <v>449</v>
      </c>
      <c r="K35" s="402" t="s">
        <v>437</v>
      </c>
      <c r="L35" s="403">
        <f>SUPRAESTRUTURA!$U$29</f>
        <v>39570.800000000003</v>
      </c>
      <c r="M35" s="403">
        <v>5.954275</v>
      </c>
      <c r="N35" s="404">
        <f t="shared" si="1"/>
        <v>235615.42517</v>
      </c>
      <c r="O35" s="405" t="s">
        <v>1036</v>
      </c>
      <c r="P35" s="406" t="s">
        <v>3605</v>
      </c>
    </row>
    <row r="36" spans="1:16" s="125" customFormat="1" ht="13.9" hidden="1" customHeight="1" outlineLevel="2" x14ac:dyDescent="0.25">
      <c r="A36" s="390">
        <f ca="1">IF($H36="UNIDADE CONSTRUTIVA",OFFSET(A36,-1,0)+1,LARGE(A$3:A35,1))</f>
        <v>0</v>
      </c>
      <c r="B36" s="390">
        <f t="shared" ca="1" si="2"/>
        <v>3</v>
      </c>
      <c r="C36" s="390">
        <f t="shared" ca="1" si="3"/>
        <v>1</v>
      </c>
      <c r="D36" s="391">
        <f t="shared" ca="1" si="4"/>
        <v>2</v>
      </c>
      <c r="E36" s="391">
        <f t="shared" ca="1" si="5"/>
        <v>6</v>
      </c>
      <c r="G36" s="398"/>
      <c r="H36" s="399" t="s">
        <v>433</v>
      </c>
      <c r="I36" s="400" t="str">
        <f t="shared" ca="1" si="8"/>
        <v>03.001.002.006</v>
      </c>
      <c r="J36" s="401" t="s">
        <v>450</v>
      </c>
      <c r="K36" s="402" t="s">
        <v>437</v>
      </c>
      <c r="L36" s="403">
        <f>SUPRAESTRUTURA!$V$29</f>
        <v>45377.699999999983</v>
      </c>
      <c r="M36" s="403">
        <v>5.954275</v>
      </c>
      <c r="N36" s="404">
        <f t="shared" si="1"/>
        <v>270191.30466749991</v>
      </c>
      <c r="O36" s="405" t="s">
        <v>1036</v>
      </c>
      <c r="P36" s="406" t="s">
        <v>3605</v>
      </c>
    </row>
    <row r="37" spans="1:16" s="125" customFormat="1" ht="13.9" hidden="1" customHeight="1" outlineLevel="2" x14ac:dyDescent="0.25">
      <c r="A37" s="390">
        <f ca="1">IF($H37="UNIDADE CONSTRUTIVA",OFFSET(A37,-1,0)+1,LARGE(A$3:A36,1))</f>
        <v>0</v>
      </c>
      <c r="B37" s="390">
        <f t="shared" ca="1" si="2"/>
        <v>3</v>
      </c>
      <c r="C37" s="390">
        <f t="shared" ca="1" si="3"/>
        <v>1</v>
      </c>
      <c r="D37" s="391">
        <f t="shared" ca="1" si="4"/>
        <v>2</v>
      </c>
      <c r="E37" s="391">
        <f t="shared" ca="1" si="5"/>
        <v>7</v>
      </c>
      <c r="G37" s="398"/>
      <c r="H37" s="399" t="s">
        <v>433</v>
      </c>
      <c r="I37" s="400" t="str">
        <f t="shared" ca="1" si="8"/>
        <v>03.001.002.007</v>
      </c>
      <c r="J37" s="401" t="s">
        <v>451</v>
      </c>
      <c r="K37" s="402" t="s">
        <v>437</v>
      </c>
      <c r="L37" s="403">
        <f>SUPRAESTRUTURA!$W$29</f>
        <v>59672.69999999999</v>
      </c>
      <c r="M37" s="403">
        <v>5.954275</v>
      </c>
      <c r="N37" s="404">
        <f t="shared" si="1"/>
        <v>355307.66579249996</v>
      </c>
      <c r="O37" s="405" t="s">
        <v>1036</v>
      </c>
      <c r="P37" s="406" t="s">
        <v>3605</v>
      </c>
    </row>
    <row r="38" spans="1:16" s="125" customFormat="1" ht="13.9" hidden="1" customHeight="1" outlineLevel="2" x14ac:dyDescent="0.25">
      <c r="A38" s="390">
        <f ca="1">IF($H38="UNIDADE CONSTRUTIVA",OFFSET(A38,-1,0)+1,LARGE(A$3:A37,1))</f>
        <v>0</v>
      </c>
      <c r="B38" s="390">
        <f t="shared" ca="1" si="2"/>
        <v>3</v>
      </c>
      <c r="C38" s="390">
        <f t="shared" ca="1" si="3"/>
        <v>1</v>
      </c>
      <c r="D38" s="391">
        <f t="shared" ca="1" si="4"/>
        <v>2</v>
      </c>
      <c r="E38" s="391">
        <f t="shared" ca="1" si="5"/>
        <v>8</v>
      </c>
      <c r="G38" s="398"/>
      <c r="H38" s="399" t="s">
        <v>433</v>
      </c>
      <c r="I38" s="400" t="str">
        <f t="shared" ca="1" si="8"/>
        <v>03.001.002.008</v>
      </c>
      <c r="J38" s="401" t="s">
        <v>992</v>
      </c>
      <c r="K38" s="402" t="s">
        <v>437</v>
      </c>
      <c r="L38" s="403">
        <f>201*1.48</f>
        <v>297.48</v>
      </c>
      <c r="M38" s="403">
        <v>5.954275</v>
      </c>
      <c r="N38" s="404">
        <f t="shared" si="1"/>
        <v>1771.2777270000001</v>
      </c>
      <c r="O38" s="405" t="s">
        <v>1036</v>
      </c>
      <c r="P38" s="406" t="s">
        <v>3605</v>
      </c>
    </row>
    <row r="39" spans="1:16" s="125" customFormat="1" ht="13.9" hidden="1" customHeight="1" outlineLevel="1" x14ac:dyDescent="0.25">
      <c r="A39" s="390">
        <f ca="1">IF($H39="UNIDADE CONSTRUTIVA",OFFSET(A39,-1,0)+1,LARGE(A$3:A38,1))</f>
        <v>0</v>
      </c>
      <c r="B39" s="390">
        <f t="shared" ca="1" si="2"/>
        <v>3</v>
      </c>
      <c r="C39" s="390">
        <f t="shared" ca="1" si="3"/>
        <v>1</v>
      </c>
      <c r="D39" s="391">
        <f t="shared" ca="1" si="4"/>
        <v>3</v>
      </c>
      <c r="E39" s="391">
        <f t="shared" ca="1" si="5"/>
        <v>0</v>
      </c>
      <c r="G39" s="398"/>
      <c r="H39" s="399" t="s">
        <v>432</v>
      </c>
      <c r="I39" s="400" t="str">
        <f t="shared" ca="1" si="8"/>
        <v>03.001.003</v>
      </c>
      <c r="J39" s="401" t="s">
        <v>452</v>
      </c>
      <c r="K39" s="402"/>
      <c r="L39" s="403"/>
      <c r="M39" s="403"/>
      <c r="N39" s="404">
        <f t="shared" ca="1" si="1"/>
        <v>2293204.7069299999</v>
      </c>
      <c r="O39" s="405"/>
      <c r="P39" s="406"/>
    </row>
    <row r="40" spans="1:16" s="125" customFormat="1" ht="13.15" hidden="1" customHeight="1" outlineLevel="2" x14ac:dyDescent="0.25">
      <c r="A40" s="390">
        <f ca="1">IF($H40="UNIDADE CONSTRUTIVA",OFFSET(A40,-1,0)+1,LARGE(A$3:A39,1))</f>
        <v>0</v>
      </c>
      <c r="B40" s="390">
        <f t="shared" ca="1" si="2"/>
        <v>3</v>
      </c>
      <c r="C40" s="390">
        <f t="shared" ca="1" si="3"/>
        <v>1</v>
      </c>
      <c r="D40" s="391">
        <f t="shared" ca="1" si="4"/>
        <v>3</v>
      </c>
      <c r="E40" s="391">
        <f t="shared" ca="1" si="5"/>
        <v>1</v>
      </c>
      <c r="G40" s="398"/>
      <c r="H40" s="399" t="s">
        <v>433</v>
      </c>
      <c r="I40" s="400" t="str">
        <f t="shared" ref="I40" ca="1" si="9">IF(H40="Unidade Construtiva",TEXT(A40,"00"),IF(H40="Célula Construtiva",TEXT(B40,"00"),IF(H40="Etapa",CONCATENATE(TEXT(B40,"00"),".",TEXT(C40,"000")),IF(H40="Subetapa",CONCATENATE(TEXT(B40,"00"),".",TEXT(C40,"000"),".",TEXT(D40,"000")),IF(H40="Serviço",CONCATENATE(TEXT(B40,"00"),".",TEXT(C40,"000"),".",TEXT(D40,"000"),".",TEXT(E40,"000")),"")))))</f>
        <v>03.001.003.001</v>
      </c>
      <c r="J40" s="401" t="s">
        <v>994</v>
      </c>
      <c r="K40" s="402" t="s">
        <v>434</v>
      </c>
      <c r="L40" s="403">
        <f>'Fundação Rasa'!O8</f>
        <v>139.03700000000001</v>
      </c>
      <c r="M40" s="403">
        <v>557.26</v>
      </c>
      <c r="N40" s="404">
        <f t="shared" si="1"/>
        <v>77479.758620000008</v>
      </c>
      <c r="O40" s="405" t="s">
        <v>1036</v>
      </c>
      <c r="P40" s="406" t="s">
        <v>3605</v>
      </c>
    </row>
    <row r="41" spans="1:16" s="125" customFormat="1" ht="13.15" hidden="1" customHeight="1" outlineLevel="2" x14ac:dyDescent="0.25">
      <c r="A41" s="390">
        <f ca="1">IF($H41="UNIDADE CONSTRUTIVA",OFFSET(A41,-1,0)+1,LARGE(A$3:A40,1))</f>
        <v>0</v>
      </c>
      <c r="B41" s="390">
        <f t="shared" ca="1" si="2"/>
        <v>3</v>
      </c>
      <c r="C41" s="390">
        <f t="shared" ca="1" si="3"/>
        <v>1</v>
      </c>
      <c r="D41" s="391">
        <f t="shared" ca="1" si="4"/>
        <v>3</v>
      </c>
      <c r="E41" s="391">
        <f t="shared" ca="1" si="5"/>
        <v>2</v>
      </c>
      <c r="G41" s="398"/>
      <c r="H41" s="399" t="s">
        <v>433</v>
      </c>
      <c r="I41" s="400" t="str">
        <f t="shared" ca="1" si="8"/>
        <v>03.001.003.002</v>
      </c>
      <c r="J41" s="401" t="s">
        <v>995</v>
      </c>
      <c r="K41" s="402" t="s">
        <v>434</v>
      </c>
      <c r="L41" s="403">
        <f>SUPRAESTRUTURA!M28</f>
        <v>3496.7999999999993</v>
      </c>
      <c r="M41" s="403">
        <v>632.54500000000007</v>
      </c>
      <c r="N41" s="404">
        <f t="shared" si="1"/>
        <v>2211883.3559999997</v>
      </c>
      <c r="O41" s="405" t="s">
        <v>1036</v>
      </c>
      <c r="P41" s="406" t="s">
        <v>3605</v>
      </c>
    </row>
    <row r="42" spans="1:16" s="125" customFormat="1" ht="13.15" hidden="1" customHeight="1" outlineLevel="2" x14ac:dyDescent="0.25">
      <c r="A42" s="390">
        <f ca="1">IF($H42="UNIDADE CONSTRUTIVA",OFFSET(A42,-1,0)+1,LARGE(A$3:A41,1))</f>
        <v>0</v>
      </c>
      <c r="B42" s="390">
        <f t="shared" ca="1" si="2"/>
        <v>3</v>
      </c>
      <c r="C42" s="390">
        <f t="shared" ca="1" si="3"/>
        <v>1</v>
      </c>
      <c r="D42" s="391">
        <f t="shared" ca="1" si="4"/>
        <v>3</v>
      </c>
      <c r="E42" s="391">
        <f t="shared" ca="1" si="5"/>
        <v>3</v>
      </c>
      <c r="G42" s="398"/>
      <c r="H42" s="399" t="s">
        <v>433</v>
      </c>
      <c r="I42" s="400" t="str">
        <f t="shared" ref="I42" ca="1" si="10">IF(H42="Unidade Construtiva",TEXT(A42,"00"),IF(H42="Célula Construtiva",TEXT(B42,"00"),IF(H42="Etapa",CONCATENATE(TEXT(B42,"00"),".",TEXT(C42,"000")),IF(H42="Subetapa",CONCATENATE(TEXT(B42,"00"),".",TEXT(C42,"000"),".",TEXT(D42,"000")),IF(H42="Serviço",CONCATENATE(TEXT(B42,"00"),".",TEXT(C42,"000"),".",TEXT(D42,"000"),".",TEXT(E42,"000")),"")))))</f>
        <v>03.001.003.003</v>
      </c>
      <c r="J42" s="401" t="s">
        <v>993</v>
      </c>
      <c r="K42" s="402" t="s">
        <v>66</v>
      </c>
      <c r="L42" s="403">
        <f>'Fundação Rasa'!F8</f>
        <v>1390.37</v>
      </c>
      <c r="M42" s="403">
        <v>2.7630000000000003</v>
      </c>
      <c r="N42" s="404">
        <f t="shared" si="1"/>
        <v>3841.59231</v>
      </c>
      <c r="O42" s="405" t="s">
        <v>1036</v>
      </c>
      <c r="P42" s="406" t="s">
        <v>3605</v>
      </c>
    </row>
    <row r="43" spans="1:16" s="125" customFormat="1" ht="13.9" hidden="1" customHeight="1" outlineLevel="1" x14ac:dyDescent="0.25">
      <c r="A43" s="390">
        <f ca="1">IF($H43="UNIDADE CONSTRUTIVA",OFFSET(A43,-1,0)+1,LARGE(A$3:A42,1))</f>
        <v>0</v>
      </c>
      <c r="B43" s="390">
        <f t="shared" ca="1" si="2"/>
        <v>3</v>
      </c>
      <c r="C43" s="390">
        <f t="shared" ca="1" si="3"/>
        <v>1</v>
      </c>
      <c r="D43" s="391">
        <f t="shared" ca="1" si="4"/>
        <v>4</v>
      </c>
      <c r="E43" s="391">
        <f t="shared" ca="1" si="5"/>
        <v>0</v>
      </c>
      <c r="G43" s="398"/>
      <c r="H43" s="399" t="s">
        <v>432</v>
      </c>
      <c r="I43" s="400" t="str">
        <f t="shared" ca="1" si="8"/>
        <v>03.001.004</v>
      </c>
      <c r="J43" s="401" t="s">
        <v>453</v>
      </c>
      <c r="K43" s="402"/>
      <c r="L43" s="403"/>
      <c r="M43" s="403"/>
      <c r="N43" s="404">
        <f t="shared" ca="1" si="1"/>
        <v>146099.19109283999</v>
      </c>
      <c r="O43" s="405"/>
      <c r="P43" s="406"/>
    </row>
    <row r="44" spans="1:16" s="125" customFormat="1" ht="13.9" hidden="1" customHeight="1" outlineLevel="2" x14ac:dyDescent="0.25">
      <c r="A44" s="390">
        <f ca="1">IF($H44="UNIDADE CONSTRUTIVA",OFFSET(A44,-1,0)+1,LARGE(A$3:A43,1))</f>
        <v>0</v>
      </c>
      <c r="B44" s="390">
        <f t="shared" ca="1" si="2"/>
        <v>3</v>
      </c>
      <c r="C44" s="390">
        <f t="shared" ca="1" si="3"/>
        <v>1</v>
      </c>
      <c r="D44" s="391">
        <f t="shared" ca="1" si="4"/>
        <v>4</v>
      </c>
      <c r="E44" s="391">
        <f t="shared" ca="1" si="5"/>
        <v>1</v>
      </c>
      <c r="G44" s="398"/>
      <c r="H44" s="399" t="s">
        <v>433</v>
      </c>
      <c r="I44" s="400" t="str">
        <f t="shared" ca="1" si="8"/>
        <v>03.001.004.001</v>
      </c>
      <c r="J44" s="401" t="s">
        <v>989</v>
      </c>
      <c r="K44" s="402" t="s">
        <v>74</v>
      </c>
      <c r="L44" s="403">
        <v>1</v>
      </c>
      <c r="M44" s="403">
        <f>352779.075*0.3</f>
        <v>105833.7225</v>
      </c>
      <c r="N44" s="404">
        <f t="shared" si="1"/>
        <v>105833.7225</v>
      </c>
      <c r="O44" s="405" t="s">
        <v>1036</v>
      </c>
      <c r="P44" s="406" t="s">
        <v>3605</v>
      </c>
    </row>
    <row r="45" spans="1:16" s="125" customFormat="1" ht="13.9" hidden="1" customHeight="1" outlineLevel="2" x14ac:dyDescent="0.25">
      <c r="A45" s="390">
        <f ca="1">IF($H45="UNIDADE CONSTRUTIVA",OFFSET(A45,-1,0)+1,LARGE(A$3:A44,1))</f>
        <v>0</v>
      </c>
      <c r="B45" s="390">
        <f t="shared" ca="1" si="2"/>
        <v>3</v>
      </c>
      <c r="C45" s="390">
        <f t="shared" ca="1" si="3"/>
        <v>1</v>
      </c>
      <c r="D45" s="391">
        <f t="shared" ca="1" si="4"/>
        <v>4</v>
      </c>
      <c r="E45" s="391">
        <f t="shared" ca="1" si="5"/>
        <v>2</v>
      </c>
      <c r="G45" s="398"/>
      <c r="H45" s="399" t="s">
        <v>433</v>
      </c>
      <c r="I45" s="400" t="str">
        <f t="shared" ca="1" si="8"/>
        <v>03.001.004.002</v>
      </c>
      <c r="J45" s="401" t="s">
        <v>3524</v>
      </c>
      <c r="K45" s="402" t="s">
        <v>434</v>
      </c>
      <c r="L45" s="403">
        <f>L41</f>
        <v>3496.7999999999993</v>
      </c>
      <c r="M45" s="403">
        <v>11.514947549999999</v>
      </c>
      <c r="N45" s="404">
        <f t="shared" si="1"/>
        <v>40265.468592839985</v>
      </c>
      <c r="O45" s="405" t="s">
        <v>1036</v>
      </c>
      <c r="P45" s="406" t="s">
        <v>3605</v>
      </c>
    </row>
    <row r="46" spans="1:16" s="125" customFormat="1" ht="13.9" hidden="1" customHeight="1" outlineLevel="1" x14ac:dyDescent="0.25">
      <c r="A46" s="390">
        <f ca="1">IF($H46="UNIDADE CONSTRUTIVA",OFFSET(A46,-1,0)+1,LARGE(A$3:A45,1))</f>
        <v>0</v>
      </c>
      <c r="B46" s="390">
        <f t="shared" ca="1" si="2"/>
        <v>3</v>
      </c>
      <c r="C46" s="390">
        <f t="shared" ca="1" si="3"/>
        <v>1</v>
      </c>
      <c r="D46" s="391">
        <f t="shared" ca="1" si="4"/>
        <v>5</v>
      </c>
      <c r="E46" s="391">
        <f t="shared" ca="1" si="5"/>
        <v>0</v>
      </c>
      <c r="G46" s="398"/>
      <c r="H46" s="399" t="s">
        <v>432</v>
      </c>
      <c r="I46" s="400" t="str">
        <f t="shared" ca="1" si="8"/>
        <v>03.001.005</v>
      </c>
      <c r="J46" s="401" t="s">
        <v>454</v>
      </c>
      <c r="K46" s="402"/>
      <c r="L46" s="403"/>
      <c r="M46" s="403"/>
      <c r="N46" s="404">
        <f t="shared" ca="1" si="1"/>
        <v>2997719.9999999995</v>
      </c>
      <c r="O46" s="405"/>
      <c r="P46" s="406"/>
    </row>
    <row r="47" spans="1:16" s="125" customFormat="1" ht="13.9" hidden="1" customHeight="1" outlineLevel="2" x14ac:dyDescent="0.25">
      <c r="A47" s="390">
        <f ca="1">IF($H47="UNIDADE CONSTRUTIVA",OFFSET(A47,-1,0)+1,LARGE(A$3:A46,1))</f>
        <v>0</v>
      </c>
      <c r="B47" s="390">
        <f t="shared" ca="1" si="2"/>
        <v>3</v>
      </c>
      <c r="C47" s="390">
        <f t="shared" ca="1" si="3"/>
        <v>1</v>
      </c>
      <c r="D47" s="391">
        <f t="shared" ca="1" si="4"/>
        <v>5</v>
      </c>
      <c r="E47" s="391">
        <f t="shared" ca="1" si="5"/>
        <v>1</v>
      </c>
      <c r="G47" s="398"/>
      <c r="H47" s="399" t="s">
        <v>433</v>
      </c>
      <c r="I47" s="400" t="str">
        <f t="shared" ca="1" si="8"/>
        <v>03.001.005.001</v>
      </c>
      <c r="J47" s="401" t="s">
        <v>455</v>
      </c>
      <c r="K47" s="402" t="s">
        <v>66</v>
      </c>
      <c r="L47" s="403">
        <f>Obra!$E$9</f>
        <v>12828.330000000002</v>
      </c>
      <c r="M47" s="403">
        <f>'Custos Serviços'!$G$9</f>
        <v>231.05963130041084</v>
      </c>
      <c r="N47" s="404">
        <f t="shared" si="1"/>
        <v>2964109.1999999997</v>
      </c>
      <c r="O47" s="998" t="s">
        <v>4192</v>
      </c>
      <c r="P47" s="406" t="s">
        <v>3605</v>
      </c>
    </row>
    <row r="48" spans="1:16" s="125" customFormat="1" ht="13.9" hidden="1" customHeight="1" outlineLevel="2" x14ac:dyDescent="0.25">
      <c r="A48" s="390">
        <f ca="1">IF($H48="UNIDADE CONSTRUTIVA",OFFSET(A48,-1,0)+1,LARGE(A$3:A47,1))</f>
        <v>0</v>
      </c>
      <c r="B48" s="390">
        <f t="shared" ca="1" si="2"/>
        <v>3</v>
      </c>
      <c r="C48" s="390">
        <f t="shared" ca="1" si="3"/>
        <v>1</v>
      </c>
      <c r="D48" s="391">
        <f t="shared" ca="1" si="4"/>
        <v>5</v>
      </c>
      <c r="E48" s="391">
        <f t="shared" ca="1" si="5"/>
        <v>2</v>
      </c>
      <c r="G48" s="398"/>
      <c r="H48" s="399" t="s">
        <v>433</v>
      </c>
      <c r="I48" s="400" t="str">
        <f t="shared" ca="1" si="8"/>
        <v>03.001.005.002</v>
      </c>
      <c r="J48" s="401" t="s">
        <v>456</v>
      </c>
      <c r="K48" s="402" t="s">
        <v>66</v>
      </c>
      <c r="L48" s="403">
        <f>$L$42</f>
        <v>1390.37</v>
      </c>
      <c r="M48" s="403">
        <f>'Custos Serviços'!$G$10</f>
        <v>24.173996849759419</v>
      </c>
      <c r="N48" s="404">
        <f t="shared" si="1"/>
        <v>33610.800000000003</v>
      </c>
      <c r="O48" s="998" t="s">
        <v>4192</v>
      </c>
      <c r="P48" s="406" t="s">
        <v>3605</v>
      </c>
    </row>
    <row r="49" spans="1:17" s="125" customFormat="1" ht="13.9" customHeight="1" collapsed="1" x14ac:dyDescent="0.25">
      <c r="A49" s="390">
        <f ca="1">IF($H49="UNIDADE CONSTRUTIVA",OFFSET(A49,-1,0)+1,LARGE(A$3:A48,1))</f>
        <v>0</v>
      </c>
      <c r="B49" s="390">
        <f t="shared" ca="1" si="2"/>
        <v>4</v>
      </c>
      <c r="C49" s="390">
        <f t="shared" ca="1" si="3"/>
        <v>0</v>
      </c>
      <c r="D49" s="391">
        <f t="shared" ca="1" si="4"/>
        <v>5</v>
      </c>
      <c r="E49" s="391">
        <f t="shared" ca="1" si="5"/>
        <v>2</v>
      </c>
      <c r="G49" s="398"/>
      <c r="H49" s="399" t="s">
        <v>430</v>
      </c>
      <c r="I49" s="400" t="str">
        <f t="shared" ca="1" si="8"/>
        <v>04</v>
      </c>
      <c r="J49" s="408" t="s">
        <v>251</v>
      </c>
      <c r="K49" s="402"/>
      <c r="L49" s="403"/>
      <c r="M49" s="403"/>
      <c r="N49" s="404">
        <f t="shared" ca="1" si="1"/>
        <v>1859633.3236303444</v>
      </c>
      <c r="O49" s="405"/>
      <c r="P49" s="406"/>
      <c r="Q49" s="986">
        <f ca="1">N49/Obra!$E$9</f>
        <v>144.96300949775568</v>
      </c>
    </row>
    <row r="50" spans="1:17" s="125" customFormat="1" ht="13.9" hidden="1" customHeight="1" outlineLevel="1" x14ac:dyDescent="0.25">
      <c r="A50" s="390">
        <f ca="1">IF($H50="UNIDADE CONSTRUTIVA",OFFSET(A50,-1,0)+1,LARGE(A$3:A49,1))</f>
        <v>0</v>
      </c>
      <c r="B50" s="390">
        <f t="shared" ca="1" si="2"/>
        <v>4</v>
      </c>
      <c r="C50" s="390">
        <f t="shared" ca="1" si="3"/>
        <v>1</v>
      </c>
      <c r="D50" s="391">
        <f t="shared" ca="1" si="4"/>
        <v>0</v>
      </c>
      <c r="E50" s="391">
        <f t="shared" ca="1" si="5"/>
        <v>2</v>
      </c>
      <c r="G50" s="398"/>
      <c r="H50" s="399" t="s">
        <v>229</v>
      </c>
      <c r="I50" s="400" t="str">
        <f t="shared" ca="1" si="8"/>
        <v>04.001</v>
      </c>
      <c r="J50" s="401" t="s">
        <v>251</v>
      </c>
      <c r="K50" s="402"/>
      <c r="L50" s="403"/>
      <c r="M50" s="403"/>
      <c r="N50" s="404">
        <f t="shared" ca="1" si="1"/>
        <v>1859633.3236303444</v>
      </c>
      <c r="O50" s="405"/>
      <c r="P50" s="406"/>
    </row>
    <row r="51" spans="1:17" s="125" customFormat="1" ht="13.9" hidden="1" customHeight="1" outlineLevel="1" x14ac:dyDescent="0.25">
      <c r="A51" s="390">
        <f ca="1">IF($H51="UNIDADE CONSTRUTIVA",OFFSET(A51,-1,0)+1,LARGE(A$3:A50,1))</f>
        <v>0</v>
      </c>
      <c r="B51" s="390">
        <f t="shared" ca="1" si="2"/>
        <v>4</v>
      </c>
      <c r="C51" s="390">
        <f t="shared" ca="1" si="3"/>
        <v>1</v>
      </c>
      <c r="D51" s="391">
        <f t="shared" ca="1" si="4"/>
        <v>1</v>
      </c>
      <c r="E51" s="391">
        <f t="shared" ca="1" si="5"/>
        <v>0</v>
      </c>
      <c r="G51" s="398"/>
      <c r="H51" s="399" t="s">
        <v>432</v>
      </c>
      <c r="I51" s="400" t="str">
        <f t="shared" ca="1" si="8"/>
        <v>04.001.001</v>
      </c>
      <c r="J51" s="401" t="s">
        <v>457</v>
      </c>
      <c r="K51" s="402"/>
      <c r="L51" s="403"/>
      <c r="M51" s="403"/>
      <c r="N51" s="404">
        <f t="shared" ca="1" si="1"/>
        <v>533461.72495599999</v>
      </c>
      <c r="O51" s="405">
        <f ca="1">N51/Obra!$E$9</f>
        <v>41.584658716762036</v>
      </c>
      <c r="P51" s="406"/>
    </row>
    <row r="52" spans="1:17" s="125" customFormat="1" ht="13.9" hidden="1" customHeight="1" outlineLevel="2" x14ac:dyDescent="0.25">
      <c r="A52" s="390">
        <f ca="1">IF($H52="UNIDADE CONSTRUTIVA",OFFSET(A52,-1,0)+1,LARGE(A$3:A51,1))</f>
        <v>0</v>
      </c>
      <c r="B52" s="390">
        <f t="shared" ca="1" si="2"/>
        <v>4</v>
      </c>
      <c r="C52" s="390">
        <f t="shared" ca="1" si="3"/>
        <v>1</v>
      </c>
      <c r="D52" s="391">
        <f t="shared" ca="1" si="4"/>
        <v>1</v>
      </c>
      <c r="E52" s="391">
        <f t="shared" ca="1" si="5"/>
        <v>1</v>
      </c>
      <c r="G52" s="398"/>
      <c r="H52" s="399" t="s">
        <v>433</v>
      </c>
      <c r="I52" s="400" t="str">
        <f t="shared" ca="1" si="8"/>
        <v>04.001.001.001</v>
      </c>
      <c r="J52" s="401" t="s">
        <v>458</v>
      </c>
      <c r="K52" s="402" t="s">
        <v>66</v>
      </c>
      <c r="L52" s="403">
        <f>'ARQ. RES'!D14+0.01</f>
        <v>111.46000000000001</v>
      </c>
      <c r="M52" s="403">
        <v>35.985599999999998</v>
      </c>
      <c r="N52" s="404">
        <f t="shared" si="1"/>
        <v>4010.954976</v>
      </c>
      <c r="O52" s="405"/>
      <c r="P52" s="406" t="s">
        <v>3605</v>
      </c>
      <c r="Q52" s="986"/>
    </row>
    <row r="53" spans="1:17" s="125" customFormat="1" ht="13.9" hidden="1" customHeight="1" outlineLevel="2" x14ac:dyDescent="0.25">
      <c r="A53" s="390">
        <f ca="1">IF($H53="UNIDADE CONSTRUTIVA",OFFSET(A53,-1,0)+1,LARGE(A$3:A52,1))</f>
        <v>0</v>
      </c>
      <c r="B53" s="390">
        <f t="shared" ca="1" si="2"/>
        <v>4</v>
      </c>
      <c r="C53" s="390">
        <f t="shared" ca="1" si="3"/>
        <v>1</v>
      </c>
      <c r="D53" s="391">
        <f t="shared" ca="1" si="4"/>
        <v>1</v>
      </c>
      <c r="E53" s="391">
        <f t="shared" ca="1" si="5"/>
        <v>2</v>
      </c>
      <c r="G53" s="398"/>
      <c r="H53" s="399" t="s">
        <v>433</v>
      </c>
      <c r="I53" s="400" t="str">
        <f t="shared" ca="1" si="8"/>
        <v>04.001.001.002</v>
      </c>
      <c r="J53" s="401" t="s">
        <v>459</v>
      </c>
      <c r="K53" s="402" t="s">
        <v>66</v>
      </c>
      <c r="L53" s="403">
        <f>'ARQ. RES'!D15</f>
        <v>9206.56</v>
      </c>
      <c r="M53" s="403">
        <v>44.137999999999998</v>
      </c>
      <c r="N53" s="404">
        <f t="shared" si="1"/>
        <v>406359.14527999994</v>
      </c>
      <c r="O53" s="405"/>
      <c r="P53" s="406" t="s">
        <v>3605</v>
      </c>
      <c r="Q53" s="993"/>
    </row>
    <row r="54" spans="1:17" s="125" customFormat="1" ht="13.9" hidden="1" customHeight="1" outlineLevel="2" x14ac:dyDescent="0.25">
      <c r="A54" s="390">
        <f ca="1">IF($H54="UNIDADE CONSTRUTIVA",OFFSET(A54,-1,0)+1,LARGE(A$3:A53,1))</f>
        <v>0</v>
      </c>
      <c r="B54" s="390">
        <f t="shared" ca="1" si="2"/>
        <v>4</v>
      </c>
      <c r="C54" s="390">
        <f t="shared" ca="1" si="3"/>
        <v>1</v>
      </c>
      <c r="D54" s="391">
        <f t="shared" ca="1" si="4"/>
        <v>1</v>
      </c>
      <c r="E54" s="391">
        <f t="shared" ca="1" si="5"/>
        <v>3</v>
      </c>
      <c r="G54" s="398"/>
      <c r="H54" s="399" t="s">
        <v>433</v>
      </c>
      <c r="I54" s="400" t="str">
        <f t="shared" ca="1" si="8"/>
        <v>04.001.001.003</v>
      </c>
      <c r="J54" s="401" t="s">
        <v>460</v>
      </c>
      <c r="K54" s="402" t="s">
        <v>66</v>
      </c>
      <c r="L54" s="403">
        <f>'ARQ. RES'!D16</f>
        <v>2448.61</v>
      </c>
      <c r="M54" s="403">
        <v>50.27</v>
      </c>
      <c r="N54" s="404">
        <f t="shared" si="1"/>
        <v>123091.62470000001</v>
      </c>
      <c r="O54" s="405"/>
      <c r="P54" s="406" t="s">
        <v>3605</v>
      </c>
      <c r="Q54" s="993"/>
    </row>
    <row r="55" spans="1:17" s="125" customFormat="1" ht="13.9" hidden="1" customHeight="1" outlineLevel="1" x14ac:dyDescent="0.25">
      <c r="A55" s="390">
        <f ca="1">IF($H55="UNIDADE CONSTRUTIVA",OFFSET(A55,-1,0)+1,LARGE(A$3:A54,1))</f>
        <v>0</v>
      </c>
      <c r="B55" s="390">
        <f t="shared" ca="1" si="2"/>
        <v>4</v>
      </c>
      <c r="C55" s="390">
        <f t="shared" ca="1" si="3"/>
        <v>1</v>
      </c>
      <c r="D55" s="391">
        <f t="shared" ca="1" si="4"/>
        <v>2</v>
      </c>
      <c r="E55" s="391">
        <f t="shared" ca="1" si="5"/>
        <v>0</v>
      </c>
      <c r="G55" s="398"/>
      <c r="H55" s="399" t="s">
        <v>432</v>
      </c>
      <c r="I55" s="400" t="str">
        <f t="shared" ca="1" si="8"/>
        <v>04.001.002</v>
      </c>
      <c r="J55" s="401" t="s">
        <v>461</v>
      </c>
      <c r="K55" s="402"/>
      <c r="L55" s="403"/>
      <c r="M55" s="403"/>
      <c r="N55" s="404">
        <f t="shared" ca="1" si="1"/>
        <v>110420.4516172</v>
      </c>
      <c r="O55" s="405"/>
      <c r="P55" s="406"/>
    </row>
    <row r="56" spans="1:17" s="125" customFormat="1" ht="13.9" hidden="1" customHeight="1" outlineLevel="2" x14ac:dyDescent="0.25">
      <c r="A56" s="390">
        <f ca="1">IF($H56="UNIDADE CONSTRUTIVA",OFFSET(A56,-1,0)+1,LARGE(A$3:A55,1))</f>
        <v>0</v>
      </c>
      <c r="B56" s="390">
        <f t="shared" ca="1" si="2"/>
        <v>4</v>
      </c>
      <c r="C56" s="390">
        <f t="shared" ca="1" si="3"/>
        <v>1</v>
      </c>
      <c r="D56" s="391">
        <f t="shared" ca="1" si="4"/>
        <v>2</v>
      </c>
      <c r="E56" s="391">
        <f t="shared" ca="1" si="5"/>
        <v>1</v>
      </c>
      <c r="G56" s="398"/>
      <c r="H56" s="399" t="s">
        <v>433</v>
      </c>
      <c r="I56" s="400" t="str">
        <f t="shared" ca="1" si="8"/>
        <v>04.001.002.001</v>
      </c>
      <c r="J56" s="401" t="s">
        <v>3494</v>
      </c>
      <c r="K56" s="402" t="s">
        <v>66</v>
      </c>
      <c r="L56" s="403">
        <f>SUM('ARQ. PAV'!J2:J11)</f>
        <v>326.45139000000006</v>
      </c>
      <c r="M56" s="403">
        <v>75.48</v>
      </c>
      <c r="N56" s="404">
        <f t="shared" si="1"/>
        <v>24640.550917200006</v>
      </c>
      <c r="O56" s="405"/>
      <c r="P56" s="406" t="s">
        <v>3605</v>
      </c>
    </row>
    <row r="57" spans="1:17" s="125" customFormat="1" ht="13.9" hidden="1" customHeight="1" outlineLevel="2" x14ac:dyDescent="0.25">
      <c r="A57" s="390">
        <f ca="1">IF($H57="UNIDADE CONSTRUTIVA",OFFSET(A57,-1,0)+1,LARGE(A$3:A56,1))</f>
        <v>0</v>
      </c>
      <c r="B57" s="390">
        <f t="shared" ca="1" si="2"/>
        <v>4</v>
      </c>
      <c r="C57" s="390">
        <f t="shared" ca="1" si="3"/>
        <v>1</v>
      </c>
      <c r="D57" s="391">
        <f t="shared" ca="1" si="4"/>
        <v>2</v>
      </c>
      <c r="E57" s="391">
        <f t="shared" ca="1" si="5"/>
        <v>2</v>
      </c>
      <c r="G57" s="398"/>
      <c r="H57" s="399" t="s">
        <v>433</v>
      </c>
      <c r="I57" s="400" t="str">
        <f t="shared" ca="1" si="8"/>
        <v>04.001.002.002</v>
      </c>
      <c r="J57" s="401" t="s">
        <v>3492</v>
      </c>
      <c r="K57" s="402" t="s">
        <v>66</v>
      </c>
      <c r="L57" s="403">
        <f>'ARQ. RES'!$D$18</f>
        <v>1252.81</v>
      </c>
      <c r="M57" s="403">
        <v>68.47</v>
      </c>
      <c r="N57" s="404">
        <f t="shared" si="1"/>
        <v>85779.900699999998</v>
      </c>
      <c r="O57" s="405"/>
      <c r="P57" s="406" t="s">
        <v>3605</v>
      </c>
    </row>
    <row r="58" spans="1:17" s="125" customFormat="1" ht="13.9" hidden="1" customHeight="1" outlineLevel="1" x14ac:dyDescent="0.25">
      <c r="A58" s="390">
        <f ca="1">IF($H58="UNIDADE CONSTRUTIVA",OFFSET(A58,-1,0)+1,LARGE(A$3:A57,1))</f>
        <v>0</v>
      </c>
      <c r="B58" s="390">
        <f t="shared" ca="1" si="2"/>
        <v>4</v>
      </c>
      <c r="C58" s="390">
        <f t="shared" ca="1" si="3"/>
        <v>1</v>
      </c>
      <c r="D58" s="391">
        <f t="shared" ca="1" si="4"/>
        <v>3</v>
      </c>
      <c r="E58" s="391">
        <f t="shared" ca="1" si="5"/>
        <v>0</v>
      </c>
      <c r="G58" s="398"/>
      <c r="H58" s="399" t="s">
        <v>432</v>
      </c>
      <c r="I58" s="400" t="str">
        <f t="shared" ca="1" si="8"/>
        <v>04.001.003</v>
      </c>
      <c r="J58" s="401" t="s">
        <v>462</v>
      </c>
      <c r="K58" s="402"/>
      <c r="L58" s="403"/>
      <c r="M58" s="403"/>
      <c r="N58" s="404">
        <f t="shared" ca="1" si="1"/>
        <v>398191.14705714403</v>
      </c>
      <c r="O58" s="405">
        <f ca="1">N58/Obra!$E$9</f>
        <v>31.039983151130659</v>
      </c>
      <c r="P58" s="406"/>
    </row>
    <row r="59" spans="1:17" s="125" customFormat="1" ht="13.9" hidden="1" customHeight="1" outlineLevel="2" x14ac:dyDescent="0.25">
      <c r="A59" s="390">
        <f ca="1">IF($H59="UNIDADE CONSTRUTIVA",OFFSET(A59,-1,0)+1,LARGE(A$3:A58,1))</f>
        <v>0</v>
      </c>
      <c r="B59" s="390">
        <f t="shared" ca="1" si="2"/>
        <v>4</v>
      </c>
      <c r="C59" s="390">
        <f t="shared" ca="1" si="3"/>
        <v>1</v>
      </c>
      <c r="D59" s="391">
        <f t="shared" ca="1" si="4"/>
        <v>3</v>
      </c>
      <c r="E59" s="391">
        <f t="shared" ca="1" si="5"/>
        <v>1</v>
      </c>
      <c r="G59" s="398"/>
      <c r="H59" s="399" t="s">
        <v>433</v>
      </c>
      <c r="I59" s="400" t="str">
        <f t="shared" ca="1" si="8"/>
        <v>04.001.003.001</v>
      </c>
      <c r="J59" s="401" t="s">
        <v>463</v>
      </c>
      <c r="K59" s="402" t="s">
        <v>54</v>
      </c>
      <c r="L59" s="403">
        <f>'ARQ. RES'!D25</f>
        <v>6970.07</v>
      </c>
      <c r="M59" s="403">
        <v>5.1418999999999997</v>
      </c>
      <c r="N59" s="404">
        <f t="shared" si="1"/>
        <v>35839.402932999998</v>
      </c>
      <c r="O59" s="405"/>
      <c r="P59" s="406" t="s">
        <v>3605</v>
      </c>
    </row>
    <row r="60" spans="1:17" s="125" customFormat="1" ht="13.9" hidden="1" customHeight="1" outlineLevel="2" x14ac:dyDescent="0.25">
      <c r="A60" s="390">
        <f ca="1">IF($H60="UNIDADE CONSTRUTIVA",OFFSET(A60,-1,0)+1,LARGE(A$3:A59,1))</f>
        <v>0</v>
      </c>
      <c r="B60" s="390">
        <f t="shared" ca="1" si="2"/>
        <v>4</v>
      </c>
      <c r="C60" s="390">
        <f t="shared" ca="1" si="3"/>
        <v>1</v>
      </c>
      <c r="D60" s="391">
        <f t="shared" ca="1" si="4"/>
        <v>3</v>
      </c>
      <c r="E60" s="391">
        <f t="shared" ca="1" si="5"/>
        <v>2</v>
      </c>
      <c r="G60" s="398"/>
      <c r="H60" s="399" t="s">
        <v>433</v>
      </c>
      <c r="I60" s="400" t="str">
        <f t="shared" ca="1" si="8"/>
        <v>04.001.003.002</v>
      </c>
      <c r="J60" s="401" t="s">
        <v>464</v>
      </c>
      <c r="K60" s="402" t="s">
        <v>31</v>
      </c>
      <c r="L60" s="403">
        <f>SUM($L$52:$L$57)*0.04</f>
        <v>533.8356556</v>
      </c>
      <c r="M60" s="403">
        <v>3.24</v>
      </c>
      <c r="N60" s="404">
        <f t="shared" si="1"/>
        <v>1729.6275241440001</v>
      </c>
      <c r="O60" s="405"/>
      <c r="P60" s="406" t="s">
        <v>3605</v>
      </c>
    </row>
    <row r="61" spans="1:17" s="125" customFormat="1" ht="13.9" hidden="1" customHeight="1" outlineLevel="2" x14ac:dyDescent="0.25">
      <c r="A61" s="390">
        <f ca="1">IF($H61="UNIDADE CONSTRUTIVA",OFFSET(A61,-1,0)+1,LARGE(A$3:A60,1))</f>
        <v>0</v>
      </c>
      <c r="B61" s="390">
        <f t="shared" ca="1" si="2"/>
        <v>4</v>
      </c>
      <c r="C61" s="390">
        <f t="shared" ca="1" si="3"/>
        <v>1</v>
      </c>
      <c r="D61" s="391">
        <f t="shared" ca="1" si="4"/>
        <v>3</v>
      </c>
      <c r="E61" s="391">
        <f t="shared" ca="1" si="5"/>
        <v>3</v>
      </c>
      <c r="G61" s="398"/>
      <c r="H61" s="399" t="s">
        <v>433</v>
      </c>
      <c r="I61" s="400" t="str">
        <f t="shared" ca="1" si="8"/>
        <v>04.001.003.003</v>
      </c>
      <c r="J61" s="401" t="s">
        <v>465</v>
      </c>
      <c r="K61" s="402" t="s">
        <v>54</v>
      </c>
      <c r="L61" s="403">
        <f>'ARQ. RES'!D26</f>
        <v>7999</v>
      </c>
      <c r="M61" s="403">
        <v>45.083399999999997</v>
      </c>
      <c r="N61" s="404">
        <f t="shared" si="1"/>
        <v>360622.11660000001</v>
      </c>
      <c r="O61" s="405"/>
      <c r="P61" s="406" t="s">
        <v>3605</v>
      </c>
    </row>
    <row r="62" spans="1:17" s="125" customFormat="1" ht="13.9" hidden="1" customHeight="1" outlineLevel="1" x14ac:dyDescent="0.25">
      <c r="A62" s="390">
        <f ca="1">IF($H62="UNIDADE CONSTRUTIVA",OFFSET(A62,-1,0)+1,LARGE(A$3:A61,1))</f>
        <v>0</v>
      </c>
      <c r="B62" s="390">
        <f t="shared" ca="1" si="2"/>
        <v>4</v>
      </c>
      <c r="C62" s="390">
        <f t="shared" ca="1" si="3"/>
        <v>1</v>
      </c>
      <c r="D62" s="391">
        <f t="shared" ca="1" si="4"/>
        <v>4</v>
      </c>
      <c r="E62" s="391">
        <f t="shared" ca="1" si="5"/>
        <v>0</v>
      </c>
      <c r="G62" s="398"/>
      <c r="H62" s="399" t="s">
        <v>432</v>
      </c>
      <c r="I62" s="400" t="str">
        <f t="shared" ca="1" si="8"/>
        <v>04.001.004</v>
      </c>
      <c r="J62" s="401" t="s">
        <v>454</v>
      </c>
      <c r="K62" s="402"/>
      <c r="L62" s="403"/>
      <c r="M62" s="403"/>
      <c r="N62" s="404">
        <f t="shared" ca="1" si="1"/>
        <v>817560.00000000023</v>
      </c>
      <c r="O62" s="405">
        <f>L63/Obra!$E$9</f>
        <v>0.91723786338517932</v>
      </c>
      <c r="P62" s="406"/>
    </row>
    <row r="63" spans="1:17" s="125" customFormat="1" ht="13.9" hidden="1" customHeight="1" outlineLevel="2" x14ac:dyDescent="0.25">
      <c r="A63" s="390">
        <f ca="1">IF($H63="UNIDADE CONSTRUTIVA",OFFSET(A63,-1,0)+1,LARGE(A$3:A62,1))</f>
        <v>0</v>
      </c>
      <c r="B63" s="390">
        <f t="shared" ca="1" si="2"/>
        <v>4</v>
      </c>
      <c r="C63" s="390">
        <f t="shared" ca="1" si="3"/>
        <v>1</v>
      </c>
      <c r="D63" s="391">
        <f t="shared" ca="1" si="4"/>
        <v>4</v>
      </c>
      <c r="E63" s="391">
        <f t="shared" ca="1" si="5"/>
        <v>1</v>
      </c>
      <c r="G63" s="398"/>
      <c r="H63" s="399" t="s">
        <v>433</v>
      </c>
      <c r="I63" s="400" t="str">
        <f t="shared" ca="1" si="8"/>
        <v>04.001.004.001</v>
      </c>
      <c r="J63" s="401" t="s">
        <v>466</v>
      </c>
      <c r="K63" s="402" t="s">
        <v>66</v>
      </c>
      <c r="L63" s="403">
        <f>SUM(L52:L54)</f>
        <v>11766.63</v>
      </c>
      <c r="M63" s="995">
        <f>'Custos Serviços'!$G$21</f>
        <v>61.259302665432543</v>
      </c>
      <c r="N63" s="404">
        <f t="shared" si="1"/>
        <v>720815.54852215853</v>
      </c>
      <c r="O63" s="405">
        <f>L64/Obra!$E$9</f>
        <v>2.5447691944313875E-2</v>
      </c>
      <c r="P63" s="406" t="s">
        <v>3605</v>
      </c>
    </row>
    <row r="64" spans="1:17" s="125" customFormat="1" ht="13.9" hidden="1" customHeight="1" outlineLevel="2" x14ac:dyDescent="0.25">
      <c r="A64" s="390">
        <f ca="1">IF($H64="UNIDADE CONSTRUTIVA",OFFSET(A64,-1,0)+1,LARGE(A$3:A63,1))</f>
        <v>0</v>
      </c>
      <c r="B64" s="390">
        <f t="shared" ca="1" si="2"/>
        <v>4</v>
      </c>
      <c r="C64" s="390">
        <f t="shared" ca="1" si="3"/>
        <v>1</v>
      </c>
      <c r="D64" s="391">
        <f t="shared" ca="1" si="4"/>
        <v>4</v>
      </c>
      <c r="E64" s="391">
        <f t="shared" ca="1" si="5"/>
        <v>2</v>
      </c>
      <c r="G64" s="398"/>
      <c r="H64" s="399" t="s">
        <v>433</v>
      </c>
      <c r="I64" s="400" t="str">
        <f t="shared" ref="I64:I65" ca="1" si="11">IF(H64="Unidade Construtiva",TEXT(A64,"00"),IF(H64="Célula Construtiva",TEXT(B64,"00"),IF(H64="Etapa",CONCATENATE(TEXT(B64,"00"),".",TEXT(C64,"000")),IF(H64="Subetapa",CONCATENATE(TEXT(B64,"00"),".",TEXT(C64,"000"),".",TEXT(D64,"000")),IF(H64="Serviço",CONCATENATE(TEXT(B64,"00"),".",TEXT(C64,"000"),".",TEXT(D64,"000"),".",TEXT(E64,"000")),"")))))</f>
        <v>04.001.004.002</v>
      </c>
      <c r="J64" s="401" t="s">
        <v>3493</v>
      </c>
      <c r="K64" s="402" t="s">
        <v>66</v>
      </c>
      <c r="L64" s="403">
        <f>L56</f>
        <v>326.45139000000006</v>
      </c>
      <c r="M64" s="995">
        <f>'Custos Serviços'!$G$21</f>
        <v>61.259302665432543</v>
      </c>
      <c r="N64" s="404">
        <f t="shared" si="1"/>
        <v>19998.184505561163</v>
      </c>
      <c r="O64" s="405">
        <f>L65/Obra!$E$9</f>
        <v>9.7659633015365191E-2</v>
      </c>
      <c r="P64" s="406" t="s">
        <v>3605</v>
      </c>
    </row>
    <row r="65" spans="1:17" s="125" customFormat="1" ht="13.9" hidden="1" customHeight="1" outlineLevel="2" x14ac:dyDescent="0.25">
      <c r="A65" s="390">
        <f ca="1">IF($H65="UNIDADE CONSTRUTIVA",OFFSET(A65,-1,0)+1,LARGE(A$3:A64,1))</f>
        <v>0</v>
      </c>
      <c r="B65" s="390">
        <f t="shared" ca="1" si="2"/>
        <v>4</v>
      </c>
      <c r="C65" s="390">
        <f t="shared" ca="1" si="3"/>
        <v>1</v>
      </c>
      <c r="D65" s="391">
        <f t="shared" ca="1" si="4"/>
        <v>4</v>
      </c>
      <c r="E65" s="391">
        <f t="shared" ca="1" si="5"/>
        <v>3</v>
      </c>
      <c r="G65" s="398"/>
      <c r="H65" s="399" t="s">
        <v>433</v>
      </c>
      <c r="I65" s="400" t="str">
        <f t="shared" ca="1" si="11"/>
        <v>04.001.004.003</v>
      </c>
      <c r="J65" s="401" t="s">
        <v>467</v>
      </c>
      <c r="K65" s="402" t="s">
        <v>66</v>
      </c>
      <c r="L65" s="403">
        <f>L57</f>
        <v>1252.81</v>
      </c>
      <c r="M65" s="995">
        <f>'Custos Serviços'!$G$21</f>
        <v>61.259302665432543</v>
      </c>
      <c r="N65" s="404">
        <f t="shared" si="1"/>
        <v>76746.266972280544</v>
      </c>
      <c r="O65" s="998" t="s">
        <v>4192</v>
      </c>
      <c r="P65" s="406" t="s">
        <v>3605</v>
      </c>
    </row>
    <row r="66" spans="1:17" s="125" customFormat="1" ht="13.9" customHeight="1" collapsed="1" x14ac:dyDescent="0.25">
      <c r="A66" s="390">
        <f ca="1">IF($H66="UNIDADE CONSTRUTIVA",OFFSET(A66,-1,0)+1,LARGE(A$3:A65,1))</f>
        <v>0</v>
      </c>
      <c r="B66" s="390">
        <f t="shared" ca="1" si="2"/>
        <v>5</v>
      </c>
      <c r="C66" s="390">
        <f t="shared" ca="1" si="3"/>
        <v>0</v>
      </c>
      <c r="D66" s="391">
        <f t="shared" ca="1" si="4"/>
        <v>4</v>
      </c>
      <c r="E66" s="391">
        <f t="shared" ca="1" si="5"/>
        <v>3</v>
      </c>
      <c r="G66" s="398"/>
      <c r="H66" s="399" t="s">
        <v>430</v>
      </c>
      <c r="I66" s="400" t="str">
        <f ca="1">IF(H66="Unidade Construtiva",TEXT(A66,"00"),IF(H66="Célula Construtiva",TEXT(B66,"00"),IF(H66="Etapa",CONCATENATE(TEXT(B66,"00"),".",TEXT(C66,"000")),IF(H66="Subetapa",CONCATENATE(TEXT(B66,"00"),".",TEXT(C66,"000"),".",TEXT(D66,"000")),IF(H66="Serviço",CONCATENATE(TEXT(B66,"00"),".",TEXT(C66,"000"),".",TEXT(D66,"000"),".",TEXT(E66,"000")),"")))))</f>
        <v>05</v>
      </c>
      <c r="J66" s="401" t="s">
        <v>254</v>
      </c>
      <c r="K66" s="402"/>
      <c r="L66" s="403"/>
      <c r="M66" s="403"/>
      <c r="N66" s="404">
        <f t="shared" ca="1" si="1"/>
        <v>712167.4702824275</v>
      </c>
      <c r="O66" s="405"/>
      <c r="P66" s="406"/>
      <c r="Q66" s="986">
        <f ca="1">N66/Obra!$E$9</f>
        <v>55.515212836154618</v>
      </c>
    </row>
    <row r="67" spans="1:17" s="125" customFormat="1" ht="13.9" hidden="1" customHeight="1" outlineLevel="1" x14ac:dyDescent="0.25">
      <c r="A67" s="390">
        <f ca="1">IF($H67="UNIDADE CONSTRUTIVA",OFFSET(A67,-1,0)+1,LARGE(A$3:A66,1))</f>
        <v>0</v>
      </c>
      <c r="B67" s="390">
        <f t="shared" ca="1" si="2"/>
        <v>5</v>
      </c>
      <c r="C67" s="390">
        <f t="shared" ca="1" si="3"/>
        <v>1</v>
      </c>
      <c r="D67" s="391">
        <f t="shared" ca="1" si="4"/>
        <v>0</v>
      </c>
      <c r="E67" s="391">
        <f t="shared" ca="1" si="5"/>
        <v>3</v>
      </c>
      <c r="G67" s="398"/>
      <c r="H67" s="399" t="s">
        <v>229</v>
      </c>
      <c r="I67" s="400" t="str">
        <f t="shared" ref="I67:I96" ca="1" si="12">IF(H67="Unidade Construtiva",TEXT(A67,"00"),IF(H67="Célula Construtiva",TEXT(B67,"00"),IF(H67="Etapa",CONCATENATE(TEXT(B67,"00"),".",TEXT(C67,"000")),IF(H67="Subetapa",CONCATENATE(TEXT(B67,"00"),".",TEXT(C67,"000"),".",TEXT(D67,"000")),IF(H67="Serviço",CONCATENATE(TEXT(B67,"00"),".",TEXT(C67,"000"),".",TEXT(D67,"000"),".",TEXT(E67,"000")),"")))))</f>
        <v>05.001</v>
      </c>
      <c r="J67" s="401" t="s">
        <v>254</v>
      </c>
      <c r="K67" s="402"/>
      <c r="L67" s="403"/>
      <c r="M67" s="403"/>
      <c r="N67" s="404">
        <f t="shared" ca="1" si="1"/>
        <v>712167.4702824275</v>
      </c>
      <c r="O67" s="405"/>
      <c r="P67" s="406"/>
    </row>
    <row r="68" spans="1:17" s="125" customFormat="1" ht="13.9" hidden="1" customHeight="1" outlineLevel="2" x14ac:dyDescent="0.25">
      <c r="A68" s="390">
        <f ca="1">IF($H68="UNIDADE CONSTRUTIVA",OFFSET(A68,-1,0)+1,LARGE(A$3:A67,1))</f>
        <v>0</v>
      </c>
      <c r="B68" s="390">
        <f t="shared" ca="1" si="2"/>
        <v>5</v>
      </c>
      <c r="C68" s="390">
        <f t="shared" ca="1" si="3"/>
        <v>1</v>
      </c>
      <c r="D68" s="391">
        <f t="shared" ca="1" si="4"/>
        <v>1</v>
      </c>
      <c r="E68" s="391">
        <f t="shared" ca="1" si="5"/>
        <v>0</v>
      </c>
      <c r="G68" s="398"/>
      <c r="H68" s="399" t="s">
        <v>432</v>
      </c>
      <c r="I68" s="400" t="str">
        <f t="shared" ca="1" si="12"/>
        <v>05.001.001</v>
      </c>
      <c r="J68" s="401" t="s">
        <v>468</v>
      </c>
      <c r="K68" s="402"/>
      <c r="L68" s="403"/>
      <c r="M68" s="403"/>
      <c r="N68" s="404">
        <f t="shared" ca="1" si="1"/>
        <v>48175.321854350004</v>
      </c>
      <c r="O68" s="405"/>
      <c r="P68" s="406"/>
    </row>
    <row r="69" spans="1:17" s="125" customFormat="1" ht="13.9" hidden="1" customHeight="1" outlineLevel="2" x14ac:dyDescent="0.25">
      <c r="A69" s="390">
        <f ca="1">IF($H69="UNIDADE CONSTRUTIVA",OFFSET(A69,-1,0)+1,LARGE(A$3:A68,1))</f>
        <v>0</v>
      </c>
      <c r="B69" s="390">
        <f t="shared" ca="1" si="2"/>
        <v>5</v>
      </c>
      <c r="C69" s="390">
        <f t="shared" ca="1" si="3"/>
        <v>1</v>
      </c>
      <c r="D69" s="391">
        <f t="shared" ca="1" si="4"/>
        <v>1</v>
      </c>
      <c r="E69" s="391">
        <f t="shared" ca="1" si="5"/>
        <v>1</v>
      </c>
      <c r="G69" s="398"/>
      <c r="H69" s="399" t="s">
        <v>433</v>
      </c>
      <c r="I69" s="400" t="str">
        <f t="shared" ca="1" si="12"/>
        <v>05.001.001.001</v>
      </c>
      <c r="J69" s="401" t="s">
        <v>4140</v>
      </c>
      <c r="K69" s="402" t="s">
        <v>66</v>
      </c>
      <c r="L69" s="403">
        <f>L74+L76+L78+L80+L82+L84</f>
        <v>4313.4167000000007</v>
      </c>
      <c r="M69" s="403">
        <v>6.8804999999999996</v>
      </c>
      <c r="N69" s="404">
        <f t="shared" si="1"/>
        <v>29678.463604350003</v>
      </c>
      <c r="O69" s="405"/>
      <c r="P69" s="406" t="s">
        <v>3605</v>
      </c>
    </row>
    <row r="70" spans="1:17" s="125" customFormat="1" ht="13.9" hidden="1" customHeight="1" outlineLevel="2" x14ac:dyDescent="0.25">
      <c r="A70" s="390">
        <f ca="1">IF($H70="UNIDADE CONSTRUTIVA",OFFSET(A70,-1,0)+1,LARGE(A$3:A69,1))</f>
        <v>0</v>
      </c>
      <c r="B70" s="390">
        <f t="shared" ca="1" si="2"/>
        <v>5</v>
      </c>
      <c r="C70" s="390">
        <f t="shared" ca="1" si="3"/>
        <v>1</v>
      </c>
      <c r="D70" s="391">
        <f t="shared" ca="1" si="4"/>
        <v>1</v>
      </c>
      <c r="E70" s="391">
        <f t="shared" ca="1" si="5"/>
        <v>2</v>
      </c>
      <c r="G70" s="398"/>
      <c r="H70" s="399" t="s">
        <v>433</v>
      </c>
      <c r="I70" s="400" t="str">
        <f t="shared" ca="1" si="12"/>
        <v>05.001.001.002</v>
      </c>
      <c r="J70" s="401" t="s">
        <v>4141</v>
      </c>
      <c r="K70" s="402" t="s">
        <v>66</v>
      </c>
      <c r="L70" s="403">
        <f>L82+L84</f>
        <v>376.90999999999997</v>
      </c>
      <c r="M70" s="403">
        <v>49.075000000000003</v>
      </c>
      <c r="N70" s="404">
        <f t="shared" si="1"/>
        <v>18496.858250000001</v>
      </c>
      <c r="O70" s="405"/>
      <c r="P70" s="406" t="s">
        <v>3605</v>
      </c>
    </row>
    <row r="71" spans="1:17" s="125" customFormat="1" ht="13.9" hidden="1" customHeight="1" outlineLevel="2" x14ac:dyDescent="0.25">
      <c r="A71" s="390">
        <f ca="1">IF($H71="UNIDADE CONSTRUTIVA",OFFSET(A71,-1,0)+1,LARGE(A$3:A70,1))</f>
        <v>0</v>
      </c>
      <c r="B71" s="390">
        <f t="shared" ca="1" si="2"/>
        <v>5</v>
      </c>
      <c r="C71" s="390">
        <f t="shared" ca="1" si="3"/>
        <v>1</v>
      </c>
      <c r="D71" s="391">
        <f t="shared" ca="1" si="4"/>
        <v>2</v>
      </c>
      <c r="E71" s="391">
        <f t="shared" ca="1" si="5"/>
        <v>0</v>
      </c>
      <c r="G71" s="398"/>
      <c r="H71" s="399" t="s">
        <v>432</v>
      </c>
      <c r="I71" s="400" t="str">
        <f t="shared" ca="1" si="12"/>
        <v>05.001.002</v>
      </c>
      <c r="J71" s="401" t="s">
        <v>4139</v>
      </c>
      <c r="K71" s="402"/>
      <c r="L71" s="403"/>
      <c r="M71" s="403"/>
      <c r="N71" s="404">
        <f t="shared" ca="1" si="1"/>
        <v>56257.240308000008</v>
      </c>
      <c r="O71" s="405"/>
      <c r="P71" s="406"/>
    </row>
    <row r="72" spans="1:17" s="125" customFormat="1" ht="13.9" hidden="1" customHeight="1" outlineLevel="2" x14ac:dyDescent="0.25">
      <c r="A72" s="390">
        <f ca="1">IF($H72="UNIDADE CONSTRUTIVA",OFFSET(A72,-1,0)+1,LARGE(A$3:A71,1))</f>
        <v>0</v>
      </c>
      <c r="B72" s="390">
        <f t="shared" ca="1" si="2"/>
        <v>5</v>
      </c>
      <c r="C72" s="390">
        <f t="shared" ca="1" si="3"/>
        <v>1</v>
      </c>
      <c r="D72" s="391">
        <f t="shared" ca="1" si="4"/>
        <v>2</v>
      </c>
      <c r="E72" s="391">
        <f t="shared" ca="1" si="5"/>
        <v>1</v>
      </c>
      <c r="G72" s="398"/>
      <c r="H72" s="399" t="s">
        <v>433</v>
      </c>
      <c r="I72" s="400" t="str">
        <f t="shared" ca="1" si="12"/>
        <v>05.001.002.001</v>
      </c>
      <c r="J72" s="401" t="s">
        <v>469</v>
      </c>
      <c r="K72" s="402" t="s">
        <v>66</v>
      </c>
      <c r="L72" s="403">
        <f>'Fundação Rasa'!N7+'Fundação Rasa'!N8-L74</f>
        <v>2259.32692</v>
      </c>
      <c r="M72" s="403">
        <v>24.900000000000002</v>
      </c>
      <c r="N72" s="404">
        <f t="shared" ref="N72:N135" si="13">IF(H72="Serviço",M72*L72,IF(H72="CÉLULA CONSTRUTIVA",SUMIFS($N$8:$N$395,$B$8:$B$395,B72,$H$8:$H$395,"Serviço"),IF(H72="ETAPA",SUMIFS($N$8:$N$395,$B$8:$B$395,B72,$C$8:$C$395,C72,$H$8:$H$395,"Serviço"),IF(H72="SUBETAPA",SUMIFS($N$8:$N$395,$B$8:$B$395,B72,$C$8:$C$395,C72,$D$8:$D$395,D72,$H$8:$H$395,"Serviço"),0))))</f>
        <v>56257.240308000008</v>
      </c>
      <c r="O72" s="405"/>
      <c r="P72" s="406" t="s">
        <v>3605</v>
      </c>
    </row>
    <row r="73" spans="1:17" s="125" customFormat="1" ht="11.25" hidden="1" outlineLevel="2" x14ac:dyDescent="0.25">
      <c r="A73" s="390">
        <f ca="1">IF($H73="UNIDADE CONSTRUTIVA",OFFSET(A73,-1,0)+1,LARGE(A$3:A72,1))</f>
        <v>0</v>
      </c>
      <c r="B73" s="390">
        <f t="shared" ref="B73:B136" ca="1" si="14">IF(H73="UNIDADE CONSTRUTIVA",0,IF(H73="CÉLULA CONSTRUTIVA",OFFSET(B73,-1,0)+1,OFFSET(B73,-1,0)))</f>
        <v>5</v>
      </c>
      <c r="C73" s="390">
        <f t="shared" ref="C73:C136" ca="1" si="15">IF(H73="CÉLULA CONSTRUTIVA",0,IF(H73="ETAPA",OFFSET(C73,-1,0)+1,OFFSET(C73,-1,0)))</f>
        <v>1</v>
      </c>
      <c r="D73" s="391">
        <f t="shared" ref="D73:D136" ca="1" si="16">IF(H73="ETAPA",0,IF(H73="SUBETAPA",OFFSET(D73,-1,0)+1,OFFSET(D73,-1,0)))</f>
        <v>3</v>
      </c>
      <c r="E73" s="391">
        <f t="shared" ref="E73:E136" ca="1" si="17">IF(H73="Subetapa",0,IF(H73="serviço",OFFSET(E73,-1,0)+1,OFFSET(E73,-1,0)))</f>
        <v>0</v>
      </c>
      <c r="G73" s="398"/>
      <c r="H73" s="399" t="s">
        <v>432</v>
      </c>
      <c r="I73" s="400" t="str">
        <f t="shared" ref="I73:I74" ca="1" si="18">IF(H73="Unidade Construtiva",TEXT(A73,"00"),IF(H73="Célula Construtiva",TEXT(B73,"00"),IF(H73="Etapa",CONCATENATE(TEXT(B73,"00"),".",TEXT(C73,"000")),IF(H73="Subetapa",CONCATENATE(TEXT(B73,"00"),".",TEXT(C73,"000"),".",TEXT(D73,"000")),IF(H73="Serviço",CONCATENATE(TEXT(B73,"00"),".",TEXT(C73,"000"),".",TEXT(D73,"000"),".",TEXT(E73,"000")),"")))))</f>
        <v>05.001.003</v>
      </c>
      <c r="J73" s="412" t="s">
        <v>4198</v>
      </c>
      <c r="K73" s="402"/>
      <c r="L73" s="403"/>
      <c r="M73" s="403"/>
      <c r="N73" s="404">
        <f t="shared" ca="1" si="13"/>
        <v>3697.6297951999995</v>
      </c>
      <c r="O73" s="405"/>
      <c r="P73" s="406"/>
    </row>
    <row r="74" spans="1:17" s="125" customFormat="1" ht="13.9" hidden="1" customHeight="1" outlineLevel="2" x14ac:dyDescent="0.25">
      <c r="A74" s="390">
        <f ca="1">IF($H74="UNIDADE CONSTRUTIVA",OFFSET(A74,-1,0)+1,LARGE(A$3:A73,1))</f>
        <v>0</v>
      </c>
      <c r="B74" s="390">
        <f t="shared" ca="1" si="14"/>
        <v>5</v>
      </c>
      <c r="C74" s="390">
        <f t="shared" ca="1" si="15"/>
        <v>1</v>
      </c>
      <c r="D74" s="391">
        <f t="shared" ca="1" si="16"/>
        <v>3</v>
      </c>
      <c r="E74" s="391">
        <f t="shared" ca="1" si="17"/>
        <v>1</v>
      </c>
      <c r="G74" s="398"/>
      <c r="H74" s="399" t="s">
        <v>433</v>
      </c>
      <c r="I74" s="400" t="str">
        <f t="shared" ca="1" si="18"/>
        <v>05.001.003.001</v>
      </c>
      <c r="J74" s="401" t="s">
        <v>4197</v>
      </c>
      <c r="K74" s="402" t="s">
        <v>66</v>
      </c>
      <c r="L74" s="403">
        <f>'Fundação Rasa'!$T$255</f>
        <v>101.98669999999998</v>
      </c>
      <c r="M74" s="403">
        <v>36.256</v>
      </c>
      <c r="N74" s="404">
        <f t="shared" si="13"/>
        <v>3697.6297951999995</v>
      </c>
      <c r="O74" s="405"/>
      <c r="P74" s="406" t="s">
        <v>3605</v>
      </c>
    </row>
    <row r="75" spans="1:17" s="125" customFormat="1" ht="11.25" hidden="1" outlineLevel="2" x14ac:dyDescent="0.25">
      <c r="A75" s="390">
        <f ca="1">IF($H75="UNIDADE CONSTRUTIVA",OFFSET(A75,-1,0)+1,LARGE(A$3:A74,1))</f>
        <v>0</v>
      </c>
      <c r="B75" s="390">
        <f t="shared" ca="1" si="14"/>
        <v>5</v>
      </c>
      <c r="C75" s="390">
        <f t="shared" ca="1" si="15"/>
        <v>1</v>
      </c>
      <c r="D75" s="391">
        <f t="shared" ca="1" si="16"/>
        <v>4</v>
      </c>
      <c r="E75" s="391">
        <f t="shared" ca="1" si="17"/>
        <v>0</v>
      </c>
      <c r="G75" s="398"/>
      <c r="H75" s="399" t="s">
        <v>432</v>
      </c>
      <c r="I75" s="400" t="str">
        <f t="shared" ref="I75:I76" ca="1" si="19">IF(H75="Unidade Construtiva",TEXT(A75,"00"),IF(H75="Célula Construtiva",TEXT(B75,"00"),IF(H75="Etapa",CONCATENATE(TEXT(B75,"00"),".",TEXT(C75,"000")),IF(H75="Subetapa",CONCATENATE(TEXT(B75,"00"),".",TEXT(C75,"000"),".",TEXT(D75,"000")),IF(H75="Serviço",CONCATENATE(TEXT(B75,"00"),".",TEXT(C75,"000"),".",TEXT(D75,"000"),".",TEXT(E75,"000")),"")))))</f>
        <v>05.001.004</v>
      </c>
      <c r="J75" s="412" t="s">
        <v>4201</v>
      </c>
      <c r="K75" s="402"/>
      <c r="L75" s="403"/>
      <c r="M75" s="403"/>
      <c r="N75" s="404">
        <f t="shared" ca="1" si="13"/>
        <v>1195.7228799999998</v>
      </c>
      <c r="O75" s="405"/>
      <c r="P75" s="406"/>
    </row>
    <row r="76" spans="1:17" s="125" customFormat="1" ht="13.9" hidden="1" customHeight="1" outlineLevel="2" x14ac:dyDescent="0.25">
      <c r="A76" s="390">
        <f ca="1">IF($H76="UNIDADE CONSTRUTIVA",OFFSET(A76,-1,0)+1,LARGE(A$3:A75,1))</f>
        <v>0</v>
      </c>
      <c r="B76" s="390">
        <f t="shared" ca="1" si="14"/>
        <v>5</v>
      </c>
      <c r="C76" s="390">
        <f t="shared" ca="1" si="15"/>
        <v>1</v>
      </c>
      <c r="D76" s="391">
        <f t="shared" ca="1" si="16"/>
        <v>4</v>
      </c>
      <c r="E76" s="391">
        <f t="shared" ca="1" si="17"/>
        <v>1</v>
      </c>
      <c r="G76" s="398"/>
      <c r="H76" s="399" t="s">
        <v>433</v>
      </c>
      <c r="I76" s="400" t="str">
        <f t="shared" ca="1" si="19"/>
        <v>05.001.004.001</v>
      </c>
      <c r="J76" s="401" t="s">
        <v>4197</v>
      </c>
      <c r="K76" s="402" t="s">
        <v>66</v>
      </c>
      <c r="L76" s="403">
        <f>'ARQ. RES'!$D$49</f>
        <v>32.979999999999997</v>
      </c>
      <c r="M76" s="403">
        <v>36.256</v>
      </c>
      <c r="N76" s="404">
        <f t="shared" si="13"/>
        <v>1195.7228799999998</v>
      </c>
      <c r="O76" s="405"/>
      <c r="P76" s="406" t="s">
        <v>3605</v>
      </c>
    </row>
    <row r="77" spans="1:17" s="125" customFormat="1" ht="11.25" hidden="1" outlineLevel="2" x14ac:dyDescent="0.25">
      <c r="A77" s="390">
        <f ca="1">IF($H77="UNIDADE CONSTRUTIVA",OFFSET(A77,-1,0)+1,LARGE(A$3:A76,1))</f>
        <v>0</v>
      </c>
      <c r="B77" s="390">
        <f t="shared" ca="1" si="14"/>
        <v>5</v>
      </c>
      <c r="C77" s="390">
        <f t="shared" ca="1" si="15"/>
        <v>1</v>
      </c>
      <c r="D77" s="391">
        <f t="shared" ca="1" si="16"/>
        <v>5</v>
      </c>
      <c r="E77" s="391">
        <f t="shared" ca="1" si="17"/>
        <v>0</v>
      </c>
      <c r="G77" s="398"/>
      <c r="H77" s="399" t="s">
        <v>432</v>
      </c>
      <c r="I77" s="400" t="str">
        <f t="shared" ca="1" si="12"/>
        <v>05.001.005</v>
      </c>
      <c r="J77" s="412" t="s">
        <v>4196</v>
      </c>
      <c r="K77" s="402"/>
      <c r="L77" s="403"/>
      <c r="M77" s="403"/>
      <c r="N77" s="404">
        <f t="shared" ca="1" si="13"/>
        <v>130048.4592</v>
      </c>
      <c r="O77" s="405"/>
      <c r="P77" s="406"/>
    </row>
    <row r="78" spans="1:17" s="125" customFormat="1" ht="13.9" hidden="1" customHeight="1" outlineLevel="2" x14ac:dyDescent="0.25">
      <c r="A78" s="390">
        <f ca="1">IF($H78="UNIDADE CONSTRUTIVA",OFFSET(A78,-1,0)+1,LARGE(A$3:A77,1))</f>
        <v>0</v>
      </c>
      <c r="B78" s="390">
        <f t="shared" ca="1" si="14"/>
        <v>5</v>
      </c>
      <c r="C78" s="390">
        <f t="shared" ca="1" si="15"/>
        <v>1</v>
      </c>
      <c r="D78" s="391">
        <f t="shared" ca="1" si="16"/>
        <v>5</v>
      </c>
      <c r="E78" s="391">
        <f t="shared" ca="1" si="17"/>
        <v>1</v>
      </c>
      <c r="G78" s="398"/>
      <c r="H78" s="399" t="s">
        <v>433</v>
      </c>
      <c r="I78" s="400" t="str">
        <f t="shared" ca="1" si="12"/>
        <v>05.001.005.001</v>
      </c>
      <c r="J78" s="401" t="s">
        <v>4197</v>
      </c>
      <c r="K78" s="402" t="s">
        <v>66</v>
      </c>
      <c r="L78" s="403">
        <f>SUM('ARQ. RES'!$D$41:$D$46,'ARQ. RES'!$D$52)</f>
        <v>3586.95</v>
      </c>
      <c r="M78" s="403">
        <v>36.256</v>
      </c>
      <c r="N78" s="404">
        <f t="shared" si="13"/>
        <v>130048.4592</v>
      </c>
      <c r="O78" s="405"/>
      <c r="P78" s="406" t="s">
        <v>3605</v>
      </c>
    </row>
    <row r="79" spans="1:17" s="125" customFormat="1" ht="11.25" hidden="1" outlineLevel="2" x14ac:dyDescent="0.25">
      <c r="A79" s="390">
        <f ca="1">IF($H79="UNIDADE CONSTRUTIVA",OFFSET(A79,-1,0)+1,LARGE(A$3:A78,1))</f>
        <v>0</v>
      </c>
      <c r="B79" s="390">
        <f t="shared" ca="1" si="14"/>
        <v>5</v>
      </c>
      <c r="C79" s="390">
        <f t="shared" ca="1" si="15"/>
        <v>1</v>
      </c>
      <c r="D79" s="391">
        <f t="shared" ca="1" si="16"/>
        <v>6</v>
      </c>
      <c r="E79" s="391">
        <f t="shared" ca="1" si="17"/>
        <v>0</v>
      </c>
      <c r="G79" s="398"/>
      <c r="H79" s="399" t="s">
        <v>432</v>
      </c>
      <c r="I79" s="400" t="str">
        <f t="shared" ref="I79:I80" ca="1" si="20">IF(H79="Unidade Construtiva",TEXT(A79,"00"),IF(H79="Célula Construtiva",TEXT(B79,"00"),IF(H79="Etapa",CONCATENATE(TEXT(B79,"00"),".",TEXT(C79,"000")),IF(H79="Subetapa",CONCATENATE(TEXT(B79,"00"),".",TEXT(C79,"000"),".",TEXT(D79,"000")),IF(H79="Serviço",CONCATENATE(TEXT(B79,"00"),".",TEXT(C79,"000"),".",TEXT(D79,"000"),".",TEXT(E79,"000")),"")))))</f>
        <v>05.001.006</v>
      </c>
      <c r="J79" s="412" t="s">
        <v>4202</v>
      </c>
      <c r="K79" s="402"/>
      <c r="L79" s="403"/>
      <c r="M79" s="403"/>
      <c r="N79" s="404">
        <f t="shared" ca="1" si="13"/>
        <v>7780.1750400000001</v>
      </c>
      <c r="O79" s="405"/>
      <c r="P79" s="406"/>
    </row>
    <row r="80" spans="1:17" s="125" customFormat="1" ht="13.9" hidden="1" customHeight="1" outlineLevel="2" x14ac:dyDescent="0.25">
      <c r="A80" s="390">
        <f ca="1">IF($H80="UNIDADE CONSTRUTIVA",OFFSET(A80,-1,0)+1,LARGE(A$3:A79,1))</f>
        <v>0</v>
      </c>
      <c r="B80" s="390">
        <f t="shared" ca="1" si="14"/>
        <v>5</v>
      </c>
      <c r="C80" s="390">
        <f t="shared" ca="1" si="15"/>
        <v>1</v>
      </c>
      <c r="D80" s="391">
        <f t="shared" ca="1" si="16"/>
        <v>6</v>
      </c>
      <c r="E80" s="391">
        <f t="shared" ca="1" si="17"/>
        <v>1</v>
      </c>
      <c r="G80" s="398"/>
      <c r="H80" s="399" t="s">
        <v>433</v>
      </c>
      <c r="I80" s="400" t="str">
        <f t="shared" ca="1" si="20"/>
        <v>05.001.006.001</v>
      </c>
      <c r="J80" s="401" t="s">
        <v>4197</v>
      </c>
      <c r="K80" s="402" t="s">
        <v>66</v>
      </c>
      <c r="L80" s="403">
        <f>'ARQ. RES'!$D$51+'ARQ. RES'!$D$53</f>
        <v>214.59</v>
      </c>
      <c r="M80" s="403">
        <v>36.256</v>
      </c>
      <c r="N80" s="404">
        <f t="shared" si="13"/>
        <v>7780.1750400000001</v>
      </c>
      <c r="O80" s="405"/>
      <c r="P80" s="406" t="s">
        <v>3605</v>
      </c>
    </row>
    <row r="81" spans="1:16" s="125" customFormat="1" ht="13.9" hidden="1" customHeight="1" outlineLevel="2" x14ac:dyDescent="0.25">
      <c r="A81" s="390">
        <f ca="1">IF($H81="UNIDADE CONSTRUTIVA",OFFSET(A81,-1,0)+1,LARGE(A$3:A80,1))</f>
        <v>0</v>
      </c>
      <c r="B81" s="390">
        <f t="shared" ca="1" si="14"/>
        <v>5</v>
      </c>
      <c r="C81" s="390">
        <f t="shared" ca="1" si="15"/>
        <v>1</v>
      </c>
      <c r="D81" s="391">
        <f t="shared" ca="1" si="16"/>
        <v>7</v>
      </c>
      <c r="E81" s="391">
        <f t="shared" ca="1" si="17"/>
        <v>0</v>
      </c>
      <c r="G81" s="398"/>
      <c r="H81" s="399" t="s">
        <v>432</v>
      </c>
      <c r="I81" s="400" t="str">
        <f t="shared" ca="1" si="12"/>
        <v>05.001.007</v>
      </c>
      <c r="J81" s="408" t="s">
        <v>4199</v>
      </c>
      <c r="K81" s="402"/>
      <c r="L81" s="403"/>
      <c r="M81" s="403"/>
      <c r="N81" s="404">
        <f t="shared" ca="1" si="13"/>
        <v>11110.454085000001</v>
      </c>
      <c r="O81" s="405"/>
      <c r="P81" s="406"/>
    </row>
    <row r="82" spans="1:16" s="125" customFormat="1" ht="13.9" hidden="1" customHeight="1" outlineLevel="2" x14ac:dyDescent="0.25">
      <c r="A82" s="390">
        <f ca="1">IF($H82="UNIDADE CONSTRUTIVA",OFFSET(A82,-1,0)+1,LARGE(A$3:A81,1))</f>
        <v>0</v>
      </c>
      <c r="B82" s="390">
        <f t="shared" ca="1" si="14"/>
        <v>5</v>
      </c>
      <c r="C82" s="390">
        <f t="shared" ca="1" si="15"/>
        <v>1</v>
      </c>
      <c r="D82" s="391">
        <f t="shared" ca="1" si="16"/>
        <v>7</v>
      </c>
      <c r="E82" s="391">
        <f t="shared" ca="1" si="17"/>
        <v>1</v>
      </c>
      <c r="G82" s="398"/>
      <c r="H82" s="399" t="s">
        <v>433</v>
      </c>
      <c r="I82" s="400" t="str">
        <f t="shared" ca="1" si="12"/>
        <v>05.001.007.001</v>
      </c>
      <c r="J82" s="401" t="s">
        <v>4193</v>
      </c>
      <c r="K82" s="402" t="s">
        <v>66</v>
      </c>
      <c r="L82" s="403">
        <f>'ARQ. RES'!D54+'ARQ. RES'!D50</f>
        <v>223.31</v>
      </c>
      <c r="M82" s="403">
        <v>49.753500000000003</v>
      </c>
      <c r="N82" s="404">
        <f t="shared" si="13"/>
        <v>11110.454085000001</v>
      </c>
      <c r="O82" s="405"/>
      <c r="P82" s="406" t="s">
        <v>3605</v>
      </c>
    </row>
    <row r="83" spans="1:16" s="125" customFormat="1" ht="13.9" hidden="1" customHeight="1" outlineLevel="2" x14ac:dyDescent="0.25">
      <c r="A83" s="390">
        <f ca="1">IF($H83="UNIDADE CONSTRUTIVA",OFFSET(A83,-1,0)+1,LARGE(A$3:A82,1))</f>
        <v>0</v>
      </c>
      <c r="B83" s="390">
        <f t="shared" ca="1" si="14"/>
        <v>5</v>
      </c>
      <c r="C83" s="390">
        <f t="shared" ca="1" si="15"/>
        <v>1</v>
      </c>
      <c r="D83" s="391">
        <f t="shared" ca="1" si="16"/>
        <v>8</v>
      </c>
      <c r="E83" s="391">
        <f t="shared" ca="1" si="17"/>
        <v>0</v>
      </c>
      <c r="G83" s="398"/>
      <c r="H83" s="399" t="s">
        <v>432</v>
      </c>
      <c r="I83" s="400" t="str">
        <f t="shared" ref="I83:I84" ca="1" si="21">IF(H83="Unidade Construtiva",TEXT(A83,"00"),IF(H83="Célula Construtiva",TEXT(B83,"00"),IF(H83="Etapa",CONCATENATE(TEXT(B83,"00"),".",TEXT(C83,"000")),IF(H83="Subetapa",CONCATENATE(TEXT(B83,"00"),".",TEXT(C83,"000"),".",TEXT(D83,"000")),IF(H83="Serviço",CONCATENATE(TEXT(B83,"00"),".",TEXT(C83,"000"),".",TEXT(D83,"000"),".",TEXT(E83,"000")),"")))))</f>
        <v>05.001.008</v>
      </c>
      <c r="J83" s="408" t="s">
        <v>4200</v>
      </c>
      <c r="K83" s="402"/>
      <c r="L83" s="403"/>
      <c r="M83" s="403"/>
      <c r="N83" s="404">
        <f t="shared" ca="1" si="13"/>
        <v>7642.1376</v>
      </c>
      <c r="O83" s="405"/>
      <c r="P83" s="406"/>
    </row>
    <row r="84" spans="1:16" s="125" customFormat="1" ht="13.9" hidden="1" customHeight="1" outlineLevel="2" x14ac:dyDescent="0.25">
      <c r="A84" s="390">
        <f ca="1">IF($H84="UNIDADE CONSTRUTIVA",OFFSET(A84,-1,0)+1,LARGE(A$3:A83,1))</f>
        <v>0</v>
      </c>
      <c r="B84" s="390">
        <f t="shared" ca="1" si="14"/>
        <v>5</v>
      </c>
      <c r="C84" s="390">
        <f t="shared" ca="1" si="15"/>
        <v>1</v>
      </c>
      <c r="D84" s="391">
        <f t="shared" ca="1" si="16"/>
        <v>8</v>
      </c>
      <c r="E84" s="391">
        <f t="shared" ca="1" si="17"/>
        <v>1</v>
      </c>
      <c r="G84" s="398"/>
      <c r="H84" s="399" t="s">
        <v>433</v>
      </c>
      <c r="I84" s="400" t="str">
        <f t="shared" ca="1" si="21"/>
        <v>05.001.008.001</v>
      </c>
      <c r="J84" s="401" t="s">
        <v>4193</v>
      </c>
      <c r="K84" s="402" t="s">
        <v>66</v>
      </c>
      <c r="L84" s="403">
        <f>'ARQ. RES'!$D$48</f>
        <v>153.6</v>
      </c>
      <c r="M84" s="403">
        <v>49.753500000000003</v>
      </c>
      <c r="N84" s="404">
        <f t="shared" si="13"/>
        <v>7642.1376</v>
      </c>
      <c r="O84" s="405"/>
      <c r="P84" s="406" t="s">
        <v>3605</v>
      </c>
    </row>
    <row r="85" spans="1:16" s="125" customFormat="1" ht="13.9" hidden="1" customHeight="1" outlineLevel="2" x14ac:dyDescent="0.25">
      <c r="A85" s="390">
        <f ca="1">IF($H85="UNIDADE CONSTRUTIVA",OFFSET(A85,-1,0)+1,LARGE(A$3:A84,1))</f>
        <v>0</v>
      </c>
      <c r="B85" s="390">
        <f t="shared" ca="1" si="14"/>
        <v>5</v>
      </c>
      <c r="C85" s="390">
        <f t="shared" ca="1" si="15"/>
        <v>1</v>
      </c>
      <c r="D85" s="391">
        <f t="shared" ca="1" si="16"/>
        <v>9</v>
      </c>
      <c r="E85" s="391">
        <f t="shared" ca="1" si="17"/>
        <v>0</v>
      </c>
      <c r="G85" s="398"/>
      <c r="H85" s="399" t="s">
        <v>432</v>
      </c>
      <c r="I85" s="400" t="str">
        <f t="shared" ca="1" si="12"/>
        <v>05.001.009</v>
      </c>
      <c r="J85" s="401" t="s">
        <v>4194</v>
      </c>
      <c r="K85" s="402"/>
      <c r="L85" s="403"/>
      <c r="M85" s="403"/>
      <c r="N85" s="404">
        <f t="shared" ca="1" si="13"/>
        <v>8710.4628000000012</v>
      </c>
      <c r="O85" s="405"/>
      <c r="P85" s="406"/>
    </row>
    <row r="86" spans="1:16" s="125" customFormat="1" ht="13.9" hidden="1" customHeight="1" outlineLevel="2" x14ac:dyDescent="0.25">
      <c r="A86" s="390">
        <f ca="1">IF($H86="UNIDADE CONSTRUTIVA",OFFSET(A86,-1,0)+1,LARGE(A$3:A85,1))</f>
        <v>0</v>
      </c>
      <c r="B86" s="390">
        <f t="shared" ca="1" si="14"/>
        <v>5</v>
      </c>
      <c r="C86" s="390">
        <f t="shared" ca="1" si="15"/>
        <v>1</v>
      </c>
      <c r="D86" s="391">
        <f t="shared" ca="1" si="16"/>
        <v>9</v>
      </c>
      <c r="E86" s="391">
        <f t="shared" ca="1" si="17"/>
        <v>1</v>
      </c>
      <c r="G86" s="398"/>
      <c r="H86" s="399" t="s">
        <v>433</v>
      </c>
      <c r="I86" s="400" t="str">
        <f t="shared" ca="1" si="12"/>
        <v>05.001.009.001</v>
      </c>
      <c r="J86" s="401" t="s">
        <v>4195</v>
      </c>
      <c r="K86" s="402" t="s">
        <v>66</v>
      </c>
      <c r="L86" s="403">
        <f>'ARQ. RES'!$D$47</f>
        <v>216.84</v>
      </c>
      <c r="M86" s="403">
        <v>40.17</v>
      </c>
      <c r="N86" s="404">
        <f t="shared" si="13"/>
        <v>8710.4628000000012</v>
      </c>
      <c r="O86" s="405"/>
      <c r="P86" s="406" t="s">
        <v>3605</v>
      </c>
    </row>
    <row r="87" spans="1:16" s="125" customFormat="1" ht="13.9" hidden="1" customHeight="1" outlineLevel="2" x14ac:dyDescent="0.25">
      <c r="A87" s="390">
        <f ca="1">IF($H87="UNIDADE CONSTRUTIVA",OFFSET(A87,-1,0)+1,LARGE(A$3:A86,1))</f>
        <v>0</v>
      </c>
      <c r="B87" s="390">
        <f t="shared" ca="1" si="14"/>
        <v>5</v>
      </c>
      <c r="C87" s="390">
        <f t="shared" ca="1" si="15"/>
        <v>1</v>
      </c>
      <c r="D87" s="391">
        <f t="shared" ca="1" si="16"/>
        <v>10</v>
      </c>
      <c r="E87" s="391">
        <f t="shared" ca="1" si="17"/>
        <v>0</v>
      </c>
      <c r="G87" s="398"/>
      <c r="H87" s="399" t="s">
        <v>432</v>
      </c>
      <c r="I87" s="400" t="str">
        <f t="shared" ca="1" si="12"/>
        <v>05.001.010</v>
      </c>
      <c r="J87" s="401" t="s">
        <v>470</v>
      </c>
      <c r="K87" s="402"/>
      <c r="L87" s="403"/>
      <c r="M87" s="403"/>
      <c r="N87" s="404">
        <f t="shared" ca="1" si="13"/>
        <v>3810.6065250000006</v>
      </c>
      <c r="O87" s="405"/>
      <c r="P87" s="406"/>
    </row>
    <row r="88" spans="1:16" s="125" customFormat="1" ht="13.9" hidden="1" customHeight="1" outlineLevel="2" x14ac:dyDescent="0.25">
      <c r="A88" s="390">
        <f ca="1">IF($H88="UNIDADE CONSTRUTIVA",OFFSET(A88,-1,0)+1,LARGE(A$3:A87,1))</f>
        <v>0</v>
      </c>
      <c r="B88" s="390">
        <f t="shared" ca="1" si="14"/>
        <v>5</v>
      </c>
      <c r="C88" s="390">
        <f t="shared" ca="1" si="15"/>
        <v>1</v>
      </c>
      <c r="D88" s="391">
        <f t="shared" ca="1" si="16"/>
        <v>10</v>
      </c>
      <c r="E88" s="391">
        <f t="shared" ca="1" si="17"/>
        <v>1</v>
      </c>
      <c r="G88" s="398"/>
      <c r="H88" s="399" t="s">
        <v>433</v>
      </c>
      <c r="I88" s="400" t="str">
        <f t="shared" ca="1" si="12"/>
        <v>05.001.010.001</v>
      </c>
      <c r="J88" s="401" t="s">
        <v>471</v>
      </c>
      <c r="K88" s="402" t="s">
        <v>31</v>
      </c>
      <c r="L88" s="403">
        <f>210*2+3*5</f>
        <v>435</v>
      </c>
      <c r="M88" s="403">
        <v>8.760015000000001</v>
      </c>
      <c r="N88" s="404">
        <f t="shared" si="13"/>
        <v>3810.6065250000006</v>
      </c>
      <c r="O88" s="405"/>
      <c r="P88" s="406" t="s">
        <v>3605</v>
      </c>
    </row>
    <row r="89" spans="1:16" s="125" customFormat="1" ht="13.9" hidden="1" customHeight="1" outlineLevel="2" x14ac:dyDescent="0.25">
      <c r="A89" s="390">
        <f ca="1">IF($H89="UNIDADE CONSTRUTIVA",OFFSET(A89,-1,0)+1,LARGE(A$3:A88,1))</f>
        <v>0</v>
      </c>
      <c r="B89" s="390">
        <f t="shared" ca="1" si="14"/>
        <v>5</v>
      </c>
      <c r="C89" s="390">
        <f t="shared" ca="1" si="15"/>
        <v>1</v>
      </c>
      <c r="D89" s="391">
        <f t="shared" ca="1" si="16"/>
        <v>11</v>
      </c>
      <c r="E89" s="391">
        <f t="shared" ca="1" si="17"/>
        <v>0</v>
      </c>
      <c r="G89" s="398"/>
      <c r="H89" s="399" t="s">
        <v>432</v>
      </c>
      <c r="I89" s="400" t="str">
        <f t="shared" ca="1" si="12"/>
        <v>05.001.011</v>
      </c>
      <c r="J89" s="401" t="s">
        <v>440</v>
      </c>
      <c r="K89" s="402"/>
      <c r="L89" s="403"/>
      <c r="M89" s="403"/>
      <c r="N89" s="404">
        <f t="shared" ca="1" si="13"/>
        <v>433739.26019487745</v>
      </c>
      <c r="O89" s="405"/>
      <c r="P89" s="406"/>
    </row>
    <row r="90" spans="1:16" s="125" customFormat="1" ht="13.9" hidden="1" customHeight="1" outlineLevel="2" x14ac:dyDescent="0.25">
      <c r="A90" s="390">
        <f ca="1">IF($H90="UNIDADE CONSTRUTIVA",OFFSET(A90,-1,0)+1,LARGE(A$3:A89,1))</f>
        <v>0</v>
      </c>
      <c r="B90" s="390">
        <f t="shared" ca="1" si="14"/>
        <v>5</v>
      </c>
      <c r="C90" s="390">
        <f t="shared" ca="1" si="15"/>
        <v>1</v>
      </c>
      <c r="D90" s="391">
        <f t="shared" ca="1" si="16"/>
        <v>11</v>
      </c>
      <c r="E90" s="391">
        <f t="shared" ca="1" si="17"/>
        <v>1</v>
      </c>
      <c r="G90" s="398"/>
      <c r="H90" s="399" t="s">
        <v>433</v>
      </c>
      <c r="I90" s="400" t="str">
        <f t="shared" ca="1" si="12"/>
        <v>05.001.011.001</v>
      </c>
      <c r="J90" s="401" t="s">
        <v>472</v>
      </c>
      <c r="K90" s="402" t="s">
        <v>66</v>
      </c>
      <c r="L90" s="403">
        <f>L69</f>
        <v>4313.4167000000007</v>
      </c>
      <c r="M90" s="403">
        <f>'Custos Serviços'!$G$33</f>
        <v>37.907943871705562</v>
      </c>
      <c r="N90" s="404">
        <f t="shared" si="13"/>
        <v>163512.75815887746</v>
      </c>
      <c r="O90" s="998" t="s">
        <v>4192</v>
      </c>
      <c r="P90" s="406" t="s">
        <v>3605</v>
      </c>
    </row>
    <row r="91" spans="1:16" s="125" customFormat="1" ht="13.9" hidden="1" customHeight="1" outlineLevel="2" x14ac:dyDescent="0.25">
      <c r="A91" s="390">
        <f ca="1">IF($H91="UNIDADE CONSTRUTIVA",OFFSET(A91,-1,0)+1,LARGE(A$3:A90,1))</f>
        <v>0</v>
      </c>
      <c r="B91" s="390">
        <f t="shared" ca="1" si="14"/>
        <v>5</v>
      </c>
      <c r="C91" s="390">
        <f t="shared" ca="1" si="15"/>
        <v>1</v>
      </c>
      <c r="D91" s="391">
        <f t="shared" ca="1" si="16"/>
        <v>11</v>
      </c>
      <c r="E91" s="391">
        <f t="shared" ca="1" si="17"/>
        <v>2</v>
      </c>
      <c r="G91" s="398"/>
      <c r="H91" s="399" t="s">
        <v>433</v>
      </c>
      <c r="I91" s="400" t="str">
        <f t="shared" ca="1" si="12"/>
        <v>05.001.011.002</v>
      </c>
      <c r="J91" s="401" t="s">
        <v>473</v>
      </c>
      <c r="K91" s="402" t="s">
        <v>66</v>
      </c>
      <c r="L91" s="403">
        <f>L70</f>
        <v>376.90999999999997</v>
      </c>
      <c r="M91" s="403">
        <f>'Custos Serviços'!$G$34</f>
        <v>48.202488657769763</v>
      </c>
      <c r="N91" s="404">
        <f t="shared" si="13"/>
        <v>18168</v>
      </c>
      <c r="O91" s="998" t="s">
        <v>4192</v>
      </c>
      <c r="P91" s="406" t="s">
        <v>3605</v>
      </c>
    </row>
    <row r="92" spans="1:16" s="125" customFormat="1" ht="13.9" hidden="1" customHeight="1" outlineLevel="2" x14ac:dyDescent="0.25">
      <c r="A92" s="390">
        <f ca="1">IF($H92="UNIDADE CONSTRUTIVA",OFFSET(A92,-1,0)+1,LARGE(A$3:A91,1))</f>
        <v>0</v>
      </c>
      <c r="B92" s="390">
        <f t="shared" ca="1" si="14"/>
        <v>5</v>
      </c>
      <c r="C92" s="390">
        <f t="shared" ca="1" si="15"/>
        <v>1</v>
      </c>
      <c r="D92" s="391">
        <f t="shared" ca="1" si="16"/>
        <v>11</v>
      </c>
      <c r="E92" s="391">
        <f t="shared" ca="1" si="17"/>
        <v>3</v>
      </c>
      <c r="G92" s="398"/>
      <c r="H92" s="399" t="s">
        <v>433</v>
      </c>
      <c r="I92" s="400" t="str">
        <f t="shared" ca="1" si="12"/>
        <v>05.001.011.003</v>
      </c>
      <c r="J92" s="401" t="s">
        <v>474</v>
      </c>
      <c r="K92" s="402" t="s">
        <v>66</v>
      </c>
      <c r="L92" s="403">
        <f>L72</f>
        <v>2259.32692</v>
      </c>
      <c r="M92" s="403">
        <v>38.299999999999997</v>
      </c>
      <c r="N92" s="404">
        <f t="shared" si="13"/>
        <v>86532.221035999988</v>
      </c>
      <c r="O92" s="1001" t="s">
        <v>4204</v>
      </c>
      <c r="P92" s="406" t="s">
        <v>3605</v>
      </c>
    </row>
    <row r="93" spans="1:16" s="125" customFormat="1" ht="13.9" hidden="1" customHeight="1" outlineLevel="2" x14ac:dyDescent="0.25">
      <c r="A93" s="390">
        <f ca="1">IF($H93="UNIDADE CONSTRUTIVA",OFFSET(A93,-1,0)+1,LARGE(A$3:A92,1))</f>
        <v>0</v>
      </c>
      <c r="B93" s="390">
        <f t="shared" ca="1" si="14"/>
        <v>5</v>
      </c>
      <c r="C93" s="390">
        <f t="shared" ca="1" si="15"/>
        <v>1</v>
      </c>
      <c r="D93" s="391">
        <f t="shared" ca="1" si="16"/>
        <v>11</v>
      </c>
      <c r="E93" s="391">
        <f t="shared" ca="1" si="17"/>
        <v>4</v>
      </c>
      <c r="G93" s="398"/>
      <c r="H93" s="399" t="s">
        <v>433</v>
      </c>
      <c r="I93" s="400" t="str">
        <f t="shared" ca="1" si="12"/>
        <v>05.001.011.004</v>
      </c>
      <c r="J93" s="401" t="s">
        <v>475</v>
      </c>
      <c r="K93" s="402" t="s">
        <v>66</v>
      </c>
      <c r="L93" s="403">
        <f>L82+L84</f>
        <v>376.90999999999997</v>
      </c>
      <c r="M93" s="403">
        <v>48</v>
      </c>
      <c r="N93" s="404">
        <f t="shared" si="13"/>
        <v>18091.68</v>
      </c>
      <c r="O93" s="1001" t="s">
        <v>4204</v>
      </c>
      <c r="P93" s="406" t="s">
        <v>3605</v>
      </c>
    </row>
    <row r="94" spans="1:16" s="125" customFormat="1" ht="13.9" hidden="1" customHeight="1" outlineLevel="2" x14ac:dyDescent="0.25">
      <c r="A94" s="390">
        <f ca="1">IF($H94="UNIDADE CONSTRUTIVA",OFFSET(A94,-1,0)+1,LARGE(A$3:A93,1))</f>
        <v>0</v>
      </c>
      <c r="B94" s="390">
        <f t="shared" ca="1" si="14"/>
        <v>5</v>
      </c>
      <c r="C94" s="390">
        <f t="shared" ca="1" si="15"/>
        <v>1</v>
      </c>
      <c r="D94" s="391">
        <f t="shared" ca="1" si="16"/>
        <v>11</v>
      </c>
      <c r="E94" s="391">
        <f t="shared" ca="1" si="17"/>
        <v>5</v>
      </c>
      <c r="G94" s="398"/>
      <c r="H94" s="399" t="s">
        <v>433</v>
      </c>
      <c r="I94" s="400" t="str">
        <f t="shared" ca="1" si="12"/>
        <v>05.001.011.005</v>
      </c>
      <c r="J94" s="401" t="s">
        <v>476</v>
      </c>
      <c r="K94" s="402" t="s">
        <v>66</v>
      </c>
      <c r="L94" s="403">
        <f>L80+L78+L76+L74</f>
        <v>3936.5066999999999</v>
      </c>
      <c r="M94" s="403">
        <v>30</v>
      </c>
      <c r="N94" s="404">
        <f t="shared" si="13"/>
        <v>118095.201</v>
      </c>
      <c r="O94" s="1001" t="s">
        <v>4204</v>
      </c>
      <c r="P94" s="406" t="s">
        <v>3605</v>
      </c>
    </row>
    <row r="95" spans="1:16" s="125" customFormat="1" ht="13.9" hidden="1" customHeight="1" outlineLevel="2" x14ac:dyDescent="0.25">
      <c r="A95" s="390">
        <f ca="1">IF($H95="UNIDADE CONSTRUTIVA",OFFSET(A95,-1,0)+1,LARGE(A$3:A94,1))</f>
        <v>0</v>
      </c>
      <c r="B95" s="390">
        <f t="shared" ca="1" si="14"/>
        <v>5</v>
      </c>
      <c r="C95" s="390">
        <f t="shared" ca="1" si="15"/>
        <v>1</v>
      </c>
      <c r="D95" s="391">
        <f t="shared" ca="1" si="16"/>
        <v>11</v>
      </c>
      <c r="E95" s="391">
        <f t="shared" ca="1" si="17"/>
        <v>6</v>
      </c>
      <c r="G95" s="398"/>
      <c r="H95" s="399" t="s">
        <v>433</v>
      </c>
      <c r="I95" s="400" t="str">
        <f t="shared" ref="I95" ca="1" si="22">IF(H95="Unidade Construtiva",TEXT(A95,"00"),IF(H95="Célula Construtiva",TEXT(B95,"00"),IF(H95="Etapa",CONCATENATE(TEXT(B95,"00"),".",TEXT(C95,"000")),IF(H95="Subetapa",CONCATENATE(TEXT(B95,"00"),".",TEXT(C95,"000"),".",TEXT(D95,"000")),IF(H95="Serviço",CONCATENATE(TEXT(B95,"00"),".",TEXT(C95,"000"),".",TEXT(D95,"000"),".",TEXT(E95,"000")),"")))))</f>
        <v>05.001.011.006</v>
      </c>
      <c r="J95" s="401" t="s">
        <v>4203</v>
      </c>
      <c r="K95" s="402" t="s">
        <v>31</v>
      </c>
      <c r="L95" s="403">
        <f>L86</f>
        <v>216.84</v>
      </c>
      <c r="M95" s="403">
        <v>35</v>
      </c>
      <c r="N95" s="404">
        <f t="shared" si="13"/>
        <v>7589.4000000000005</v>
      </c>
      <c r="O95" s="1001" t="s">
        <v>4204</v>
      </c>
      <c r="P95" s="406" t="s">
        <v>3605</v>
      </c>
    </row>
    <row r="96" spans="1:16" s="125" customFormat="1" ht="13.9" hidden="1" customHeight="1" outlineLevel="2" x14ac:dyDescent="0.25">
      <c r="A96" s="390">
        <f ca="1">IF($H96="UNIDADE CONSTRUTIVA",OFFSET(A96,-1,0)+1,LARGE(A$3:A95,1))</f>
        <v>0</v>
      </c>
      <c r="B96" s="390">
        <f t="shared" ca="1" si="14"/>
        <v>5</v>
      </c>
      <c r="C96" s="390">
        <f t="shared" ca="1" si="15"/>
        <v>1</v>
      </c>
      <c r="D96" s="391">
        <f t="shared" ca="1" si="16"/>
        <v>11</v>
      </c>
      <c r="E96" s="391">
        <f t="shared" ca="1" si="17"/>
        <v>7</v>
      </c>
      <c r="G96" s="398"/>
      <c r="H96" s="399" t="s">
        <v>433</v>
      </c>
      <c r="I96" s="400" t="str">
        <f t="shared" ca="1" si="12"/>
        <v>05.001.011.007</v>
      </c>
      <c r="J96" s="401" t="s">
        <v>477</v>
      </c>
      <c r="K96" s="402" t="s">
        <v>31</v>
      </c>
      <c r="L96" s="403">
        <f>L88</f>
        <v>435</v>
      </c>
      <c r="M96" s="403">
        <v>50</v>
      </c>
      <c r="N96" s="404">
        <f t="shared" si="13"/>
        <v>21750</v>
      </c>
      <c r="O96" s="1001" t="s">
        <v>4204</v>
      </c>
      <c r="P96" s="406" t="s">
        <v>3605</v>
      </c>
    </row>
    <row r="97" spans="1:17" s="125" customFormat="1" ht="13.9" customHeight="1" collapsed="1" x14ac:dyDescent="0.25">
      <c r="A97" s="390">
        <f ca="1">IF($H97="UNIDADE CONSTRUTIVA",OFFSET(A97,-1,0)+1,LARGE(A$3:A96,1))</f>
        <v>0</v>
      </c>
      <c r="B97" s="390">
        <f t="shared" ca="1" si="14"/>
        <v>6</v>
      </c>
      <c r="C97" s="390">
        <f t="shared" ca="1" si="15"/>
        <v>0</v>
      </c>
      <c r="D97" s="391">
        <f t="shared" ca="1" si="16"/>
        <v>11</v>
      </c>
      <c r="E97" s="391">
        <f t="shared" ca="1" si="17"/>
        <v>7</v>
      </c>
      <c r="G97" s="398"/>
      <c r="H97" s="399" t="s">
        <v>430</v>
      </c>
      <c r="I97" s="400" t="str">
        <f t="shared" ref="I97:I163" ca="1" si="23">IF(H97="Unidade Construtiva",TEXT(A97,"00"),IF(H97="Célula Construtiva",TEXT(B97,"00"),IF(H97="Etapa",CONCATENATE(TEXT(B97,"00"),".",TEXT(C97,"000")),IF(H97="Subetapa",CONCATENATE(TEXT(B97,"00"),".",TEXT(C97,"000"),".",TEXT(D97,"000")),IF(H97="Serviço",CONCATENATE(TEXT(B97,"00"),".",TEXT(C97,"000"),".",TEXT(D97,"000"),".",TEXT(E97,"000")),"")))))</f>
        <v>06</v>
      </c>
      <c r="J97" s="401" t="s">
        <v>253</v>
      </c>
      <c r="K97" s="402"/>
      <c r="L97" s="403"/>
      <c r="M97" s="403"/>
      <c r="N97" s="404">
        <f t="shared" ca="1" si="13"/>
        <v>1375413.27</v>
      </c>
      <c r="O97" s="405"/>
      <c r="P97" s="406"/>
      <c r="Q97" s="986">
        <f ca="1">N97/Obra!$E$9</f>
        <v>107.21686065138641</v>
      </c>
    </row>
    <row r="98" spans="1:17" s="125" customFormat="1" ht="13.9" hidden="1" customHeight="1" outlineLevel="1" x14ac:dyDescent="0.25">
      <c r="A98" s="390">
        <f ca="1">IF($H98="UNIDADE CONSTRUTIVA",OFFSET(A98,-1,0)+1,LARGE(A$3:A97,1))</f>
        <v>0</v>
      </c>
      <c r="B98" s="390">
        <f t="shared" ca="1" si="14"/>
        <v>6</v>
      </c>
      <c r="C98" s="390">
        <f t="shared" ca="1" si="15"/>
        <v>1</v>
      </c>
      <c r="D98" s="391">
        <f t="shared" ca="1" si="16"/>
        <v>0</v>
      </c>
      <c r="E98" s="391">
        <f t="shared" ca="1" si="17"/>
        <v>7</v>
      </c>
      <c r="G98" s="398"/>
      <c r="H98" s="399" t="s">
        <v>229</v>
      </c>
      <c r="I98" s="400" t="str">
        <f t="shared" ca="1" si="23"/>
        <v>06.001</v>
      </c>
      <c r="J98" s="401" t="s">
        <v>253</v>
      </c>
      <c r="K98" s="402"/>
      <c r="L98" s="403"/>
      <c r="M98" s="403"/>
      <c r="N98" s="404">
        <f t="shared" ca="1" si="13"/>
        <v>1375413.27</v>
      </c>
      <c r="O98" s="405"/>
      <c r="P98" s="406"/>
      <c r="Q98" s="993">
        <f ca="1">N97+N113+N129+N143</f>
        <v>3220119.8753599999</v>
      </c>
    </row>
    <row r="99" spans="1:17" s="125" customFormat="1" ht="13.9" hidden="1" customHeight="1" outlineLevel="1" x14ac:dyDescent="0.25">
      <c r="A99" s="390">
        <f ca="1">IF($H99="UNIDADE CONSTRUTIVA",OFFSET(A99,-1,0)+1,LARGE(A$3:A98,1))</f>
        <v>0</v>
      </c>
      <c r="B99" s="390">
        <f t="shared" ca="1" si="14"/>
        <v>6</v>
      </c>
      <c r="C99" s="390">
        <f t="shared" ca="1" si="15"/>
        <v>1</v>
      </c>
      <c r="D99" s="391">
        <f t="shared" ca="1" si="16"/>
        <v>1</v>
      </c>
      <c r="E99" s="391">
        <f t="shared" ca="1" si="17"/>
        <v>0</v>
      </c>
      <c r="G99" s="398"/>
      <c r="H99" s="399" t="s">
        <v>432</v>
      </c>
      <c r="I99" s="400" t="str">
        <f t="shared" ca="1" si="23"/>
        <v>06.001.001</v>
      </c>
      <c r="J99" s="401" t="s">
        <v>478</v>
      </c>
      <c r="K99" s="402"/>
      <c r="L99" s="403"/>
      <c r="M99" s="403"/>
      <c r="N99" s="404">
        <f t="shared" ca="1" si="13"/>
        <v>282223.26</v>
      </c>
      <c r="O99" s="405">
        <f ca="1">N99/Obra!$E$9</f>
        <v>21.999999999999996</v>
      </c>
      <c r="P99" s="406"/>
    </row>
    <row r="100" spans="1:17" s="125" customFormat="1" ht="13.9" hidden="1" customHeight="1" outlineLevel="2" x14ac:dyDescent="0.25">
      <c r="A100" s="390">
        <f ca="1">IF($H100="UNIDADE CONSTRUTIVA",OFFSET(A100,-1,0)+1,LARGE(A$3:A99,1))</f>
        <v>0</v>
      </c>
      <c r="B100" s="390">
        <f t="shared" ca="1" si="14"/>
        <v>6</v>
      </c>
      <c r="C100" s="390">
        <f t="shared" ca="1" si="15"/>
        <v>1</v>
      </c>
      <c r="D100" s="391">
        <f t="shared" ca="1" si="16"/>
        <v>1</v>
      </c>
      <c r="E100" s="391">
        <f t="shared" ca="1" si="17"/>
        <v>1</v>
      </c>
      <c r="G100" s="398"/>
      <c r="H100" s="399" t="s">
        <v>433</v>
      </c>
      <c r="I100" s="400" t="str">
        <f t="shared" ca="1" si="23"/>
        <v>06.001.001.001</v>
      </c>
      <c r="J100" s="401" t="s">
        <v>478</v>
      </c>
      <c r="K100" s="402" t="s">
        <v>74</v>
      </c>
      <c r="L100" s="403">
        <v>1</v>
      </c>
      <c r="M100" s="403">
        <f>'INST. HIDROSSANITARIO'!$I$5+'INST. HIDROSSANITARIO'!$I$6+'INST. HIDROSSANITARIO'!$I$7</f>
        <v>124759.23023999999</v>
      </c>
      <c r="N100" s="404">
        <f t="shared" si="13"/>
        <v>124759.23023999999</v>
      </c>
      <c r="O100" s="405"/>
      <c r="P100" s="406" t="s">
        <v>3605</v>
      </c>
    </row>
    <row r="101" spans="1:17" s="125" customFormat="1" ht="13.9" hidden="1" customHeight="1" outlineLevel="2" x14ac:dyDescent="0.25">
      <c r="A101" s="390">
        <f ca="1">IF($H101="UNIDADE CONSTRUTIVA",OFFSET(A101,-1,0)+1,LARGE(A$3:A100,1))</f>
        <v>0</v>
      </c>
      <c r="B101" s="390">
        <f t="shared" ca="1" si="14"/>
        <v>6</v>
      </c>
      <c r="C101" s="390">
        <f t="shared" ca="1" si="15"/>
        <v>1</v>
      </c>
      <c r="D101" s="391">
        <f t="shared" ca="1" si="16"/>
        <v>1</v>
      </c>
      <c r="E101" s="391">
        <f t="shared" ca="1" si="17"/>
        <v>2</v>
      </c>
      <c r="G101" s="398"/>
      <c r="H101" s="399" t="s">
        <v>433</v>
      </c>
      <c r="I101" s="400" t="str">
        <f t="shared" ref="I101" ca="1" si="24">IF(H101="Unidade Construtiva",TEXT(A101,"00"),IF(H101="Célula Construtiva",TEXT(B101,"00"),IF(H101="Etapa",CONCATENATE(TEXT(B101,"00"),".",TEXT(C101,"000")),IF(H101="Subetapa",CONCATENATE(TEXT(B101,"00"),".",TEXT(C101,"000"),".",TEXT(D101,"000")),IF(H101="Serviço",CONCATENATE(TEXT(B101,"00"),".",TEXT(C101,"000"),".",TEXT(D101,"000"),".",TEXT(E101,"000")),"")))))</f>
        <v>06.001.001.002</v>
      </c>
      <c r="J101" s="401" t="s">
        <v>4166</v>
      </c>
      <c r="K101" s="402" t="s">
        <v>74</v>
      </c>
      <c r="L101" s="403">
        <v>1</v>
      </c>
      <c r="M101" s="403">
        <f>282223.26-M100</f>
        <v>157464.02976</v>
      </c>
      <c r="N101" s="404">
        <f t="shared" si="13"/>
        <v>157464.02976</v>
      </c>
      <c r="O101" s="405"/>
      <c r="P101" s="406" t="s">
        <v>3605</v>
      </c>
    </row>
    <row r="102" spans="1:17" s="125" customFormat="1" ht="13.9" hidden="1" customHeight="1" outlineLevel="1" x14ac:dyDescent="0.25">
      <c r="A102" s="390">
        <f ca="1">IF($H102="UNIDADE CONSTRUTIVA",OFFSET(A102,-1,0)+1,LARGE(A$3:A101,1))</f>
        <v>0</v>
      </c>
      <c r="B102" s="390">
        <f t="shared" ca="1" si="14"/>
        <v>6</v>
      </c>
      <c r="C102" s="390">
        <f t="shared" ca="1" si="15"/>
        <v>1</v>
      </c>
      <c r="D102" s="391">
        <f t="shared" ca="1" si="16"/>
        <v>2</v>
      </c>
      <c r="E102" s="391">
        <f t="shared" ca="1" si="17"/>
        <v>0</v>
      </c>
      <c r="G102" s="398"/>
      <c r="H102" s="399" t="s">
        <v>432</v>
      </c>
      <c r="I102" s="400" t="str">
        <f t="shared" ca="1" si="23"/>
        <v>06.001.002</v>
      </c>
      <c r="J102" s="401" t="s">
        <v>479</v>
      </c>
      <c r="K102" s="402"/>
      <c r="L102" s="403"/>
      <c r="M102" s="403"/>
      <c r="N102" s="404">
        <f t="shared" ca="1" si="13"/>
        <v>254000.93</v>
      </c>
      <c r="O102" s="405">
        <f ca="1">N102/Obra!$E$9</f>
        <v>19.79999968819012</v>
      </c>
      <c r="P102" s="406"/>
    </row>
    <row r="103" spans="1:17" s="125" customFormat="1" ht="13.9" hidden="1" customHeight="1" outlineLevel="2" x14ac:dyDescent="0.25">
      <c r="A103" s="390">
        <f ca="1">IF($H103="UNIDADE CONSTRUTIVA",OFFSET(A103,-1,0)+1,LARGE(A$3:A102,1))</f>
        <v>0</v>
      </c>
      <c r="B103" s="390">
        <f t="shared" ca="1" si="14"/>
        <v>6</v>
      </c>
      <c r="C103" s="390">
        <f t="shared" ca="1" si="15"/>
        <v>1</v>
      </c>
      <c r="D103" s="391">
        <f t="shared" ca="1" si="16"/>
        <v>2</v>
      </c>
      <c r="E103" s="391">
        <f t="shared" ca="1" si="17"/>
        <v>1</v>
      </c>
      <c r="G103" s="398"/>
      <c r="H103" s="399" t="s">
        <v>433</v>
      </c>
      <c r="I103" s="400" t="str">
        <f t="shared" ca="1" si="23"/>
        <v>06.001.002.001</v>
      </c>
      <c r="J103" s="401" t="s">
        <v>479</v>
      </c>
      <c r="K103" s="402" t="s">
        <v>74</v>
      </c>
      <c r="L103" s="403">
        <v>1</v>
      </c>
      <c r="M103" s="403">
        <f>'INST. HIDROSSANITARIO'!$I$8</f>
        <v>49646.171999999991</v>
      </c>
      <c r="N103" s="404">
        <f t="shared" si="13"/>
        <v>49646.171999999991</v>
      </c>
      <c r="O103" s="405"/>
      <c r="P103" s="406" t="s">
        <v>3605</v>
      </c>
    </row>
    <row r="104" spans="1:17" s="125" customFormat="1" ht="13.9" hidden="1" customHeight="1" outlineLevel="2" x14ac:dyDescent="0.25">
      <c r="A104" s="390">
        <f ca="1">IF($H104="UNIDADE CONSTRUTIVA",OFFSET(A104,-1,0)+1,LARGE(A$3:A103,1))</f>
        <v>0</v>
      </c>
      <c r="B104" s="390">
        <f t="shared" ca="1" si="14"/>
        <v>6</v>
      </c>
      <c r="C104" s="390">
        <f t="shared" ca="1" si="15"/>
        <v>1</v>
      </c>
      <c r="D104" s="391">
        <f t="shared" ca="1" si="16"/>
        <v>2</v>
      </c>
      <c r="E104" s="391">
        <f t="shared" ca="1" si="17"/>
        <v>2</v>
      </c>
      <c r="G104" s="398"/>
      <c r="H104" s="399" t="s">
        <v>433</v>
      </c>
      <c r="I104" s="400" t="str">
        <f t="shared" ca="1" si="23"/>
        <v>06.001.002.002</v>
      </c>
      <c r="J104" s="401" t="s">
        <v>4167</v>
      </c>
      <c r="K104" s="402" t="s">
        <v>74</v>
      </c>
      <c r="L104" s="403">
        <v>1</v>
      </c>
      <c r="M104" s="403">
        <f>254000.93-M103</f>
        <v>204354.758</v>
      </c>
      <c r="N104" s="404">
        <f t="shared" si="13"/>
        <v>204354.758</v>
      </c>
      <c r="O104" s="405"/>
      <c r="P104" s="406" t="s">
        <v>3605</v>
      </c>
    </row>
    <row r="105" spans="1:17" s="125" customFormat="1" ht="13.9" hidden="1" customHeight="1" outlineLevel="1" x14ac:dyDescent="0.25">
      <c r="A105" s="390">
        <f ca="1">IF($H105="UNIDADE CONSTRUTIVA",OFFSET(A105,-1,0)+1,LARGE(A$3:A104,1))</f>
        <v>0</v>
      </c>
      <c r="B105" s="390">
        <f t="shared" ca="1" si="14"/>
        <v>6</v>
      </c>
      <c r="C105" s="390">
        <f t="shared" ca="1" si="15"/>
        <v>1</v>
      </c>
      <c r="D105" s="391">
        <f t="shared" ca="1" si="16"/>
        <v>3</v>
      </c>
      <c r="E105" s="391">
        <f t="shared" ca="1" si="17"/>
        <v>0</v>
      </c>
      <c r="G105" s="398"/>
      <c r="H105" s="399" t="s">
        <v>432</v>
      </c>
      <c r="I105" s="400" t="str">
        <f t="shared" ca="1" si="23"/>
        <v>06.001.003</v>
      </c>
      <c r="J105" s="401" t="s">
        <v>480</v>
      </c>
      <c r="K105" s="402"/>
      <c r="L105" s="403"/>
      <c r="M105" s="403"/>
      <c r="N105" s="404">
        <f t="shared" ca="1" si="13"/>
        <v>352779.08</v>
      </c>
      <c r="O105" s="405">
        <f ca="1">N105/Obra!$E$9</f>
        <v>27.500000389762345</v>
      </c>
      <c r="P105" s="406"/>
    </row>
    <row r="106" spans="1:17" s="125" customFormat="1" ht="13.9" hidden="1" customHeight="1" outlineLevel="2" x14ac:dyDescent="0.25">
      <c r="A106" s="390">
        <f ca="1">IF($H106="UNIDADE CONSTRUTIVA",OFFSET(A106,-1,0)+1,LARGE(A$3:A105,1))</f>
        <v>0</v>
      </c>
      <c r="B106" s="390">
        <f t="shared" ca="1" si="14"/>
        <v>6</v>
      </c>
      <c r="C106" s="390">
        <f t="shared" ca="1" si="15"/>
        <v>1</v>
      </c>
      <c r="D106" s="391">
        <f t="shared" ca="1" si="16"/>
        <v>3</v>
      </c>
      <c r="E106" s="391">
        <f t="shared" ca="1" si="17"/>
        <v>1</v>
      </c>
      <c r="G106" s="398"/>
      <c r="H106" s="399" t="s">
        <v>433</v>
      </c>
      <c r="I106" s="400" t="str">
        <f t="shared" ca="1" si="23"/>
        <v>06.001.003.001</v>
      </c>
      <c r="J106" s="401" t="s">
        <v>3688</v>
      </c>
      <c r="K106" s="402" t="s">
        <v>74</v>
      </c>
      <c r="L106" s="403">
        <v>1</v>
      </c>
      <c r="M106" s="403">
        <f>'INST. HIDROSSANITARIO'!$I$2+'INST. HIDROSSANITARIO'!$I$3</f>
        <v>121711.59083333332</v>
      </c>
      <c r="N106" s="404">
        <f t="shared" si="13"/>
        <v>121711.59083333332</v>
      </c>
      <c r="O106" s="405"/>
      <c r="P106" s="406" t="s">
        <v>3605</v>
      </c>
    </row>
    <row r="107" spans="1:17" s="125" customFormat="1" ht="13.9" hidden="1" customHeight="1" outlineLevel="2" x14ac:dyDescent="0.25">
      <c r="A107" s="390">
        <f ca="1">IF($H107="UNIDADE CONSTRUTIVA",OFFSET(A107,-1,0)+1,LARGE(A$3:A106,1))</f>
        <v>0</v>
      </c>
      <c r="B107" s="390">
        <f t="shared" ca="1" si="14"/>
        <v>6</v>
      </c>
      <c r="C107" s="390">
        <f t="shared" ca="1" si="15"/>
        <v>1</v>
      </c>
      <c r="D107" s="391">
        <f t="shared" ca="1" si="16"/>
        <v>3</v>
      </c>
      <c r="E107" s="391">
        <f t="shared" ca="1" si="17"/>
        <v>2</v>
      </c>
      <c r="G107" s="398"/>
      <c r="H107" s="399" t="s">
        <v>433</v>
      </c>
      <c r="I107" s="400" t="str">
        <f t="shared" ca="1" si="23"/>
        <v>06.001.003.002</v>
      </c>
      <c r="J107" s="401" t="s">
        <v>3689</v>
      </c>
      <c r="K107" s="402" t="s">
        <v>74</v>
      </c>
      <c r="L107" s="403">
        <v>1</v>
      </c>
      <c r="M107" s="403">
        <f>'INST. HIDROSSANITARIO'!$I$4</f>
        <v>87870.16366250001</v>
      </c>
      <c r="N107" s="404">
        <f t="shared" si="13"/>
        <v>87870.16366250001</v>
      </c>
      <c r="O107" s="405"/>
      <c r="P107" s="406" t="s">
        <v>3605</v>
      </c>
    </row>
    <row r="108" spans="1:17" s="125" customFormat="1" ht="13.9" hidden="1" customHeight="1" outlineLevel="2" x14ac:dyDescent="0.25">
      <c r="A108" s="390">
        <f ca="1">IF($H108="UNIDADE CONSTRUTIVA",OFFSET(A108,-1,0)+1,LARGE(A$3:A107,1))</f>
        <v>0</v>
      </c>
      <c r="B108" s="390">
        <f t="shared" ca="1" si="14"/>
        <v>6</v>
      </c>
      <c r="C108" s="390">
        <f t="shared" ca="1" si="15"/>
        <v>1</v>
      </c>
      <c r="D108" s="391">
        <f t="shared" ca="1" si="16"/>
        <v>3</v>
      </c>
      <c r="E108" s="391">
        <f t="shared" ca="1" si="17"/>
        <v>3</v>
      </c>
      <c r="G108" s="398"/>
      <c r="H108" s="399" t="s">
        <v>433</v>
      </c>
      <c r="I108" s="400" t="str">
        <f t="shared" ref="I108" ca="1" si="25">IF(H108="Unidade Construtiva",TEXT(A108,"00"),IF(H108="Célula Construtiva",TEXT(B108,"00"),IF(H108="Etapa",CONCATENATE(TEXT(B108,"00"),".",TEXT(C108,"000")),IF(H108="Subetapa",CONCATENATE(TEXT(B108,"00"),".",TEXT(C108,"000"),".",TEXT(D108,"000")),IF(H108="Serviço",CONCATENATE(TEXT(B108,"00"),".",TEXT(C108,"000"),".",TEXT(D108,"000"),".",TEXT(E108,"000")),"")))))</f>
        <v>06.001.003.003</v>
      </c>
      <c r="J108" s="401" t="s">
        <v>4168</v>
      </c>
      <c r="K108" s="402" t="s">
        <v>74</v>
      </c>
      <c r="L108" s="403">
        <v>1</v>
      </c>
      <c r="M108" s="403">
        <f>(141111.63+211667.45)-(M107+M106)</f>
        <v>143197.32550416669</v>
      </c>
      <c r="N108" s="404">
        <f t="shared" si="13"/>
        <v>143197.32550416669</v>
      </c>
      <c r="O108" s="405"/>
      <c r="P108" s="406" t="s">
        <v>3605</v>
      </c>
    </row>
    <row r="109" spans="1:17" s="125" customFormat="1" ht="13.9" hidden="1" customHeight="1" outlineLevel="1" x14ac:dyDescent="0.25">
      <c r="A109" s="390">
        <f ca="1">IF($H109="UNIDADE CONSTRUTIVA",OFFSET(A109,-1,0)+1,LARGE(A$3:A108,1))</f>
        <v>0</v>
      </c>
      <c r="B109" s="390">
        <f t="shared" ca="1" si="14"/>
        <v>6</v>
      </c>
      <c r="C109" s="390">
        <f t="shared" ca="1" si="15"/>
        <v>1</v>
      </c>
      <c r="D109" s="391">
        <f t="shared" ca="1" si="16"/>
        <v>4</v>
      </c>
      <c r="E109" s="391">
        <f t="shared" ca="1" si="17"/>
        <v>0</v>
      </c>
      <c r="G109" s="398"/>
      <c r="H109" s="399" t="s">
        <v>432</v>
      </c>
      <c r="I109" s="400" t="str">
        <f t="shared" ca="1" si="23"/>
        <v>06.001.004</v>
      </c>
      <c r="J109" s="401" t="s">
        <v>4160</v>
      </c>
      <c r="K109" s="402"/>
      <c r="L109" s="403"/>
      <c r="M109" s="403"/>
      <c r="N109" s="404">
        <f t="shared" ca="1" si="13"/>
        <v>9500</v>
      </c>
      <c r="O109" s="405">
        <f ca="1">N109/Obra!$E$9</f>
        <v>0.74054845798322921</v>
      </c>
      <c r="P109" s="406"/>
    </row>
    <row r="110" spans="1:17" s="125" customFormat="1" ht="13.9" hidden="1" customHeight="1" outlineLevel="2" x14ac:dyDescent="0.25">
      <c r="A110" s="390">
        <f ca="1">IF($H110="UNIDADE CONSTRUTIVA",OFFSET(A110,-1,0)+1,LARGE(A$3:A109,1))</f>
        <v>0</v>
      </c>
      <c r="B110" s="390">
        <f t="shared" ca="1" si="14"/>
        <v>6</v>
      </c>
      <c r="C110" s="390">
        <f t="shared" ca="1" si="15"/>
        <v>1</v>
      </c>
      <c r="D110" s="391">
        <f t="shared" ca="1" si="16"/>
        <v>4</v>
      </c>
      <c r="E110" s="391">
        <f t="shared" ca="1" si="17"/>
        <v>1</v>
      </c>
      <c r="G110" s="398"/>
      <c r="H110" s="399" t="s">
        <v>433</v>
      </c>
      <c r="I110" s="400" t="str">
        <f t="shared" ca="1" si="23"/>
        <v>06.001.004.001</v>
      </c>
      <c r="J110" s="401" t="s">
        <v>3692</v>
      </c>
      <c r="K110" s="402" t="s">
        <v>74</v>
      </c>
      <c r="L110" s="403">
        <v>1</v>
      </c>
      <c r="M110" s="403">
        <v>9500</v>
      </c>
      <c r="N110" s="404">
        <f t="shared" si="13"/>
        <v>9500</v>
      </c>
      <c r="O110" s="405"/>
      <c r="P110" s="406" t="s">
        <v>3605</v>
      </c>
    </row>
    <row r="111" spans="1:17" s="125" customFormat="1" ht="13.9" hidden="1" customHeight="1" outlineLevel="1" x14ac:dyDescent="0.25">
      <c r="A111" s="390">
        <f ca="1">IF($H111="UNIDADE CONSTRUTIVA",OFFSET(A111,-1,0)+1,LARGE(A$3:A110,1))</f>
        <v>0</v>
      </c>
      <c r="B111" s="390">
        <f t="shared" ca="1" si="14"/>
        <v>6</v>
      </c>
      <c r="C111" s="390">
        <f t="shared" ca="1" si="15"/>
        <v>1</v>
      </c>
      <c r="D111" s="391">
        <f t="shared" ca="1" si="16"/>
        <v>5</v>
      </c>
      <c r="E111" s="391">
        <f t="shared" ca="1" si="17"/>
        <v>0</v>
      </c>
      <c r="G111" s="398"/>
      <c r="H111" s="399" t="s">
        <v>432</v>
      </c>
      <c r="I111" s="400" t="str">
        <f t="shared" ca="1" si="23"/>
        <v>06.001.005</v>
      </c>
      <c r="J111" s="401" t="s">
        <v>481</v>
      </c>
      <c r="K111" s="402"/>
      <c r="L111" s="403"/>
      <c r="M111" s="403"/>
      <c r="N111" s="404">
        <f t="shared" ca="1" si="13"/>
        <v>476910</v>
      </c>
      <c r="O111" s="405">
        <f ca="1">N111/Obra!$E$9</f>
        <v>37.17631211545072</v>
      </c>
      <c r="P111" s="406"/>
    </row>
    <row r="112" spans="1:17" s="125" customFormat="1" ht="13.9" hidden="1" customHeight="1" outlineLevel="2" x14ac:dyDescent="0.25">
      <c r="A112" s="390">
        <f ca="1">IF($H112="UNIDADE CONSTRUTIVA",OFFSET(A112,-1,0)+1,LARGE(A$3:A111,1))</f>
        <v>0</v>
      </c>
      <c r="B112" s="390">
        <f t="shared" ca="1" si="14"/>
        <v>6</v>
      </c>
      <c r="C112" s="390">
        <f t="shared" ca="1" si="15"/>
        <v>1</v>
      </c>
      <c r="D112" s="391">
        <f t="shared" ca="1" si="16"/>
        <v>5</v>
      </c>
      <c r="E112" s="391">
        <f t="shared" ca="1" si="17"/>
        <v>1</v>
      </c>
      <c r="G112" s="398"/>
      <c r="H112" s="399" t="s">
        <v>433</v>
      </c>
      <c r="I112" s="400" t="str">
        <f t="shared" ca="1" si="23"/>
        <v>06.001.005.001</v>
      </c>
      <c r="J112" s="401" t="s">
        <v>482</v>
      </c>
      <c r="K112" s="402" t="s">
        <v>74</v>
      </c>
      <c r="L112" s="403">
        <v>1</v>
      </c>
      <c r="M112" s="403">
        <v>476910</v>
      </c>
      <c r="N112" s="404">
        <f t="shared" si="13"/>
        <v>476910</v>
      </c>
      <c r="O112" s="1001" t="s">
        <v>4204</v>
      </c>
      <c r="P112" s="406" t="s">
        <v>3605</v>
      </c>
    </row>
    <row r="113" spans="1:17" s="125" customFormat="1" ht="13.9" customHeight="1" collapsed="1" x14ac:dyDescent="0.25">
      <c r="A113" s="390">
        <f ca="1">IF($H113="UNIDADE CONSTRUTIVA",OFFSET(A113,-1,0)+1,LARGE(A$3:A112,1))</f>
        <v>0</v>
      </c>
      <c r="B113" s="390">
        <f t="shared" ca="1" si="14"/>
        <v>7</v>
      </c>
      <c r="C113" s="390">
        <f t="shared" ca="1" si="15"/>
        <v>0</v>
      </c>
      <c r="D113" s="391">
        <f t="shared" ca="1" si="16"/>
        <v>5</v>
      </c>
      <c r="E113" s="391">
        <f t="shared" ca="1" si="17"/>
        <v>1</v>
      </c>
      <c r="G113" s="398"/>
      <c r="H113" s="399" t="s">
        <v>430</v>
      </c>
      <c r="I113" s="400" t="str">
        <f t="shared" ca="1" si="23"/>
        <v>07</v>
      </c>
      <c r="J113" s="401" t="s">
        <v>252</v>
      </c>
      <c r="K113" s="402"/>
      <c r="L113" s="403"/>
      <c r="M113" s="403"/>
      <c r="N113" s="404">
        <f t="shared" ca="1" si="13"/>
        <v>1333757.1113999998</v>
      </c>
      <c r="O113" s="405"/>
      <c r="P113" s="406"/>
      <c r="Q113" s="986">
        <f ca="1">N113/Obra!$E$9</f>
        <v>103.9696602285722</v>
      </c>
    </row>
    <row r="114" spans="1:17" s="125" customFormat="1" ht="13.9" hidden="1" customHeight="1" outlineLevel="1" x14ac:dyDescent="0.25">
      <c r="A114" s="390">
        <f ca="1">IF($H114="UNIDADE CONSTRUTIVA",OFFSET(A114,-1,0)+1,LARGE(A$3:A113,1))</f>
        <v>0</v>
      </c>
      <c r="B114" s="390">
        <f t="shared" ca="1" si="14"/>
        <v>7</v>
      </c>
      <c r="C114" s="390">
        <f t="shared" ca="1" si="15"/>
        <v>1</v>
      </c>
      <c r="D114" s="391">
        <f t="shared" ca="1" si="16"/>
        <v>0</v>
      </c>
      <c r="E114" s="391">
        <f t="shared" ca="1" si="17"/>
        <v>1</v>
      </c>
      <c r="G114" s="398"/>
      <c r="H114" s="399" t="s">
        <v>229</v>
      </c>
      <c r="I114" s="400" t="str">
        <f t="shared" ca="1" si="23"/>
        <v>07.001</v>
      </c>
      <c r="J114" s="401" t="s">
        <v>252</v>
      </c>
      <c r="K114" s="402"/>
      <c r="L114" s="403"/>
      <c r="M114" s="403"/>
      <c r="N114" s="404">
        <f t="shared" ca="1" si="13"/>
        <v>1333757.1113999998</v>
      </c>
      <c r="O114" s="405"/>
      <c r="P114" s="406"/>
    </row>
    <row r="115" spans="1:17" s="125" customFormat="1" ht="13.9" hidden="1" customHeight="1" outlineLevel="1" x14ac:dyDescent="0.25">
      <c r="A115" s="390">
        <f ca="1">IF($H115="UNIDADE CONSTRUTIVA",OFFSET(A115,-1,0)+1,LARGE(A$3:A114,1))</f>
        <v>0</v>
      </c>
      <c r="B115" s="390">
        <f t="shared" ca="1" si="14"/>
        <v>7</v>
      </c>
      <c r="C115" s="390">
        <f t="shared" ca="1" si="15"/>
        <v>1</v>
      </c>
      <c r="D115" s="391">
        <f t="shared" ca="1" si="16"/>
        <v>1</v>
      </c>
      <c r="E115" s="391">
        <f t="shared" ca="1" si="17"/>
        <v>0</v>
      </c>
      <c r="G115" s="398"/>
      <c r="H115" s="399" t="s">
        <v>432</v>
      </c>
      <c r="I115" s="400" t="str">
        <f t="shared" ca="1" si="23"/>
        <v>07.001.001</v>
      </c>
      <c r="J115" s="401" t="s">
        <v>483</v>
      </c>
      <c r="K115" s="402"/>
      <c r="L115" s="403"/>
      <c r="M115" s="403"/>
      <c r="N115" s="404">
        <f t="shared" ca="1" si="13"/>
        <v>162971.745</v>
      </c>
      <c r="O115" s="405">
        <f ca="1">N115/Obra!$E$9</f>
        <v>12.704049942588004</v>
      </c>
      <c r="P115" s="406"/>
    </row>
    <row r="116" spans="1:17" s="125" customFormat="1" ht="13.9" hidden="1" customHeight="1" outlineLevel="2" x14ac:dyDescent="0.25">
      <c r="A116" s="390">
        <f ca="1">IF($H116="UNIDADE CONSTRUTIVA",OFFSET(A116,-1,0)+1,LARGE(A$3:A115,1))</f>
        <v>0</v>
      </c>
      <c r="B116" s="390">
        <f t="shared" ca="1" si="14"/>
        <v>7</v>
      </c>
      <c r="C116" s="390">
        <f t="shared" ca="1" si="15"/>
        <v>1</v>
      </c>
      <c r="D116" s="391">
        <f t="shared" ca="1" si="16"/>
        <v>1</v>
      </c>
      <c r="E116" s="391">
        <f t="shared" ca="1" si="17"/>
        <v>1</v>
      </c>
      <c r="G116" s="398"/>
      <c r="H116" s="399" t="s">
        <v>433</v>
      </c>
      <c r="I116" s="400" t="str">
        <f t="shared" ca="1" si="23"/>
        <v>07.001.001.001</v>
      </c>
      <c r="J116" s="401" t="s">
        <v>483</v>
      </c>
      <c r="K116" s="402" t="s">
        <v>74</v>
      </c>
      <c r="L116" s="403">
        <v>1</v>
      </c>
      <c r="M116" s="403">
        <f>'INST. ELETRICA'!$I$10</f>
        <v>162971.745</v>
      </c>
      <c r="N116" s="404">
        <f t="shared" si="13"/>
        <v>162971.745</v>
      </c>
      <c r="O116" s="405"/>
      <c r="P116" s="406" t="s">
        <v>3605</v>
      </c>
    </row>
    <row r="117" spans="1:17" s="125" customFormat="1" ht="13.9" hidden="1" customHeight="1" outlineLevel="1" x14ac:dyDescent="0.25">
      <c r="A117" s="390">
        <f ca="1">IF($H117="UNIDADE CONSTRUTIVA",OFFSET(A117,-1,0)+1,LARGE(A$3:A116,1))</f>
        <v>0</v>
      </c>
      <c r="B117" s="390">
        <f t="shared" ca="1" si="14"/>
        <v>7</v>
      </c>
      <c r="C117" s="390">
        <f t="shared" ca="1" si="15"/>
        <v>1</v>
      </c>
      <c r="D117" s="391">
        <f t="shared" ca="1" si="16"/>
        <v>2</v>
      </c>
      <c r="E117" s="391">
        <f t="shared" ca="1" si="17"/>
        <v>0</v>
      </c>
      <c r="G117" s="398"/>
      <c r="H117" s="399" t="s">
        <v>432</v>
      </c>
      <c r="I117" s="400" t="str">
        <f t="shared" ca="1" si="23"/>
        <v>07.001.002</v>
      </c>
      <c r="J117" s="401" t="s">
        <v>484</v>
      </c>
      <c r="K117" s="402"/>
      <c r="L117" s="403"/>
      <c r="M117" s="403"/>
      <c r="N117" s="404">
        <f t="shared" ca="1" si="13"/>
        <v>95559.77399999999</v>
      </c>
      <c r="O117" s="405">
        <f ca="1">N117/Obra!$E$9</f>
        <v>7.4491203453606181</v>
      </c>
      <c r="P117" s="406"/>
    </row>
    <row r="118" spans="1:17" s="125" customFormat="1" ht="13.9" hidden="1" customHeight="1" outlineLevel="2" x14ac:dyDescent="0.25">
      <c r="A118" s="390">
        <f ca="1">IF($H118="UNIDADE CONSTRUTIVA",OFFSET(A118,-1,0)+1,LARGE(A$3:A117,1))</f>
        <v>0</v>
      </c>
      <c r="B118" s="390">
        <f t="shared" ca="1" si="14"/>
        <v>7</v>
      </c>
      <c r="C118" s="390">
        <f t="shared" ca="1" si="15"/>
        <v>1</v>
      </c>
      <c r="D118" s="391">
        <f t="shared" ca="1" si="16"/>
        <v>2</v>
      </c>
      <c r="E118" s="391">
        <f t="shared" ca="1" si="17"/>
        <v>1</v>
      </c>
      <c r="G118" s="398"/>
      <c r="H118" s="399" t="s">
        <v>433</v>
      </c>
      <c r="I118" s="400" t="str">
        <f t="shared" ca="1" si="23"/>
        <v>07.001.002.001</v>
      </c>
      <c r="J118" s="401" t="s">
        <v>484</v>
      </c>
      <c r="K118" s="402" t="s">
        <v>74</v>
      </c>
      <c r="L118" s="403">
        <v>1</v>
      </c>
      <c r="M118" s="403">
        <f>'INST. ELETRICA'!$I$18+'INST. ELETRICA'!$I$19+'INST. ELETRICA'!$I$17</f>
        <v>95559.77399999999</v>
      </c>
      <c r="N118" s="404">
        <f t="shared" si="13"/>
        <v>95559.77399999999</v>
      </c>
      <c r="O118" s="405"/>
      <c r="P118" s="406" t="s">
        <v>3605</v>
      </c>
    </row>
    <row r="119" spans="1:17" s="125" customFormat="1" ht="13.9" hidden="1" customHeight="1" outlineLevel="1" x14ac:dyDescent="0.25">
      <c r="A119" s="390">
        <f ca="1">IF($H119="UNIDADE CONSTRUTIVA",OFFSET(A119,-1,0)+1,LARGE(A$3:A118,1))</f>
        <v>0</v>
      </c>
      <c r="B119" s="390">
        <f t="shared" ca="1" si="14"/>
        <v>7</v>
      </c>
      <c r="C119" s="390">
        <f t="shared" ca="1" si="15"/>
        <v>1</v>
      </c>
      <c r="D119" s="391">
        <f t="shared" ca="1" si="16"/>
        <v>3</v>
      </c>
      <c r="E119" s="391">
        <f t="shared" ca="1" si="17"/>
        <v>0</v>
      </c>
      <c r="G119" s="398"/>
      <c r="H119" s="399" t="s">
        <v>432</v>
      </c>
      <c r="I119" s="400" t="str">
        <f t="shared" ca="1" si="23"/>
        <v>07.001.003</v>
      </c>
      <c r="J119" s="401" t="s">
        <v>3687</v>
      </c>
      <c r="K119" s="402"/>
      <c r="L119" s="403"/>
      <c r="M119" s="403"/>
      <c r="N119" s="404">
        <f t="shared" ca="1" si="13"/>
        <v>139350.99</v>
      </c>
      <c r="O119" s="405">
        <f ca="1">N119/Obra!$E$9</f>
        <v>10.862753764519619</v>
      </c>
      <c r="P119" s="406"/>
    </row>
    <row r="120" spans="1:17" s="125" customFormat="1" ht="13.9" hidden="1" customHeight="1" outlineLevel="2" x14ac:dyDescent="0.25">
      <c r="A120" s="390">
        <f ca="1">IF($H120="UNIDADE CONSTRUTIVA",OFFSET(A120,-1,0)+1,LARGE(A$3:A119,1))</f>
        <v>0</v>
      </c>
      <c r="B120" s="390">
        <f t="shared" ca="1" si="14"/>
        <v>7</v>
      </c>
      <c r="C120" s="390">
        <f t="shared" ca="1" si="15"/>
        <v>1</v>
      </c>
      <c r="D120" s="391">
        <f t="shared" ca="1" si="16"/>
        <v>3</v>
      </c>
      <c r="E120" s="391">
        <f t="shared" ca="1" si="17"/>
        <v>1</v>
      </c>
      <c r="G120" s="398"/>
      <c r="H120" s="399" t="s">
        <v>433</v>
      </c>
      <c r="I120" s="400" t="str">
        <f t="shared" ca="1" si="23"/>
        <v>07.001.003.001</v>
      </c>
      <c r="J120" s="401" t="s">
        <v>3687</v>
      </c>
      <c r="K120" s="402" t="s">
        <v>74</v>
      </c>
      <c r="L120" s="403">
        <v>1</v>
      </c>
      <c r="M120" s="403">
        <f>SUM('INST. ELETRICA'!$I$11:$I$15,'INST. ELETRICA'!$I$20)</f>
        <v>139350.99</v>
      </c>
      <c r="N120" s="404">
        <f t="shared" si="13"/>
        <v>139350.99</v>
      </c>
      <c r="O120" s="405"/>
      <c r="P120" s="406" t="s">
        <v>3605</v>
      </c>
    </row>
    <row r="121" spans="1:17" s="125" customFormat="1" ht="13.9" hidden="1" customHeight="1" outlineLevel="1" x14ac:dyDescent="0.25">
      <c r="A121" s="390">
        <f ca="1">IF($H121="UNIDADE CONSTRUTIVA",OFFSET(A121,-1,0)+1,LARGE(A$3:A120,1))</f>
        <v>0</v>
      </c>
      <c r="B121" s="390">
        <f t="shared" ca="1" si="14"/>
        <v>7</v>
      </c>
      <c r="C121" s="390">
        <f t="shared" ca="1" si="15"/>
        <v>1</v>
      </c>
      <c r="D121" s="391">
        <f t="shared" ca="1" si="16"/>
        <v>4</v>
      </c>
      <c r="E121" s="391">
        <f t="shared" ca="1" si="17"/>
        <v>0</v>
      </c>
      <c r="G121" s="398"/>
      <c r="H121" s="399" t="s">
        <v>432</v>
      </c>
      <c r="I121" s="400" t="str">
        <f t="shared" ca="1" si="23"/>
        <v>07.001.004</v>
      </c>
      <c r="J121" s="401" t="s">
        <v>485</v>
      </c>
      <c r="K121" s="402"/>
      <c r="L121" s="403"/>
      <c r="M121" s="403"/>
      <c r="N121" s="404">
        <f t="shared" ca="1" si="13"/>
        <v>165455.5</v>
      </c>
      <c r="O121" s="405">
        <f ca="1">N121/Obra!$E$9</f>
        <v>12.897664777878335</v>
      </c>
      <c r="P121" s="406"/>
    </row>
    <row r="122" spans="1:17" s="125" customFormat="1" ht="13.9" hidden="1" customHeight="1" outlineLevel="2" x14ac:dyDescent="0.25">
      <c r="A122" s="390">
        <f ca="1">IF($H122="UNIDADE CONSTRUTIVA",OFFSET(A122,-1,0)+1,LARGE(A$3:A121,1))</f>
        <v>0</v>
      </c>
      <c r="B122" s="390">
        <f t="shared" ca="1" si="14"/>
        <v>7</v>
      </c>
      <c r="C122" s="390">
        <f t="shared" ca="1" si="15"/>
        <v>1</v>
      </c>
      <c r="D122" s="391">
        <f t="shared" ca="1" si="16"/>
        <v>4</v>
      </c>
      <c r="E122" s="391">
        <f t="shared" ca="1" si="17"/>
        <v>1</v>
      </c>
      <c r="G122" s="398"/>
      <c r="H122" s="399" t="s">
        <v>433</v>
      </c>
      <c r="I122" s="400" t="str">
        <f t="shared" ca="1" si="23"/>
        <v>07.001.004.001</v>
      </c>
      <c r="J122" s="401" t="s">
        <v>485</v>
      </c>
      <c r="K122" s="402" t="s">
        <v>74</v>
      </c>
      <c r="L122" s="403">
        <v>1</v>
      </c>
      <c r="M122" s="403">
        <f>'INST. ELETRICA'!$I$4+'INST. ELETRICA'!$I$5+'INST. ELETRICA'!$I$6+'INST. ELETRICA'!$I$7+'INST. ELETRICA'!$I$8+'INST. ELETRICA'!$I$9</f>
        <v>165455.5</v>
      </c>
      <c r="N122" s="404">
        <f t="shared" si="13"/>
        <v>165455.5</v>
      </c>
      <c r="O122" s="405"/>
      <c r="P122" s="406" t="s">
        <v>3605</v>
      </c>
    </row>
    <row r="123" spans="1:17" s="125" customFormat="1" ht="13.9" hidden="1" customHeight="1" outlineLevel="1" x14ac:dyDescent="0.25">
      <c r="A123" s="390">
        <f ca="1">IF($H123="UNIDADE CONSTRUTIVA",OFFSET(A123,-1,0)+1,LARGE(A$3:A122,1))</f>
        <v>0</v>
      </c>
      <c r="B123" s="390">
        <f t="shared" ca="1" si="14"/>
        <v>7</v>
      </c>
      <c r="C123" s="390">
        <f t="shared" ca="1" si="15"/>
        <v>1</v>
      </c>
      <c r="D123" s="391">
        <f t="shared" ca="1" si="16"/>
        <v>5</v>
      </c>
      <c r="E123" s="391">
        <f t="shared" ca="1" si="17"/>
        <v>0</v>
      </c>
      <c r="G123" s="398"/>
      <c r="H123" s="399" t="s">
        <v>432</v>
      </c>
      <c r="I123" s="400" t="str">
        <f t="shared" ca="1" si="23"/>
        <v>07.001.005</v>
      </c>
      <c r="J123" s="401" t="s">
        <v>3685</v>
      </c>
      <c r="K123" s="402"/>
      <c r="L123" s="403"/>
      <c r="M123" s="403"/>
      <c r="N123" s="404">
        <f t="shared" ca="1" si="13"/>
        <v>103306.62800000001</v>
      </c>
      <c r="O123" s="405">
        <f ca="1">N123/Obra!$E$9</f>
        <v>8.0530067436681154</v>
      </c>
      <c r="P123" s="406"/>
    </row>
    <row r="124" spans="1:17" s="125" customFormat="1" ht="13.9" hidden="1" customHeight="1" outlineLevel="2" x14ac:dyDescent="0.25">
      <c r="A124" s="390">
        <f ca="1">IF($H124="UNIDADE CONSTRUTIVA",OFFSET(A124,-1,0)+1,LARGE(A$3:A123,1))</f>
        <v>0</v>
      </c>
      <c r="B124" s="390">
        <f t="shared" ca="1" si="14"/>
        <v>7</v>
      </c>
      <c r="C124" s="390">
        <f t="shared" ca="1" si="15"/>
        <v>1</v>
      </c>
      <c r="D124" s="391">
        <f t="shared" ca="1" si="16"/>
        <v>5</v>
      </c>
      <c r="E124" s="391">
        <f t="shared" ca="1" si="17"/>
        <v>1</v>
      </c>
      <c r="G124" s="398"/>
      <c r="H124" s="399" t="s">
        <v>433</v>
      </c>
      <c r="I124" s="400" t="str">
        <f t="shared" ca="1" si="23"/>
        <v>07.001.005.001</v>
      </c>
      <c r="J124" s="401" t="s">
        <v>3686</v>
      </c>
      <c r="K124" s="402" t="s">
        <v>74</v>
      </c>
      <c r="L124" s="403">
        <v>1</v>
      </c>
      <c r="M124" s="403">
        <f>'INST. ELETRICA'!$I$2+'INST. ELETRICA'!$I$3+'INST. ELETRICA'!$I$16</f>
        <v>103306.62800000001</v>
      </c>
      <c r="N124" s="404">
        <f t="shared" si="13"/>
        <v>103306.62800000001</v>
      </c>
      <c r="O124" s="405"/>
      <c r="P124" s="406" t="s">
        <v>3605</v>
      </c>
    </row>
    <row r="125" spans="1:17" s="125" customFormat="1" ht="13.9" hidden="1" customHeight="1" outlineLevel="1" x14ac:dyDescent="0.25">
      <c r="A125" s="390">
        <f ca="1">IF($H125="UNIDADE CONSTRUTIVA",OFFSET(A125,-1,0)+1,LARGE(A$3:A124,1))</f>
        <v>0</v>
      </c>
      <c r="B125" s="390">
        <f t="shared" ca="1" si="14"/>
        <v>7</v>
      </c>
      <c r="C125" s="390">
        <f t="shared" ca="1" si="15"/>
        <v>1</v>
      </c>
      <c r="D125" s="391">
        <f t="shared" ca="1" si="16"/>
        <v>6</v>
      </c>
      <c r="E125" s="391">
        <f t="shared" ca="1" si="17"/>
        <v>0</v>
      </c>
      <c r="G125" s="398"/>
      <c r="H125" s="399" t="s">
        <v>432</v>
      </c>
      <c r="I125" s="400" t="str">
        <f t="shared" ca="1" si="23"/>
        <v>07.001.006</v>
      </c>
      <c r="J125" s="401" t="s">
        <v>486</v>
      </c>
      <c r="K125" s="402"/>
      <c r="L125" s="403"/>
      <c r="M125" s="403"/>
      <c r="N125" s="404">
        <f t="shared" ca="1" si="13"/>
        <v>141111.63000000003</v>
      </c>
      <c r="O125" s="405">
        <f ca="1">N125/Obra!$E$9</f>
        <v>11.000000000000002</v>
      </c>
      <c r="P125" s="406"/>
    </row>
    <row r="126" spans="1:17" s="125" customFormat="1" ht="13.9" hidden="1" customHeight="1" outlineLevel="2" x14ac:dyDescent="0.25">
      <c r="A126" s="390">
        <f ca="1">IF($H126="UNIDADE CONSTRUTIVA",OFFSET(A126,-1,0)+1,LARGE(A$3:A125,1))</f>
        <v>0</v>
      </c>
      <c r="B126" s="390">
        <f t="shared" ca="1" si="14"/>
        <v>7</v>
      </c>
      <c r="C126" s="390">
        <f t="shared" ca="1" si="15"/>
        <v>1</v>
      </c>
      <c r="D126" s="391">
        <f t="shared" ca="1" si="16"/>
        <v>6</v>
      </c>
      <c r="E126" s="391">
        <f t="shared" ca="1" si="17"/>
        <v>1</v>
      </c>
      <c r="G126" s="398"/>
      <c r="H126" s="399" t="s">
        <v>433</v>
      </c>
      <c r="I126" s="400" t="str">
        <f t="shared" ca="1" si="23"/>
        <v>07.001.006.001</v>
      </c>
      <c r="J126" s="401" t="s">
        <v>487</v>
      </c>
      <c r="K126" s="402" t="s">
        <v>74</v>
      </c>
      <c r="L126" s="403">
        <v>1</v>
      </c>
      <c r="M126" s="403">
        <v>141111.63000000003</v>
      </c>
      <c r="N126" s="404">
        <f t="shared" si="13"/>
        <v>141111.63000000003</v>
      </c>
      <c r="O126" s="405"/>
      <c r="P126" s="406" t="s">
        <v>3605</v>
      </c>
    </row>
    <row r="127" spans="1:17" s="125" customFormat="1" ht="13.9" hidden="1" customHeight="1" outlineLevel="1" x14ac:dyDescent="0.25">
      <c r="A127" s="390">
        <f ca="1">IF($H127="UNIDADE CONSTRUTIVA",OFFSET(A127,-1,0)+1,LARGE(A$3:A126,1))</f>
        <v>0</v>
      </c>
      <c r="B127" s="390">
        <f t="shared" ca="1" si="14"/>
        <v>7</v>
      </c>
      <c r="C127" s="390">
        <f t="shared" ca="1" si="15"/>
        <v>1</v>
      </c>
      <c r="D127" s="391">
        <f t="shared" ca="1" si="16"/>
        <v>7</v>
      </c>
      <c r="E127" s="391">
        <f t="shared" ca="1" si="17"/>
        <v>0</v>
      </c>
      <c r="G127" s="398"/>
      <c r="H127" s="399" t="s">
        <v>432</v>
      </c>
      <c r="I127" s="400" t="str">
        <f t="shared" ca="1" si="23"/>
        <v>07.001.007</v>
      </c>
      <c r="J127" s="401" t="s">
        <v>488</v>
      </c>
      <c r="K127" s="402"/>
      <c r="L127" s="403"/>
      <c r="M127" s="403"/>
      <c r="N127" s="404">
        <f t="shared" ca="1" si="13"/>
        <v>526000.84439999994</v>
      </c>
      <c r="O127" s="405">
        <f ca="1">N127/Obra!$E$9</f>
        <v>41.003064654557519</v>
      </c>
      <c r="P127" s="406"/>
    </row>
    <row r="128" spans="1:17" s="125" customFormat="1" ht="13.9" hidden="1" customHeight="1" outlineLevel="2" x14ac:dyDescent="0.25">
      <c r="A128" s="390">
        <f ca="1">IF($H128="UNIDADE CONSTRUTIVA",OFFSET(A128,-1,0)+1,LARGE(A$3:A127,1))</f>
        <v>0</v>
      </c>
      <c r="B128" s="390">
        <f t="shared" ca="1" si="14"/>
        <v>7</v>
      </c>
      <c r="C128" s="390">
        <f t="shared" ca="1" si="15"/>
        <v>1</v>
      </c>
      <c r="D128" s="391">
        <f t="shared" ca="1" si="16"/>
        <v>7</v>
      </c>
      <c r="E128" s="391">
        <f t="shared" ca="1" si="17"/>
        <v>1</v>
      </c>
      <c r="G128" s="398"/>
      <c r="H128" s="399" t="s">
        <v>433</v>
      </c>
      <c r="I128" s="400" t="str">
        <f t="shared" ca="1" si="23"/>
        <v>07.001.007.001</v>
      </c>
      <c r="J128" s="401" t="s">
        <v>489</v>
      </c>
      <c r="K128" s="402" t="s">
        <v>74</v>
      </c>
      <c r="L128" s="403">
        <v>1</v>
      </c>
      <c r="M128" s="403">
        <v>526000.84439999994</v>
      </c>
      <c r="N128" s="404">
        <f t="shared" si="13"/>
        <v>526000.84439999994</v>
      </c>
      <c r="O128" s="1001" t="s">
        <v>4204</v>
      </c>
      <c r="P128" s="406" t="s">
        <v>3605</v>
      </c>
    </row>
    <row r="129" spans="1:17" s="125" customFormat="1" ht="13.9" customHeight="1" collapsed="1" x14ac:dyDescent="0.25">
      <c r="A129" s="390">
        <f ca="1">IF($H129="UNIDADE CONSTRUTIVA",OFFSET(A129,-1,0)+1,LARGE(A$3:A128,1))</f>
        <v>0</v>
      </c>
      <c r="B129" s="390">
        <f t="shared" ca="1" si="14"/>
        <v>8</v>
      </c>
      <c r="C129" s="390">
        <f t="shared" ca="1" si="15"/>
        <v>0</v>
      </c>
      <c r="D129" s="391">
        <f t="shared" ca="1" si="16"/>
        <v>7</v>
      </c>
      <c r="E129" s="391">
        <f t="shared" ca="1" si="17"/>
        <v>1</v>
      </c>
      <c r="G129" s="398"/>
      <c r="H129" s="399" t="s">
        <v>430</v>
      </c>
      <c r="I129" s="400" t="str">
        <f t="shared" ca="1" si="23"/>
        <v>08</v>
      </c>
      <c r="J129" s="401" t="s">
        <v>4142</v>
      </c>
      <c r="K129" s="402"/>
      <c r="L129" s="403"/>
      <c r="M129" s="403"/>
      <c r="N129" s="404">
        <f t="shared" ca="1" si="13"/>
        <v>242316.22396000003</v>
      </c>
      <c r="O129" s="405"/>
      <c r="P129" s="406"/>
      <c r="Q129" s="986">
        <f ca="1">N129/Obra!$E$9</f>
        <v>18.889147999778615</v>
      </c>
    </row>
    <row r="130" spans="1:17" s="125" customFormat="1" ht="13.9" hidden="1" customHeight="1" outlineLevel="1" x14ac:dyDescent="0.25">
      <c r="A130" s="390">
        <f ca="1">IF($H130="UNIDADE CONSTRUTIVA",OFFSET(A130,-1,0)+1,LARGE(A$3:A129,1))</f>
        <v>0</v>
      </c>
      <c r="B130" s="390">
        <f t="shared" ca="1" si="14"/>
        <v>8</v>
      </c>
      <c r="C130" s="390">
        <f t="shared" ca="1" si="15"/>
        <v>1</v>
      </c>
      <c r="D130" s="391">
        <f t="shared" ca="1" si="16"/>
        <v>0</v>
      </c>
      <c r="E130" s="391">
        <f t="shared" ca="1" si="17"/>
        <v>1</v>
      </c>
      <c r="G130" s="398"/>
      <c r="H130" s="399" t="s">
        <v>229</v>
      </c>
      <c r="I130" s="400" t="str">
        <f t="shared" ca="1" si="23"/>
        <v>08.001</v>
      </c>
      <c r="J130" s="401" t="s">
        <v>4142</v>
      </c>
      <c r="K130" s="402"/>
      <c r="L130" s="403"/>
      <c r="M130" s="403"/>
      <c r="N130" s="404">
        <f t="shared" ca="1" si="13"/>
        <v>242316.22396000003</v>
      </c>
      <c r="O130" s="405"/>
      <c r="P130" s="406"/>
    </row>
    <row r="131" spans="1:17" s="125" customFormat="1" ht="13.9" hidden="1" customHeight="1" outlineLevel="1" x14ac:dyDescent="0.25">
      <c r="A131" s="390">
        <f ca="1">IF($H131="UNIDADE CONSTRUTIVA",OFFSET(A131,-1,0)+1,LARGE(A$3:A130,1))</f>
        <v>0</v>
      </c>
      <c r="B131" s="390">
        <f t="shared" ca="1" si="14"/>
        <v>8</v>
      </c>
      <c r="C131" s="390">
        <f t="shared" ca="1" si="15"/>
        <v>1</v>
      </c>
      <c r="D131" s="391">
        <f t="shared" ca="1" si="16"/>
        <v>1</v>
      </c>
      <c r="E131" s="391">
        <f t="shared" ca="1" si="17"/>
        <v>0</v>
      </c>
      <c r="G131" s="398"/>
      <c r="H131" s="399" t="s">
        <v>432</v>
      </c>
      <c r="I131" s="400" t="str">
        <f ca="1">IF(H131="Unidade Construtiva",TEXT(A131,"00"),IF(H131="Célula Construtiva",TEXT(B131,"00"),IF(H131="Etapa",CONCATENATE(TEXT(B131,"00"),".",TEXT(C131,"000")),IF(H131="Subetapa",CONCATENATE(TEXT(B131,"00"),".",TEXT(C131,"000"),".",TEXT(D131,"000")),IF(H131="Serviço",CONCATENATE(TEXT(B131,"00"),".",TEXT(C131,"000"),".",TEXT(D131,"000"),".",TEXT(E131,"000")),"")))))</f>
        <v>08.001.001</v>
      </c>
      <c r="J131" s="401" t="s">
        <v>490</v>
      </c>
      <c r="K131" s="402"/>
      <c r="L131" s="403"/>
      <c r="M131" s="403"/>
      <c r="N131" s="404">
        <f t="shared" ca="1" si="13"/>
        <v>185871.57196</v>
      </c>
      <c r="O131" s="405">
        <f ca="1">N131/Obra!$E$9</f>
        <v>14.489147999778613</v>
      </c>
      <c r="P131" s="406"/>
    </row>
    <row r="132" spans="1:17" s="125" customFormat="1" ht="13.9" hidden="1" customHeight="1" outlineLevel="2" x14ac:dyDescent="0.25">
      <c r="A132" s="390">
        <f ca="1">IF($H132="UNIDADE CONSTRUTIVA",OFFSET(A132,-1,0)+1,LARGE(A$3:A131,1))</f>
        <v>0</v>
      </c>
      <c r="B132" s="390">
        <f t="shared" ca="1" si="14"/>
        <v>8</v>
      </c>
      <c r="C132" s="390">
        <f t="shared" ca="1" si="15"/>
        <v>1</v>
      </c>
      <c r="D132" s="391">
        <f t="shared" ca="1" si="16"/>
        <v>1</v>
      </c>
      <c r="E132" s="391">
        <f t="shared" ca="1" si="17"/>
        <v>1</v>
      </c>
      <c r="G132" s="398"/>
      <c r="H132" s="399" t="s">
        <v>433</v>
      </c>
      <c r="I132" s="400" t="str">
        <f ca="1">IF(H132="Unidade Construtiva",TEXT(A132,"00"),IF(H132="Célula Construtiva",TEXT(B132,"00"),IF(H132="Etapa",CONCATENATE(TEXT(B132,"00"),".",TEXT(C132,"000")),IF(H132="Subetapa",CONCATENATE(TEXT(B132,"00"),".",TEXT(C132,"000"),".",TEXT(D132,"000")),IF(H132="Serviço",CONCATENATE(TEXT(B132,"00"),".",TEXT(C132,"000"),".",TEXT(D132,"000"),".",TEXT(E132,"000")),"")))))</f>
        <v>08.001.001.001</v>
      </c>
      <c r="J132" s="401" t="s">
        <v>4143</v>
      </c>
      <c r="K132" s="402" t="s">
        <v>74</v>
      </c>
      <c r="L132" s="403">
        <v>1</v>
      </c>
      <c r="M132" s="403">
        <v>38100.140100000004</v>
      </c>
      <c r="N132" s="404">
        <f t="shared" si="13"/>
        <v>38100.140100000004</v>
      </c>
      <c r="O132" s="405"/>
      <c r="P132" s="406" t="s">
        <v>3605</v>
      </c>
    </row>
    <row r="133" spans="1:17" s="125" customFormat="1" ht="13.9" hidden="1" customHeight="1" outlineLevel="2" x14ac:dyDescent="0.25">
      <c r="A133" s="390">
        <f ca="1">IF($H133="UNIDADE CONSTRUTIVA",OFFSET(A133,-1,0)+1,LARGE(A$3:A132,1))</f>
        <v>0</v>
      </c>
      <c r="B133" s="390">
        <f t="shared" ca="1" si="14"/>
        <v>8</v>
      </c>
      <c r="C133" s="390">
        <f t="shared" ca="1" si="15"/>
        <v>1</v>
      </c>
      <c r="D133" s="391">
        <f t="shared" ca="1" si="16"/>
        <v>1</v>
      </c>
      <c r="E133" s="391">
        <f t="shared" ca="1" si="17"/>
        <v>2</v>
      </c>
      <c r="G133" s="398"/>
      <c r="H133" s="399" t="s">
        <v>433</v>
      </c>
      <c r="I133" s="400" t="str">
        <f t="shared" ref="I133:I134" ca="1" si="26">IF(H133="Unidade Construtiva",TEXT(A133,"00"),IF(H133="Célula Construtiva",TEXT(B133,"00"),IF(H133="Etapa",CONCATENATE(TEXT(B133,"00"),".",TEXT(C133,"000")),IF(H133="Subetapa",CONCATENATE(TEXT(B133,"00"),".",TEXT(C133,"000"),".",TEXT(D133,"000")),IF(H133="Serviço",CONCATENATE(TEXT(B133,"00"),".",TEXT(C133,"000"),".",TEXT(D133,"000"),".",TEXT(E133,"000")),"")))))</f>
        <v>08.001.001.002</v>
      </c>
      <c r="J133" s="401" t="s">
        <v>4144</v>
      </c>
      <c r="K133" s="402" t="s">
        <v>74</v>
      </c>
      <c r="L133" s="403">
        <v>1</v>
      </c>
      <c r="M133" s="403">
        <v>7620.0280199999997</v>
      </c>
      <c r="N133" s="404">
        <f t="shared" si="13"/>
        <v>7620.0280199999997</v>
      </c>
      <c r="O133" s="405"/>
      <c r="P133" s="406" t="s">
        <v>3605</v>
      </c>
    </row>
    <row r="134" spans="1:17" s="125" customFormat="1" ht="13.9" hidden="1" customHeight="1" outlineLevel="2" x14ac:dyDescent="0.25">
      <c r="A134" s="390">
        <f ca="1">IF($H134="UNIDADE CONSTRUTIVA",OFFSET(A134,-1,0)+1,LARGE(A$3:A133,1))</f>
        <v>0</v>
      </c>
      <c r="B134" s="390">
        <f t="shared" ca="1" si="14"/>
        <v>8</v>
      </c>
      <c r="C134" s="390">
        <f t="shared" ca="1" si="15"/>
        <v>1</v>
      </c>
      <c r="D134" s="391">
        <f t="shared" ca="1" si="16"/>
        <v>1</v>
      </c>
      <c r="E134" s="391">
        <f t="shared" ca="1" si="17"/>
        <v>3</v>
      </c>
      <c r="G134" s="398"/>
      <c r="H134" s="399" t="s">
        <v>433</v>
      </c>
      <c r="I134" s="400" t="str">
        <f t="shared" ca="1" si="26"/>
        <v>08.001.001.003</v>
      </c>
      <c r="J134" s="401" t="s">
        <v>4145</v>
      </c>
      <c r="K134" s="402" t="s">
        <v>74</v>
      </c>
      <c r="L134" s="403">
        <v>1</v>
      </c>
      <c r="M134" s="403">
        <v>2540.0093400000001</v>
      </c>
      <c r="N134" s="404">
        <f t="shared" si="13"/>
        <v>2540.0093400000001</v>
      </c>
      <c r="O134" s="405"/>
      <c r="P134" s="406" t="s">
        <v>3605</v>
      </c>
    </row>
    <row r="135" spans="1:17" s="125" customFormat="1" ht="13.9" hidden="1" customHeight="1" outlineLevel="2" x14ac:dyDescent="0.25">
      <c r="A135" s="390">
        <f ca="1">IF($H135="UNIDADE CONSTRUTIVA",OFFSET(A135,-1,0)+1,LARGE(A$3:A134,1))</f>
        <v>0</v>
      </c>
      <c r="B135" s="390">
        <f t="shared" ca="1" si="14"/>
        <v>8</v>
      </c>
      <c r="C135" s="390">
        <f t="shared" ca="1" si="15"/>
        <v>1</v>
      </c>
      <c r="D135" s="391">
        <f t="shared" ca="1" si="16"/>
        <v>1</v>
      </c>
      <c r="E135" s="391">
        <f t="shared" ca="1" si="17"/>
        <v>4</v>
      </c>
      <c r="G135" s="398"/>
      <c r="H135" s="399" t="s">
        <v>433</v>
      </c>
      <c r="I135" s="400" t="str">
        <f ca="1">IF(H135="Unidade Construtiva",TEXT(A135,"00"),IF(H135="Célula Construtiva",TEXT(B135,"00"),IF(H135="Etapa",CONCATENATE(TEXT(B135,"00"),".",TEXT(C135,"000")),IF(H135="Subetapa",CONCATENATE(TEXT(B135,"00"),".",TEXT(C135,"000"),".",TEXT(D135,"000")),IF(H135="Serviço",CONCATENATE(TEXT(B135,"00"),".",TEXT(C135,"000"),".",TEXT(D135,"000"),".",TEXT(E135,"000")),"")))))</f>
        <v>08.001.001.004</v>
      </c>
      <c r="J135" s="401" t="s">
        <v>491</v>
      </c>
      <c r="K135" s="402" t="s">
        <v>74</v>
      </c>
      <c r="L135" s="403">
        <v>1</v>
      </c>
      <c r="M135" s="403">
        <v>56444.65</v>
      </c>
      <c r="N135" s="404">
        <f t="shared" si="13"/>
        <v>56444.65</v>
      </c>
      <c r="O135" s="405">
        <f>N135/Obra!$E$9</f>
        <v>4.3999998440950607</v>
      </c>
      <c r="P135" s="406" t="s">
        <v>3605</v>
      </c>
    </row>
    <row r="136" spans="1:17" s="125" customFormat="1" ht="13.9" hidden="1" customHeight="1" outlineLevel="2" x14ac:dyDescent="0.25">
      <c r="A136" s="390">
        <f ca="1">IF($H136="UNIDADE CONSTRUTIVA",OFFSET(A136,-1,0)+1,LARGE(A$3:A135,1))</f>
        <v>0</v>
      </c>
      <c r="B136" s="390">
        <f t="shared" ca="1" si="14"/>
        <v>8</v>
      </c>
      <c r="C136" s="390">
        <f t="shared" ca="1" si="15"/>
        <v>1</v>
      </c>
      <c r="D136" s="391">
        <f t="shared" ca="1" si="16"/>
        <v>1</v>
      </c>
      <c r="E136" s="391">
        <f t="shared" ca="1" si="17"/>
        <v>5</v>
      </c>
      <c r="G136" s="398"/>
      <c r="H136" s="399" t="s">
        <v>433</v>
      </c>
      <c r="I136" s="400" t="str">
        <f t="shared" ca="1" si="23"/>
        <v>08.001.001.005</v>
      </c>
      <c r="J136" s="401" t="s">
        <v>4146</v>
      </c>
      <c r="K136" s="402" t="s">
        <v>74</v>
      </c>
      <c r="L136" s="403">
        <v>1</v>
      </c>
      <c r="M136" s="403">
        <v>21166.744500000001</v>
      </c>
      <c r="N136" s="404">
        <f t="shared" ref="N136:N199" si="27">IF(H136="Serviço",M136*L136,IF(H136="CÉLULA CONSTRUTIVA",SUMIFS($N$8:$N$395,$B$8:$B$395,B136,$H$8:$H$395,"Serviço"),IF(H136="ETAPA",SUMIFS($N$8:$N$395,$B$8:$B$395,B136,$C$8:$C$395,C136,$H$8:$H$395,"Serviço"),IF(H136="SUBETAPA",SUMIFS($N$8:$N$395,$B$8:$B$395,B136,$C$8:$C$395,C136,$D$8:$D$395,D136,$H$8:$H$395,"Serviço"),0))))</f>
        <v>21166.744500000001</v>
      </c>
      <c r="O136" s="405"/>
      <c r="P136" s="406" t="s">
        <v>3605</v>
      </c>
    </row>
    <row r="137" spans="1:17" s="125" customFormat="1" ht="13.9" hidden="1" customHeight="1" outlineLevel="2" x14ac:dyDescent="0.25">
      <c r="A137" s="390">
        <f ca="1">IF($H137="UNIDADE CONSTRUTIVA",OFFSET(A137,-1,0)+1,LARGE(A$3:A136,1))</f>
        <v>0</v>
      </c>
      <c r="B137" s="390">
        <f t="shared" ref="B137:B200" ca="1" si="28">IF(H137="UNIDADE CONSTRUTIVA",0,IF(H137="CÉLULA CONSTRUTIVA",OFFSET(B137,-1,0)+1,OFFSET(B137,-1,0)))</f>
        <v>8</v>
      </c>
      <c r="C137" s="390">
        <f t="shared" ref="C137:C200" ca="1" si="29">IF(H137="CÉLULA CONSTRUTIVA",0,IF(H137="ETAPA",OFFSET(C137,-1,0)+1,OFFSET(C137,-1,0)))</f>
        <v>1</v>
      </c>
      <c r="D137" s="391">
        <f t="shared" ref="D137:D200" ca="1" si="30">IF(H137="ETAPA",0,IF(H137="SUBETAPA",OFFSET(D137,-1,0)+1,OFFSET(D137,-1,0)))</f>
        <v>1</v>
      </c>
      <c r="E137" s="391">
        <f t="shared" ref="E137:E200" ca="1" si="31">IF(H137="Subetapa",0,IF(H137="serviço",OFFSET(E137,-1,0)+1,OFFSET(E137,-1,0)))</f>
        <v>6</v>
      </c>
      <c r="G137" s="398"/>
      <c r="H137" s="399" t="s">
        <v>433</v>
      </c>
      <c r="I137" s="400" t="str">
        <f t="shared" ca="1" si="23"/>
        <v>08.001.001.006</v>
      </c>
      <c r="J137" s="401" t="s">
        <v>4147</v>
      </c>
      <c r="K137" s="402" t="s">
        <v>74</v>
      </c>
      <c r="L137" s="403">
        <v>1</v>
      </c>
      <c r="M137" s="403">
        <v>60000</v>
      </c>
      <c r="N137" s="404">
        <f t="shared" si="27"/>
        <v>60000</v>
      </c>
      <c r="O137" s="405"/>
      <c r="P137" s="406" t="s">
        <v>3605</v>
      </c>
    </row>
    <row r="138" spans="1:17" s="125" customFormat="1" ht="13.9" hidden="1" customHeight="1" outlineLevel="1" x14ac:dyDescent="0.25">
      <c r="A138" s="390">
        <f ca="1">IF($H138="UNIDADE CONSTRUTIVA",OFFSET(A138,-1,0)+1,LARGE(A$3:A137,1))</f>
        <v>0</v>
      </c>
      <c r="B138" s="390">
        <f t="shared" ca="1" si="28"/>
        <v>8</v>
      </c>
      <c r="C138" s="390">
        <f t="shared" ca="1" si="29"/>
        <v>1</v>
      </c>
      <c r="D138" s="391">
        <f t="shared" ca="1" si="30"/>
        <v>2</v>
      </c>
      <c r="E138" s="391">
        <f t="shared" ca="1" si="31"/>
        <v>0</v>
      </c>
      <c r="G138" s="398"/>
      <c r="H138" s="399" t="s">
        <v>432</v>
      </c>
      <c r="I138" s="400" t="str">
        <f ca="1">IF(H138="Unidade Construtiva",TEXT(A138,"00"),IF(H138="Célula Construtiva",TEXT(B138,"00"),IF(H138="Etapa",CONCATENATE(TEXT(B138,"00"),".",TEXT(C138,"000")),IF(H138="Subetapa",CONCATENATE(TEXT(B138,"00"),".",TEXT(C138,"000"),".",TEXT(D138,"000")),IF(H138="Serviço",CONCATENATE(TEXT(B138,"00"),".",TEXT(C138,"000"),".",TEXT(D138,"000"),".",TEXT(E138,"000")),"")))))</f>
        <v>08.001.002</v>
      </c>
      <c r="J138" s="401" t="s">
        <v>454</v>
      </c>
      <c r="K138" s="402"/>
      <c r="L138" s="403"/>
      <c r="M138" s="403"/>
      <c r="N138" s="404">
        <f t="shared" ca="1" si="27"/>
        <v>56444.652000000009</v>
      </c>
      <c r="O138" s="405">
        <f ca="1">N138/Obra!$E$9</f>
        <v>4.4000000000000004</v>
      </c>
      <c r="P138" s="406"/>
    </row>
    <row r="139" spans="1:17" s="125" customFormat="1" ht="13.9" hidden="1" customHeight="1" outlineLevel="2" x14ac:dyDescent="0.25">
      <c r="A139" s="390">
        <f ca="1">IF($H139="UNIDADE CONSTRUTIVA",OFFSET(A139,-1,0)+1,LARGE(A$3:A138,1))</f>
        <v>0</v>
      </c>
      <c r="B139" s="390">
        <f t="shared" ca="1" si="28"/>
        <v>8</v>
      </c>
      <c r="C139" s="390">
        <f t="shared" ca="1" si="29"/>
        <v>1</v>
      </c>
      <c r="D139" s="391">
        <f t="shared" ca="1" si="30"/>
        <v>2</v>
      </c>
      <c r="E139" s="391">
        <f t="shared" ca="1" si="31"/>
        <v>1</v>
      </c>
      <c r="G139" s="398"/>
      <c r="H139" s="399" t="s">
        <v>433</v>
      </c>
      <c r="I139" s="400" t="str">
        <f ca="1">IF(H139="Unidade Construtiva",TEXT(A139,"00"),IF(H139="Célula Construtiva",TEXT(B139,"00"),IF(H139="Etapa",CONCATENATE(TEXT(B139,"00"),".",TEXT(C139,"000")),IF(H139="Subetapa",CONCATENATE(TEXT(B139,"00"),".",TEXT(C139,"000"),".",TEXT(D139,"000")),IF(H139="Serviço",CONCATENATE(TEXT(B139,"00"),".",TEXT(C139,"000"),".",TEXT(D139,"000"),".",TEXT(E139,"000")),"")))))</f>
        <v>08.001.002.001</v>
      </c>
      <c r="J139" s="401" t="s">
        <v>4148</v>
      </c>
      <c r="K139" s="402" t="s">
        <v>74</v>
      </c>
      <c r="L139" s="403">
        <v>1</v>
      </c>
      <c r="M139" s="403">
        <v>30975.72365853659</v>
      </c>
      <c r="N139" s="404">
        <f t="shared" si="27"/>
        <v>30975.72365853659</v>
      </c>
      <c r="O139" s="1001" t="s">
        <v>4204</v>
      </c>
      <c r="P139" s="406" t="s">
        <v>3605</v>
      </c>
    </row>
    <row r="140" spans="1:17" s="125" customFormat="1" ht="13.9" hidden="1" customHeight="1" outlineLevel="2" x14ac:dyDescent="0.25">
      <c r="A140" s="390">
        <f ca="1">IF($H140="UNIDADE CONSTRUTIVA",OFFSET(A140,-1,0)+1,LARGE(A$3:A139,1))</f>
        <v>0</v>
      </c>
      <c r="B140" s="390">
        <f t="shared" ca="1" si="28"/>
        <v>8</v>
      </c>
      <c r="C140" s="390">
        <f t="shared" ca="1" si="29"/>
        <v>1</v>
      </c>
      <c r="D140" s="391">
        <f t="shared" ca="1" si="30"/>
        <v>2</v>
      </c>
      <c r="E140" s="391">
        <f t="shared" ca="1" si="31"/>
        <v>2</v>
      </c>
      <c r="G140" s="398"/>
      <c r="H140" s="399" t="s">
        <v>433</v>
      </c>
      <c r="I140" s="400" t="str">
        <f ca="1">IF(H140="Unidade Construtiva",TEXT(A140,"00"),IF(H140="Célula Construtiva",TEXT(B140,"00"),IF(H140="Etapa",CONCATENATE(TEXT(B140,"00"),".",TEXT(C140,"000")),IF(H140="Subetapa",CONCATENATE(TEXT(B140,"00"),".",TEXT(C140,"000"),".",TEXT(D140,"000")),IF(H140="Serviço",CONCATENATE(TEXT(B140,"00"),".",TEXT(C140,"000"),".",TEXT(D140,"000"),".",TEXT(E140,"000")),"")))))</f>
        <v>08.001.002.002</v>
      </c>
      <c r="J140" s="401" t="s">
        <v>4149</v>
      </c>
      <c r="K140" s="402" t="s">
        <v>74</v>
      </c>
      <c r="L140" s="403">
        <v>1</v>
      </c>
      <c r="M140" s="403">
        <v>6195.1447317073162</v>
      </c>
      <c r="N140" s="404">
        <f t="shared" si="27"/>
        <v>6195.1447317073162</v>
      </c>
      <c r="O140" s="1001" t="s">
        <v>4204</v>
      </c>
      <c r="P140" s="406" t="s">
        <v>3605</v>
      </c>
    </row>
    <row r="141" spans="1:17" s="125" customFormat="1" ht="13.9" hidden="1" customHeight="1" outlineLevel="2" x14ac:dyDescent="0.25">
      <c r="A141" s="390">
        <f ca="1">IF($H141="UNIDADE CONSTRUTIVA",OFFSET(A141,-1,0)+1,LARGE(A$3:A140,1))</f>
        <v>0</v>
      </c>
      <c r="B141" s="390">
        <f t="shared" ca="1" si="28"/>
        <v>8</v>
      </c>
      <c r="C141" s="390">
        <f t="shared" ca="1" si="29"/>
        <v>1</v>
      </c>
      <c r="D141" s="391">
        <f t="shared" ca="1" si="30"/>
        <v>2</v>
      </c>
      <c r="E141" s="391">
        <f t="shared" ca="1" si="31"/>
        <v>3</v>
      </c>
      <c r="G141" s="398"/>
      <c r="H141" s="399" t="s">
        <v>433</v>
      </c>
      <c r="I141" s="400" t="str">
        <f ca="1">IF(H141="Unidade Construtiva",TEXT(A141,"00"),IF(H141="Célula Construtiva",TEXT(B141,"00"),IF(H141="Etapa",CONCATENATE(TEXT(B141,"00"),".",TEXT(C141,"000")),IF(H141="Subetapa",CONCATENATE(TEXT(B141,"00"),".",TEXT(C141,"000"),".",TEXT(D141,"000")),IF(H141="Serviço",CONCATENATE(TEXT(B141,"00"),".",TEXT(C141,"000"),".",TEXT(D141,"000"),".",TEXT(E141,"000")),"")))))</f>
        <v>08.001.002.003</v>
      </c>
      <c r="J141" s="401" t="s">
        <v>4150</v>
      </c>
      <c r="K141" s="402" t="s">
        <v>74</v>
      </c>
      <c r="L141" s="403">
        <v>1</v>
      </c>
      <c r="M141" s="403">
        <v>2065.048243902439</v>
      </c>
      <c r="N141" s="404">
        <f t="shared" si="27"/>
        <v>2065.048243902439</v>
      </c>
      <c r="O141" s="1001" t="s">
        <v>4204</v>
      </c>
      <c r="P141" s="406" t="s">
        <v>3605</v>
      </c>
    </row>
    <row r="142" spans="1:17" s="125" customFormat="1" ht="13.9" hidden="1" customHeight="1" outlineLevel="2" x14ac:dyDescent="0.25">
      <c r="A142" s="390">
        <f ca="1">IF($H142="UNIDADE CONSTRUTIVA",OFFSET(A142,-1,0)+1,LARGE(A$3:A141,1))</f>
        <v>0</v>
      </c>
      <c r="B142" s="390">
        <f t="shared" ca="1" si="28"/>
        <v>8</v>
      </c>
      <c r="C142" s="390">
        <f t="shared" ca="1" si="29"/>
        <v>1</v>
      </c>
      <c r="D142" s="391">
        <f t="shared" ca="1" si="30"/>
        <v>2</v>
      </c>
      <c r="E142" s="391">
        <f t="shared" ca="1" si="31"/>
        <v>4</v>
      </c>
      <c r="G142" s="398"/>
      <c r="H142" s="399" t="s">
        <v>433</v>
      </c>
      <c r="I142" s="400" t="str">
        <f ca="1">IF(H142="Unidade Construtiva",TEXT(A142,"00"),IF(H142="Célula Construtiva",TEXT(B142,"00"),IF(H142="Etapa",CONCATENATE(TEXT(B142,"00"),".",TEXT(C142,"000")),IF(H142="Subetapa",CONCATENATE(TEXT(B142,"00"),".",TEXT(C142,"000"),".",TEXT(D142,"000")),IF(H142="Serviço",CONCATENATE(TEXT(B142,"00"),".",TEXT(C142,"000"),".",TEXT(D142,"000"),".",TEXT(E142,"000")),"")))))</f>
        <v>08.001.002.004</v>
      </c>
      <c r="J142" s="401" t="s">
        <v>4151</v>
      </c>
      <c r="K142" s="402" t="s">
        <v>74</v>
      </c>
      <c r="L142" s="403">
        <v>1</v>
      </c>
      <c r="M142" s="403">
        <v>17208.735365853659</v>
      </c>
      <c r="N142" s="404">
        <f t="shared" si="27"/>
        <v>17208.735365853659</v>
      </c>
      <c r="O142" s="1001" t="s">
        <v>4204</v>
      </c>
      <c r="P142" s="406" t="s">
        <v>3605</v>
      </c>
    </row>
    <row r="143" spans="1:17" s="125" customFormat="1" ht="13.9" customHeight="1" collapsed="1" x14ac:dyDescent="0.25">
      <c r="A143" s="390">
        <f ca="1">IF($H143="UNIDADE CONSTRUTIVA",OFFSET(A143,-1,0)+1,LARGE(A$3:A142,1))</f>
        <v>0</v>
      </c>
      <c r="B143" s="390">
        <f t="shared" ca="1" si="28"/>
        <v>9</v>
      </c>
      <c r="C143" s="390">
        <f t="shared" ca="1" si="29"/>
        <v>0</v>
      </c>
      <c r="D143" s="391">
        <f t="shared" ca="1" si="30"/>
        <v>2</v>
      </c>
      <c r="E143" s="391">
        <f t="shared" ca="1" si="31"/>
        <v>4</v>
      </c>
      <c r="G143" s="398"/>
      <c r="H143" s="399" t="s">
        <v>430</v>
      </c>
      <c r="I143" s="400" t="str">
        <f t="shared" ref="I143:I144" ca="1" si="32">IF(H143="Unidade Construtiva",TEXT(A143,"00"),IF(H143="Célula Construtiva",TEXT(B143,"00"),IF(H143="Etapa",CONCATENATE(TEXT(B143,"00"),".",TEXT(C143,"000")),IF(H143="Subetapa",CONCATENATE(TEXT(B143,"00"),".",TEXT(C143,"000"),".",TEXT(D143,"000")),IF(H143="Serviço",CONCATENATE(TEXT(B143,"00"),".",TEXT(C143,"000"),".",TEXT(D143,"000"),".",TEXT(E143,"000")),"")))))</f>
        <v>09</v>
      </c>
      <c r="J143" s="401" t="s">
        <v>4152</v>
      </c>
      <c r="K143" s="402"/>
      <c r="L143" s="403"/>
      <c r="M143" s="403"/>
      <c r="N143" s="404">
        <f t="shared" ca="1" si="27"/>
        <v>268633.27</v>
      </c>
      <c r="O143" s="405"/>
      <c r="P143" s="406"/>
      <c r="Q143" s="986">
        <f ca="1">N143/Obra!$E$9</f>
        <v>20.940626722262365</v>
      </c>
    </row>
    <row r="144" spans="1:17" s="125" customFormat="1" ht="13.9" hidden="1" customHeight="1" outlineLevel="1" x14ac:dyDescent="0.25">
      <c r="A144" s="390">
        <f ca="1">IF($H144="UNIDADE CONSTRUTIVA",OFFSET(A144,-1,0)+1,LARGE(A$3:A143,1))</f>
        <v>0</v>
      </c>
      <c r="B144" s="390">
        <f t="shared" ca="1" si="28"/>
        <v>9</v>
      </c>
      <c r="C144" s="390">
        <f t="shared" ca="1" si="29"/>
        <v>1</v>
      </c>
      <c r="D144" s="391">
        <f t="shared" ca="1" si="30"/>
        <v>0</v>
      </c>
      <c r="E144" s="391">
        <f t="shared" ca="1" si="31"/>
        <v>4</v>
      </c>
      <c r="G144" s="398"/>
      <c r="H144" s="399" t="s">
        <v>229</v>
      </c>
      <c r="I144" s="400" t="str">
        <f t="shared" ca="1" si="32"/>
        <v>09.001</v>
      </c>
      <c r="J144" s="401" t="s">
        <v>4152</v>
      </c>
      <c r="K144" s="402"/>
      <c r="L144" s="403"/>
      <c r="M144" s="403"/>
      <c r="N144" s="404">
        <f t="shared" ca="1" si="27"/>
        <v>268633.27</v>
      </c>
      <c r="O144" s="405">
        <f ca="1">N144/Obra!$E$9</f>
        <v>20.940626722262365</v>
      </c>
      <c r="P144" s="406"/>
    </row>
    <row r="145" spans="1:19" s="125" customFormat="1" ht="13.9" hidden="1" customHeight="1" outlineLevel="1" x14ac:dyDescent="0.25">
      <c r="A145" s="390">
        <f ca="1">IF($H145="UNIDADE CONSTRUTIVA",OFFSET(A145,-1,0)+1,LARGE(A$3:A144,1))</f>
        <v>0</v>
      </c>
      <c r="B145" s="390">
        <f t="shared" ca="1" si="28"/>
        <v>9</v>
      </c>
      <c r="C145" s="390">
        <f t="shared" ca="1" si="29"/>
        <v>1</v>
      </c>
      <c r="D145" s="391">
        <f t="shared" ca="1" si="30"/>
        <v>1</v>
      </c>
      <c r="E145" s="391">
        <f t="shared" ca="1" si="31"/>
        <v>0</v>
      </c>
      <c r="G145" s="398"/>
      <c r="H145" s="399" t="s">
        <v>432</v>
      </c>
      <c r="I145" s="400" t="str">
        <f ca="1">IF(H145="Unidade Construtiva",TEXT(A145,"00"),IF(H145="Célula Construtiva",TEXT(B145,"00"),IF(H145="Etapa",CONCATENATE(TEXT(B145,"00"),".",TEXT(C145,"000")),IF(H145="Subetapa",CONCATENATE(TEXT(B145,"00"),".",TEXT(C145,"000"),".",TEXT(D145,"000")),IF(H145="Serviço",CONCATENATE(TEXT(B145,"00"),".",TEXT(C145,"000"),".",TEXT(D145,"000"),".",TEXT(E145,"000")),"")))))</f>
        <v>09.001.001</v>
      </c>
      <c r="J145" s="401" t="s">
        <v>4161</v>
      </c>
      <c r="K145" s="402"/>
      <c r="L145" s="403"/>
      <c r="M145" s="403"/>
      <c r="N145" s="404">
        <f t="shared" ca="1" si="27"/>
        <v>161179.962</v>
      </c>
      <c r="O145" s="405"/>
      <c r="P145" s="406"/>
    </row>
    <row r="146" spans="1:19" s="125" customFormat="1" ht="13.9" hidden="1" customHeight="1" outlineLevel="2" x14ac:dyDescent="0.25">
      <c r="A146" s="390">
        <f ca="1">IF($H146="UNIDADE CONSTRUTIVA",OFFSET(A146,-1,0)+1,LARGE(A$3:A145,1))</f>
        <v>0</v>
      </c>
      <c r="B146" s="390">
        <f t="shared" ca="1" si="28"/>
        <v>9</v>
      </c>
      <c r="C146" s="390">
        <f t="shared" ca="1" si="29"/>
        <v>1</v>
      </c>
      <c r="D146" s="391">
        <f t="shared" ca="1" si="30"/>
        <v>1</v>
      </c>
      <c r="E146" s="391">
        <f t="shared" ca="1" si="31"/>
        <v>1</v>
      </c>
      <c r="G146" s="398"/>
      <c r="H146" s="399" t="s">
        <v>433</v>
      </c>
      <c r="I146" s="400" t="str">
        <f ca="1">IF(H146="Unidade Construtiva",TEXT(A146,"00"),IF(H146="Célula Construtiva",TEXT(B146,"00"),IF(H146="Etapa",CONCATENATE(TEXT(B146,"00"),".",TEXT(C146,"000")),IF(H146="Subetapa",CONCATENATE(TEXT(B146,"00"),".",TEXT(C146,"000"),".",TEXT(D146,"000")),IF(H146="Serviço",CONCATENATE(TEXT(B146,"00"),".",TEXT(C146,"000"),".",TEXT(D146,"000"),".",TEXT(E146,"000")),"")))))</f>
        <v>09.001.001.001</v>
      </c>
      <c r="J146" s="401" t="s">
        <v>4154</v>
      </c>
      <c r="K146" s="402" t="s">
        <v>74</v>
      </c>
      <c r="L146" s="403">
        <v>1</v>
      </c>
      <c r="M146" s="403">
        <v>39629.412179999999</v>
      </c>
      <c r="N146" s="404">
        <f t="shared" si="27"/>
        <v>39629.412179999999</v>
      </c>
      <c r="O146" s="405" t="s">
        <v>4185</v>
      </c>
      <c r="P146" s="406" t="s">
        <v>3605</v>
      </c>
    </row>
    <row r="147" spans="1:19" s="125" customFormat="1" ht="13.9" hidden="1" customHeight="1" outlineLevel="2" x14ac:dyDescent="0.25">
      <c r="A147" s="390">
        <f ca="1">IF($H147="UNIDADE CONSTRUTIVA",OFFSET(A147,-1,0)+1,LARGE(A$3:A146,1))</f>
        <v>0</v>
      </c>
      <c r="B147" s="390">
        <f t="shared" ca="1" si="28"/>
        <v>9</v>
      </c>
      <c r="C147" s="390">
        <f t="shared" ca="1" si="29"/>
        <v>1</v>
      </c>
      <c r="D147" s="391">
        <f t="shared" ca="1" si="30"/>
        <v>1</v>
      </c>
      <c r="E147" s="391">
        <f t="shared" ca="1" si="31"/>
        <v>2</v>
      </c>
      <c r="G147" s="398"/>
      <c r="H147" s="399" t="s">
        <v>433</v>
      </c>
      <c r="I147" s="400" t="str">
        <f t="shared" ref="I147:I149" ca="1" si="33">IF(H147="Unidade Construtiva",TEXT(A147,"00"),IF(H147="Célula Construtiva",TEXT(B147,"00"),IF(H147="Etapa",CONCATENATE(TEXT(B147,"00"),".",TEXT(C147,"000")),IF(H147="Subetapa",CONCATENATE(TEXT(B147,"00"),".",TEXT(C147,"000"),".",TEXT(D147,"000")),IF(H147="Serviço",CONCATENATE(TEXT(B147,"00"),".",TEXT(C147,"000"),".",TEXT(D147,"000"),".",TEXT(E147,"000")),"")))))</f>
        <v>09.001.001.002</v>
      </c>
      <c r="J147" s="401" t="s">
        <v>4155</v>
      </c>
      <c r="K147" s="402" t="s">
        <v>74</v>
      </c>
      <c r="L147" s="403">
        <v>1</v>
      </c>
      <c r="M147" s="403">
        <v>14657.453820000001</v>
      </c>
      <c r="N147" s="404">
        <f t="shared" si="27"/>
        <v>14657.453820000001</v>
      </c>
      <c r="O147" s="405" t="s">
        <v>4185</v>
      </c>
      <c r="P147" s="406" t="s">
        <v>3605</v>
      </c>
    </row>
    <row r="148" spans="1:19" s="125" customFormat="1" ht="13.9" hidden="1" customHeight="1" outlineLevel="2" x14ac:dyDescent="0.25">
      <c r="A148" s="390">
        <f ca="1">IF($H148="UNIDADE CONSTRUTIVA",OFFSET(A148,-1,0)+1,LARGE(A$3:A147,1))</f>
        <v>0</v>
      </c>
      <c r="B148" s="390">
        <f t="shared" ca="1" si="28"/>
        <v>9</v>
      </c>
      <c r="C148" s="390">
        <f t="shared" ca="1" si="29"/>
        <v>1</v>
      </c>
      <c r="D148" s="391">
        <f t="shared" ca="1" si="30"/>
        <v>1</v>
      </c>
      <c r="E148" s="391">
        <f t="shared" ca="1" si="31"/>
        <v>3</v>
      </c>
      <c r="G148" s="398"/>
      <c r="H148" s="399" t="s">
        <v>433</v>
      </c>
      <c r="I148" s="400" t="str">
        <f t="shared" ca="1" si="33"/>
        <v>09.001.001.003</v>
      </c>
      <c r="J148" s="401" t="s">
        <v>4156</v>
      </c>
      <c r="K148" s="402" t="s">
        <v>74</v>
      </c>
      <c r="L148" s="403">
        <v>1</v>
      </c>
      <c r="M148" s="403">
        <v>36759.365999999995</v>
      </c>
      <c r="N148" s="404">
        <f t="shared" si="27"/>
        <v>36759.365999999995</v>
      </c>
      <c r="O148" s="405" t="s">
        <v>4185</v>
      </c>
      <c r="P148" s="406" t="s">
        <v>3605</v>
      </c>
      <c r="R148" s="986"/>
      <c r="S148" s="988"/>
    </row>
    <row r="149" spans="1:19" s="125" customFormat="1" ht="13.9" hidden="1" customHeight="1" outlineLevel="2" x14ac:dyDescent="0.25">
      <c r="A149" s="390">
        <f ca="1">IF($H149="UNIDADE CONSTRUTIVA",OFFSET(A149,-1,0)+1,LARGE(A$3:A148,1))</f>
        <v>0</v>
      </c>
      <c r="B149" s="390">
        <f t="shared" ca="1" si="28"/>
        <v>9</v>
      </c>
      <c r="C149" s="390">
        <f t="shared" ca="1" si="29"/>
        <v>1</v>
      </c>
      <c r="D149" s="391">
        <f t="shared" ca="1" si="30"/>
        <v>1</v>
      </c>
      <c r="E149" s="391">
        <f t="shared" ca="1" si="31"/>
        <v>4</v>
      </c>
      <c r="G149" s="398"/>
      <c r="H149" s="399" t="s">
        <v>433</v>
      </c>
      <c r="I149" s="400" t="str">
        <f t="shared" ca="1" si="33"/>
        <v>09.001.001.004</v>
      </c>
      <c r="J149" s="401" t="s">
        <v>4157</v>
      </c>
      <c r="K149" s="402" t="s">
        <v>74</v>
      </c>
      <c r="L149" s="403">
        <v>1</v>
      </c>
      <c r="M149" s="403">
        <v>70133.73</v>
      </c>
      <c r="N149" s="404">
        <f t="shared" si="27"/>
        <v>70133.73</v>
      </c>
      <c r="O149" s="405" t="s">
        <v>4185</v>
      </c>
      <c r="P149" s="406" t="s">
        <v>3605</v>
      </c>
      <c r="R149" s="986"/>
      <c r="S149" s="988"/>
    </row>
    <row r="150" spans="1:19" s="125" customFormat="1" ht="13.9" hidden="1" customHeight="1" outlineLevel="1" x14ac:dyDescent="0.25">
      <c r="A150" s="390">
        <f ca="1">IF($H150="UNIDADE CONSTRUTIVA",OFFSET(A150,-1,0)+1,LARGE(A$3:A149,1))</f>
        <v>0</v>
      </c>
      <c r="B150" s="390">
        <f t="shared" ca="1" si="28"/>
        <v>9</v>
      </c>
      <c r="C150" s="390">
        <f t="shared" ca="1" si="29"/>
        <v>1</v>
      </c>
      <c r="D150" s="391">
        <f t="shared" ca="1" si="30"/>
        <v>2</v>
      </c>
      <c r="E150" s="391">
        <f t="shared" ca="1" si="31"/>
        <v>0</v>
      </c>
      <c r="G150" s="398"/>
      <c r="H150" s="399" t="s">
        <v>432</v>
      </c>
      <c r="I150" s="400" t="str">
        <f ca="1">IF(H150="Unidade Construtiva",TEXT(A150,"00"),IF(H150="Célula Construtiva",TEXT(B150,"00"),IF(H150="Etapa",CONCATENATE(TEXT(B150,"00"),".",TEXT(C150,"000")),IF(H150="Subetapa",CONCATENATE(TEXT(B150,"00"),".",TEXT(C150,"000"),".",TEXT(D150,"000")),IF(H150="Serviço",CONCATENATE(TEXT(B150,"00"),".",TEXT(C150,"000"),".",TEXT(D150,"000"),".",TEXT(E150,"000")),"")))))</f>
        <v>09.001.002</v>
      </c>
      <c r="J150" s="401" t="s">
        <v>454</v>
      </c>
      <c r="K150" s="402"/>
      <c r="L150" s="403"/>
      <c r="M150" s="403"/>
      <c r="N150" s="404">
        <f t="shared" ca="1" si="27"/>
        <v>107453.30800000002</v>
      </c>
      <c r="O150" s="405"/>
      <c r="P150" s="406"/>
    </row>
    <row r="151" spans="1:19" s="125" customFormat="1" ht="13.9" hidden="1" customHeight="1" outlineLevel="2" x14ac:dyDescent="0.25">
      <c r="A151" s="390">
        <f ca="1">IF($H151="UNIDADE CONSTRUTIVA",OFFSET(A151,-1,0)+1,LARGE(A$3:A150,1))</f>
        <v>0</v>
      </c>
      <c r="B151" s="390">
        <f t="shared" ca="1" si="28"/>
        <v>9</v>
      </c>
      <c r="C151" s="390">
        <f t="shared" ca="1" si="29"/>
        <v>1</v>
      </c>
      <c r="D151" s="391">
        <f t="shared" ca="1" si="30"/>
        <v>2</v>
      </c>
      <c r="E151" s="391">
        <f t="shared" ca="1" si="31"/>
        <v>1</v>
      </c>
      <c r="G151" s="398"/>
      <c r="H151" s="399" t="s">
        <v>433</v>
      </c>
      <c r="I151" s="400" t="str">
        <f ca="1">IF(H151="Unidade Construtiva",TEXT(A151,"00"),IF(H151="Célula Construtiva",TEXT(B151,"00"),IF(H151="Etapa",CONCATENATE(TEXT(B151,"00"),".",TEXT(C151,"000")),IF(H151="Subetapa",CONCATENATE(TEXT(B151,"00"),".",TEXT(C151,"000"),".",TEXT(D151,"000")),IF(H151="Serviço",CONCATENATE(TEXT(B151,"00"),".",TEXT(C151,"000"),".",TEXT(D151,"000"),".",TEXT(E151,"000")),"")))))</f>
        <v>09.001.002.001</v>
      </c>
      <c r="J151" s="401" t="s">
        <v>492</v>
      </c>
      <c r="K151" s="402" t="s">
        <v>74</v>
      </c>
      <c r="L151" s="403">
        <v>1</v>
      </c>
      <c r="M151" s="403">
        <v>107453.30800000002</v>
      </c>
      <c r="N151" s="404">
        <f t="shared" si="27"/>
        <v>107453.30800000002</v>
      </c>
      <c r="O151" s="1001" t="s">
        <v>4204</v>
      </c>
      <c r="P151" s="406" t="s">
        <v>3605</v>
      </c>
    </row>
    <row r="152" spans="1:19" s="125" customFormat="1" ht="13.9" customHeight="1" collapsed="1" x14ac:dyDescent="0.25">
      <c r="A152" s="390">
        <f ca="1">IF($H152="UNIDADE CONSTRUTIVA",OFFSET(A152,-1,0)+1,LARGE(A$3:A151,1))</f>
        <v>0</v>
      </c>
      <c r="B152" s="390">
        <f t="shared" ca="1" si="28"/>
        <v>10</v>
      </c>
      <c r="C152" s="390">
        <f t="shared" ca="1" si="29"/>
        <v>0</v>
      </c>
      <c r="D152" s="391">
        <f t="shared" ca="1" si="30"/>
        <v>2</v>
      </c>
      <c r="E152" s="391">
        <f t="shared" ca="1" si="31"/>
        <v>1</v>
      </c>
      <c r="G152" s="398"/>
      <c r="H152" s="399" t="s">
        <v>430</v>
      </c>
      <c r="I152" s="400" t="str">
        <f t="shared" ca="1" si="23"/>
        <v>10</v>
      </c>
      <c r="J152" s="401" t="s">
        <v>4153</v>
      </c>
      <c r="K152" s="402"/>
      <c r="L152" s="403"/>
      <c r="M152" s="403"/>
      <c r="N152" s="404">
        <f t="shared" ca="1" si="27"/>
        <v>211667.44500000007</v>
      </c>
      <c r="O152" s="405"/>
      <c r="P152" s="406"/>
      <c r="Q152" s="986">
        <f ca="1">N152/Obra!$E$9</f>
        <v>16.500000000000004</v>
      </c>
    </row>
    <row r="153" spans="1:19" s="125" customFormat="1" ht="13.9" hidden="1" customHeight="1" outlineLevel="1" x14ac:dyDescent="0.25">
      <c r="A153" s="390">
        <f ca="1">IF($H153="UNIDADE CONSTRUTIVA",OFFSET(A153,-1,0)+1,LARGE(A$3:A152,1))</f>
        <v>0</v>
      </c>
      <c r="B153" s="390">
        <f t="shared" ca="1" si="28"/>
        <v>10</v>
      </c>
      <c r="C153" s="390">
        <f t="shared" ca="1" si="29"/>
        <v>1</v>
      </c>
      <c r="D153" s="391">
        <f t="shared" ca="1" si="30"/>
        <v>0</v>
      </c>
      <c r="E153" s="391">
        <f t="shared" ca="1" si="31"/>
        <v>1</v>
      </c>
      <c r="G153" s="398"/>
      <c r="H153" s="399" t="s">
        <v>229</v>
      </c>
      <c r="I153" s="400" t="str">
        <f t="shared" ca="1" si="23"/>
        <v>10.001</v>
      </c>
      <c r="J153" s="401" t="s">
        <v>4153</v>
      </c>
      <c r="K153" s="402"/>
      <c r="L153" s="403"/>
      <c r="M153" s="403"/>
      <c r="N153" s="404">
        <f t="shared" ca="1" si="27"/>
        <v>211667.44500000007</v>
      </c>
      <c r="O153" s="405"/>
      <c r="P153" s="406"/>
    </row>
    <row r="154" spans="1:19" s="125" customFormat="1" ht="13.5" hidden="1" customHeight="1" outlineLevel="1" x14ac:dyDescent="0.25">
      <c r="A154" s="390">
        <f ca="1">IF($H154="UNIDADE CONSTRUTIVA",OFFSET(A154,-1,0)+1,LARGE(A$3:A153,1))</f>
        <v>0</v>
      </c>
      <c r="B154" s="390">
        <f t="shared" ca="1" si="28"/>
        <v>10</v>
      </c>
      <c r="C154" s="390">
        <f t="shared" ca="1" si="29"/>
        <v>1</v>
      </c>
      <c r="D154" s="391">
        <f t="shared" ca="1" si="30"/>
        <v>1</v>
      </c>
      <c r="E154" s="391">
        <f t="shared" ca="1" si="31"/>
        <v>0</v>
      </c>
      <c r="G154" s="398"/>
      <c r="H154" s="399" t="s">
        <v>432</v>
      </c>
      <c r="I154" s="400" t="str">
        <f t="shared" ca="1" si="23"/>
        <v>10.001.001</v>
      </c>
      <c r="J154" s="401" t="s">
        <v>4158</v>
      </c>
      <c r="K154" s="402"/>
      <c r="L154" s="403"/>
      <c r="M154" s="403"/>
      <c r="N154" s="404">
        <f t="shared" ca="1" si="27"/>
        <v>141111.63000000003</v>
      </c>
      <c r="O154" s="405">
        <f ca="1">N154/Obra!$E$9</f>
        <v>11.000000000000002</v>
      </c>
      <c r="P154" s="406"/>
    </row>
    <row r="155" spans="1:19" s="125" customFormat="1" ht="13.5" hidden="1" customHeight="1" outlineLevel="2" x14ac:dyDescent="0.25">
      <c r="A155" s="390">
        <f ca="1">IF($H155="UNIDADE CONSTRUTIVA",OFFSET(A155,-1,0)+1,LARGE(A$3:A154,1))</f>
        <v>0</v>
      </c>
      <c r="B155" s="390">
        <f t="shared" ca="1" si="28"/>
        <v>10</v>
      </c>
      <c r="C155" s="390">
        <f t="shared" ca="1" si="29"/>
        <v>1</v>
      </c>
      <c r="D155" s="391">
        <f t="shared" ca="1" si="30"/>
        <v>1</v>
      </c>
      <c r="E155" s="391">
        <f t="shared" ca="1" si="31"/>
        <v>1</v>
      </c>
      <c r="G155" s="398"/>
      <c r="H155" s="399" t="s">
        <v>433</v>
      </c>
      <c r="I155" s="400" t="str">
        <f t="shared" ca="1" si="23"/>
        <v>10.001.001.001</v>
      </c>
      <c r="J155" s="401" t="s">
        <v>493</v>
      </c>
      <c r="K155" s="402" t="s">
        <v>74</v>
      </c>
      <c r="L155" s="403">
        <v>1</v>
      </c>
      <c r="M155" s="403">
        <v>70555.815000000017</v>
      </c>
      <c r="N155" s="404">
        <f t="shared" si="27"/>
        <v>70555.815000000017</v>
      </c>
      <c r="O155" s="405" t="s">
        <v>494</v>
      </c>
      <c r="P155" s="406" t="s">
        <v>3605</v>
      </c>
    </row>
    <row r="156" spans="1:19" s="125" customFormat="1" ht="13.5" hidden="1" customHeight="1" outlineLevel="2" x14ac:dyDescent="0.25">
      <c r="A156" s="390">
        <f ca="1">IF($H156="UNIDADE CONSTRUTIVA",OFFSET(A156,-1,0)+1,LARGE(A$3:A155,1))</f>
        <v>0</v>
      </c>
      <c r="B156" s="390">
        <f t="shared" ca="1" si="28"/>
        <v>10</v>
      </c>
      <c r="C156" s="390">
        <f t="shared" ca="1" si="29"/>
        <v>1</v>
      </c>
      <c r="D156" s="391">
        <f t="shared" ca="1" si="30"/>
        <v>1</v>
      </c>
      <c r="E156" s="391">
        <f t="shared" ca="1" si="31"/>
        <v>2</v>
      </c>
      <c r="G156" s="398"/>
      <c r="H156" s="399" t="s">
        <v>433</v>
      </c>
      <c r="I156" s="400" t="str">
        <f t="shared" ca="1" si="23"/>
        <v>10.001.001.002</v>
      </c>
      <c r="J156" s="401" t="s">
        <v>495</v>
      </c>
      <c r="K156" s="402" t="s">
        <v>74</v>
      </c>
      <c r="L156" s="403">
        <v>1</v>
      </c>
      <c r="M156" s="403">
        <v>28222.326000000005</v>
      </c>
      <c r="N156" s="404">
        <f t="shared" si="27"/>
        <v>28222.326000000005</v>
      </c>
      <c r="O156" s="405" t="s">
        <v>496</v>
      </c>
      <c r="P156" s="406" t="s">
        <v>3605</v>
      </c>
    </row>
    <row r="157" spans="1:19" s="125" customFormat="1" ht="13.5" hidden="1" customHeight="1" outlineLevel="2" x14ac:dyDescent="0.25">
      <c r="A157" s="390">
        <f ca="1">IF($H157="UNIDADE CONSTRUTIVA",OFFSET(A157,-1,0)+1,LARGE(A$3:A156,1))</f>
        <v>0</v>
      </c>
      <c r="B157" s="390">
        <f t="shared" ca="1" si="28"/>
        <v>10</v>
      </c>
      <c r="C157" s="390">
        <f t="shared" ca="1" si="29"/>
        <v>1</v>
      </c>
      <c r="D157" s="391">
        <f t="shared" ca="1" si="30"/>
        <v>1</v>
      </c>
      <c r="E157" s="391">
        <f t="shared" ca="1" si="31"/>
        <v>3</v>
      </c>
      <c r="G157" s="398"/>
      <c r="H157" s="399" t="s">
        <v>433</v>
      </c>
      <c r="I157" s="400" t="str">
        <f t="shared" ca="1" si="23"/>
        <v>10.001.001.003</v>
      </c>
      <c r="J157" s="401" t="s">
        <v>497</v>
      </c>
      <c r="K157" s="402" t="s">
        <v>74</v>
      </c>
      <c r="L157" s="403">
        <v>1</v>
      </c>
      <c r="M157" s="403">
        <v>42333.489000000009</v>
      </c>
      <c r="N157" s="404">
        <f t="shared" si="27"/>
        <v>42333.489000000009</v>
      </c>
      <c r="O157" s="405" t="s">
        <v>496</v>
      </c>
      <c r="P157" s="406" t="s">
        <v>3605</v>
      </c>
    </row>
    <row r="158" spans="1:19" s="125" customFormat="1" ht="13.5" hidden="1" customHeight="1" outlineLevel="1" x14ac:dyDescent="0.25">
      <c r="A158" s="390">
        <f ca="1">IF($H158="UNIDADE CONSTRUTIVA",OFFSET(A158,-1,0)+1,LARGE(A$3:A157,1))</f>
        <v>0</v>
      </c>
      <c r="B158" s="390">
        <f t="shared" ca="1" si="28"/>
        <v>10</v>
      </c>
      <c r="C158" s="390">
        <f t="shared" ca="1" si="29"/>
        <v>1</v>
      </c>
      <c r="D158" s="391">
        <f t="shared" ca="1" si="30"/>
        <v>2</v>
      </c>
      <c r="E158" s="391">
        <f t="shared" ca="1" si="31"/>
        <v>0</v>
      </c>
      <c r="G158" s="398"/>
      <c r="H158" s="399" t="s">
        <v>432</v>
      </c>
      <c r="I158" s="400" t="str">
        <f t="shared" ca="1" si="23"/>
        <v>10.001.002</v>
      </c>
      <c r="J158" s="401" t="s">
        <v>4159</v>
      </c>
      <c r="K158" s="402"/>
      <c r="L158" s="403"/>
      <c r="M158" s="403"/>
      <c r="N158" s="404">
        <f t="shared" ca="1" si="27"/>
        <v>70555.815000000017</v>
      </c>
      <c r="O158" s="405">
        <f ca="1">N158/Obra!$E$9</f>
        <v>5.5000000000000009</v>
      </c>
      <c r="P158" s="406"/>
    </row>
    <row r="159" spans="1:19" s="125" customFormat="1" ht="13.5" hidden="1" customHeight="1" outlineLevel="2" x14ac:dyDescent="0.25">
      <c r="A159" s="390">
        <f ca="1">IF($H159="UNIDADE CONSTRUTIVA",OFFSET(A159,-1,0)+1,LARGE(A$3:A158,1))</f>
        <v>0</v>
      </c>
      <c r="B159" s="390">
        <f t="shared" ca="1" si="28"/>
        <v>10</v>
      </c>
      <c r="C159" s="390">
        <f t="shared" ca="1" si="29"/>
        <v>1</v>
      </c>
      <c r="D159" s="391">
        <f t="shared" ca="1" si="30"/>
        <v>2</v>
      </c>
      <c r="E159" s="391">
        <f t="shared" ca="1" si="31"/>
        <v>1</v>
      </c>
      <c r="G159" s="398"/>
      <c r="H159" s="399" t="s">
        <v>433</v>
      </c>
      <c r="I159" s="400" t="str">
        <f t="shared" ca="1" si="23"/>
        <v>10.001.002.001</v>
      </c>
      <c r="J159" s="401" t="s">
        <v>498</v>
      </c>
      <c r="K159" s="402" t="s">
        <v>74</v>
      </c>
      <c r="L159" s="403">
        <v>1</v>
      </c>
      <c r="M159" s="403">
        <v>70555.815000000017</v>
      </c>
      <c r="N159" s="404">
        <f t="shared" si="27"/>
        <v>70555.815000000017</v>
      </c>
      <c r="O159" s="405" t="s">
        <v>496</v>
      </c>
      <c r="P159" s="406" t="s">
        <v>3605</v>
      </c>
    </row>
    <row r="160" spans="1:19" s="125" customFormat="1" ht="13.9" customHeight="1" collapsed="1" x14ac:dyDescent="0.25">
      <c r="A160" s="390">
        <f ca="1">IF($H160="UNIDADE CONSTRUTIVA",OFFSET(A160,-1,0)+1,LARGE(A$3:A159,1))</f>
        <v>0</v>
      </c>
      <c r="B160" s="390">
        <f t="shared" ca="1" si="28"/>
        <v>11</v>
      </c>
      <c r="C160" s="390">
        <f t="shared" ca="1" si="29"/>
        <v>0</v>
      </c>
      <c r="D160" s="391">
        <f t="shared" ca="1" si="30"/>
        <v>2</v>
      </c>
      <c r="E160" s="391">
        <f t="shared" ca="1" si="31"/>
        <v>1</v>
      </c>
      <c r="G160" s="398"/>
      <c r="H160" s="399" t="s">
        <v>430</v>
      </c>
      <c r="I160" s="400" t="str">
        <f t="shared" ca="1" si="23"/>
        <v>11</v>
      </c>
      <c r="J160" s="401" t="s">
        <v>249</v>
      </c>
      <c r="K160" s="402"/>
      <c r="L160" s="403"/>
      <c r="M160" s="403"/>
      <c r="N160" s="404">
        <f t="shared" ca="1" si="27"/>
        <v>1151030</v>
      </c>
      <c r="O160" s="405"/>
      <c r="P160" s="406"/>
      <c r="Q160" s="986">
        <f ca="1">N160/Obra!$E$9</f>
        <v>89.725630693940658</v>
      </c>
    </row>
    <row r="161" spans="1:17" s="125" customFormat="1" ht="13.9" hidden="1" customHeight="1" outlineLevel="1" x14ac:dyDescent="0.25">
      <c r="A161" s="390">
        <f ca="1">IF($H161="UNIDADE CONSTRUTIVA",OFFSET(A161,-1,0)+1,LARGE(A$3:A160,1))</f>
        <v>0</v>
      </c>
      <c r="B161" s="390">
        <f t="shared" ca="1" si="28"/>
        <v>11</v>
      </c>
      <c r="C161" s="390">
        <f t="shared" ca="1" si="29"/>
        <v>1</v>
      </c>
      <c r="D161" s="391">
        <f t="shared" ca="1" si="30"/>
        <v>0</v>
      </c>
      <c r="E161" s="391">
        <f t="shared" ca="1" si="31"/>
        <v>1</v>
      </c>
      <c r="G161" s="398"/>
      <c r="H161" s="399" t="s">
        <v>229</v>
      </c>
      <c r="I161" s="400" t="str">
        <f t="shared" ref="I161" ca="1" si="34">IF(H161="Unidade Construtiva",TEXT(A161,"00"),IF(H161="Célula Construtiva",TEXT(B161,"00"),IF(H161="Etapa",CONCATENATE(TEXT(B161,"00"),".",TEXT(C161,"000")),IF(H161="Subetapa",CONCATENATE(TEXT(B161,"00"),".",TEXT(C161,"000"),".",TEXT(D161,"000")),IF(H161="Serviço",CONCATENATE(TEXT(B161,"00"),".",TEXT(C161,"000"),".",TEXT(D161,"000"),".",TEXT(E161,"000")),"")))))</f>
        <v>11.001</v>
      </c>
      <c r="J161" s="401" t="s">
        <v>249</v>
      </c>
      <c r="K161" s="402"/>
      <c r="L161" s="403"/>
      <c r="M161" s="403"/>
      <c r="N161" s="404">
        <f t="shared" ca="1" si="27"/>
        <v>1151030</v>
      </c>
      <c r="O161" s="405"/>
      <c r="P161" s="406"/>
    </row>
    <row r="162" spans="1:17" s="125" customFormat="1" ht="13.9" hidden="1" customHeight="1" outlineLevel="1" x14ac:dyDescent="0.25">
      <c r="A162" s="390">
        <f ca="1">IF($H162="UNIDADE CONSTRUTIVA",OFFSET(A162,-1,0)+1,LARGE(A$3:A161,1))</f>
        <v>0</v>
      </c>
      <c r="B162" s="390">
        <f t="shared" ca="1" si="28"/>
        <v>11</v>
      </c>
      <c r="C162" s="390">
        <f t="shared" ca="1" si="29"/>
        <v>1</v>
      </c>
      <c r="D162" s="391">
        <f t="shared" ca="1" si="30"/>
        <v>1</v>
      </c>
      <c r="E162" s="391">
        <f t="shared" ca="1" si="31"/>
        <v>0</v>
      </c>
      <c r="G162" s="398"/>
      <c r="H162" s="399" t="s">
        <v>432</v>
      </c>
      <c r="I162" s="400" t="str">
        <f t="shared" ca="1" si="23"/>
        <v>11.001.001</v>
      </c>
      <c r="J162" s="401" t="s">
        <v>3693</v>
      </c>
      <c r="K162" s="402"/>
      <c r="L162" s="403"/>
      <c r="M162" s="403"/>
      <c r="N162" s="404">
        <f t="shared" ca="1" si="27"/>
        <v>86030</v>
      </c>
      <c r="O162" s="405"/>
      <c r="P162" s="406"/>
    </row>
    <row r="163" spans="1:17" s="125" customFormat="1" ht="13.9" hidden="1" customHeight="1" outlineLevel="2" x14ac:dyDescent="0.25">
      <c r="A163" s="390">
        <f ca="1">IF($H163="UNIDADE CONSTRUTIVA",OFFSET(A163,-1,0)+1,LARGE(A$3:A162,1))</f>
        <v>0</v>
      </c>
      <c r="B163" s="390">
        <f t="shared" ca="1" si="28"/>
        <v>11</v>
      </c>
      <c r="C163" s="390">
        <f t="shared" ca="1" si="29"/>
        <v>1</v>
      </c>
      <c r="D163" s="391">
        <f t="shared" ca="1" si="30"/>
        <v>1</v>
      </c>
      <c r="E163" s="391">
        <f t="shared" ca="1" si="31"/>
        <v>1</v>
      </c>
      <c r="G163" s="398"/>
      <c r="H163" s="399" t="s">
        <v>433</v>
      </c>
      <c r="I163" s="400" t="str">
        <f t="shared" ca="1" si="23"/>
        <v>11.001.001.001</v>
      </c>
      <c r="J163" s="401" t="s">
        <v>499</v>
      </c>
      <c r="K163" s="402" t="s">
        <v>74</v>
      </c>
      <c r="L163" s="403">
        <v>1</v>
      </c>
      <c r="M163" s="403">
        <v>27500</v>
      </c>
      <c r="N163" s="404">
        <f t="shared" si="27"/>
        <v>27500</v>
      </c>
      <c r="O163" s="405"/>
      <c r="P163" s="406" t="s">
        <v>3605</v>
      </c>
    </row>
    <row r="164" spans="1:17" s="125" customFormat="1" ht="13.9" hidden="1" customHeight="1" outlineLevel="2" x14ac:dyDescent="0.25">
      <c r="A164" s="390">
        <f ca="1">IF($H164="UNIDADE CONSTRUTIVA",OFFSET(A164,-1,0)+1,LARGE(A$3:A163,1))</f>
        <v>0</v>
      </c>
      <c r="B164" s="390">
        <f t="shared" ca="1" si="28"/>
        <v>11</v>
      </c>
      <c r="C164" s="390">
        <f t="shared" ca="1" si="29"/>
        <v>1</v>
      </c>
      <c r="D164" s="391">
        <f t="shared" ca="1" si="30"/>
        <v>1</v>
      </c>
      <c r="E164" s="391">
        <f t="shared" ca="1" si="31"/>
        <v>2</v>
      </c>
      <c r="G164" s="398"/>
      <c r="H164" s="399" t="s">
        <v>433</v>
      </c>
      <c r="I164" s="400" t="str">
        <f t="shared" ref="I164:I166" ca="1" si="35">IF(H164="Unidade Construtiva",TEXT(A164,"00"),IF(H164="Célula Construtiva",TEXT(B164,"00"),IF(H164="Etapa",CONCATENATE(TEXT(B164,"00"),".",TEXT(C164,"000")),IF(H164="Subetapa",CONCATENATE(TEXT(B164,"00"),".",TEXT(C164,"000"),".",TEXT(D164,"000")),IF(H164="Serviço",CONCATENATE(TEXT(B164,"00"),".",TEXT(C164,"000"),".",TEXT(D164,"000"),".",TEXT(E164,"000")),"")))))</f>
        <v>11.001.001.002</v>
      </c>
      <c r="J164" s="401" t="s">
        <v>3694</v>
      </c>
      <c r="K164" s="402" t="s">
        <v>74</v>
      </c>
      <c r="L164" s="403">
        <v>1</v>
      </c>
      <c r="M164" s="403">
        <v>7980</v>
      </c>
      <c r="N164" s="404">
        <f t="shared" si="27"/>
        <v>7980</v>
      </c>
      <c r="O164" s="405"/>
      <c r="P164" s="406" t="s">
        <v>3605</v>
      </c>
    </row>
    <row r="165" spans="1:17" s="125" customFormat="1" ht="13.9" hidden="1" customHeight="1" outlineLevel="2" x14ac:dyDescent="0.25">
      <c r="A165" s="390">
        <f ca="1">IF($H165="UNIDADE CONSTRUTIVA",OFFSET(A165,-1,0)+1,LARGE(A$3:A164,1))</f>
        <v>0</v>
      </c>
      <c r="B165" s="390">
        <f t="shared" ca="1" si="28"/>
        <v>11</v>
      </c>
      <c r="C165" s="390">
        <f t="shared" ca="1" si="29"/>
        <v>1</v>
      </c>
      <c r="D165" s="391">
        <f t="shared" ca="1" si="30"/>
        <v>1</v>
      </c>
      <c r="E165" s="391">
        <f t="shared" ca="1" si="31"/>
        <v>3</v>
      </c>
      <c r="G165" s="398"/>
      <c r="H165" s="399" t="s">
        <v>433</v>
      </c>
      <c r="I165" s="400" t="str">
        <f t="shared" ref="I165" ca="1" si="36">IF(H165="Unidade Construtiva",TEXT(A165,"00"),IF(H165="Célula Construtiva",TEXT(B165,"00"),IF(H165="Etapa",CONCATENATE(TEXT(B165,"00"),".",TEXT(C165,"000")),IF(H165="Subetapa",CONCATENATE(TEXT(B165,"00"),".",TEXT(C165,"000"),".",TEXT(D165,"000")),IF(H165="Serviço",CONCATENATE(TEXT(B165,"00"),".",TEXT(C165,"000"),".",TEXT(D165,"000"),".",TEXT(E165,"000")),"")))))</f>
        <v>11.001.001.003</v>
      </c>
      <c r="J165" s="401" t="s">
        <v>3695</v>
      </c>
      <c r="K165" s="402" t="s">
        <v>74</v>
      </c>
      <c r="L165" s="403">
        <v>1</v>
      </c>
      <c r="M165" s="403">
        <v>19700</v>
      </c>
      <c r="N165" s="404">
        <f t="shared" si="27"/>
        <v>19700</v>
      </c>
      <c r="O165" s="405"/>
      <c r="P165" s="406" t="s">
        <v>3605</v>
      </c>
    </row>
    <row r="166" spans="1:17" s="125" customFormat="1" ht="13.9" hidden="1" customHeight="1" outlineLevel="2" x14ac:dyDescent="0.25">
      <c r="A166" s="390">
        <f ca="1">IF($H166="UNIDADE CONSTRUTIVA",OFFSET(A166,-1,0)+1,LARGE(A$3:A165,1))</f>
        <v>0</v>
      </c>
      <c r="B166" s="390">
        <f t="shared" ca="1" si="28"/>
        <v>11</v>
      </c>
      <c r="C166" s="390">
        <f t="shared" ca="1" si="29"/>
        <v>1</v>
      </c>
      <c r="D166" s="391">
        <f t="shared" ca="1" si="30"/>
        <v>1</v>
      </c>
      <c r="E166" s="391">
        <f t="shared" ca="1" si="31"/>
        <v>4</v>
      </c>
      <c r="G166" s="398"/>
      <c r="H166" s="399" t="s">
        <v>433</v>
      </c>
      <c r="I166" s="400" t="str">
        <f t="shared" ca="1" si="35"/>
        <v>11.001.001.004</v>
      </c>
      <c r="J166" s="401" t="s">
        <v>3696</v>
      </c>
      <c r="K166" s="402" t="s">
        <v>74</v>
      </c>
      <c r="L166" s="403">
        <v>1</v>
      </c>
      <c r="M166" s="403">
        <v>8690</v>
      </c>
      <c r="N166" s="404">
        <f t="shared" si="27"/>
        <v>8690</v>
      </c>
      <c r="O166" s="405"/>
      <c r="P166" s="406" t="s">
        <v>3605</v>
      </c>
    </row>
    <row r="167" spans="1:17" s="125" customFormat="1" ht="13.9" hidden="1" customHeight="1" outlineLevel="2" x14ac:dyDescent="0.25">
      <c r="A167" s="390">
        <f ca="1">IF($H167="UNIDADE CONSTRUTIVA",OFFSET(A167,-1,0)+1,LARGE(A$3:A166,1))</f>
        <v>0</v>
      </c>
      <c r="B167" s="390">
        <f t="shared" ca="1" si="28"/>
        <v>11</v>
      </c>
      <c r="C167" s="390">
        <f t="shared" ca="1" si="29"/>
        <v>1</v>
      </c>
      <c r="D167" s="391">
        <f t="shared" ca="1" si="30"/>
        <v>1</v>
      </c>
      <c r="E167" s="391">
        <f t="shared" ca="1" si="31"/>
        <v>5</v>
      </c>
      <c r="G167" s="398"/>
      <c r="H167" s="399" t="s">
        <v>433</v>
      </c>
      <c r="I167" s="400" t="str">
        <f ca="1">IF(H167="Unidade Construtiva",TEXT(A167,"00"),IF(H167="Célula Construtiva",TEXT(B167,"00"),IF(H167="Etapa",CONCATENATE(TEXT(B167,"00"),".",TEXT(C167,"000")),IF(H167="Subetapa",CONCATENATE(TEXT(B167,"00"),".",TEXT(C167,"000"),".",TEXT(D167,"000")),IF(H167="Serviço",CONCATENATE(TEXT(B167,"00"),".",TEXT(C167,"000"),".",TEXT(D167,"000"),".",TEXT(E167,"000")),"")))))</f>
        <v>11.001.001.005</v>
      </c>
      <c r="J167" s="401" t="s">
        <v>4179</v>
      </c>
      <c r="K167" s="402" t="s">
        <v>74</v>
      </c>
      <c r="L167" s="403">
        <v>1</v>
      </c>
      <c r="M167" s="403">
        <v>19800</v>
      </c>
      <c r="N167" s="404">
        <f t="shared" si="27"/>
        <v>19800</v>
      </c>
      <c r="O167" s="405"/>
      <c r="P167" s="406" t="s">
        <v>3605</v>
      </c>
    </row>
    <row r="168" spans="1:17" s="125" customFormat="1" ht="13.9" hidden="1" customHeight="1" outlineLevel="2" x14ac:dyDescent="0.25">
      <c r="A168" s="390">
        <f ca="1">IF($H168="UNIDADE CONSTRUTIVA",OFFSET(A168,-1,0)+1,LARGE(A$3:A167,1))</f>
        <v>0</v>
      </c>
      <c r="B168" s="390">
        <f t="shared" ca="1" si="28"/>
        <v>11</v>
      </c>
      <c r="C168" s="390">
        <f t="shared" ca="1" si="29"/>
        <v>1</v>
      </c>
      <c r="D168" s="391">
        <f t="shared" ca="1" si="30"/>
        <v>1</v>
      </c>
      <c r="E168" s="391">
        <f t="shared" ca="1" si="31"/>
        <v>6</v>
      </c>
      <c r="G168" s="398"/>
      <c r="H168" s="399" t="s">
        <v>433</v>
      </c>
      <c r="I168" s="400" t="str">
        <f ca="1">IF(H168="Unidade Construtiva",TEXT(A168,"00"),IF(H168="Célula Construtiva",TEXT(B168,"00"),IF(H168="Etapa",CONCATENATE(TEXT(B168,"00"),".",TEXT(C168,"000")),IF(H168="Subetapa",CONCATENATE(TEXT(B168,"00"),".",TEXT(C168,"000"),".",TEXT(D168,"000")),IF(H168="Serviço",CONCATENATE(TEXT(B168,"00"),".",TEXT(C168,"000"),".",TEXT(D168,"000"),".",TEXT(E168,"000")),"")))))</f>
        <v>11.001.001.006</v>
      </c>
      <c r="J168" s="401" t="s">
        <v>3691</v>
      </c>
      <c r="K168" s="402" t="s">
        <v>31</v>
      </c>
      <c r="L168" s="403">
        <v>4</v>
      </c>
      <c r="M168" s="403">
        <v>590</v>
      </c>
      <c r="N168" s="404">
        <f t="shared" si="27"/>
        <v>2360</v>
      </c>
      <c r="O168" s="405"/>
      <c r="P168" s="406" t="s">
        <v>3605</v>
      </c>
    </row>
    <row r="169" spans="1:17" s="125" customFormat="1" ht="13.9" hidden="1" customHeight="1" outlineLevel="1" x14ac:dyDescent="0.25">
      <c r="A169" s="390">
        <f ca="1">IF($H169="UNIDADE CONSTRUTIVA",OFFSET(A169,-1,0)+1,LARGE(A$3:A168,1))</f>
        <v>0</v>
      </c>
      <c r="B169" s="390">
        <f t="shared" ca="1" si="28"/>
        <v>11</v>
      </c>
      <c r="C169" s="390">
        <f t="shared" ca="1" si="29"/>
        <v>1</v>
      </c>
      <c r="D169" s="391">
        <f t="shared" ca="1" si="30"/>
        <v>2</v>
      </c>
      <c r="E169" s="391">
        <f t="shared" ca="1" si="31"/>
        <v>0</v>
      </c>
      <c r="G169" s="398"/>
      <c r="H169" s="399" t="s">
        <v>432</v>
      </c>
      <c r="I169" s="400" t="str">
        <f t="shared" ref="I169:I207" ca="1" si="37">IF(H169="Unidade Construtiva",TEXT(A169,"00"),IF(H169="Célula Construtiva",TEXT(B169,"00"),IF(H169="Etapa",CONCATENATE(TEXT(B169,"00"),".",TEXT(C169,"000")),IF(H169="Subetapa",CONCATENATE(TEXT(B169,"00"),".",TEXT(C169,"000"),".",TEXT(D169,"000")),IF(H169="Serviço",CONCATENATE(TEXT(B169,"00"),".",TEXT(C169,"000"),".",TEXT(D169,"000"),".",TEXT(E169,"000")),"")))))</f>
        <v>11.001.002</v>
      </c>
      <c r="J169" s="401" t="s">
        <v>500</v>
      </c>
      <c r="K169" s="402"/>
      <c r="L169" s="403"/>
      <c r="M169" s="403"/>
      <c r="N169" s="404">
        <f t="shared" ca="1" si="27"/>
        <v>1065000</v>
      </c>
      <c r="O169" s="405">
        <f>M170/Obra!E13</f>
        <v>17750</v>
      </c>
      <c r="P169" s="406"/>
    </row>
    <row r="170" spans="1:17" s="125" customFormat="1" ht="13.9" hidden="1" customHeight="1" outlineLevel="2" x14ac:dyDescent="0.25">
      <c r="A170" s="390">
        <f ca="1">IF($H170="UNIDADE CONSTRUTIVA",OFFSET(A170,-1,0)+1,LARGE(A$3:A169,1))</f>
        <v>0</v>
      </c>
      <c r="B170" s="390">
        <f t="shared" ca="1" si="28"/>
        <v>11</v>
      </c>
      <c r="C170" s="390">
        <f t="shared" ca="1" si="29"/>
        <v>1</v>
      </c>
      <c r="D170" s="391">
        <f t="shared" ca="1" si="30"/>
        <v>2</v>
      </c>
      <c r="E170" s="391">
        <f t="shared" ca="1" si="31"/>
        <v>1</v>
      </c>
      <c r="G170" s="398"/>
      <c r="H170" s="399" t="s">
        <v>433</v>
      </c>
      <c r="I170" s="400" t="str">
        <f t="shared" ca="1" si="37"/>
        <v>11.001.002.001</v>
      </c>
      <c r="J170" s="401" t="s">
        <v>500</v>
      </c>
      <c r="K170" s="402" t="s">
        <v>31</v>
      </c>
      <c r="L170" s="403">
        <v>3</v>
      </c>
      <c r="M170" s="403">
        <f>1065000/3</f>
        <v>355000</v>
      </c>
      <c r="N170" s="404">
        <f t="shared" si="27"/>
        <v>1065000</v>
      </c>
      <c r="O170" s="405"/>
      <c r="P170" s="406" t="s">
        <v>3605</v>
      </c>
    </row>
    <row r="171" spans="1:17" s="125" customFormat="1" ht="13.9" customHeight="1" collapsed="1" x14ac:dyDescent="0.25">
      <c r="A171" s="390">
        <f ca="1">IF($H171="UNIDADE CONSTRUTIVA",OFFSET(A171,-1,0)+1,LARGE(A$3:A170,1))</f>
        <v>0</v>
      </c>
      <c r="B171" s="390">
        <f t="shared" ca="1" si="28"/>
        <v>12</v>
      </c>
      <c r="C171" s="390">
        <f t="shared" ca="1" si="29"/>
        <v>0</v>
      </c>
      <c r="D171" s="391">
        <f t="shared" ca="1" si="30"/>
        <v>2</v>
      </c>
      <c r="E171" s="391">
        <f t="shared" ca="1" si="31"/>
        <v>1</v>
      </c>
      <c r="G171" s="398"/>
      <c r="H171" s="399" t="s">
        <v>430</v>
      </c>
      <c r="I171" s="400" t="str">
        <f t="shared" ca="1" si="37"/>
        <v>12</v>
      </c>
      <c r="J171" s="401" t="s">
        <v>237</v>
      </c>
      <c r="K171" s="402"/>
      <c r="L171" s="403"/>
      <c r="M171" s="403"/>
      <c r="N171" s="404">
        <f t="shared" ca="1" si="27"/>
        <v>552200</v>
      </c>
      <c r="O171" s="405"/>
      <c r="P171" s="406"/>
      <c r="Q171" s="986">
        <f ca="1">N171/Obra!$E$9</f>
        <v>43.045353526140964</v>
      </c>
    </row>
    <row r="172" spans="1:17" s="125" customFormat="1" ht="13.9" hidden="1" customHeight="1" outlineLevel="1" x14ac:dyDescent="0.25">
      <c r="A172" s="390">
        <f ca="1">IF($H172="UNIDADE CONSTRUTIVA",OFFSET(A172,-1,0)+1,LARGE(A$3:A171,1))</f>
        <v>0</v>
      </c>
      <c r="B172" s="390">
        <f t="shared" ca="1" si="28"/>
        <v>12</v>
      </c>
      <c r="C172" s="390">
        <f t="shared" ca="1" si="29"/>
        <v>1</v>
      </c>
      <c r="D172" s="391">
        <f t="shared" ca="1" si="30"/>
        <v>0</v>
      </c>
      <c r="E172" s="391">
        <f t="shared" ca="1" si="31"/>
        <v>1</v>
      </c>
      <c r="G172" s="398"/>
      <c r="H172" s="399" t="s">
        <v>229</v>
      </c>
      <c r="I172" s="400" t="str">
        <f t="shared" ca="1" si="37"/>
        <v>12.001</v>
      </c>
      <c r="J172" s="401" t="s">
        <v>237</v>
      </c>
      <c r="K172" s="402"/>
      <c r="L172" s="403"/>
      <c r="M172" s="403"/>
      <c r="N172" s="404">
        <f t="shared" ca="1" si="27"/>
        <v>552200</v>
      </c>
      <c r="O172" s="405"/>
      <c r="P172" s="406"/>
    </row>
    <row r="173" spans="1:17" s="125" customFormat="1" ht="13.9" hidden="1" customHeight="1" outlineLevel="1" x14ac:dyDescent="0.25">
      <c r="A173" s="390">
        <f ca="1">IF($H173="UNIDADE CONSTRUTIVA",OFFSET(A173,-1,0)+1,LARGE(A$3:A172,1))</f>
        <v>0</v>
      </c>
      <c r="B173" s="390">
        <f t="shared" ca="1" si="28"/>
        <v>12</v>
      </c>
      <c r="C173" s="390">
        <f t="shared" ca="1" si="29"/>
        <v>1</v>
      </c>
      <c r="D173" s="391">
        <f t="shared" ca="1" si="30"/>
        <v>1</v>
      </c>
      <c r="E173" s="391">
        <f t="shared" ca="1" si="31"/>
        <v>0</v>
      </c>
      <c r="G173" s="398"/>
      <c r="H173" s="399" t="s">
        <v>432</v>
      </c>
      <c r="I173" s="400" t="str">
        <f t="shared" ca="1" si="37"/>
        <v>12.001.001</v>
      </c>
      <c r="J173" s="401" t="s">
        <v>502</v>
      </c>
      <c r="K173" s="402"/>
      <c r="L173" s="403"/>
      <c r="M173" s="403"/>
      <c r="N173" s="404">
        <f t="shared" ca="1" si="27"/>
        <v>293400</v>
      </c>
      <c r="O173" s="405"/>
      <c r="P173" s="406"/>
    </row>
    <row r="174" spans="1:17" s="125" customFormat="1" ht="13.9" hidden="1" customHeight="1" outlineLevel="2" x14ac:dyDescent="0.25">
      <c r="A174" s="390">
        <f ca="1">IF($H174="UNIDADE CONSTRUTIVA",OFFSET(A174,-1,0)+1,LARGE(A$3:A173,1))</f>
        <v>0</v>
      </c>
      <c r="B174" s="390">
        <f t="shared" ca="1" si="28"/>
        <v>12</v>
      </c>
      <c r="C174" s="390">
        <f t="shared" ca="1" si="29"/>
        <v>1</v>
      </c>
      <c r="D174" s="391">
        <f t="shared" ca="1" si="30"/>
        <v>1</v>
      </c>
      <c r="E174" s="391">
        <f t="shared" ca="1" si="31"/>
        <v>1</v>
      </c>
      <c r="G174" s="398"/>
      <c r="H174" s="399" t="s">
        <v>433</v>
      </c>
      <c r="I174" s="400" t="str">
        <f t="shared" ca="1" si="37"/>
        <v>12.001.001.001</v>
      </c>
      <c r="J174" s="401" t="s">
        <v>503</v>
      </c>
      <c r="K174" s="402" t="s">
        <v>31</v>
      </c>
      <c r="L174" s="403">
        <f>182</f>
        <v>182</v>
      </c>
      <c r="M174" s="403">
        <v>1200</v>
      </c>
      <c r="N174" s="404">
        <f t="shared" si="27"/>
        <v>218400</v>
      </c>
      <c r="O174" s="405"/>
      <c r="P174" s="406" t="s">
        <v>3605</v>
      </c>
    </row>
    <row r="175" spans="1:17" s="125" customFormat="1" ht="13.9" hidden="1" customHeight="1" outlineLevel="2" x14ac:dyDescent="0.25">
      <c r="A175" s="390">
        <f ca="1">IF($H175="UNIDADE CONSTRUTIVA",OFFSET(A175,-1,0)+1,LARGE(A$3:A174,1))</f>
        <v>0</v>
      </c>
      <c r="B175" s="390">
        <f t="shared" ca="1" si="28"/>
        <v>12</v>
      </c>
      <c r="C175" s="390">
        <f t="shared" ca="1" si="29"/>
        <v>1</v>
      </c>
      <c r="D175" s="391">
        <f t="shared" ca="1" si="30"/>
        <v>1</v>
      </c>
      <c r="E175" s="391">
        <f t="shared" ca="1" si="31"/>
        <v>2</v>
      </c>
      <c r="G175" s="398"/>
      <c r="H175" s="399" t="s">
        <v>433</v>
      </c>
      <c r="I175" s="400" t="str">
        <f t="shared" ref="I175" ca="1" si="38">IF(H175="Unidade Construtiva",TEXT(A175,"00"),IF(H175="Célula Construtiva",TEXT(B175,"00"),IF(H175="Etapa",CONCATENATE(TEXT(B175,"00"),".",TEXT(C175,"000")),IF(H175="Subetapa",CONCATENATE(TEXT(B175,"00"),".",TEXT(C175,"000"),".",TEXT(D175,"000")),IF(H175="Serviço",CONCATENATE(TEXT(B175,"00"),".",TEXT(C175,"000"),".",TEXT(D175,"000"),".",TEXT(E175,"000")),"")))))</f>
        <v>12.001.001.002</v>
      </c>
      <c r="J175" s="401" t="s">
        <v>4165</v>
      </c>
      <c r="K175" s="402" t="s">
        <v>31</v>
      </c>
      <c r="L175" s="403">
        <v>15</v>
      </c>
      <c r="M175" s="403">
        <v>5000</v>
      </c>
      <c r="N175" s="404">
        <f t="shared" si="27"/>
        <v>75000</v>
      </c>
      <c r="O175" s="405"/>
      <c r="P175" s="406" t="s">
        <v>3605</v>
      </c>
    </row>
    <row r="176" spans="1:17" s="125" customFormat="1" ht="13.9" hidden="1" customHeight="1" outlineLevel="1" x14ac:dyDescent="0.25">
      <c r="A176" s="390">
        <f ca="1">IF($H176="UNIDADE CONSTRUTIVA",OFFSET(A176,-1,0)+1,LARGE(A$3:A175,1))</f>
        <v>0</v>
      </c>
      <c r="B176" s="390">
        <f t="shared" ca="1" si="28"/>
        <v>12</v>
      </c>
      <c r="C176" s="390">
        <f t="shared" ca="1" si="29"/>
        <v>1</v>
      </c>
      <c r="D176" s="391">
        <f t="shared" ca="1" si="30"/>
        <v>2</v>
      </c>
      <c r="E176" s="391">
        <f t="shared" ca="1" si="31"/>
        <v>0</v>
      </c>
      <c r="G176" s="398"/>
      <c r="H176" s="399" t="s">
        <v>432</v>
      </c>
      <c r="I176" s="400" t="str">
        <f t="shared" ca="1" si="37"/>
        <v>12.001.002</v>
      </c>
      <c r="J176" s="401" t="s">
        <v>504</v>
      </c>
      <c r="K176" s="402"/>
      <c r="L176" s="403"/>
      <c r="M176" s="403"/>
      <c r="N176" s="404">
        <f t="shared" ca="1" si="27"/>
        <v>118800</v>
      </c>
      <c r="O176" s="405"/>
      <c r="P176" s="406"/>
    </row>
    <row r="177" spans="1:17" s="125" customFormat="1" ht="13.9" hidden="1" customHeight="1" outlineLevel="2" x14ac:dyDescent="0.25">
      <c r="A177" s="390">
        <f ca="1">IF($H177="UNIDADE CONSTRUTIVA",OFFSET(A177,-1,0)+1,LARGE(A$3:A176,1))</f>
        <v>0</v>
      </c>
      <c r="B177" s="390">
        <f t="shared" ca="1" si="28"/>
        <v>12</v>
      </c>
      <c r="C177" s="390">
        <f t="shared" ca="1" si="29"/>
        <v>1</v>
      </c>
      <c r="D177" s="391">
        <f t="shared" ca="1" si="30"/>
        <v>2</v>
      </c>
      <c r="E177" s="391">
        <f t="shared" ca="1" si="31"/>
        <v>1</v>
      </c>
      <c r="G177" s="398"/>
      <c r="H177" s="399" t="s">
        <v>433</v>
      </c>
      <c r="I177" s="400" t="str">
        <f t="shared" ca="1" si="37"/>
        <v>12.001.002.001</v>
      </c>
      <c r="J177" s="401" t="s">
        <v>505</v>
      </c>
      <c r="K177" s="402" t="s">
        <v>31</v>
      </c>
      <c r="L177" s="403">
        <f>'LOUÇAS E METAIS'!S27/Ger_Executivo!M177</f>
        <v>132</v>
      </c>
      <c r="M177" s="403">
        <v>900</v>
      </c>
      <c r="N177" s="404">
        <f t="shared" si="27"/>
        <v>118800</v>
      </c>
      <c r="O177" s="125" t="s">
        <v>4208</v>
      </c>
      <c r="P177" s="406" t="s">
        <v>3605</v>
      </c>
    </row>
    <row r="178" spans="1:17" s="125" customFormat="1" ht="13.9" hidden="1" customHeight="1" outlineLevel="1" x14ac:dyDescent="0.25">
      <c r="A178" s="390">
        <f ca="1">IF($H178="UNIDADE CONSTRUTIVA",OFFSET(A178,-1,0)+1,LARGE(A$3:A177,1))</f>
        <v>0</v>
      </c>
      <c r="B178" s="390">
        <f t="shared" ca="1" si="28"/>
        <v>12</v>
      </c>
      <c r="C178" s="390">
        <f t="shared" ca="1" si="29"/>
        <v>1</v>
      </c>
      <c r="D178" s="391">
        <f t="shared" ca="1" si="30"/>
        <v>3</v>
      </c>
      <c r="E178" s="391">
        <f t="shared" ca="1" si="31"/>
        <v>0</v>
      </c>
      <c r="G178" s="398"/>
      <c r="H178" s="399" t="s">
        <v>432</v>
      </c>
      <c r="I178" s="400" t="str">
        <f ca="1">IF(H178="Unidade Construtiva",TEXT(A178,"00"),IF(H178="Célula Construtiva",TEXT(B178,"00"),IF(H178="Etapa",CONCATENATE(TEXT(B178,"00"),".",TEXT(C178,"000")),IF(H178="Subetapa",CONCATENATE(TEXT(B178,"00"),".",TEXT(C178,"000"),".",TEXT(D178,"000")),IF(H178="Serviço",CONCATENATE(TEXT(B178,"00"),".",TEXT(C178,"000"),".",TEXT(D178,"000"),".",TEXT(E178,"000")),"")))))</f>
        <v>12.001.003</v>
      </c>
      <c r="J178" s="401" t="s">
        <v>506</v>
      </c>
      <c r="K178" s="402"/>
      <c r="L178" s="403"/>
      <c r="M178" s="403"/>
      <c r="N178" s="404">
        <f t="shared" ca="1" si="27"/>
        <v>140000</v>
      </c>
      <c r="O178" s="405">
        <f ca="1">N178/Obra!$E$9</f>
        <v>10.913345696594957</v>
      </c>
      <c r="P178" s="406"/>
    </row>
    <row r="179" spans="1:17" s="125" customFormat="1" ht="13.9" hidden="1" customHeight="1" outlineLevel="2" x14ac:dyDescent="0.25">
      <c r="A179" s="390">
        <f ca="1">IF($H179="UNIDADE CONSTRUTIVA",OFFSET(A179,-1,0)+1,LARGE(A$3:A178,1))</f>
        <v>0</v>
      </c>
      <c r="B179" s="390">
        <f t="shared" ca="1" si="28"/>
        <v>12</v>
      </c>
      <c r="C179" s="390">
        <f t="shared" ca="1" si="29"/>
        <v>1</v>
      </c>
      <c r="D179" s="391">
        <f t="shared" ca="1" si="30"/>
        <v>3</v>
      </c>
      <c r="E179" s="391">
        <f t="shared" ca="1" si="31"/>
        <v>1</v>
      </c>
      <c r="G179" s="398"/>
      <c r="H179" s="399" t="s">
        <v>433</v>
      </c>
      <c r="I179" s="400" t="str">
        <f ca="1">IF(H179="Unidade Construtiva",TEXT(A179,"00"),IF(H179="Célula Construtiva",TEXT(B179,"00"),IF(H179="Etapa",CONCATENATE(TEXT(B179,"00"),".",TEXT(C179,"000")),IF(H179="Subetapa",CONCATENATE(TEXT(B179,"00"),".",TEXT(C179,"000"),".",TEXT(D179,"000")),IF(H179="Serviço",CONCATENATE(TEXT(B179,"00"),".",TEXT(C179,"000"),".",TEXT(D179,"000"),".",TEXT(E179,"000")),"")))))</f>
        <v>12.001.003.001</v>
      </c>
      <c r="J179" s="401" t="s">
        <v>506</v>
      </c>
      <c r="K179" s="402" t="s">
        <v>74</v>
      </c>
      <c r="L179" s="403">
        <v>1</v>
      </c>
      <c r="M179" s="403">
        <v>140000</v>
      </c>
      <c r="N179" s="404">
        <f t="shared" si="27"/>
        <v>140000</v>
      </c>
      <c r="O179" s="405"/>
      <c r="P179" s="406" t="s">
        <v>3605</v>
      </c>
    </row>
    <row r="180" spans="1:17" s="125" customFormat="1" ht="13.9" customHeight="1" x14ac:dyDescent="0.25">
      <c r="A180" s="390">
        <f ca="1">IF($H180="UNIDADE CONSTRUTIVA",OFFSET(A180,-1,0)+1,LARGE(A$3:A179,1))</f>
        <v>0</v>
      </c>
      <c r="B180" s="390">
        <f t="shared" ca="1" si="28"/>
        <v>13</v>
      </c>
      <c r="C180" s="390">
        <f t="shared" ca="1" si="29"/>
        <v>0</v>
      </c>
      <c r="D180" s="391">
        <f t="shared" ca="1" si="30"/>
        <v>3</v>
      </c>
      <c r="E180" s="391">
        <f t="shared" ca="1" si="31"/>
        <v>1</v>
      </c>
      <c r="G180" s="398"/>
      <c r="H180" s="399" t="s">
        <v>430</v>
      </c>
      <c r="I180" s="400" t="str">
        <f t="shared" ca="1" si="37"/>
        <v>13</v>
      </c>
      <c r="J180" s="401" t="s">
        <v>507</v>
      </c>
      <c r="K180" s="402"/>
      <c r="L180" s="403"/>
      <c r="M180" s="403"/>
      <c r="N180" s="404">
        <f t="shared" ca="1" si="27"/>
        <v>2386437.9661060581</v>
      </c>
      <c r="O180" s="405"/>
      <c r="P180" s="406"/>
      <c r="Q180" s="986">
        <f ca="1">N180/Obra!$E$9</f>
        <v>186.02873219710264</v>
      </c>
    </row>
    <row r="181" spans="1:17" s="125" customFormat="1" ht="13.9" customHeight="1" outlineLevel="1" x14ac:dyDescent="0.25">
      <c r="A181" s="390">
        <f ca="1">IF($H181="UNIDADE CONSTRUTIVA",OFFSET(A181,-1,0)+1,LARGE(A$3:A180,1))</f>
        <v>0</v>
      </c>
      <c r="B181" s="390">
        <f t="shared" ca="1" si="28"/>
        <v>13</v>
      </c>
      <c r="C181" s="390">
        <f t="shared" ca="1" si="29"/>
        <v>1</v>
      </c>
      <c r="D181" s="391">
        <f t="shared" ca="1" si="30"/>
        <v>0</v>
      </c>
      <c r="E181" s="391">
        <f t="shared" ca="1" si="31"/>
        <v>1</v>
      </c>
      <c r="G181" s="398"/>
      <c r="H181" s="399" t="s">
        <v>229</v>
      </c>
      <c r="I181" s="400" t="str">
        <f t="shared" ca="1" si="37"/>
        <v>13.001</v>
      </c>
      <c r="J181" s="401" t="s">
        <v>507</v>
      </c>
      <c r="K181" s="402"/>
      <c r="L181" s="403"/>
      <c r="M181" s="403"/>
      <c r="N181" s="404">
        <f t="shared" ca="1" si="27"/>
        <v>2386437.9661060581</v>
      </c>
      <c r="O181" s="405"/>
      <c r="P181" s="406"/>
    </row>
    <row r="182" spans="1:17" s="125" customFormat="1" ht="13.9" customHeight="1" outlineLevel="1" x14ac:dyDescent="0.25">
      <c r="A182" s="390">
        <f ca="1">IF($H182="UNIDADE CONSTRUTIVA",OFFSET(A182,-1,0)+1,LARGE(A$3:A181,1))</f>
        <v>0</v>
      </c>
      <c r="B182" s="390">
        <f t="shared" ca="1" si="28"/>
        <v>13</v>
      </c>
      <c r="C182" s="390">
        <f t="shared" ca="1" si="29"/>
        <v>1</v>
      </c>
      <c r="D182" s="391">
        <f t="shared" ca="1" si="30"/>
        <v>1</v>
      </c>
      <c r="E182" s="391">
        <f t="shared" ca="1" si="31"/>
        <v>0</v>
      </c>
      <c r="G182" s="398"/>
      <c r="H182" s="399" t="s">
        <v>432</v>
      </c>
      <c r="I182" s="400" t="str">
        <f t="shared" ca="1" si="37"/>
        <v>13.001.001</v>
      </c>
      <c r="J182" s="401" t="s">
        <v>508</v>
      </c>
      <c r="K182" s="402"/>
      <c r="L182" s="403"/>
      <c r="M182" s="403"/>
      <c r="N182" s="404">
        <f t="shared" ca="1" si="27"/>
        <v>215104.18566300001</v>
      </c>
      <c r="O182" s="405"/>
      <c r="P182" s="406"/>
    </row>
    <row r="183" spans="1:17" s="125" customFormat="1" ht="13.9" customHeight="1" outlineLevel="2" x14ac:dyDescent="0.25">
      <c r="A183" s="390">
        <f ca="1">IF($H183="UNIDADE CONSTRUTIVA",OFFSET(A183,-1,0)+1,LARGE(A$3:A182,1))</f>
        <v>0</v>
      </c>
      <c r="B183" s="390">
        <f t="shared" ca="1" si="28"/>
        <v>13</v>
      </c>
      <c r="C183" s="390">
        <f t="shared" ca="1" si="29"/>
        <v>1</v>
      </c>
      <c r="D183" s="391">
        <f t="shared" ca="1" si="30"/>
        <v>1</v>
      </c>
      <c r="E183" s="391">
        <f t="shared" ca="1" si="31"/>
        <v>1</v>
      </c>
      <c r="G183" s="398"/>
      <c r="H183" s="399" t="s">
        <v>433</v>
      </c>
      <c r="I183" s="400" t="str">
        <f t="shared" ca="1" si="37"/>
        <v>13.001.001.001</v>
      </c>
      <c r="J183" s="409" t="s">
        <v>3682</v>
      </c>
      <c r="K183" s="402" t="s">
        <v>66</v>
      </c>
      <c r="L183" s="403">
        <f>'ARQ. RES'!$D$58</f>
        <v>4961.99</v>
      </c>
      <c r="M183" s="403">
        <v>12.75</v>
      </c>
      <c r="N183" s="404">
        <f t="shared" si="27"/>
        <v>63265.372499999998</v>
      </c>
      <c r="O183" s="405" t="s">
        <v>4251</v>
      </c>
      <c r="P183" s="406" t="s">
        <v>3605</v>
      </c>
    </row>
    <row r="184" spans="1:17" s="125" customFormat="1" ht="13.9" customHeight="1" outlineLevel="2" x14ac:dyDescent="0.25">
      <c r="A184" s="390">
        <f ca="1">IF($H184="UNIDADE CONSTRUTIVA",OFFSET(A184,-1,0)+1,LARGE(A$3:A183,1))</f>
        <v>0</v>
      </c>
      <c r="B184" s="390">
        <f t="shared" ca="1" si="28"/>
        <v>13</v>
      </c>
      <c r="C184" s="390">
        <f t="shared" ca="1" si="29"/>
        <v>1</v>
      </c>
      <c r="D184" s="391">
        <f t="shared" ca="1" si="30"/>
        <v>1</v>
      </c>
      <c r="E184" s="391">
        <f t="shared" ca="1" si="31"/>
        <v>2</v>
      </c>
      <c r="G184" s="398"/>
      <c r="H184" s="399" t="s">
        <v>433</v>
      </c>
      <c r="I184" s="400" t="str">
        <f t="shared" ca="1" si="37"/>
        <v>13.001.001.002</v>
      </c>
      <c r="J184" s="409" t="s">
        <v>3681</v>
      </c>
      <c r="K184" s="402" t="s">
        <v>66</v>
      </c>
      <c r="L184" s="403">
        <f>'ARQ. RES'!$D$57</f>
        <v>20245.580000000002</v>
      </c>
      <c r="M184" s="995">
        <v>7.4998500000000003</v>
      </c>
      <c r="N184" s="404">
        <f t="shared" si="27"/>
        <v>151838.81316300001</v>
      </c>
      <c r="O184" s="405" t="s">
        <v>4252</v>
      </c>
      <c r="P184" s="406" t="s">
        <v>3605</v>
      </c>
    </row>
    <row r="185" spans="1:17" s="125" customFormat="1" ht="13.9" customHeight="1" outlineLevel="1" x14ac:dyDescent="0.25">
      <c r="A185" s="390">
        <f ca="1">IF($H185="UNIDADE CONSTRUTIVA",OFFSET(A185,-1,0)+1,LARGE(A$3:A184,1))</f>
        <v>0</v>
      </c>
      <c r="B185" s="390">
        <f t="shared" ca="1" si="28"/>
        <v>13</v>
      </c>
      <c r="C185" s="390">
        <f t="shared" ca="1" si="29"/>
        <v>1</v>
      </c>
      <c r="D185" s="391">
        <f t="shared" ca="1" si="30"/>
        <v>2</v>
      </c>
      <c r="E185" s="391">
        <f t="shared" ca="1" si="31"/>
        <v>0</v>
      </c>
      <c r="G185" s="398"/>
      <c r="H185" s="399" t="s">
        <v>432</v>
      </c>
      <c r="I185" s="400" t="str">
        <f t="shared" ca="1" si="37"/>
        <v>13.001.002</v>
      </c>
      <c r="J185" s="401" t="s">
        <v>509</v>
      </c>
      <c r="K185" s="402"/>
      <c r="L185" s="403"/>
      <c r="M185" s="403"/>
      <c r="N185" s="404">
        <f t="shared" ca="1" si="27"/>
        <v>409572.14805360005</v>
      </c>
      <c r="O185" s="405"/>
      <c r="P185" s="406"/>
    </row>
    <row r="186" spans="1:17" s="125" customFormat="1" ht="13.9" customHeight="1" outlineLevel="2" x14ac:dyDescent="0.25">
      <c r="A186" s="390">
        <f ca="1">IF($H186="UNIDADE CONSTRUTIVA",OFFSET(A186,-1,0)+1,LARGE(A$3:A185,1))</f>
        <v>0</v>
      </c>
      <c r="B186" s="390">
        <f t="shared" ca="1" si="28"/>
        <v>13</v>
      </c>
      <c r="C186" s="390">
        <f t="shared" ca="1" si="29"/>
        <v>1</v>
      </c>
      <c r="D186" s="391">
        <f t="shared" ca="1" si="30"/>
        <v>2</v>
      </c>
      <c r="E186" s="391">
        <f t="shared" ca="1" si="31"/>
        <v>1</v>
      </c>
      <c r="G186" s="398"/>
      <c r="H186" s="399" t="s">
        <v>433</v>
      </c>
      <c r="I186" s="400" t="str">
        <f t="shared" ca="1" si="37"/>
        <v>13.001.002.001</v>
      </c>
      <c r="J186" s="401" t="s">
        <v>3683</v>
      </c>
      <c r="K186" s="402" t="s">
        <v>66</v>
      </c>
      <c r="L186" s="403">
        <f>'ARQ. RES'!$D$62+0.06+'ARQ. RES'!$D$36</f>
        <v>25479.84</v>
      </c>
      <c r="M186" s="403">
        <v>15.898575000000001</v>
      </c>
      <c r="N186" s="404">
        <f t="shared" si="27"/>
        <v>405093.14722800005</v>
      </c>
      <c r="O186" s="405"/>
      <c r="P186" s="406" t="s">
        <v>3605</v>
      </c>
    </row>
    <row r="187" spans="1:17" s="125" customFormat="1" ht="13.9" customHeight="1" outlineLevel="2" x14ac:dyDescent="0.25">
      <c r="A187" s="390">
        <f ca="1">IF($H187="UNIDADE CONSTRUTIVA",OFFSET(A187,-1,0)+1,LARGE(A$3:A186,1))</f>
        <v>0</v>
      </c>
      <c r="B187" s="390">
        <f t="shared" ca="1" si="28"/>
        <v>13</v>
      </c>
      <c r="C187" s="390">
        <f t="shared" ca="1" si="29"/>
        <v>1</v>
      </c>
      <c r="D187" s="391">
        <f t="shared" ca="1" si="30"/>
        <v>2</v>
      </c>
      <c r="E187" s="391">
        <f t="shared" ca="1" si="31"/>
        <v>2</v>
      </c>
      <c r="G187" s="398"/>
      <c r="H187" s="399" t="s">
        <v>433</v>
      </c>
      <c r="I187" s="400" t="str">
        <f t="shared" ca="1" si="37"/>
        <v>13.001.002.002</v>
      </c>
      <c r="J187" s="401" t="s">
        <v>510</v>
      </c>
      <c r="K187" s="402" t="s">
        <v>66</v>
      </c>
      <c r="L187" s="403">
        <f>'ARQ. RES'!$D$64</f>
        <v>1897.11</v>
      </c>
      <c r="M187" s="403">
        <v>2.3609599999999999</v>
      </c>
      <c r="N187" s="404">
        <f t="shared" si="27"/>
        <v>4479.0008256000001</v>
      </c>
      <c r="O187" s="405"/>
      <c r="P187" s="406" t="s">
        <v>3605</v>
      </c>
    </row>
    <row r="188" spans="1:17" s="125" customFormat="1" ht="13.9" customHeight="1" outlineLevel="1" x14ac:dyDescent="0.25">
      <c r="A188" s="390">
        <f ca="1">IF($H188="UNIDADE CONSTRUTIVA",OFFSET(A188,-1,0)+1,LARGE(A$3:A187,1))</f>
        <v>0</v>
      </c>
      <c r="B188" s="390">
        <f t="shared" ca="1" si="28"/>
        <v>13</v>
      </c>
      <c r="C188" s="390">
        <f t="shared" ca="1" si="29"/>
        <v>1</v>
      </c>
      <c r="D188" s="391">
        <f t="shared" ca="1" si="30"/>
        <v>3</v>
      </c>
      <c r="E188" s="391">
        <f t="shared" ca="1" si="31"/>
        <v>0</v>
      </c>
      <c r="G188" s="398"/>
      <c r="H188" s="399" t="s">
        <v>432</v>
      </c>
      <c r="I188" s="400" t="str">
        <f t="shared" ca="1" si="37"/>
        <v>13.001.003</v>
      </c>
      <c r="J188" s="401" t="s">
        <v>511</v>
      </c>
      <c r="K188" s="402"/>
      <c r="L188" s="403"/>
      <c r="M188" s="403"/>
      <c r="N188" s="404">
        <f t="shared" ca="1" si="27"/>
        <v>108235.0367</v>
      </c>
      <c r="O188" s="405"/>
      <c r="P188" s="406"/>
    </row>
    <row r="189" spans="1:17" s="125" customFormat="1" ht="13.9" customHeight="1" outlineLevel="2" x14ac:dyDescent="0.25">
      <c r="A189" s="390">
        <f ca="1">IF($H189="UNIDADE CONSTRUTIVA",OFFSET(A189,-1,0)+1,LARGE(A$3:A188,1))</f>
        <v>0</v>
      </c>
      <c r="B189" s="390">
        <f t="shared" ca="1" si="28"/>
        <v>13</v>
      </c>
      <c r="C189" s="390">
        <f t="shared" ca="1" si="29"/>
        <v>1</v>
      </c>
      <c r="D189" s="391">
        <f t="shared" ca="1" si="30"/>
        <v>3</v>
      </c>
      <c r="E189" s="391">
        <f t="shared" ca="1" si="31"/>
        <v>1</v>
      </c>
      <c r="G189" s="398"/>
      <c r="H189" s="399" t="s">
        <v>433</v>
      </c>
      <c r="I189" s="400" t="str">
        <f t="shared" ca="1" si="37"/>
        <v>13.001.003.001</v>
      </c>
      <c r="J189" s="401" t="s">
        <v>4183</v>
      </c>
      <c r="K189" s="402" t="s">
        <v>66</v>
      </c>
      <c r="L189" s="403">
        <f>'ARQ. RES'!$D$29+'ARQ. RES'!$D$30+'ARQ. RES'!$D$31+'ARQ. RES'!$D$32</f>
        <v>1753.2199999999998</v>
      </c>
      <c r="M189" s="403">
        <v>61.735000000000007</v>
      </c>
      <c r="N189" s="404">
        <f t="shared" si="27"/>
        <v>108235.0367</v>
      </c>
      <c r="O189" s="405" t="s">
        <v>4184</v>
      </c>
      <c r="P189" s="406" t="s">
        <v>3605</v>
      </c>
    </row>
    <row r="190" spans="1:17" s="125" customFormat="1" ht="13.9" customHeight="1" outlineLevel="1" x14ac:dyDescent="0.25">
      <c r="A190" s="390">
        <f ca="1">IF($H190="UNIDADE CONSTRUTIVA",OFFSET(A190,-1,0)+1,LARGE(A$3:A189,1))</f>
        <v>0</v>
      </c>
      <c r="B190" s="390">
        <f t="shared" ca="1" si="28"/>
        <v>13</v>
      </c>
      <c r="C190" s="390">
        <f t="shared" ca="1" si="29"/>
        <v>1</v>
      </c>
      <c r="D190" s="391">
        <f t="shared" ca="1" si="30"/>
        <v>4</v>
      </c>
      <c r="E190" s="391">
        <f t="shared" ca="1" si="31"/>
        <v>0</v>
      </c>
      <c r="G190" s="398"/>
      <c r="H190" s="399" t="s">
        <v>432</v>
      </c>
      <c r="I190" s="400" t="str">
        <f t="shared" ref="I190:I193" ca="1" si="39">IF(H190="Unidade Construtiva",TEXT(A190,"00"),IF(H190="Célula Construtiva",TEXT(B190,"00"),IF(H190="Etapa",CONCATENATE(TEXT(B190,"00"),".",TEXT(C190,"000")),IF(H190="Subetapa",CONCATENATE(TEXT(B190,"00"),".",TEXT(C190,"000"),".",TEXT(D190,"000")),IF(H190="Serviço",CONCATENATE(TEXT(B190,"00"),".",TEXT(C190,"000"),".",TEXT(D190,"000"),".",TEXT(E190,"000")),"")))))</f>
        <v>13.001.004</v>
      </c>
      <c r="J190" s="401" t="s">
        <v>3496</v>
      </c>
      <c r="K190" s="402"/>
      <c r="L190" s="403"/>
      <c r="M190" s="403"/>
      <c r="N190" s="404">
        <f t="shared" ca="1" si="27"/>
        <v>63854.708449999991</v>
      </c>
      <c r="O190" s="405"/>
      <c r="P190" s="406"/>
    </row>
    <row r="191" spans="1:17" s="125" customFormat="1" ht="13.9" customHeight="1" outlineLevel="2" x14ac:dyDescent="0.25">
      <c r="A191" s="390">
        <f ca="1">IF($H191="UNIDADE CONSTRUTIVA",OFFSET(A191,-1,0)+1,LARGE(A$3:A190,1))</f>
        <v>0</v>
      </c>
      <c r="B191" s="390">
        <f t="shared" ca="1" si="28"/>
        <v>13</v>
      </c>
      <c r="C191" s="390">
        <f t="shared" ca="1" si="29"/>
        <v>1</v>
      </c>
      <c r="D191" s="391">
        <f t="shared" ca="1" si="30"/>
        <v>4</v>
      </c>
      <c r="E191" s="391">
        <f t="shared" ca="1" si="31"/>
        <v>1</v>
      </c>
      <c r="G191" s="398"/>
      <c r="H191" s="399" t="s">
        <v>433</v>
      </c>
      <c r="I191" s="400" t="str">
        <f t="shared" ref="I191" ca="1" si="40">IF(H191="Unidade Construtiva",TEXT(A191,"00"),IF(H191="Célula Construtiva",TEXT(B191,"00"),IF(H191="Etapa",CONCATENATE(TEXT(B191,"00"),".",TEXT(C191,"000")),IF(H191="Subetapa",CONCATENATE(TEXT(B191,"00"),".",TEXT(C191,"000"),".",TEXT(D191,"000")),IF(H191="Serviço",CONCATENATE(TEXT(B191,"00"),".",TEXT(C191,"000"),".",TEXT(D191,"000"),".",TEXT(E191,"000")),"")))))</f>
        <v>13.001.004.001</v>
      </c>
      <c r="J191" s="401" t="s">
        <v>3497</v>
      </c>
      <c r="K191" s="402" t="s">
        <v>66</v>
      </c>
      <c r="L191" s="403">
        <f>'ARQ. RES'!$D$28</f>
        <v>67.19</v>
      </c>
      <c r="M191" s="403">
        <v>116.12000000000002</v>
      </c>
      <c r="N191" s="404">
        <f t="shared" si="27"/>
        <v>7802.1028000000006</v>
      </c>
      <c r="O191" s="405"/>
      <c r="P191" s="406" t="s">
        <v>3605</v>
      </c>
    </row>
    <row r="192" spans="1:17" s="125" customFormat="1" ht="13.9" customHeight="1" outlineLevel="2" x14ac:dyDescent="0.25">
      <c r="A192" s="390">
        <f ca="1">IF($H192="UNIDADE CONSTRUTIVA",OFFSET(A192,-1,0)+1,LARGE(A$3:A191,1))</f>
        <v>0</v>
      </c>
      <c r="B192" s="390">
        <f t="shared" ca="1" si="28"/>
        <v>13</v>
      </c>
      <c r="C192" s="390">
        <f t="shared" ca="1" si="29"/>
        <v>1</v>
      </c>
      <c r="D192" s="391">
        <f t="shared" ca="1" si="30"/>
        <v>4</v>
      </c>
      <c r="E192" s="391">
        <f t="shared" ca="1" si="31"/>
        <v>2</v>
      </c>
      <c r="G192" s="398"/>
      <c r="H192" s="399" t="s">
        <v>433</v>
      </c>
      <c r="I192" s="400" t="str">
        <f t="shared" ref="I192" ca="1" si="41">IF(H192="Unidade Construtiva",TEXT(A192,"00"),IF(H192="Célula Construtiva",TEXT(B192,"00"),IF(H192="Etapa",CONCATENATE(TEXT(B192,"00"),".",TEXT(C192,"000")),IF(H192="Subetapa",CONCATENATE(TEXT(B192,"00"),".",TEXT(C192,"000"),".",TEXT(D192,"000")),IF(H192="Serviço",CONCATENATE(TEXT(B192,"00"),".",TEXT(C192,"000"),".",TEXT(D192,"000"),".",TEXT(E192,"000")),"")))))</f>
        <v>13.001.004.002</v>
      </c>
      <c r="J192" s="401" t="s">
        <v>3561</v>
      </c>
      <c r="K192" s="402" t="s">
        <v>66</v>
      </c>
      <c r="L192" s="403">
        <f>'ARQ. RES'!D33</f>
        <v>28.49</v>
      </c>
      <c r="M192" s="403">
        <v>164.465</v>
      </c>
      <c r="N192" s="404">
        <f t="shared" si="27"/>
        <v>4685.6078499999994</v>
      </c>
      <c r="O192" s="405"/>
      <c r="P192" s="406" t="s">
        <v>3605</v>
      </c>
    </row>
    <row r="193" spans="1:17" s="125" customFormat="1" ht="13.9" customHeight="1" outlineLevel="2" x14ac:dyDescent="0.25">
      <c r="A193" s="390">
        <f ca="1">IF($H193="UNIDADE CONSTRUTIVA",OFFSET(A193,-1,0)+1,LARGE(A$3:A192,1))</f>
        <v>0</v>
      </c>
      <c r="B193" s="390">
        <f t="shared" ca="1" si="28"/>
        <v>13</v>
      </c>
      <c r="C193" s="390">
        <f t="shared" ca="1" si="29"/>
        <v>1</v>
      </c>
      <c r="D193" s="391">
        <f t="shared" ca="1" si="30"/>
        <v>4</v>
      </c>
      <c r="E193" s="391">
        <f t="shared" ca="1" si="31"/>
        <v>3</v>
      </c>
      <c r="G193" s="398"/>
      <c r="H193" s="399" t="s">
        <v>433</v>
      </c>
      <c r="I193" s="400" t="str">
        <f t="shared" ca="1" si="39"/>
        <v>13.001.004.003</v>
      </c>
      <c r="J193" s="401" t="s">
        <v>3498</v>
      </c>
      <c r="K193" s="402" t="s">
        <v>66</v>
      </c>
      <c r="L193" s="403">
        <f>'ARQ. RES'!$D$35</f>
        <v>81.319999999999993</v>
      </c>
      <c r="M193" s="403">
        <v>631.66499999999996</v>
      </c>
      <c r="N193" s="404">
        <f t="shared" si="27"/>
        <v>51366.99779999999</v>
      </c>
      <c r="O193" s="405"/>
      <c r="P193" s="406" t="s">
        <v>3605</v>
      </c>
    </row>
    <row r="194" spans="1:17" s="125" customFormat="1" ht="13.9" customHeight="1" outlineLevel="1" x14ac:dyDescent="0.25">
      <c r="A194" s="390">
        <f ca="1">IF($H194="UNIDADE CONSTRUTIVA",OFFSET(A194,-1,0)+1,LARGE(A$3:A193,1))</f>
        <v>0</v>
      </c>
      <c r="B194" s="390">
        <f t="shared" ca="1" si="28"/>
        <v>13</v>
      </c>
      <c r="C194" s="390">
        <f t="shared" ca="1" si="29"/>
        <v>1</v>
      </c>
      <c r="D194" s="391">
        <f t="shared" ca="1" si="30"/>
        <v>5</v>
      </c>
      <c r="E194" s="391">
        <f t="shared" ca="1" si="31"/>
        <v>0</v>
      </c>
      <c r="G194" s="398"/>
      <c r="H194" s="399" t="s">
        <v>432</v>
      </c>
      <c r="I194" s="400" t="str">
        <f t="shared" ca="1" si="37"/>
        <v>13.001.005</v>
      </c>
      <c r="J194" s="401" t="s">
        <v>512</v>
      </c>
      <c r="K194" s="402"/>
      <c r="L194" s="403"/>
      <c r="M194" s="403"/>
      <c r="N194" s="404">
        <f t="shared" ca="1" si="27"/>
        <v>16985.079449999997</v>
      </c>
      <c r="O194" s="405"/>
      <c r="P194" s="406"/>
    </row>
    <row r="195" spans="1:17" s="125" customFormat="1" ht="13.9" customHeight="1" outlineLevel="2" x14ac:dyDescent="0.25">
      <c r="A195" s="390">
        <f ca="1">IF($H195="UNIDADE CONSTRUTIVA",OFFSET(A195,-1,0)+1,LARGE(A$3:A194,1))</f>
        <v>0</v>
      </c>
      <c r="B195" s="390">
        <f t="shared" ca="1" si="28"/>
        <v>13</v>
      </c>
      <c r="C195" s="390">
        <f t="shared" ca="1" si="29"/>
        <v>1</v>
      </c>
      <c r="D195" s="391">
        <f t="shared" ca="1" si="30"/>
        <v>5</v>
      </c>
      <c r="E195" s="391">
        <f t="shared" ca="1" si="31"/>
        <v>1</v>
      </c>
      <c r="G195" s="398"/>
      <c r="H195" s="399" t="s">
        <v>433</v>
      </c>
      <c r="I195" s="400" t="str">
        <f t="shared" ca="1" si="37"/>
        <v>13.001.005.001</v>
      </c>
      <c r="J195" s="401" t="s">
        <v>513</v>
      </c>
      <c r="K195" s="402" t="s">
        <v>54</v>
      </c>
      <c r="L195" s="403">
        <f>'ARQ. RES'!$D$68</f>
        <v>229.66</v>
      </c>
      <c r="M195" s="403">
        <v>73.957499999999996</v>
      </c>
      <c r="N195" s="404">
        <f t="shared" si="27"/>
        <v>16985.079449999997</v>
      </c>
      <c r="O195" s="405"/>
      <c r="P195" s="406" t="s">
        <v>3605</v>
      </c>
    </row>
    <row r="196" spans="1:17" s="125" customFormat="1" ht="13.9" customHeight="1" outlineLevel="1" x14ac:dyDescent="0.25">
      <c r="A196" s="390">
        <f ca="1">IF($H196="UNIDADE CONSTRUTIVA",OFFSET(A196,-1,0)+1,LARGE(A$3:A195,1))</f>
        <v>0</v>
      </c>
      <c r="B196" s="390">
        <f t="shared" ca="1" si="28"/>
        <v>13</v>
      </c>
      <c r="C196" s="390">
        <f t="shared" ca="1" si="29"/>
        <v>1</v>
      </c>
      <c r="D196" s="391">
        <f t="shared" ca="1" si="30"/>
        <v>6</v>
      </c>
      <c r="E196" s="391">
        <f t="shared" ca="1" si="31"/>
        <v>0</v>
      </c>
      <c r="G196" s="398"/>
      <c r="H196" s="399" t="s">
        <v>432</v>
      </c>
      <c r="I196" s="400" t="str">
        <f t="shared" ca="1" si="37"/>
        <v>13.001.006</v>
      </c>
      <c r="J196" s="401" t="s">
        <v>514</v>
      </c>
      <c r="K196" s="402"/>
      <c r="L196" s="403"/>
      <c r="M196" s="403"/>
      <c r="N196" s="404">
        <f t="shared" ca="1" si="27"/>
        <v>1572686.807789458</v>
      </c>
      <c r="O196" s="405"/>
      <c r="P196" s="406"/>
    </row>
    <row r="197" spans="1:17" s="125" customFormat="1" ht="13.9" customHeight="1" outlineLevel="2" x14ac:dyDescent="0.25">
      <c r="A197" s="390">
        <f ca="1">IF($H197="UNIDADE CONSTRUTIVA",OFFSET(A197,-1,0)+1,LARGE(A$3:A196,1))</f>
        <v>0</v>
      </c>
      <c r="B197" s="390">
        <f t="shared" ca="1" si="28"/>
        <v>13</v>
      </c>
      <c r="C197" s="390">
        <f t="shared" ca="1" si="29"/>
        <v>1</v>
      </c>
      <c r="D197" s="391">
        <f t="shared" ca="1" si="30"/>
        <v>6</v>
      </c>
      <c r="E197" s="391">
        <f t="shared" ca="1" si="31"/>
        <v>1</v>
      </c>
      <c r="G197" s="398"/>
      <c r="H197" s="399" t="s">
        <v>433</v>
      </c>
      <c r="I197" s="400" t="str">
        <f t="shared" ca="1" si="37"/>
        <v>13.001.006.001</v>
      </c>
      <c r="J197" s="401" t="s">
        <v>515</v>
      </c>
      <c r="K197" s="402" t="s">
        <v>66</v>
      </c>
      <c r="L197" s="403">
        <f>L186</f>
        <v>25479.84</v>
      </c>
      <c r="M197" s="403">
        <f>'Custos Serviços'!G36</f>
        <v>47.482223555563934</v>
      </c>
      <c r="N197" s="404">
        <f t="shared" si="27"/>
        <v>1209839.4590400001</v>
      </c>
      <c r="O197" s="998" t="s">
        <v>4192</v>
      </c>
      <c r="P197" s="406" t="s">
        <v>3605</v>
      </c>
    </row>
    <row r="198" spans="1:17" s="125" customFormat="1" ht="13.9" customHeight="1" outlineLevel="2" x14ac:dyDescent="0.25">
      <c r="A198" s="390">
        <f ca="1">IF($H198="UNIDADE CONSTRUTIVA",OFFSET(A198,-1,0)+1,LARGE(A$3:A197,1))</f>
        <v>0</v>
      </c>
      <c r="B198" s="390">
        <f t="shared" ca="1" si="28"/>
        <v>13</v>
      </c>
      <c r="C198" s="390">
        <f t="shared" ca="1" si="29"/>
        <v>1</v>
      </c>
      <c r="D198" s="391">
        <f t="shared" ca="1" si="30"/>
        <v>6</v>
      </c>
      <c r="E198" s="391">
        <f t="shared" ca="1" si="31"/>
        <v>2</v>
      </c>
      <c r="G198" s="398"/>
      <c r="H198" s="399" t="s">
        <v>433</v>
      </c>
      <c r="I198" s="400" t="str">
        <f t="shared" ca="1" si="37"/>
        <v>13.001.006.002</v>
      </c>
      <c r="J198" s="401" t="s">
        <v>516</v>
      </c>
      <c r="K198" s="402" t="s">
        <v>66</v>
      </c>
      <c r="L198" s="403">
        <f>L187</f>
        <v>1897.11</v>
      </c>
      <c r="M198" s="403">
        <f>'Custos Serviços'!$G$47</f>
        <v>30.906793174881791</v>
      </c>
      <c r="N198" s="404">
        <f t="shared" si="27"/>
        <v>58633.586399999993</v>
      </c>
      <c r="O198" s="998" t="s">
        <v>4192</v>
      </c>
      <c r="P198" s="406" t="s">
        <v>3605</v>
      </c>
    </row>
    <row r="199" spans="1:17" s="125" customFormat="1" ht="13.9" customHeight="1" outlineLevel="2" x14ac:dyDescent="0.25">
      <c r="A199" s="390">
        <f ca="1">IF($H199="UNIDADE CONSTRUTIVA",OFFSET(A199,-1,0)+1,LARGE(A$3:A198,1))</f>
        <v>0</v>
      </c>
      <c r="B199" s="390">
        <f t="shared" ca="1" si="28"/>
        <v>13</v>
      </c>
      <c r="C199" s="390">
        <f t="shared" ca="1" si="29"/>
        <v>1</v>
      </c>
      <c r="D199" s="391">
        <f t="shared" ca="1" si="30"/>
        <v>6</v>
      </c>
      <c r="E199" s="391">
        <f t="shared" ca="1" si="31"/>
        <v>3</v>
      </c>
      <c r="G199" s="398"/>
      <c r="H199" s="399" t="s">
        <v>433</v>
      </c>
      <c r="I199" s="400" t="str">
        <f t="shared" ca="1" si="37"/>
        <v>13.001.006.003</v>
      </c>
      <c r="J199" s="401" t="s">
        <v>517</v>
      </c>
      <c r="K199" s="402" t="s">
        <v>66</v>
      </c>
      <c r="L199" s="403">
        <f>L189+L191</f>
        <v>1820.4099999999999</v>
      </c>
      <c r="M199" s="403">
        <f>'Custos Serviços'!$G$96</f>
        <v>153.87389209520163</v>
      </c>
      <c r="N199" s="404">
        <f t="shared" si="27"/>
        <v>280113.57190902595</v>
      </c>
      <c r="O199" s="998" t="s">
        <v>4192</v>
      </c>
      <c r="P199" s="406" t="s">
        <v>3605</v>
      </c>
    </row>
    <row r="200" spans="1:17" s="125" customFormat="1" ht="13.9" customHeight="1" outlineLevel="2" x14ac:dyDescent="0.25">
      <c r="A200" s="390">
        <f ca="1">IF($H200="UNIDADE CONSTRUTIVA",OFFSET(A200,-1,0)+1,LARGE(A$3:A199,1))</f>
        <v>0</v>
      </c>
      <c r="B200" s="390">
        <f t="shared" ca="1" si="28"/>
        <v>13</v>
      </c>
      <c r="C200" s="390">
        <f t="shared" ca="1" si="29"/>
        <v>1</v>
      </c>
      <c r="D200" s="391">
        <f t="shared" ca="1" si="30"/>
        <v>6</v>
      </c>
      <c r="E200" s="391">
        <f t="shared" ca="1" si="31"/>
        <v>4</v>
      </c>
      <c r="G200" s="398"/>
      <c r="H200" s="399" t="s">
        <v>433</v>
      </c>
      <c r="I200" s="400" t="str">
        <f t="shared" ref="I200" ca="1" si="42">IF(H200="Unidade Construtiva",TEXT(A200,"00"),IF(H200="Célula Construtiva",TEXT(B200,"00"),IF(H200="Etapa",CONCATENATE(TEXT(B200,"00"),".",TEXT(C200,"000")),IF(H200="Subetapa",CONCATENATE(TEXT(B200,"00"),".",TEXT(C200,"000"),".",TEXT(D200,"000")),IF(H200="Serviço",CONCATENATE(TEXT(B200,"00"),".",TEXT(C200,"000"),".",TEXT(D200,"000"),".",TEXT(E200,"000")),"")))))</f>
        <v>13.001.006.004</v>
      </c>
      <c r="J200" s="401" t="s">
        <v>3533</v>
      </c>
      <c r="K200" s="402" t="s">
        <v>66</v>
      </c>
      <c r="L200" s="403">
        <f>+L192</f>
        <v>28.49</v>
      </c>
      <c r="M200" s="403">
        <f>'Custos Serviços'!$G$96</f>
        <v>153.87389209520163</v>
      </c>
      <c r="N200" s="404">
        <f t="shared" ref="N200:N263" si="43">IF(H200="Serviço",M200*L200,IF(H200="CÉLULA CONSTRUTIVA",SUMIFS($N$8:$N$395,$B$8:$B$395,B200,$H$8:$H$395,"Serviço"),IF(H200="ETAPA",SUMIFS($N$8:$N$395,$B$8:$B$395,B200,$C$8:$C$395,C200,$H$8:$H$395,"Serviço"),IF(H200="SUBETAPA",SUMIFS($N$8:$N$395,$B$8:$B$395,B200,$C$8:$C$395,C200,$D$8:$D$395,D200,$H$8:$H$395,"Serviço"),0))))</f>
        <v>4383.8671857922936</v>
      </c>
      <c r="O200" s="998" t="s">
        <v>4192</v>
      </c>
      <c r="P200" s="406" t="s">
        <v>3605</v>
      </c>
    </row>
    <row r="201" spans="1:17" s="125" customFormat="1" ht="13.9" customHeight="1" outlineLevel="2" x14ac:dyDescent="0.25">
      <c r="A201" s="390">
        <f ca="1">IF($H201="UNIDADE CONSTRUTIVA",OFFSET(A201,-1,0)+1,LARGE(A$3:A200,1))</f>
        <v>0</v>
      </c>
      <c r="B201" s="390">
        <f t="shared" ref="B201:B264" ca="1" si="44">IF(H201="UNIDADE CONSTRUTIVA",0,IF(H201="CÉLULA CONSTRUTIVA",OFFSET(B201,-1,0)+1,OFFSET(B201,-1,0)))</f>
        <v>13</v>
      </c>
      <c r="C201" s="390">
        <f t="shared" ref="C201:C264" ca="1" si="45">IF(H201="CÉLULA CONSTRUTIVA",0,IF(H201="ETAPA",OFFSET(C201,-1,0)+1,OFFSET(C201,-1,0)))</f>
        <v>1</v>
      </c>
      <c r="D201" s="391">
        <f t="shared" ref="D201:D264" ca="1" si="46">IF(H201="ETAPA",0,IF(H201="SUBETAPA",OFFSET(D201,-1,0)+1,OFFSET(D201,-1,0)))</f>
        <v>6</v>
      </c>
      <c r="E201" s="391">
        <f t="shared" ref="E201:E264" ca="1" si="47">IF(H201="Subetapa",0,IF(H201="serviço",OFFSET(E201,-1,0)+1,OFFSET(E201,-1,0)))</f>
        <v>5</v>
      </c>
      <c r="G201" s="398"/>
      <c r="H201" s="399" t="s">
        <v>433</v>
      </c>
      <c r="I201" s="400" t="str">
        <f t="shared" ref="I201" ca="1" si="48">IF(H201="Unidade Construtiva",TEXT(A201,"00"),IF(H201="Célula Construtiva",TEXT(B201,"00"),IF(H201="Etapa",CONCATENATE(TEXT(B201,"00"),".",TEXT(C201,"000")),IF(H201="Subetapa",CONCATENATE(TEXT(B201,"00"),".",TEXT(C201,"000"),".",TEXT(D201,"000")),IF(H201="Serviço",CONCATENATE(TEXT(B201,"00"),".",TEXT(C201,"000"),".",TEXT(D201,"000"),".",TEXT(E201,"000")),"")))))</f>
        <v>13.001.006.005</v>
      </c>
      <c r="J201" s="401" t="s">
        <v>3499</v>
      </c>
      <c r="K201" s="402" t="s">
        <v>66</v>
      </c>
      <c r="L201" s="403">
        <f>L193</f>
        <v>81.319999999999993</v>
      </c>
      <c r="M201" s="403">
        <f>'Custos Serviços'!$G$97</f>
        <v>153.87389209520163</v>
      </c>
      <c r="N201" s="404">
        <f t="shared" si="43"/>
        <v>12513.024905181795</v>
      </c>
      <c r="O201" s="998" t="s">
        <v>4192</v>
      </c>
      <c r="P201" s="406" t="s">
        <v>3605</v>
      </c>
    </row>
    <row r="202" spans="1:17" s="125" customFormat="1" ht="13.9" customHeight="1" outlineLevel="2" x14ac:dyDescent="0.25">
      <c r="A202" s="390">
        <f ca="1">IF($H202="UNIDADE CONSTRUTIVA",OFFSET(A202,-1,0)+1,LARGE(A$3:A201,1))</f>
        <v>0</v>
      </c>
      <c r="B202" s="390">
        <f t="shared" ca="1" si="44"/>
        <v>13</v>
      </c>
      <c r="C202" s="390">
        <f t="shared" ca="1" si="45"/>
        <v>1</v>
      </c>
      <c r="D202" s="391">
        <f t="shared" ca="1" si="46"/>
        <v>6</v>
      </c>
      <c r="E202" s="391">
        <f t="shared" ca="1" si="47"/>
        <v>6</v>
      </c>
      <c r="G202" s="398"/>
      <c r="H202" s="399" t="s">
        <v>433</v>
      </c>
      <c r="I202" s="400" t="str">
        <f t="shared" ca="1" si="37"/>
        <v>13.001.006.006</v>
      </c>
      <c r="J202" s="401" t="s">
        <v>518</v>
      </c>
      <c r="K202" s="402" t="s">
        <v>54</v>
      </c>
      <c r="L202" s="403">
        <f>L195</f>
        <v>229.66</v>
      </c>
      <c r="M202" s="403">
        <f>'Custos Serviços'!$G$85</f>
        <v>31.365054208211774</v>
      </c>
      <c r="N202" s="404">
        <f t="shared" si="43"/>
        <v>7203.2983494579157</v>
      </c>
      <c r="O202" s="998" t="s">
        <v>4192</v>
      </c>
      <c r="P202" s="406" t="s">
        <v>3605</v>
      </c>
    </row>
    <row r="203" spans="1:17" s="125" customFormat="1" ht="13.9" customHeight="1" collapsed="1" x14ac:dyDescent="0.25">
      <c r="A203" s="390">
        <f ca="1">IF($H203="UNIDADE CONSTRUTIVA",OFFSET(A203,-1,0)+1,LARGE(A$3:A202,1))</f>
        <v>0</v>
      </c>
      <c r="B203" s="390">
        <f t="shared" ca="1" si="44"/>
        <v>14</v>
      </c>
      <c r="C203" s="390">
        <f t="shared" ca="1" si="45"/>
        <v>0</v>
      </c>
      <c r="D203" s="391">
        <f t="shared" ca="1" si="46"/>
        <v>6</v>
      </c>
      <c r="E203" s="391">
        <f t="shared" ca="1" si="47"/>
        <v>6</v>
      </c>
      <c r="G203" s="398"/>
      <c r="H203" s="399" t="s">
        <v>430</v>
      </c>
      <c r="I203" s="400" t="str">
        <f t="shared" ca="1" si="37"/>
        <v>14</v>
      </c>
      <c r="J203" s="401" t="s">
        <v>519</v>
      </c>
      <c r="K203" s="402"/>
      <c r="L203" s="403"/>
      <c r="M203" s="403"/>
      <c r="N203" s="404">
        <f t="shared" ca="1" si="43"/>
        <v>718960.84661499993</v>
      </c>
      <c r="O203" s="405"/>
      <c r="P203" s="406"/>
      <c r="Q203" s="986">
        <f ca="1">N203/Obra!$E$9</f>
        <v>56.044773295900548</v>
      </c>
    </row>
    <row r="204" spans="1:17" s="125" customFormat="1" ht="13.9" hidden="1" customHeight="1" outlineLevel="1" x14ac:dyDescent="0.25">
      <c r="A204" s="390">
        <f ca="1">IF($H204="UNIDADE CONSTRUTIVA",OFFSET(A204,-1,0)+1,LARGE(A$3:A203,1))</f>
        <v>0</v>
      </c>
      <c r="B204" s="390">
        <f t="shared" ca="1" si="44"/>
        <v>14</v>
      </c>
      <c r="C204" s="390">
        <f t="shared" ca="1" si="45"/>
        <v>1</v>
      </c>
      <c r="D204" s="391">
        <f t="shared" ca="1" si="46"/>
        <v>0</v>
      </c>
      <c r="E204" s="391">
        <f t="shared" ca="1" si="47"/>
        <v>6</v>
      </c>
      <c r="G204" s="398"/>
      <c r="H204" s="399" t="s">
        <v>229</v>
      </c>
      <c r="I204" s="400" t="str">
        <f t="shared" ca="1" si="37"/>
        <v>14.001</v>
      </c>
      <c r="J204" s="401" t="s">
        <v>519</v>
      </c>
      <c r="K204" s="402"/>
      <c r="L204" s="403"/>
      <c r="M204" s="403"/>
      <c r="N204" s="404">
        <f t="shared" ca="1" si="43"/>
        <v>718960.84661499993</v>
      </c>
      <c r="O204" s="405"/>
      <c r="P204" s="406"/>
    </row>
    <row r="205" spans="1:17" s="125" customFormat="1" ht="13.9" hidden="1" customHeight="1" outlineLevel="1" x14ac:dyDescent="0.25">
      <c r="A205" s="390">
        <f ca="1">IF($H205="UNIDADE CONSTRUTIVA",OFFSET(A205,-1,0)+1,LARGE(A$3:A204,1))</f>
        <v>0</v>
      </c>
      <c r="B205" s="390">
        <f t="shared" ca="1" si="44"/>
        <v>14</v>
      </c>
      <c r="C205" s="390">
        <f t="shared" ca="1" si="45"/>
        <v>1</v>
      </c>
      <c r="D205" s="391">
        <f t="shared" ca="1" si="46"/>
        <v>1</v>
      </c>
      <c r="E205" s="391">
        <f t="shared" ca="1" si="47"/>
        <v>0</v>
      </c>
      <c r="G205" s="398"/>
      <c r="H205" s="399" t="s">
        <v>432</v>
      </c>
      <c r="I205" s="400" t="str">
        <f t="shared" ca="1" si="37"/>
        <v>14.001.001</v>
      </c>
      <c r="J205" s="401" t="s">
        <v>520</v>
      </c>
      <c r="K205" s="402"/>
      <c r="L205" s="403"/>
      <c r="M205" s="403"/>
      <c r="N205" s="404">
        <f t="shared" ca="1" si="43"/>
        <v>31532.864454999999</v>
      </c>
      <c r="O205" s="405"/>
      <c r="P205" s="406"/>
    </row>
    <row r="206" spans="1:17" s="125" customFormat="1" ht="13.9" hidden="1" customHeight="1" outlineLevel="2" x14ac:dyDescent="0.25">
      <c r="A206" s="390">
        <f ca="1">IF($H206="UNIDADE CONSTRUTIVA",OFFSET(A206,-1,0)+1,LARGE(A$3:A205,1))</f>
        <v>0</v>
      </c>
      <c r="B206" s="390">
        <f t="shared" ca="1" si="44"/>
        <v>14</v>
      </c>
      <c r="C206" s="390">
        <f t="shared" ca="1" si="45"/>
        <v>1</v>
      </c>
      <c r="D206" s="391">
        <f t="shared" ca="1" si="46"/>
        <v>1</v>
      </c>
      <c r="E206" s="391">
        <f t="shared" ca="1" si="47"/>
        <v>1</v>
      </c>
      <c r="G206" s="398"/>
      <c r="H206" s="399" t="s">
        <v>433</v>
      </c>
      <c r="I206" s="400" t="str">
        <f t="shared" ca="1" si="37"/>
        <v>14.001.001.001</v>
      </c>
      <c r="J206" s="401" t="s">
        <v>4173</v>
      </c>
      <c r="K206" s="402" t="s">
        <v>66</v>
      </c>
      <c r="L206" s="403">
        <f>SUM('ARQ. RES'!D70:D71)</f>
        <v>4260.91</v>
      </c>
      <c r="M206" s="403">
        <v>7.4005000000000001</v>
      </c>
      <c r="N206" s="404">
        <f t="shared" si="43"/>
        <v>31532.864454999999</v>
      </c>
      <c r="O206" s="405"/>
      <c r="P206" s="406" t="s">
        <v>3605</v>
      </c>
    </row>
    <row r="207" spans="1:17" s="125" customFormat="1" ht="13.9" hidden="1" customHeight="1" outlineLevel="1" x14ac:dyDescent="0.25">
      <c r="A207" s="390">
        <f ca="1">IF($H207="UNIDADE CONSTRUTIVA",OFFSET(A207,-1,0)+1,LARGE(A$3:A206,1))</f>
        <v>0</v>
      </c>
      <c r="B207" s="390">
        <f t="shared" ca="1" si="44"/>
        <v>14</v>
      </c>
      <c r="C207" s="390">
        <f t="shared" ca="1" si="45"/>
        <v>1</v>
      </c>
      <c r="D207" s="391">
        <f t="shared" ca="1" si="46"/>
        <v>2</v>
      </c>
      <c r="E207" s="391">
        <f t="shared" ca="1" si="47"/>
        <v>0</v>
      </c>
      <c r="G207" s="398"/>
      <c r="H207" s="399" t="s">
        <v>432</v>
      </c>
      <c r="I207" s="400" t="str">
        <f t="shared" ca="1" si="37"/>
        <v>14.001.002</v>
      </c>
      <c r="J207" s="401" t="s">
        <v>521</v>
      </c>
      <c r="K207" s="402"/>
      <c r="L207" s="403"/>
      <c r="M207" s="403"/>
      <c r="N207" s="404">
        <f t="shared" ca="1" si="43"/>
        <v>528590.03759999992</v>
      </c>
      <c r="O207" s="405"/>
      <c r="P207" s="406"/>
    </row>
    <row r="208" spans="1:17" s="125" customFormat="1" ht="13.9" hidden="1" customHeight="1" outlineLevel="2" x14ac:dyDescent="0.25">
      <c r="A208" s="390">
        <f ca="1">IF($H208="UNIDADE CONSTRUTIVA",OFFSET(A208,-1,0)+1,LARGE(A$3:A207,1))</f>
        <v>0</v>
      </c>
      <c r="B208" s="390">
        <f t="shared" ca="1" si="44"/>
        <v>14</v>
      </c>
      <c r="C208" s="390">
        <f t="shared" ca="1" si="45"/>
        <v>1</v>
      </c>
      <c r="D208" s="391">
        <f t="shared" ca="1" si="46"/>
        <v>2</v>
      </c>
      <c r="E208" s="391">
        <f t="shared" ca="1" si="47"/>
        <v>1</v>
      </c>
      <c r="G208" s="398"/>
      <c r="H208" s="399" t="s">
        <v>433</v>
      </c>
      <c r="I208" s="400" t="str">
        <f t="shared" ref="I208:I243" ca="1" si="49">IF(H208="Unidade Construtiva",TEXT(A208,"00"),IF(H208="Célula Construtiva",TEXT(B208,"00"),IF(H208="Etapa",CONCATENATE(TEXT(B208,"00"),".",TEXT(C208,"000")),IF(H208="Subetapa",CONCATENATE(TEXT(B208,"00"),".",TEXT(C208,"000"),".",TEXT(D208,"000")),IF(H208="Serviço",CONCATENATE(TEXT(B208,"00"),".",TEXT(C208,"000"),".",TEXT(D208,"000"),".",TEXT(E208,"000")),"")))))</f>
        <v>14.001.002.001</v>
      </c>
      <c r="J208" s="401" t="s">
        <v>3507</v>
      </c>
      <c r="K208" s="402" t="s">
        <v>66</v>
      </c>
      <c r="L208" s="403">
        <f>'ARQ. RES'!D60</f>
        <v>7056.9</v>
      </c>
      <c r="M208" s="403">
        <v>74.903999999999996</v>
      </c>
      <c r="N208" s="404">
        <f t="shared" si="43"/>
        <v>528590.03759999992</v>
      </c>
      <c r="O208" s="405"/>
      <c r="P208" s="406" t="s">
        <v>3605</v>
      </c>
    </row>
    <row r="209" spans="1:17" s="125" customFormat="1" ht="13.9" hidden="1" customHeight="1" outlineLevel="1" x14ac:dyDescent="0.25">
      <c r="A209" s="390">
        <f ca="1">IF($H209="UNIDADE CONSTRUTIVA",OFFSET(A209,-1,0)+1,LARGE(A$3:A208,1))</f>
        <v>0</v>
      </c>
      <c r="B209" s="390">
        <f t="shared" ca="1" si="44"/>
        <v>14</v>
      </c>
      <c r="C209" s="390">
        <f t="shared" ca="1" si="45"/>
        <v>1</v>
      </c>
      <c r="D209" s="391">
        <f t="shared" ca="1" si="46"/>
        <v>3</v>
      </c>
      <c r="E209" s="391">
        <f t="shared" ca="1" si="47"/>
        <v>0</v>
      </c>
      <c r="G209" s="398"/>
      <c r="H209" s="399" t="s">
        <v>432</v>
      </c>
      <c r="I209" s="400" t="str">
        <f t="shared" ca="1" si="49"/>
        <v>14.001.003</v>
      </c>
      <c r="J209" s="401" t="s">
        <v>524</v>
      </c>
      <c r="K209" s="402"/>
      <c r="L209" s="403"/>
      <c r="M209" s="403"/>
      <c r="N209" s="404">
        <f t="shared" ca="1" si="43"/>
        <v>36005.550000000003</v>
      </c>
      <c r="O209" s="405"/>
      <c r="P209" s="406"/>
    </row>
    <row r="210" spans="1:17" s="125" customFormat="1" ht="13.9" hidden="1" customHeight="1" outlineLevel="2" x14ac:dyDescent="0.25">
      <c r="A210" s="390">
        <f ca="1">IF($H210="UNIDADE CONSTRUTIVA",OFFSET(A210,-1,0)+1,LARGE(A$3:A209,1))</f>
        <v>0</v>
      </c>
      <c r="B210" s="390">
        <f t="shared" ca="1" si="44"/>
        <v>14</v>
      </c>
      <c r="C210" s="390">
        <f t="shared" ca="1" si="45"/>
        <v>1</v>
      </c>
      <c r="D210" s="391">
        <f t="shared" ca="1" si="46"/>
        <v>3</v>
      </c>
      <c r="E210" s="391">
        <f t="shared" ca="1" si="47"/>
        <v>1</v>
      </c>
      <c r="G210" s="398"/>
      <c r="H210" s="399" t="s">
        <v>433</v>
      </c>
      <c r="I210" s="400" t="str">
        <f t="shared" ca="1" si="49"/>
        <v>14.001.003.001</v>
      </c>
      <c r="J210" s="401" t="s">
        <v>3508</v>
      </c>
      <c r="K210" s="402" t="s">
        <v>66</v>
      </c>
      <c r="L210" s="403">
        <f>'ARQ. RES'!$D$66</f>
        <v>45.29</v>
      </c>
      <c r="M210" s="403">
        <f>645+150</f>
        <v>795</v>
      </c>
      <c r="N210" s="404">
        <f t="shared" si="43"/>
        <v>36005.550000000003</v>
      </c>
      <c r="O210" s="405"/>
      <c r="P210" s="406" t="s">
        <v>3605</v>
      </c>
    </row>
    <row r="211" spans="1:17" s="125" customFormat="1" ht="13.9" hidden="1" customHeight="1" outlineLevel="1" x14ac:dyDescent="0.25">
      <c r="A211" s="390">
        <f ca="1">IF($H211="UNIDADE CONSTRUTIVA",OFFSET(A211,-1,0)+1,LARGE(A$3:A210,1))</f>
        <v>0</v>
      </c>
      <c r="B211" s="390">
        <f t="shared" ca="1" si="44"/>
        <v>14</v>
      </c>
      <c r="C211" s="390">
        <f t="shared" ca="1" si="45"/>
        <v>1</v>
      </c>
      <c r="D211" s="391">
        <f t="shared" ca="1" si="46"/>
        <v>4</v>
      </c>
      <c r="E211" s="391">
        <f t="shared" ca="1" si="47"/>
        <v>0</v>
      </c>
      <c r="G211" s="398"/>
      <c r="H211" s="399" t="s">
        <v>432</v>
      </c>
      <c r="I211" s="400" t="str">
        <f t="shared" ca="1" si="49"/>
        <v>14.001.004</v>
      </c>
      <c r="J211" s="401" t="s">
        <v>522</v>
      </c>
      <c r="K211" s="402"/>
      <c r="L211" s="403"/>
      <c r="M211" s="403"/>
      <c r="N211" s="404">
        <f t="shared" ca="1" si="43"/>
        <v>122832.39455999994</v>
      </c>
      <c r="O211" s="405"/>
      <c r="P211" s="406"/>
    </row>
    <row r="212" spans="1:17" s="125" customFormat="1" ht="13.9" hidden="1" customHeight="1" outlineLevel="2" x14ac:dyDescent="0.25">
      <c r="A212" s="390">
        <f ca="1">IF($H212="UNIDADE CONSTRUTIVA",OFFSET(A212,-1,0)+1,LARGE(A$3:A211,1))</f>
        <v>0</v>
      </c>
      <c r="B212" s="390">
        <f t="shared" ca="1" si="44"/>
        <v>14</v>
      </c>
      <c r="C212" s="390">
        <f t="shared" ca="1" si="45"/>
        <v>1</v>
      </c>
      <c r="D212" s="391">
        <f t="shared" ca="1" si="46"/>
        <v>4</v>
      </c>
      <c r="E212" s="391">
        <f t="shared" ca="1" si="47"/>
        <v>1</v>
      </c>
      <c r="G212" s="398"/>
      <c r="H212" s="399" t="s">
        <v>433</v>
      </c>
      <c r="I212" s="400" t="str">
        <f t="shared" ca="1" si="49"/>
        <v>14.001.004.001</v>
      </c>
      <c r="J212" s="401" t="s">
        <v>523</v>
      </c>
      <c r="K212" s="402" t="s">
        <v>66</v>
      </c>
      <c r="L212" s="403">
        <f>L206</f>
        <v>4260.91</v>
      </c>
      <c r="M212" s="403">
        <f>'Custos Serviços'!$G$58</f>
        <v>28.827737398818549</v>
      </c>
      <c r="N212" s="404">
        <f t="shared" si="43"/>
        <v>122832.39455999994</v>
      </c>
      <c r="O212" s="998" t="s">
        <v>4192</v>
      </c>
      <c r="P212" s="406" t="s">
        <v>3605</v>
      </c>
    </row>
    <row r="213" spans="1:17" s="125" customFormat="1" ht="13.9" customHeight="1" x14ac:dyDescent="0.25">
      <c r="A213" s="390">
        <f ca="1">IF($H213="UNIDADE CONSTRUTIVA",OFFSET(A213,-1,0)+1,LARGE(A$3:A212,1))</f>
        <v>0</v>
      </c>
      <c r="B213" s="390">
        <f t="shared" ca="1" si="44"/>
        <v>15</v>
      </c>
      <c r="C213" s="390">
        <f t="shared" ca="1" si="45"/>
        <v>0</v>
      </c>
      <c r="D213" s="391">
        <f t="shared" ca="1" si="46"/>
        <v>4</v>
      </c>
      <c r="E213" s="391">
        <f t="shared" ca="1" si="47"/>
        <v>1</v>
      </c>
      <c r="G213" s="398"/>
      <c r="H213" s="399" t="s">
        <v>430</v>
      </c>
      <c r="I213" s="400" t="str">
        <f t="shared" ca="1" si="49"/>
        <v>15</v>
      </c>
      <c r="J213" s="401" t="s">
        <v>525</v>
      </c>
      <c r="K213" s="402"/>
      <c r="L213" s="403"/>
      <c r="M213" s="403"/>
      <c r="N213" s="404">
        <f t="shared" ca="1" si="43"/>
        <v>2800721.0943946932</v>
      </c>
      <c r="O213" s="405"/>
      <c r="P213" s="406"/>
      <c r="Q213" s="986">
        <f ca="1">N213/Obra!$E$9</f>
        <v>218.32312502053603</v>
      </c>
    </row>
    <row r="214" spans="1:17" s="125" customFormat="1" ht="13.9" customHeight="1" outlineLevel="1" x14ac:dyDescent="0.25">
      <c r="A214" s="390">
        <f ca="1">IF($H214="UNIDADE CONSTRUTIVA",OFFSET(A214,-1,0)+1,LARGE(A$3:A213,1))</f>
        <v>0</v>
      </c>
      <c r="B214" s="390">
        <f t="shared" ca="1" si="44"/>
        <v>15</v>
      </c>
      <c r="C214" s="390">
        <f t="shared" ca="1" si="45"/>
        <v>1</v>
      </c>
      <c r="D214" s="391">
        <f t="shared" ca="1" si="46"/>
        <v>0</v>
      </c>
      <c r="E214" s="391">
        <f t="shared" ca="1" si="47"/>
        <v>1</v>
      </c>
      <c r="G214" s="398"/>
      <c r="H214" s="399" t="s">
        <v>229</v>
      </c>
      <c r="I214" s="400" t="str">
        <f t="shared" ca="1" si="49"/>
        <v>15.001</v>
      </c>
      <c r="J214" s="401" t="s">
        <v>525</v>
      </c>
      <c r="K214" s="402"/>
      <c r="L214" s="403"/>
      <c r="M214" s="403"/>
      <c r="N214" s="404">
        <f t="shared" ca="1" si="43"/>
        <v>2800721.0943946932</v>
      </c>
      <c r="O214" s="405"/>
      <c r="P214" s="406"/>
    </row>
    <row r="215" spans="1:17" s="125" customFormat="1" ht="13.9" customHeight="1" outlineLevel="1" x14ac:dyDescent="0.25">
      <c r="A215" s="390">
        <f ca="1">IF($H215="UNIDADE CONSTRUTIVA",OFFSET(A215,-1,0)+1,LARGE(A$3:A214,1))</f>
        <v>0</v>
      </c>
      <c r="B215" s="390">
        <f t="shared" ca="1" si="44"/>
        <v>15</v>
      </c>
      <c r="C215" s="390">
        <f t="shared" ca="1" si="45"/>
        <v>1</v>
      </c>
      <c r="D215" s="391">
        <f t="shared" ca="1" si="46"/>
        <v>1</v>
      </c>
      <c r="E215" s="391">
        <f t="shared" ca="1" si="47"/>
        <v>0</v>
      </c>
      <c r="G215" s="398"/>
      <c r="H215" s="399" t="s">
        <v>432</v>
      </c>
      <c r="I215" s="400" t="str">
        <f t="shared" ca="1" si="49"/>
        <v>15.001.001</v>
      </c>
      <c r="J215" s="401" t="s">
        <v>526</v>
      </c>
      <c r="K215" s="402"/>
      <c r="L215" s="403"/>
      <c r="M215" s="403"/>
      <c r="N215" s="404">
        <f t="shared" ca="1" si="43"/>
        <v>401083.25109240005</v>
      </c>
      <c r="O215" s="405"/>
      <c r="P215" s="406"/>
    </row>
    <row r="216" spans="1:17" s="125" customFormat="1" ht="13.9" customHeight="1" outlineLevel="2" x14ac:dyDescent="0.25">
      <c r="A216" s="390">
        <f ca="1">IF($H216="UNIDADE CONSTRUTIVA",OFFSET(A216,-1,0)+1,LARGE(A$3:A215,1))</f>
        <v>0</v>
      </c>
      <c r="B216" s="390">
        <f t="shared" ca="1" si="44"/>
        <v>15</v>
      </c>
      <c r="C216" s="390">
        <f t="shared" ca="1" si="45"/>
        <v>1</v>
      </c>
      <c r="D216" s="391">
        <f t="shared" ca="1" si="46"/>
        <v>1</v>
      </c>
      <c r="E216" s="391">
        <f t="shared" ca="1" si="47"/>
        <v>1</v>
      </c>
      <c r="G216" s="398"/>
      <c r="H216" s="399" t="s">
        <v>433</v>
      </c>
      <c r="I216" s="400" t="str">
        <f t="shared" ca="1" si="49"/>
        <v>15.001.001.001</v>
      </c>
      <c r="J216" s="401" t="s">
        <v>3515</v>
      </c>
      <c r="K216" s="402" t="s">
        <v>66</v>
      </c>
      <c r="L216" s="403">
        <f>'ARQ. RES'!$D$95-2.14</f>
        <v>500.86</v>
      </c>
      <c r="M216" s="403">
        <v>18.936140000000002</v>
      </c>
      <c r="N216" s="404">
        <f t="shared" si="43"/>
        <v>9484.3550804000006</v>
      </c>
      <c r="O216" s="405"/>
      <c r="P216" s="406" t="s">
        <v>3605</v>
      </c>
    </row>
    <row r="217" spans="1:17" s="125" customFormat="1" ht="13.9" customHeight="1" outlineLevel="2" x14ac:dyDescent="0.25">
      <c r="A217" s="390">
        <f ca="1">IF($H217="UNIDADE CONSTRUTIVA",OFFSET(A217,-1,0)+1,LARGE(A$3:A216,1))</f>
        <v>0</v>
      </c>
      <c r="B217" s="390">
        <f t="shared" ca="1" si="44"/>
        <v>15</v>
      </c>
      <c r="C217" s="390">
        <f t="shared" ca="1" si="45"/>
        <v>1</v>
      </c>
      <c r="D217" s="391">
        <f t="shared" ca="1" si="46"/>
        <v>1</v>
      </c>
      <c r="E217" s="391">
        <f t="shared" ca="1" si="47"/>
        <v>2</v>
      </c>
      <c r="G217" s="398"/>
      <c r="H217" s="399" t="s">
        <v>433</v>
      </c>
      <c r="I217" s="400" t="str">
        <f t="shared" ref="I217:I218" ca="1" si="50">IF(H217="Unidade Construtiva",TEXT(A217,"00"),IF(H217="Célula Construtiva",TEXT(B217,"00"),IF(H217="Etapa",CONCATENATE(TEXT(B217,"00"),".",TEXT(C217,"000")),IF(H217="Subetapa",CONCATENATE(TEXT(B217,"00"),".",TEXT(C217,"000"),".",TEXT(D217,"000")),IF(H217="Serviço",CONCATENATE(TEXT(B217,"00"),".",TEXT(C217,"000"),".",TEXT(D217,"000"),".",TEXT(E217,"000")),"")))))</f>
        <v>15.001.001.002</v>
      </c>
      <c r="J217" s="401" t="s">
        <v>527</v>
      </c>
      <c r="K217" s="402" t="s">
        <v>66</v>
      </c>
      <c r="L217" s="403">
        <f>'ARQ. RES'!$D$96</f>
        <v>2838.32</v>
      </c>
      <c r="M217" s="403">
        <v>31.560233333333336</v>
      </c>
      <c r="N217" s="404">
        <f t="shared" si="43"/>
        <v>89578.041474666679</v>
      </c>
      <c r="O217" s="405"/>
      <c r="P217" s="406" t="s">
        <v>3605</v>
      </c>
    </row>
    <row r="218" spans="1:17" s="125" customFormat="1" ht="13.9" customHeight="1" outlineLevel="2" x14ac:dyDescent="0.25">
      <c r="A218" s="390">
        <f ca="1">IF($H218="UNIDADE CONSTRUTIVA",OFFSET(A218,-1,0)+1,LARGE(A$3:A217,1))</f>
        <v>0</v>
      </c>
      <c r="B218" s="390">
        <f t="shared" ca="1" si="44"/>
        <v>15</v>
      </c>
      <c r="C218" s="390">
        <f t="shared" ca="1" si="45"/>
        <v>1</v>
      </c>
      <c r="D218" s="391">
        <f t="shared" ca="1" si="46"/>
        <v>1</v>
      </c>
      <c r="E218" s="391">
        <f t="shared" ca="1" si="47"/>
        <v>3</v>
      </c>
      <c r="G218" s="398"/>
      <c r="H218" s="399" t="s">
        <v>433</v>
      </c>
      <c r="I218" s="400" t="str">
        <f t="shared" ca="1" si="50"/>
        <v>15.001.001.003</v>
      </c>
      <c r="J218" s="401" t="s">
        <v>3516</v>
      </c>
      <c r="K218" s="402" t="s">
        <v>66</v>
      </c>
      <c r="L218" s="403">
        <f>'ARQ. RES'!$D$97+'ARQ. RES'!$D$94</f>
        <v>485.15000000000003</v>
      </c>
      <c r="M218" s="403">
        <v>37.872280000000003</v>
      </c>
      <c r="N218" s="404">
        <f t="shared" si="43"/>
        <v>18373.736642000003</v>
      </c>
      <c r="O218" s="405"/>
      <c r="P218" s="406" t="s">
        <v>3605</v>
      </c>
      <c r="Q218" s="993"/>
    </row>
    <row r="219" spans="1:17" s="125" customFormat="1" ht="13.9" customHeight="1" outlineLevel="2" x14ac:dyDescent="0.25">
      <c r="A219" s="390">
        <f ca="1">IF($H219="UNIDADE CONSTRUTIVA",OFFSET(A219,-1,0)+1,LARGE(A$3:A218,1))</f>
        <v>0</v>
      </c>
      <c r="B219" s="390">
        <f t="shared" ca="1" si="44"/>
        <v>15</v>
      </c>
      <c r="C219" s="390">
        <f t="shared" ca="1" si="45"/>
        <v>1</v>
      </c>
      <c r="D219" s="391">
        <f t="shared" ca="1" si="46"/>
        <v>1</v>
      </c>
      <c r="E219" s="391">
        <f t="shared" ca="1" si="47"/>
        <v>4</v>
      </c>
      <c r="G219" s="398"/>
      <c r="H219" s="399" t="s">
        <v>433</v>
      </c>
      <c r="I219" s="400" t="str">
        <f t="shared" ca="1" si="49"/>
        <v>15.001.001.004</v>
      </c>
      <c r="J219" s="401" t="s">
        <v>3517</v>
      </c>
      <c r="K219" s="402" t="s">
        <v>66</v>
      </c>
      <c r="L219" s="403">
        <f>'ARQ. RES'!$D$98</f>
        <v>4521.41</v>
      </c>
      <c r="M219" s="403">
        <v>34.716256666666673</v>
      </c>
      <c r="N219" s="404">
        <f t="shared" si="43"/>
        <v>156966.43005523336</v>
      </c>
      <c r="O219" s="405"/>
      <c r="P219" s="406" t="s">
        <v>3605</v>
      </c>
      <c r="Q219" s="993"/>
    </row>
    <row r="220" spans="1:17" s="125" customFormat="1" ht="13.9" customHeight="1" outlineLevel="2" x14ac:dyDescent="0.25">
      <c r="A220" s="390">
        <f ca="1">IF($H220="UNIDADE CONSTRUTIVA",OFFSET(A220,-1,0)+1,LARGE(A$3:A219,1))</f>
        <v>0</v>
      </c>
      <c r="B220" s="390">
        <f t="shared" ca="1" si="44"/>
        <v>15</v>
      </c>
      <c r="C220" s="390">
        <f t="shared" ca="1" si="45"/>
        <v>1</v>
      </c>
      <c r="D220" s="391">
        <f t="shared" ca="1" si="46"/>
        <v>1</v>
      </c>
      <c r="E220" s="391">
        <f t="shared" ca="1" si="47"/>
        <v>5</v>
      </c>
      <c r="G220" s="398"/>
      <c r="H220" s="399" t="s">
        <v>433</v>
      </c>
      <c r="I220" s="400" t="str">
        <f t="shared" ca="1" si="49"/>
        <v>15.001.001.005</v>
      </c>
      <c r="J220" s="401" t="s">
        <v>3518</v>
      </c>
      <c r="K220" s="402" t="s">
        <v>66</v>
      </c>
      <c r="L220" s="403">
        <f>$L$219</f>
        <v>4521.41</v>
      </c>
      <c r="M220" s="403">
        <v>26.585210000000004</v>
      </c>
      <c r="N220" s="404">
        <f t="shared" si="43"/>
        <v>120202.63434610001</v>
      </c>
      <c r="O220" s="405"/>
      <c r="P220" s="406" t="s">
        <v>3605</v>
      </c>
    </row>
    <row r="221" spans="1:17" s="125" customFormat="1" ht="13.9" customHeight="1" outlineLevel="2" x14ac:dyDescent="0.25">
      <c r="A221" s="390">
        <f ca="1">IF($H221="UNIDADE CONSTRUTIVA",OFFSET(A221,-1,0)+1,LARGE(A$3:A220,1))</f>
        <v>0</v>
      </c>
      <c r="B221" s="390">
        <f t="shared" ca="1" si="44"/>
        <v>15</v>
      </c>
      <c r="C221" s="390">
        <f t="shared" ca="1" si="45"/>
        <v>1</v>
      </c>
      <c r="D221" s="391">
        <f t="shared" ca="1" si="46"/>
        <v>1</v>
      </c>
      <c r="E221" s="391">
        <f t="shared" ca="1" si="47"/>
        <v>6</v>
      </c>
      <c r="G221" s="398"/>
      <c r="H221" s="399" t="s">
        <v>433</v>
      </c>
      <c r="I221" s="400" t="str">
        <f t="shared" ref="I221" ca="1" si="51">IF(H221="Unidade Construtiva",TEXT(A221,"00"),IF(H221="Célula Construtiva",TEXT(B221,"00"),IF(H221="Etapa",CONCATENATE(TEXT(B221,"00"),".",TEXT(C221,"000")),IF(H221="Subetapa",CONCATENATE(TEXT(B221,"00"),".",TEXT(C221,"000"),".",TEXT(D221,"000")),IF(H221="Serviço",CONCATENATE(TEXT(B221,"00"),".",TEXT(C221,"000"),".",TEXT(D221,"000"),".",TEXT(E221,"000")),"")))))</f>
        <v>15.001.001.006</v>
      </c>
      <c r="J221" s="401" t="s">
        <v>3525</v>
      </c>
      <c r="K221" s="402" t="s">
        <v>66</v>
      </c>
      <c r="L221" s="403">
        <f>'ARQ. RES'!D101</f>
        <v>2052.6</v>
      </c>
      <c r="M221" s="403">
        <v>3.1560233333333336</v>
      </c>
      <c r="N221" s="404">
        <f t="shared" si="43"/>
        <v>6478.0534940000007</v>
      </c>
      <c r="O221" s="405"/>
      <c r="P221" s="406" t="s">
        <v>3605</v>
      </c>
    </row>
    <row r="222" spans="1:17" s="125" customFormat="1" ht="13.9" customHeight="1" outlineLevel="1" x14ac:dyDescent="0.25">
      <c r="A222" s="390">
        <f ca="1">IF($H222="UNIDADE CONSTRUTIVA",OFFSET(A222,-1,0)+1,LARGE(A$3:A221,1))</f>
        <v>0</v>
      </c>
      <c r="B222" s="390">
        <f t="shared" ca="1" si="44"/>
        <v>15</v>
      </c>
      <c r="C222" s="390">
        <f t="shared" ca="1" si="45"/>
        <v>1</v>
      </c>
      <c r="D222" s="391">
        <f t="shared" ca="1" si="46"/>
        <v>2</v>
      </c>
      <c r="E222" s="391">
        <f t="shared" ca="1" si="47"/>
        <v>0</v>
      </c>
      <c r="G222" s="398"/>
      <c r="H222" s="399" t="s">
        <v>432</v>
      </c>
      <c r="I222" s="400" t="str">
        <f t="shared" ca="1" si="49"/>
        <v>15.001.002</v>
      </c>
      <c r="J222" s="401" t="s">
        <v>528</v>
      </c>
      <c r="K222" s="402"/>
      <c r="L222" s="403"/>
      <c r="M222" s="403"/>
      <c r="N222" s="404">
        <f t="shared" ca="1" si="43"/>
        <v>385.16108760000003</v>
      </c>
      <c r="O222" s="405"/>
      <c r="P222" s="406"/>
    </row>
    <row r="223" spans="1:17" s="125" customFormat="1" ht="13.9" customHeight="1" outlineLevel="2" x14ac:dyDescent="0.25">
      <c r="A223" s="390">
        <f ca="1">IF($H223="UNIDADE CONSTRUTIVA",OFFSET(A223,-1,0)+1,LARGE(A$3:A222,1))</f>
        <v>0</v>
      </c>
      <c r="B223" s="390">
        <f t="shared" ca="1" si="44"/>
        <v>15</v>
      </c>
      <c r="C223" s="390">
        <f t="shared" ca="1" si="45"/>
        <v>1</v>
      </c>
      <c r="D223" s="391">
        <f t="shared" ca="1" si="46"/>
        <v>2</v>
      </c>
      <c r="E223" s="391">
        <f t="shared" ca="1" si="47"/>
        <v>1</v>
      </c>
      <c r="G223" s="398"/>
      <c r="H223" s="399" t="s">
        <v>433</v>
      </c>
      <c r="I223" s="400" t="str">
        <f t="shared" ca="1" si="49"/>
        <v>15.001.002.001</v>
      </c>
      <c r="J223" s="411" t="s">
        <v>3532</v>
      </c>
      <c r="K223" s="402" t="s">
        <v>66</v>
      </c>
      <c r="L223" s="403">
        <f>'ARQ. RES'!D73</f>
        <v>18.940000000000001</v>
      </c>
      <c r="M223" s="403">
        <v>12.624093333333334</v>
      </c>
      <c r="N223" s="404">
        <f t="shared" si="43"/>
        <v>239.10032773333336</v>
      </c>
      <c r="O223" s="405"/>
      <c r="P223" s="406" t="s">
        <v>3605</v>
      </c>
    </row>
    <row r="224" spans="1:17" s="125" customFormat="1" ht="13.9" customHeight="1" outlineLevel="2" x14ac:dyDescent="0.25">
      <c r="A224" s="390">
        <f ca="1">IF($H224="UNIDADE CONSTRUTIVA",OFFSET(A224,-1,0)+1,LARGE(A$3:A223,1))</f>
        <v>0</v>
      </c>
      <c r="B224" s="390">
        <f t="shared" ca="1" si="44"/>
        <v>15</v>
      </c>
      <c r="C224" s="390">
        <f t="shared" ca="1" si="45"/>
        <v>1</v>
      </c>
      <c r="D224" s="391">
        <f t="shared" ca="1" si="46"/>
        <v>2</v>
      </c>
      <c r="E224" s="391">
        <f t="shared" ca="1" si="47"/>
        <v>2</v>
      </c>
      <c r="G224" s="398"/>
      <c r="H224" s="399" t="s">
        <v>433</v>
      </c>
      <c r="I224" s="400" t="str">
        <f t="shared" ca="1" si="49"/>
        <v>15.001.002.002</v>
      </c>
      <c r="J224" s="411" t="s">
        <v>3545</v>
      </c>
      <c r="K224" s="402" t="s">
        <v>66</v>
      </c>
      <c r="L224" s="403">
        <f>'ARQ. RES'!D86</f>
        <v>11.57</v>
      </c>
      <c r="M224" s="403">
        <v>12.624093333333334</v>
      </c>
      <c r="N224" s="404">
        <f t="shared" si="43"/>
        <v>146.06075986666667</v>
      </c>
      <c r="O224" s="405"/>
      <c r="P224" s="406" t="s">
        <v>3605</v>
      </c>
    </row>
    <row r="225" spans="1:16" s="125" customFormat="1" ht="13.9" customHeight="1" outlineLevel="1" x14ac:dyDescent="0.25">
      <c r="A225" s="390">
        <f ca="1">IF($H225="UNIDADE CONSTRUTIVA",OFFSET(A225,-1,0)+1,LARGE(A$3:A224,1))</f>
        <v>0</v>
      </c>
      <c r="B225" s="390">
        <f t="shared" ca="1" si="44"/>
        <v>15</v>
      </c>
      <c r="C225" s="390">
        <f t="shared" ca="1" si="45"/>
        <v>1</v>
      </c>
      <c r="D225" s="391">
        <f t="shared" ca="1" si="46"/>
        <v>3</v>
      </c>
      <c r="E225" s="391">
        <f t="shared" ca="1" si="47"/>
        <v>0</v>
      </c>
      <c r="G225" s="398"/>
      <c r="H225" s="399" t="s">
        <v>432</v>
      </c>
      <c r="I225" s="400" t="str">
        <f t="shared" ca="1" si="49"/>
        <v>15.001.003</v>
      </c>
      <c r="J225" s="401" t="s">
        <v>3531</v>
      </c>
      <c r="K225" s="402"/>
      <c r="L225" s="403"/>
      <c r="M225" s="403"/>
      <c r="N225" s="404">
        <f t="shared" ca="1" si="43"/>
        <v>447238.7625831</v>
      </c>
      <c r="O225" s="405"/>
      <c r="P225" s="406"/>
    </row>
    <row r="226" spans="1:16" s="125" customFormat="1" ht="13.9" customHeight="1" outlineLevel="2" x14ac:dyDescent="0.25">
      <c r="A226" s="390">
        <f ca="1">IF($H226="UNIDADE CONSTRUTIVA",OFFSET(A226,-1,0)+1,LARGE(A$3:A225,1))</f>
        <v>0</v>
      </c>
      <c r="B226" s="390">
        <f t="shared" ca="1" si="44"/>
        <v>15</v>
      </c>
      <c r="C226" s="390">
        <f t="shared" ca="1" si="45"/>
        <v>1</v>
      </c>
      <c r="D226" s="391">
        <f t="shared" ca="1" si="46"/>
        <v>3</v>
      </c>
      <c r="E226" s="391">
        <f t="shared" ca="1" si="47"/>
        <v>1</v>
      </c>
      <c r="G226" s="398"/>
      <c r="H226" s="399" t="s">
        <v>433</v>
      </c>
      <c r="I226" s="400" t="str">
        <f t="shared" ca="1" si="49"/>
        <v>15.001.003.001</v>
      </c>
      <c r="J226" s="401" t="s">
        <v>4163</v>
      </c>
      <c r="K226" s="402" t="s">
        <v>66</v>
      </c>
      <c r="L226" s="403">
        <f>'ARQ. RES'!D83+0.06</f>
        <v>39.050000000000004</v>
      </c>
      <c r="M226" s="403">
        <v>149.72399999999999</v>
      </c>
      <c r="N226" s="404">
        <f t="shared" si="43"/>
        <v>5846.7222000000002</v>
      </c>
      <c r="O226" s="405"/>
      <c r="P226" s="406" t="s">
        <v>3605</v>
      </c>
    </row>
    <row r="227" spans="1:16" s="125" customFormat="1" ht="13.9" customHeight="1" outlineLevel="2" x14ac:dyDescent="0.25">
      <c r="A227" s="390">
        <f ca="1">IF($H227="UNIDADE CONSTRUTIVA",OFFSET(A227,-1,0)+1,LARGE(A$3:A226,1))</f>
        <v>0</v>
      </c>
      <c r="B227" s="390">
        <f t="shared" ca="1" si="44"/>
        <v>15</v>
      </c>
      <c r="C227" s="390">
        <f t="shared" ca="1" si="45"/>
        <v>1</v>
      </c>
      <c r="D227" s="391">
        <f t="shared" ca="1" si="46"/>
        <v>3</v>
      </c>
      <c r="E227" s="391">
        <f t="shared" ca="1" si="47"/>
        <v>2</v>
      </c>
      <c r="G227" s="398"/>
      <c r="H227" s="399" t="s">
        <v>433</v>
      </c>
      <c r="I227" s="400" t="str">
        <f t="shared" ca="1" si="49"/>
        <v>15.001.003.002</v>
      </c>
      <c r="J227" s="411" t="s">
        <v>4205</v>
      </c>
      <c r="K227" s="402" t="s">
        <v>66</v>
      </c>
      <c r="L227" s="403">
        <f>SUM('ARQ. RES'!D76:D82,'ARQ. RES'!D84)</f>
        <v>5067.0599999999995</v>
      </c>
      <c r="M227" s="403">
        <v>83.68</v>
      </c>
      <c r="N227" s="404">
        <f t="shared" si="43"/>
        <v>424011.5808</v>
      </c>
      <c r="O227" s="405" t="s">
        <v>4206</v>
      </c>
      <c r="P227" s="406" t="s">
        <v>3605</v>
      </c>
    </row>
    <row r="228" spans="1:16" s="125" customFormat="1" ht="13.9" customHeight="1" outlineLevel="2" x14ac:dyDescent="0.25">
      <c r="A228" s="390">
        <f ca="1">IF($H228="UNIDADE CONSTRUTIVA",OFFSET(A228,-1,0)+1,LARGE(A$3:A227,1))</f>
        <v>0</v>
      </c>
      <c r="B228" s="390">
        <f t="shared" ca="1" si="44"/>
        <v>15</v>
      </c>
      <c r="C228" s="390">
        <f t="shared" ca="1" si="45"/>
        <v>1</v>
      </c>
      <c r="D228" s="391">
        <f t="shared" ca="1" si="46"/>
        <v>3</v>
      </c>
      <c r="E228" s="391">
        <f t="shared" ca="1" si="47"/>
        <v>3</v>
      </c>
      <c r="G228" s="398"/>
      <c r="H228" s="399" t="s">
        <v>433</v>
      </c>
      <c r="I228" s="400" t="str">
        <f t="shared" ref="I228" ca="1" si="52">IF(H228="Unidade Construtiva",TEXT(A228,"00"),IF(H228="Célula Construtiva",TEXT(B228,"00"),IF(H228="Etapa",CONCATENATE(TEXT(B228,"00"),".",TEXT(C228,"000")),IF(H228="Subetapa",CONCATENATE(TEXT(B228,"00"),".",TEXT(C228,"000"),".",TEXT(D228,"000")),IF(H228="Serviço",CONCATENATE(TEXT(B228,"00"),".",TEXT(C228,"000"),".",TEXT(D228,"000"),".",TEXT(E228,"000")),"")))))</f>
        <v>15.001.003.003</v>
      </c>
      <c r="J228" s="411" t="s">
        <v>4176</v>
      </c>
      <c r="K228" s="402" t="s">
        <v>66</v>
      </c>
      <c r="L228" s="403">
        <f>'ARQ. RES'!D75</f>
        <v>9.4</v>
      </c>
      <c r="M228" s="403">
        <v>58.176500000000011</v>
      </c>
      <c r="N228" s="404">
        <f t="shared" si="43"/>
        <v>546.85910000000013</v>
      </c>
      <c r="O228" s="405"/>
      <c r="P228" s="406" t="s">
        <v>3605</v>
      </c>
    </row>
    <row r="229" spans="1:16" s="125" customFormat="1" ht="13.9" customHeight="1" outlineLevel="2" x14ac:dyDescent="0.25">
      <c r="A229" s="390">
        <f ca="1">IF($H229="UNIDADE CONSTRUTIVA",OFFSET(A229,-1,0)+1,LARGE(A$3:A228,1))</f>
        <v>0</v>
      </c>
      <c r="B229" s="390">
        <f t="shared" ca="1" si="44"/>
        <v>15</v>
      </c>
      <c r="C229" s="390">
        <f t="shared" ca="1" si="45"/>
        <v>1</v>
      </c>
      <c r="D229" s="391">
        <f t="shared" ca="1" si="46"/>
        <v>3</v>
      </c>
      <c r="E229" s="391">
        <f t="shared" ca="1" si="47"/>
        <v>4</v>
      </c>
      <c r="G229" s="398"/>
      <c r="H229" s="399" t="s">
        <v>433</v>
      </c>
      <c r="I229" s="400" t="str">
        <f t="shared" ref="I229" ca="1" si="53">IF(H229="Unidade Construtiva",TEXT(A229,"00"),IF(H229="Célula Construtiva",TEXT(B229,"00"),IF(H229="Etapa",CONCATENATE(TEXT(B229,"00"),".",TEXT(C229,"000")),IF(H229="Subetapa",CONCATENATE(TEXT(B229,"00"),".",TEXT(C229,"000"),".",TEXT(D229,"000")),IF(H229="Serviço",CONCATENATE(TEXT(B229,"00"),".",TEXT(C229,"000"),".",TEXT(D229,"000"),".",TEXT(E229,"000")),"")))))</f>
        <v>15.001.003.004</v>
      </c>
      <c r="J229" s="411" t="s">
        <v>3562</v>
      </c>
      <c r="K229" s="402" t="s">
        <v>66</v>
      </c>
      <c r="L229" s="403">
        <f>'ARQ. RES'!$D$89</f>
        <v>31.04</v>
      </c>
      <c r="M229" s="403">
        <v>164.58500000000001</v>
      </c>
      <c r="N229" s="404">
        <f t="shared" si="43"/>
        <v>5108.7183999999997</v>
      </c>
      <c r="O229" s="405"/>
      <c r="P229" s="406" t="s">
        <v>3605</v>
      </c>
    </row>
    <row r="230" spans="1:16" s="125" customFormat="1" ht="13.9" customHeight="1" outlineLevel="2" x14ac:dyDescent="0.25">
      <c r="A230" s="390">
        <f ca="1">IF($H230="UNIDADE CONSTRUTIVA",OFFSET(A230,-1,0)+1,LARGE(A$3:A229,1))</f>
        <v>0</v>
      </c>
      <c r="B230" s="390">
        <f t="shared" ca="1" si="44"/>
        <v>15</v>
      </c>
      <c r="C230" s="390">
        <f t="shared" ca="1" si="45"/>
        <v>1</v>
      </c>
      <c r="D230" s="391">
        <f t="shared" ca="1" si="46"/>
        <v>3</v>
      </c>
      <c r="E230" s="391">
        <f t="shared" ca="1" si="47"/>
        <v>5</v>
      </c>
      <c r="G230" s="398"/>
      <c r="H230" s="399" t="s">
        <v>433</v>
      </c>
      <c r="I230" s="400" t="str">
        <f t="shared" ref="I230:I231" ca="1" si="54">IF(H230="Unidade Construtiva",TEXT(A230,"00"),IF(H230="Célula Construtiva",TEXT(B230,"00"),IF(H230="Etapa",CONCATENATE(TEXT(B230,"00"),".",TEXT(C230,"000")),IF(H230="Subetapa",CONCATENATE(TEXT(B230,"00"),".",TEXT(C230,"000"),".",TEXT(D230,"000")),IF(H230="Serviço",CONCATENATE(TEXT(B230,"00"),".",TEXT(C230,"000"),".",TEXT(D230,"000"),".",TEXT(E230,"000")),"")))))</f>
        <v>15.001.003.005</v>
      </c>
      <c r="J230" s="411" t="s">
        <v>3539</v>
      </c>
      <c r="K230" s="402" t="s">
        <v>66</v>
      </c>
      <c r="L230" s="403">
        <f>'ARQ. RES'!$D$88</f>
        <v>43.3</v>
      </c>
      <c r="M230" s="403">
        <v>101.998107</v>
      </c>
      <c r="N230" s="404">
        <f t="shared" si="43"/>
        <v>4416.5180331000001</v>
      </c>
      <c r="O230" s="405"/>
      <c r="P230" s="406" t="s">
        <v>3605</v>
      </c>
    </row>
    <row r="231" spans="1:16" s="125" customFormat="1" ht="13.9" customHeight="1" outlineLevel="2" x14ac:dyDescent="0.25">
      <c r="A231" s="390">
        <f ca="1">IF($H231="UNIDADE CONSTRUTIVA",OFFSET(A231,-1,0)+1,LARGE(A$3:A230,1))</f>
        <v>0</v>
      </c>
      <c r="B231" s="390">
        <f t="shared" ca="1" si="44"/>
        <v>15</v>
      </c>
      <c r="C231" s="390">
        <f t="shared" ca="1" si="45"/>
        <v>1</v>
      </c>
      <c r="D231" s="391">
        <f t="shared" ca="1" si="46"/>
        <v>3</v>
      </c>
      <c r="E231" s="391">
        <f t="shared" ca="1" si="47"/>
        <v>6</v>
      </c>
      <c r="G231" s="398"/>
      <c r="H231" s="399" t="s">
        <v>433</v>
      </c>
      <c r="I231" s="400" t="str">
        <f t="shared" ca="1" si="54"/>
        <v>15.001.003.006</v>
      </c>
      <c r="J231" s="411" t="s">
        <v>3543</v>
      </c>
      <c r="K231" s="402" t="s">
        <v>66</v>
      </c>
      <c r="L231" s="403">
        <f>'ARQ. RES'!$D$86</f>
        <v>11.57</v>
      </c>
      <c r="M231" s="403">
        <v>631.66499999999996</v>
      </c>
      <c r="N231" s="404">
        <f t="shared" si="43"/>
        <v>7308.3640500000001</v>
      </c>
      <c r="O231" s="405"/>
      <c r="P231" s="406" t="s">
        <v>3605</v>
      </c>
    </row>
    <row r="232" spans="1:16" s="125" customFormat="1" ht="13.9" customHeight="1" outlineLevel="1" x14ac:dyDescent="0.25">
      <c r="A232" s="390">
        <f ca="1">IF($H232="UNIDADE CONSTRUTIVA",OFFSET(A232,-1,0)+1,LARGE(A$3:A231,1))</f>
        <v>0</v>
      </c>
      <c r="B232" s="390">
        <f t="shared" ca="1" si="44"/>
        <v>15</v>
      </c>
      <c r="C232" s="390">
        <f t="shared" ca="1" si="45"/>
        <v>1</v>
      </c>
      <c r="D232" s="391">
        <f t="shared" ca="1" si="46"/>
        <v>4</v>
      </c>
      <c r="E232" s="391">
        <f t="shared" ca="1" si="47"/>
        <v>0</v>
      </c>
      <c r="G232" s="398"/>
      <c r="H232" s="399" t="s">
        <v>432</v>
      </c>
      <c r="I232" s="400" t="str">
        <f t="shared" ca="1" si="49"/>
        <v>15.001.004</v>
      </c>
      <c r="J232" s="401" t="s">
        <v>540</v>
      </c>
      <c r="K232" s="402"/>
      <c r="L232" s="403"/>
      <c r="M232" s="403"/>
      <c r="N232" s="404">
        <f t="shared" ca="1" si="43"/>
        <v>294396</v>
      </c>
      <c r="O232" s="405"/>
      <c r="P232" s="406"/>
    </row>
    <row r="233" spans="1:16" s="125" customFormat="1" ht="13.9" customHeight="1" outlineLevel="2" x14ac:dyDescent="0.25">
      <c r="A233" s="390">
        <f ca="1">IF($H233="UNIDADE CONSTRUTIVA",OFFSET(A233,-1,0)+1,LARGE(A$3:A232,1))</f>
        <v>0</v>
      </c>
      <c r="B233" s="390">
        <f t="shared" ca="1" si="44"/>
        <v>15</v>
      </c>
      <c r="C233" s="390">
        <f t="shared" ca="1" si="45"/>
        <v>1</v>
      </c>
      <c r="D233" s="391">
        <f t="shared" ca="1" si="46"/>
        <v>4</v>
      </c>
      <c r="E233" s="391">
        <f t="shared" ca="1" si="47"/>
        <v>1</v>
      </c>
      <c r="G233" s="398"/>
      <c r="H233" s="399" t="s">
        <v>433</v>
      </c>
      <c r="I233" s="400" t="str">
        <f t="shared" ca="1" si="49"/>
        <v>15.001.004.001</v>
      </c>
      <c r="J233" s="401" t="s">
        <v>3538</v>
      </c>
      <c r="K233" s="402" t="s">
        <v>66</v>
      </c>
      <c r="L233" s="403">
        <f>'ARQ. RES'!D92</f>
        <v>1962.64</v>
      </c>
      <c r="M233" s="403">
        <v>150</v>
      </c>
      <c r="N233" s="404">
        <f t="shared" si="43"/>
        <v>294396</v>
      </c>
      <c r="O233" s="405" t="s">
        <v>4207</v>
      </c>
      <c r="P233" s="406" t="s">
        <v>3605</v>
      </c>
    </row>
    <row r="234" spans="1:16" s="125" customFormat="1" ht="13.9" customHeight="1" outlineLevel="1" x14ac:dyDescent="0.25">
      <c r="A234" s="390">
        <f ca="1">IF($H234="UNIDADE CONSTRUTIVA",OFFSET(A234,-1,0)+1,LARGE(A$3:A233,1))</f>
        <v>0</v>
      </c>
      <c r="B234" s="390">
        <f t="shared" ca="1" si="44"/>
        <v>15</v>
      </c>
      <c r="C234" s="390">
        <f t="shared" ca="1" si="45"/>
        <v>1</v>
      </c>
      <c r="D234" s="391">
        <f t="shared" ca="1" si="46"/>
        <v>5</v>
      </c>
      <c r="E234" s="391">
        <f t="shared" ca="1" si="47"/>
        <v>0</v>
      </c>
      <c r="G234" s="398"/>
      <c r="H234" s="399" t="s">
        <v>432</v>
      </c>
      <c r="I234" s="400" t="str">
        <f t="shared" ca="1" si="49"/>
        <v>15.001.005</v>
      </c>
      <c r="J234" s="401" t="s">
        <v>530</v>
      </c>
      <c r="K234" s="402"/>
      <c r="L234" s="403"/>
      <c r="M234" s="403"/>
      <c r="N234" s="404">
        <f t="shared" ca="1" si="43"/>
        <v>135045.72878076998</v>
      </c>
      <c r="O234" s="405"/>
      <c r="P234" s="406"/>
    </row>
    <row r="235" spans="1:16" s="125" customFormat="1" ht="13.9" customHeight="1" outlineLevel="2" x14ac:dyDescent="0.25">
      <c r="A235" s="390">
        <f ca="1">IF($H235="UNIDADE CONSTRUTIVA",OFFSET(A235,-1,0)+1,LARGE(A$3:A234,1))</f>
        <v>0</v>
      </c>
      <c r="B235" s="390">
        <f t="shared" ca="1" si="44"/>
        <v>15</v>
      </c>
      <c r="C235" s="390">
        <f t="shared" ca="1" si="45"/>
        <v>1</v>
      </c>
      <c r="D235" s="391">
        <f t="shared" ca="1" si="46"/>
        <v>5</v>
      </c>
      <c r="E235" s="391">
        <f t="shared" ca="1" si="47"/>
        <v>1</v>
      </c>
      <c r="G235" s="398"/>
      <c r="H235" s="399" t="s">
        <v>433</v>
      </c>
      <c r="I235" s="400" t="str">
        <f t="shared" ca="1" si="49"/>
        <v>15.001.005.001</v>
      </c>
      <c r="J235" s="401" t="s">
        <v>3534</v>
      </c>
      <c r="K235" s="402" t="s">
        <v>54</v>
      </c>
      <c r="L235" s="403">
        <f>'ARQ. RES'!D103+0.07</f>
        <v>4530.91</v>
      </c>
      <c r="M235" s="403">
        <v>19.752188999999998</v>
      </c>
      <c r="N235" s="404">
        <f t="shared" si="43"/>
        <v>89495.390661989994</v>
      </c>
      <c r="O235" s="405"/>
      <c r="P235" s="406" t="s">
        <v>3605</v>
      </c>
    </row>
    <row r="236" spans="1:16" s="125" customFormat="1" ht="13.9" customHeight="1" outlineLevel="2" x14ac:dyDescent="0.25">
      <c r="A236" s="390">
        <f ca="1">IF($H236="UNIDADE CONSTRUTIVA",OFFSET(A236,-1,0)+1,LARGE(A$3:A235,1))</f>
        <v>0</v>
      </c>
      <c r="B236" s="390">
        <f t="shared" ca="1" si="44"/>
        <v>15</v>
      </c>
      <c r="C236" s="390">
        <f t="shared" ca="1" si="45"/>
        <v>1</v>
      </c>
      <c r="D236" s="391">
        <f t="shared" ca="1" si="46"/>
        <v>5</v>
      </c>
      <c r="E236" s="391">
        <f t="shared" ca="1" si="47"/>
        <v>2</v>
      </c>
      <c r="G236" s="398"/>
      <c r="H236" s="399" t="s">
        <v>433</v>
      </c>
      <c r="I236" s="400" t="str">
        <f ca="1">IF(H236="Unidade Construtiva",TEXT(A236,"00"),IF(H236="Célula Construtiva",TEXT(B236,"00"),IF(H236="Etapa",CONCATENATE(TEXT(B236,"00"),".",TEXT(C236,"000")),IF(H236="Subetapa",CONCATENATE(TEXT(B236,"00"),".",TEXT(C236,"000"),".",TEXT(D236,"000")),IF(H236="Serviço",CONCATENATE(TEXT(B236,"00"),".",TEXT(C236,"000"),".",TEXT(D236,"000"),".",TEXT(E236,"000")),"")))))</f>
        <v>15.001.005.002</v>
      </c>
      <c r="J236" s="401" t="s">
        <v>3535</v>
      </c>
      <c r="K236" s="402" t="s">
        <v>54</v>
      </c>
      <c r="L236" s="403">
        <f>'ARQ. RES'!D104</f>
        <v>18.07</v>
      </c>
      <c r="M236" s="403">
        <v>31.583250000000003</v>
      </c>
      <c r="N236" s="404">
        <f t="shared" si="43"/>
        <v>570.70932750000009</v>
      </c>
      <c r="O236" s="405"/>
      <c r="P236" s="406" t="s">
        <v>3605</v>
      </c>
    </row>
    <row r="237" spans="1:16" s="125" customFormat="1" ht="13.9" customHeight="1" outlineLevel="2" x14ac:dyDescent="0.25">
      <c r="A237" s="390">
        <f ca="1">IF($H237="UNIDADE CONSTRUTIVA",OFFSET(A237,-1,0)+1,LARGE(A$3:A236,1))</f>
        <v>0</v>
      </c>
      <c r="B237" s="390">
        <f t="shared" ca="1" si="44"/>
        <v>15</v>
      </c>
      <c r="C237" s="390">
        <f t="shared" ca="1" si="45"/>
        <v>1</v>
      </c>
      <c r="D237" s="391">
        <f t="shared" ca="1" si="46"/>
        <v>5</v>
      </c>
      <c r="E237" s="391">
        <f t="shared" ca="1" si="47"/>
        <v>3</v>
      </c>
      <c r="G237" s="398"/>
      <c r="H237" s="399" t="s">
        <v>433</v>
      </c>
      <c r="I237" s="400" t="str">
        <f ca="1">IF(H237="Unidade Construtiva",TEXT(A237,"00"),IF(H237="Célula Construtiva",TEXT(B237,"00"),IF(H237="Etapa",CONCATENATE(TEXT(B237,"00"),".",TEXT(C237,"000")),IF(H237="Subetapa",CONCATENATE(TEXT(B237,"00"),".",TEXT(C237,"000"),".",TEXT(D237,"000")),IF(H237="Serviço",CONCATENATE(TEXT(B237,"00"),".",TEXT(C237,"000"),".",TEXT(D237,"000"),".",TEXT(E237,"000")),"")))))</f>
        <v>15.001.005.003</v>
      </c>
      <c r="J237" s="401" t="s">
        <v>531</v>
      </c>
      <c r="K237" s="402" t="s">
        <v>54</v>
      </c>
      <c r="L237" s="403">
        <f>'ARQ. RES'!D105</f>
        <v>634.63</v>
      </c>
      <c r="M237" s="403">
        <v>33.872200000000007</v>
      </c>
      <c r="N237" s="404">
        <f t="shared" si="43"/>
        <v>21496.314286000004</v>
      </c>
      <c r="O237" s="405"/>
      <c r="P237" s="406" t="s">
        <v>3605</v>
      </c>
    </row>
    <row r="238" spans="1:16" s="125" customFormat="1" ht="13.9" customHeight="1" outlineLevel="2" x14ac:dyDescent="0.25">
      <c r="A238" s="390">
        <f ca="1">IF($H238="UNIDADE CONSTRUTIVA",OFFSET(A238,-1,0)+1,LARGE(A$3:A237,1))</f>
        <v>0</v>
      </c>
      <c r="B238" s="390">
        <f t="shared" ca="1" si="44"/>
        <v>15</v>
      </c>
      <c r="C238" s="390">
        <f t="shared" ca="1" si="45"/>
        <v>1</v>
      </c>
      <c r="D238" s="391">
        <f t="shared" ca="1" si="46"/>
        <v>5</v>
      </c>
      <c r="E238" s="391">
        <f t="shared" ca="1" si="47"/>
        <v>4</v>
      </c>
      <c r="G238" s="398"/>
      <c r="H238" s="399" t="s">
        <v>433</v>
      </c>
      <c r="I238" s="400" t="str">
        <f ca="1">IF(H238="Unidade Construtiva",TEXT(A238,"00"),IF(H238="Célula Construtiva",TEXT(B238,"00"),IF(H238="Etapa",CONCATENATE(TEXT(B238,"00"),".",TEXT(C238,"000")),IF(H238="Subetapa",CONCATENATE(TEXT(B238,"00"),".",TEXT(C238,"000"),".",TEXT(D238,"000")),IF(H238="Serviço",CONCATENATE(TEXT(B238,"00"),".",TEXT(C238,"000"),".",TEXT(D238,"000"),".",TEXT(E238,"000")),"")))))</f>
        <v>15.001.005.004</v>
      </c>
      <c r="J238" s="401" t="s">
        <v>3537</v>
      </c>
      <c r="K238" s="402" t="s">
        <v>54</v>
      </c>
      <c r="L238" s="403">
        <f>'ARQ. RES'!D106</f>
        <v>734.39</v>
      </c>
      <c r="M238" s="403">
        <v>27.926352000000001</v>
      </c>
      <c r="N238" s="404">
        <f t="shared" si="43"/>
        <v>20508.833645279999</v>
      </c>
      <c r="O238" s="405"/>
      <c r="P238" s="406" t="s">
        <v>3605</v>
      </c>
    </row>
    <row r="239" spans="1:16" s="125" customFormat="1" ht="13.9" customHeight="1" outlineLevel="2" x14ac:dyDescent="0.25">
      <c r="A239" s="390">
        <f ca="1">IF($H239="UNIDADE CONSTRUTIVA",OFFSET(A239,-1,0)+1,LARGE(A$3:A238,1))</f>
        <v>0</v>
      </c>
      <c r="B239" s="390">
        <f t="shared" ca="1" si="44"/>
        <v>15</v>
      </c>
      <c r="C239" s="390">
        <f t="shared" ca="1" si="45"/>
        <v>1</v>
      </c>
      <c r="D239" s="391">
        <f t="shared" ca="1" si="46"/>
        <v>5</v>
      </c>
      <c r="E239" s="391">
        <f t="shared" ca="1" si="47"/>
        <v>5</v>
      </c>
      <c r="G239" s="398"/>
      <c r="H239" s="399" t="s">
        <v>433</v>
      </c>
      <c r="I239" s="400" t="str">
        <f ca="1">IF(H239="Unidade Construtiva",TEXT(A239,"00"),IF(H239="Célula Construtiva",TEXT(B239,"00"),IF(H239="Etapa",CONCATENATE(TEXT(B239,"00"),".",TEXT(C239,"000")),IF(H239="Subetapa",CONCATENATE(TEXT(B239,"00"),".",TEXT(C239,"000"),".",TEXT(D239,"000")),IF(H239="Serviço",CONCATENATE(TEXT(B239,"00"),".",TEXT(C239,"000"),".",TEXT(D239,"000"),".",TEXT(E239,"000")),"")))))</f>
        <v>15.001.005.005</v>
      </c>
      <c r="J239" s="401" t="s">
        <v>532</v>
      </c>
      <c r="K239" s="402" t="s">
        <v>54</v>
      </c>
      <c r="L239" s="403">
        <f>'ARQ. RES'!D107</f>
        <v>250.92</v>
      </c>
      <c r="M239" s="403">
        <v>10.348000000000001</v>
      </c>
      <c r="N239" s="404">
        <f t="shared" si="43"/>
        <v>2596.52016</v>
      </c>
      <c r="O239" s="405"/>
      <c r="P239" s="406" t="s">
        <v>3605</v>
      </c>
    </row>
    <row r="240" spans="1:16" s="125" customFormat="1" ht="13.9" customHeight="1" outlineLevel="2" x14ac:dyDescent="0.25">
      <c r="A240" s="390">
        <f ca="1">IF($H240="UNIDADE CONSTRUTIVA",OFFSET(A240,-1,0)+1,LARGE(A$3:A239,1))</f>
        <v>0</v>
      </c>
      <c r="B240" s="390">
        <f t="shared" ca="1" si="44"/>
        <v>15</v>
      </c>
      <c r="C240" s="390">
        <f t="shared" ca="1" si="45"/>
        <v>1</v>
      </c>
      <c r="D240" s="391">
        <f t="shared" ca="1" si="46"/>
        <v>5</v>
      </c>
      <c r="E240" s="391">
        <f t="shared" ca="1" si="47"/>
        <v>6</v>
      </c>
      <c r="G240" s="398"/>
      <c r="H240" s="399" t="s">
        <v>433</v>
      </c>
      <c r="I240" s="400" t="str">
        <f ca="1">IF(H240="Unidade Construtiva",TEXT(A240,"00"),IF(H240="Célula Construtiva",TEXT(B240,"00"),IF(H240="Etapa",CONCATENATE(TEXT(B240,"00"),".",TEXT(C240,"000")),IF(H240="Subetapa",CONCATENATE(TEXT(B240,"00"),".",TEXT(C240,"000"),".",TEXT(D240,"000")),IF(H240="Serviço",CONCATENATE(TEXT(B240,"00"),".",TEXT(C240,"000"),".",TEXT(D240,"000"),".",TEXT(E240,"000")),"")))))</f>
        <v>15.001.005.006</v>
      </c>
      <c r="J240" s="401" t="s">
        <v>3536</v>
      </c>
      <c r="K240" s="402" t="s">
        <v>54</v>
      </c>
      <c r="L240" s="403">
        <f>'ARQ. RES'!D108</f>
        <v>24.35</v>
      </c>
      <c r="M240" s="403">
        <v>15.521999999999998</v>
      </c>
      <c r="N240" s="404">
        <f t="shared" si="43"/>
        <v>377.96069999999997</v>
      </c>
      <c r="O240" s="405"/>
      <c r="P240" s="406" t="s">
        <v>3605</v>
      </c>
    </row>
    <row r="241" spans="1:17" s="125" customFormat="1" ht="13.9" customHeight="1" outlineLevel="1" x14ac:dyDescent="0.25">
      <c r="A241" s="390">
        <f ca="1">IF($H241="UNIDADE CONSTRUTIVA",OFFSET(A241,-1,0)+1,LARGE(A$3:A240,1))</f>
        <v>0</v>
      </c>
      <c r="B241" s="390">
        <f t="shared" ca="1" si="44"/>
        <v>15</v>
      </c>
      <c r="C241" s="390">
        <f t="shared" ca="1" si="45"/>
        <v>1</v>
      </c>
      <c r="D241" s="391">
        <f t="shared" ca="1" si="46"/>
        <v>6</v>
      </c>
      <c r="E241" s="391">
        <f t="shared" ca="1" si="47"/>
        <v>0</v>
      </c>
      <c r="G241" s="398"/>
      <c r="H241" s="399" t="s">
        <v>432</v>
      </c>
      <c r="I241" s="400" t="str">
        <f t="shared" ca="1" si="49"/>
        <v>15.001.006</v>
      </c>
      <c r="J241" s="401" t="s">
        <v>533</v>
      </c>
      <c r="K241" s="402"/>
      <c r="L241" s="403"/>
      <c r="M241" s="403"/>
      <c r="N241" s="404">
        <f t="shared" ca="1" si="43"/>
        <v>4285.3458559999999</v>
      </c>
      <c r="O241" s="405"/>
      <c r="P241" s="406"/>
    </row>
    <row r="242" spans="1:17" s="125" customFormat="1" ht="13.9" customHeight="1" outlineLevel="2" x14ac:dyDescent="0.25">
      <c r="A242" s="390">
        <f ca="1">IF($H242="UNIDADE CONSTRUTIVA",OFFSET(A242,-1,0)+1,LARGE(A$3:A241,1))</f>
        <v>0</v>
      </c>
      <c r="B242" s="390">
        <f t="shared" ca="1" si="44"/>
        <v>15</v>
      </c>
      <c r="C242" s="390">
        <f t="shared" ca="1" si="45"/>
        <v>1</v>
      </c>
      <c r="D242" s="391">
        <f t="shared" ca="1" si="46"/>
        <v>6</v>
      </c>
      <c r="E242" s="391">
        <f t="shared" ca="1" si="47"/>
        <v>1</v>
      </c>
      <c r="G242" s="398"/>
      <c r="H242" s="399" t="s">
        <v>433</v>
      </c>
      <c r="I242" s="400" t="str">
        <f t="shared" ca="1" si="49"/>
        <v>15.001.006.001</v>
      </c>
      <c r="J242" s="401" t="s">
        <v>534</v>
      </c>
      <c r="K242" s="402" t="s">
        <v>54</v>
      </c>
      <c r="L242" s="403">
        <f>'ARQ. RES'!$D$110+0.07</f>
        <v>16.88</v>
      </c>
      <c r="M242" s="403">
        <v>253.87119999999999</v>
      </c>
      <c r="N242" s="404">
        <f t="shared" si="43"/>
        <v>4285.3458559999999</v>
      </c>
      <c r="O242" s="405"/>
      <c r="P242" s="406" t="s">
        <v>3605</v>
      </c>
    </row>
    <row r="243" spans="1:17" s="125" customFormat="1" ht="13.9" customHeight="1" outlineLevel="1" x14ac:dyDescent="0.25">
      <c r="A243" s="390">
        <f ca="1">IF($H243="UNIDADE CONSTRUTIVA",OFFSET(A243,-1,0)+1,LARGE(A$3:A242,1))</f>
        <v>0</v>
      </c>
      <c r="B243" s="390">
        <f t="shared" ca="1" si="44"/>
        <v>15</v>
      </c>
      <c r="C243" s="390">
        <f t="shared" ca="1" si="45"/>
        <v>1</v>
      </c>
      <c r="D243" s="391">
        <f t="shared" ca="1" si="46"/>
        <v>7</v>
      </c>
      <c r="E243" s="391">
        <f t="shared" ca="1" si="47"/>
        <v>0</v>
      </c>
      <c r="G243" s="398"/>
      <c r="H243" s="399" t="s">
        <v>432</v>
      </c>
      <c r="I243" s="400" t="str">
        <f t="shared" ca="1" si="49"/>
        <v>15.001.007</v>
      </c>
      <c r="J243" s="401" t="s">
        <v>535</v>
      </c>
      <c r="K243" s="402"/>
      <c r="L243" s="403"/>
      <c r="M243" s="403"/>
      <c r="N243" s="404">
        <f t="shared" ca="1" si="43"/>
        <v>1518286.844994823</v>
      </c>
      <c r="O243" s="405"/>
      <c r="P243" s="406"/>
    </row>
    <row r="244" spans="1:17" s="125" customFormat="1" ht="13.9" customHeight="1" outlineLevel="2" x14ac:dyDescent="0.25">
      <c r="A244" s="390">
        <f ca="1">IF($H244="UNIDADE CONSTRUTIVA",OFFSET(A244,-1,0)+1,LARGE(A$3:A243,1))</f>
        <v>0</v>
      </c>
      <c r="B244" s="390">
        <f t="shared" ca="1" si="44"/>
        <v>15</v>
      </c>
      <c r="C244" s="390">
        <f t="shared" ca="1" si="45"/>
        <v>1</v>
      </c>
      <c r="D244" s="391">
        <f t="shared" ca="1" si="46"/>
        <v>7</v>
      </c>
      <c r="E244" s="391">
        <f t="shared" ca="1" si="47"/>
        <v>1</v>
      </c>
      <c r="G244" s="398"/>
      <c r="H244" s="399" t="s">
        <v>433</v>
      </c>
      <c r="I244" s="400" t="str">
        <f ca="1">IF(H244="Unidade Construtiva",TEXT(A244,"00"),IF(H244="Célula Construtiva",TEXT(B244,"00"),IF(H244="Etapa",CONCATENATE(TEXT(B244,"00"),".",TEXT(C244,"000")),IF(H244="Subetapa",CONCATENATE(TEXT(B244,"00"),".",TEXT(C244,"000"),".",TEXT(D244,"000")),IF(H244="Serviço",CONCATENATE(TEXT(B244,"00"),".",TEXT(C244,"000"),".",TEXT(D244,"000"),".",TEXT(E244,"000")),"")))))</f>
        <v>15.001.007.001</v>
      </c>
      <c r="J244" s="401" t="s">
        <v>3519</v>
      </c>
      <c r="K244" s="402" t="s">
        <v>66</v>
      </c>
      <c r="L244" s="403">
        <f>SUM(L216:L219)</f>
        <v>8345.74</v>
      </c>
      <c r="M244" s="403">
        <f>'Custos Serviços'!G69</f>
        <v>57.173544637694789</v>
      </c>
      <c r="N244" s="404">
        <f t="shared" si="43"/>
        <v>477155.53842459491</v>
      </c>
      <c r="O244" s="998" t="s">
        <v>4192</v>
      </c>
      <c r="P244" s="406" t="s">
        <v>3605</v>
      </c>
    </row>
    <row r="245" spans="1:17" s="125" customFormat="1" ht="13.9" customHeight="1" outlineLevel="2" x14ac:dyDescent="0.25">
      <c r="A245" s="390">
        <f ca="1">IF($H245="UNIDADE CONSTRUTIVA",OFFSET(A245,-1,0)+1,LARGE(A$3:A244,1))</f>
        <v>0</v>
      </c>
      <c r="B245" s="390">
        <f t="shared" ca="1" si="44"/>
        <v>15</v>
      </c>
      <c r="C245" s="390">
        <f t="shared" ca="1" si="45"/>
        <v>1</v>
      </c>
      <c r="D245" s="391">
        <f t="shared" ca="1" si="46"/>
        <v>7</v>
      </c>
      <c r="E245" s="391">
        <f t="shared" ca="1" si="47"/>
        <v>2</v>
      </c>
      <c r="G245" s="398"/>
      <c r="H245" s="399" t="s">
        <v>433</v>
      </c>
      <c r="I245" s="400" t="str">
        <f ca="1">IF(H245="Unidade Construtiva",TEXT(A245,"00"),IF(H245="Célula Construtiva",TEXT(B245,"00"),IF(H245="Etapa",CONCATENATE(TEXT(B245,"00"),".",TEXT(C245,"000")),IF(H245="Subetapa",CONCATENATE(TEXT(B245,"00"),".",TEXT(C245,"000"),".",TEXT(D245,"000")),IF(H245="Serviço",CONCATENATE(TEXT(B245,"00"),".",TEXT(C245,"000"),".",TEXT(D245,"000"),".",TEXT(E245,"000")),"")))))</f>
        <v>15.001.007.002</v>
      </c>
      <c r="J245" s="401" t="s">
        <v>3530</v>
      </c>
      <c r="K245" s="402" t="s">
        <v>66</v>
      </c>
      <c r="L245" s="403">
        <f>L221</f>
        <v>2052.6</v>
      </c>
      <c r="M245" s="403">
        <f>'Custos Serviços'!G70</f>
        <v>57.173544637694789</v>
      </c>
      <c r="N245" s="404">
        <f t="shared" si="43"/>
        <v>117354.41772333231</v>
      </c>
      <c r="O245" s="998" t="s">
        <v>4192</v>
      </c>
      <c r="P245" s="406" t="s">
        <v>3605</v>
      </c>
    </row>
    <row r="246" spans="1:17" s="125" customFormat="1" ht="13.9" customHeight="1" outlineLevel="2" x14ac:dyDescent="0.25">
      <c r="A246" s="390">
        <f ca="1">IF($H246="UNIDADE CONSTRUTIVA",OFFSET(A246,-1,0)+1,LARGE(A$3:A245,1))</f>
        <v>0</v>
      </c>
      <c r="B246" s="390">
        <f t="shared" ca="1" si="44"/>
        <v>15</v>
      </c>
      <c r="C246" s="390">
        <f t="shared" ca="1" si="45"/>
        <v>1</v>
      </c>
      <c r="D246" s="391">
        <f t="shared" ca="1" si="46"/>
        <v>7</v>
      </c>
      <c r="E246" s="391">
        <f t="shared" ca="1" si="47"/>
        <v>3</v>
      </c>
      <c r="G246" s="398"/>
      <c r="H246" s="399" t="s">
        <v>433</v>
      </c>
      <c r="I246" s="400" t="str">
        <f t="shared" ref="I246:I247" ca="1" si="55">IF(H246="Unidade Construtiva",TEXT(A246,"00"),IF(H246="Célula Construtiva",TEXT(B246,"00"),IF(H246="Etapa",CONCATENATE(TEXT(B246,"00"),".",TEXT(C246,"000")),IF(H246="Subetapa",CONCATENATE(TEXT(B246,"00"),".",TEXT(C246,"000"),".",TEXT(D246,"000")),IF(H246="Serviço",CONCATENATE(TEXT(B246,"00"),".",TEXT(C246,"000"),".",TEXT(D246,"000"),".",TEXT(E246,"000")),"")))))</f>
        <v>15.001.007.003</v>
      </c>
      <c r="J246" s="401" t="s">
        <v>3546</v>
      </c>
      <c r="K246" s="402" t="s">
        <v>66</v>
      </c>
      <c r="L246" s="403">
        <f>L223</f>
        <v>18.940000000000001</v>
      </c>
      <c r="M246" s="403">
        <f>'Custos Serviços'!G71</f>
        <v>57.173544637694789</v>
      </c>
      <c r="N246" s="404">
        <f t="shared" si="43"/>
        <v>1082.8669354379394</v>
      </c>
      <c r="O246" s="998" t="s">
        <v>4192</v>
      </c>
      <c r="P246" s="406" t="s">
        <v>3605</v>
      </c>
    </row>
    <row r="247" spans="1:17" s="125" customFormat="1" ht="13.9" customHeight="1" outlineLevel="2" x14ac:dyDescent="0.25">
      <c r="A247" s="390">
        <f ca="1">IF($H247="UNIDADE CONSTRUTIVA",OFFSET(A247,-1,0)+1,LARGE(A$3:A246,1))</f>
        <v>0</v>
      </c>
      <c r="B247" s="390">
        <f t="shared" ca="1" si="44"/>
        <v>15</v>
      </c>
      <c r="C247" s="390">
        <f t="shared" ca="1" si="45"/>
        <v>1</v>
      </c>
      <c r="D247" s="391">
        <f t="shared" ca="1" si="46"/>
        <v>7</v>
      </c>
      <c r="E247" s="391">
        <f t="shared" ca="1" si="47"/>
        <v>4</v>
      </c>
      <c r="G247" s="398"/>
      <c r="H247" s="399" t="s">
        <v>433</v>
      </c>
      <c r="I247" s="400" t="str">
        <f t="shared" ca="1" si="55"/>
        <v>15.001.007.004</v>
      </c>
      <c r="J247" s="401" t="s">
        <v>3547</v>
      </c>
      <c r="K247" s="402" t="s">
        <v>66</v>
      </c>
      <c r="L247" s="403">
        <f>L224</f>
        <v>11.57</v>
      </c>
      <c r="M247" s="403">
        <f>'Custos Serviços'!G72</f>
        <v>57.173544637694789</v>
      </c>
      <c r="N247" s="404">
        <f t="shared" si="43"/>
        <v>661.49791145812878</v>
      </c>
      <c r="O247" s="998" t="s">
        <v>4192</v>
      </c>
      <c r="P247" s="406" t="s">
        <v>3605</v>
      </c>
    </row>
    <row r="248" spans="1:17" s="125" customFormat="1" ht="13.9" customHeight="1" outlineLevel="2" x14ac:dyDescent="0.25">
      <c r="A248" s="390">
        <f ca="1">IF($H248="UNIDADE CONSTRUTIVA",OFFSET(A248,-1,0)+1,LARGE(A$3:A247,1))</f>
        <v>0</v>
      </c>
      <c r="B248" s="390">
        <f t="shared" ca="1" si="44"/>
        <v>15</v>
      </c>
      <c r="C248" s="390">
        <f t="shared" ca="1" si="45"/>
        <v>1</v>
      </c>
      <c r="D248" s="391">
        <f t="shared" ca="1" si="46"/>
        <v>7</v>
      </c>
      <c r="E248" s="391">
        <f t="shared" ca="1" si="47"/>
        <v>5</v>
      </c>
      <c r="G248" s="398"/>
      <c r="H248" s="399" t="s">
        <v>433</v>
      </c>
      <c r="I248" s="400" t="str">
        <f t="shared" ref="I248" ca="1" si="56">IF(H248="Unidade Construtiva",TEXT(A248,"00"),IF(H248="Célula Construtiva",TEXT(B248,"00"),IF(H248="Etapa",CONCATENATE(TEXT(B248,"00"),".",TEXT(C248,"000")),IF(H248="Subetapa",CONCATENATE(TEXT(B248,"00"),".",TEXT(C248,"000"),".",TEXT(D248,"000")),IF(H248="Serviço",CONCATENATE(TEXT(B248,"00"),".",TEXT(C248,"000"),".",TEXT(D248,"000"),".",TEXT(E248,"000")),"")))))</f>
        <v>15.001.007.005</v>
      </c>
      <c r="J248" s="401" t="s">
        <v>536</v>
      </c>
      <c r="K248" s="402" t="s">
        <v>66</v>
      </c>
      <c r="L248" s="403">
        <f>L226+L227+L228</f>
        <v>5115.5099999999993</v>
      </c>
      <c r="M248" s="403">
        <f>'Custos Serviços'!G118</f>
        <v>153.62134265972873</v>
      </c>
      <c r="N248" s="404">
        <f t="shared" si="43"/>
        <v>785851.51458926883</v>
      </c>
      <c r="O248" s="998" t="s">
        <v>4192</v>
      </c>
      <c r="P248" s="406" t="s">
        <v>3605</v>
      </c>
    </row>
    <row r="249" spans="1:17" s="125" customFormat="1" ht="13.9" customHeight="1" outlineLevel="2" x14ac:dyDescent="0.25">
      <c r="A249" s="390">
        <f ca="1">IF($H249="UNIDADE CONSTRUTIVA",OFFSET(A249,-1,0)+1,LARGE(A$3:A248,1))</f>
        <v>0</v>
      </c>
      <c r="B249" s="390">
        <f t="shared" ca="1" si="44"/>
        <v>15</v>
      </c>
      <c r="C249" s="390">
        <f t="shared" ca="1" si="45"/>
        <v>1</v>
      </c>
      <c r="D249" s="391">
        <f t="shared" ca="1" si="46"/>
        <v>7</v>
      </c>
      <c r="E249" s="391">
        <f t="shared" ca="1" si="47"/>
        <v>6</v>
      </c>
      <c r="G249" s="398"/>
      <c r="H249" s="399" t="s">
        <v>433</v>
      </c>
      <c r="I249" s="400" t="str">
        <f t="shared" ref="I249:I274" ca="1" si="57">IF(H249="Unidade Construtiva",TEXT(A249,"00"),IF(H249="Célula Construtiva",TEXT(B249,"00"),IF(H249="Etapa",CONCATENATE(TEXT(B249,"00"),".",TEXT(C249,"000")),IF(H249="Subetapa",CONCATENATE(TEXT(B249,"00"),".",TEXT(C249,"000"),".",TEXT(D249,"000")),IF(H249="Serviço",CONCATENATE(TEXT(B249,"00"),".",TEXT(C249,"000"),".",TEXT(D249,"000"),".",TEXT(E249,"000")),"")))))</f>
        <v>15.001.007.006</v>
      </c>
      <c r="J249" s="401" t="s">
        <v>3533</v>
      </c>
      <c r="K249" s="402" t="s">
        <v>66</v>
      </c>
      <c r="L249" s="403">
        <f>L229</f>
        <v>31.04</v>
      </c>
      <c r="M249" s="403">
        <f>'Custos Serviços'!G119</f>
        <v>153.62134265972873</v>
      </c>
      <c r="N249" s="404">
        <f t="shared" si="43"/>
        <v>4768.4064761579793</v>
      </c>
      <c r="O249" s="998" t="s">
        <v>4192</v>
      </c>
      <c r="P249" s="406" t="s">
        <v>3605</v>
      </c>
    </row>
    <row r="250" spans="1:17" s="125" customFormat="1" ht="13.9" customHeight="1" outlineLevel="2" x14ac:dyDescent="0.25">
      <c r="A250" s="390">
        <f ca="1">IF($H250="UNIDADE CONSTRUTIVA",OFFSET(A250,-1,0)+1,LARGE(A$3:A249,1))</f>
        <v>0</v>
      </c>
      <c r="B250" s="390">
        <f t="shared" ca="1" si="44"/>
        <v>15</v>
      </c>
      <c r="C250" s="390">
        <f t="shared" ca="1" si="45"/>
        <v>1</v>
      </c>
      <c r="D250" s="391">
        <f t="shared" ca="1" si="46"/>
        <v>7</v>
      </c>
      <c r="E250" s="391">
        <f t="shared" ca="1" si="47"/>
        <v>7</v>
      </c>
      <c r="G250" s="398"/>
      <c r="H250" s="399" t="s">
        <v>433</v>
      </c>
      <c r="I250" s="400" t="str">
        <f ca="1">IF(H250="Unidade Construtiva",TEXT(A250,"00"),IF(H250="Célula Construtiva",TEXT(B250,"00"),IF(H250="Etapa",CONCATENATE(TEXT(B250,"00"),".",TEXT(C250,"000")),IF(H250="Subetapa",CONCATENATE(TEXT(B250,"00"),".",TEXT(C250,"000"),".",TEXT(D250,"000")),IF(H250="Serviço",CONCATENATE(TEXT(B250,"00"),".",TEXT(C250,"000"),".",TEXT(D250,"000"),".",TEXT(E250,"000")),"")))))</f>
        <v>15.001.007.007</v>
      </c>
      <c r="J250" s="401" t="s">
        <v>3544</v>
      </c>
      <c r="K250" s="402" t="s">
        <v>54</v>
      </c>
      <c r="L250" s="403">
        <f>L231</f>
        <v>11.57</v>
      </c>
      <c r="M250" s="403">
        <f>'Custos Serviços'!$G$120</f>
        <v>153.62134265972873</v>
      </c>
      <c r="N250" s="404">
        <f t="shared" si="43"/>
        <v>1777.3989345730613</v>
      </c>
      <c r="O250" s="998" t="s">
        <v>4192</v>
      </c>
      <c r="P250" s="406" t="s">
        <v>3605</v>
      </c>
    </row>
    <row r="251" spans="1:17" s="125" customFormat="1" ht="13.9" customHeight="1" outlineLevel="2" x14ac:dyDescent="0.25">
      <c r="A251" s="390">
        <f ca="1">IF($H251="UNIDADE CONSTRUTIVA",OFFSET(A251,-1,0)+1,LARGE(A$3:A250,1))</f>
        <v>0</v>
      </c>
      <c r="B251" s="390">
        <f t="shared" ca="1" si="44"/>
        <v>15</v>
      </c>
      <c r="C251" s="390">
        <f t="shared" ca="1" si="45"/>
        <v>1</v>
      </c>
      <c r="D251" s="391">
        <f t="shared" ca="1" si="46"/>
        <v>7</v>
      </c>
      <c r="E251" s="391">
        <f t="shared" ca="1" si="47"/>
        <v>8</v>
      </c>
      <c r="G251" s="398"/>
      <c r="H251" s="399" t="s">
        <v>433</v>
      </c>
      <c r="I251" s="400" t="str">
        <f ca="1">IF(H251="Unidade Construtiva",TEXT(A251,"00"),IF(H251="Célula Construtiva",TEXT(B251,"00"),IF(H251="Etapa",CONCATENATE(TEXT(B251,"00"),".",TEXT(C251,"000")),IF(H251="Subetapa",CONCATENATE(TEXT(B251,"00"),".",TEXT(C251,"000"),".",TEXT(D251,"000")),IF(H251="Serviço",CONCATENATE(TEXT(B251,"00"),".",TEXT(C251,"000"),".",TEXT(D251,"000"),".",TEXT(E251,"000")),"")))))</f>
        <v>15.001.007.008</v>
      </c>
      <c r="J251" s="401" t="s">
        <v>3540</v>
      </c>
      <c r="K251" s="402" t="s">
        <v>54</v>
      </c>
      <c r="L251" s="403">
        <f>L235</f>
        <v>4530.91</v>
      </c>
      <c r="M251" s="403">
        <v>20</v>
      </c>
      <c r="N251" s="404">
        <f t="shared" si="43"/>
        <v>90618.2</v>
      </c>
      <c r="O251" s="1001" t="s">
        <v>4204</v>
      </c>
      <c r="P251" s="406" t="s">
        <v>3605</v>
      </c>
    </row>
    <row r="252" spans="1:17" s="125" customFormat="1" ht="13.9" customHeight="1" outlineLevel="2" x14ac:dyDescent="0.25">
      <c r="A252" s="390">
        <f ca="1">IF($H252="UNIDADE CONSTRUTIVA",OFFSET(A252,-1,0)+1,LARGE(A$3:A251,1))</f>
        <v>0</v>
      </c>
      <c r="B252" s="390">
        <f t="shared" ca="1" si="44"/>
        <v>15</v>
      </c>
      <c r="C252" s="390">
        <f t="shared" ca="1" si="45"/>
        <v>1</v>
      </c>
      <c r="D252" s="391">
        <f t="shared" ca="1" si="46"/>
        <v>7</v>
      </c>
      <c r="E252" s="391">
        <f t="shared" ca="1" si="47"/>
        <v>9</v>
      </c>
      <c r="G252" s="398"/>
      <c r="H252" s="399" t="s">
        <v>433</v>
      </c>
      <c r="I252" s="400" t="str">
        <f ca="1">IF(H252="Unidade Construtiva",TEXT(A252,"00"),IF(H252="Célula Construtiva",TEXT(B252,"00"),IF(H252="Etapa",CONCATENATE(TEXT(B252,"00"),".",TEXT(C252,"000")),IF(H252="Subetapa",CONCATENATE(TEXT(B252,"00"),".",TEXT(C252,"000"),".",TEXT(D252,"000")),IF(H252="Serviço",CONCATENATE(TEXT(B252,"00"),".",TEXT(C252,"000"),".",TEXT(D252,"000"),".",TEXT(E252,"000")),"")))))</f>
        <v>15.001.007.009</v>
      </c>
      <c r="J252" s="401" t="s">
        <v>3541</v>
      </c>
      <c r="K252" s="402" t="s">
        <v>54</v>
      </c>
      <c r="L252" s="403">
        <f>L236</f>
        <v>18.07</v>
      </c>
      <c r="M252" s="403">
        <f>'Custos Serviços'!G130</f>
        <v>37.893664143996659</v>
      </c>
      <c r="N252" s="404">
        <f t="shared" si="43"/>
        <v>684.73851108201961</v>
      </c>
      <c r="O252" s="998" t="s">
        <v>4192</v>
      </c>
      <c r="P252" s="406" t="s">
        <v>3605</v>
      </c>
    </row>
    <row r="253" spans="1:17" s="125" customFormat="1" ht="13.9" customHeight="1" outlineLevel="2" x14ac:dyDescent="0.25">
      <c r="A253" s="390">
        <f ca="1">IF($H253="UNIDADE CONSTRUTIVA",OFFSET(A253,-1,0)+1,LARGE(A$3:A252,1))</f>
        <v>0</v>
      </c>
      <c r="B253" s="390">
        <f t="shared" ca="1" si="44"/>
        <v>15</v>
      </c>
      <c r="C253" s="390">
        <f t="shared" ca="1" si="45"/>
        <v>1</v>
      </c>
      <c r="D253" s="391">
        <f t="shared" ca="1" si="46"/>
        <v>7</v>
      </c>
      <c r="E253" s="391">
        <f t="shared" ca="1" si="47"/>
        <v>10</v>
      </c>
      <c r="G253" s="398"/>
      <c r="H253" s="399" t="s">
        <v>433</v>
      </c>
      <c r="I253" s="400" t="str">
        <f ca="1">IF(H253="Unidade Construtiva",TEXT(A253,"00"),IF(H253="Célula Construtiva",TEXT(B253,"00"),IF(H253="Etapa",CONCATENATE(TEXT(B253,"00"),".",TEXT(C253,"000")),IF(H253="Subetapa",CONCATENATE(TEXT(B253,"00"),".",TEXT(C253,"000"),".",TEXT(D253,"000")),IF(H253="Serviço",CONCATENATE(TEXT(B253,"00"),".",TEXT(C253,"000"),".",TEXT(D253,"000"),".",TEXT(E253,"000")),"")))))</f>
        <v>15.001.007.010</v>
      </c>
      <c r="J253" s="401" t="s">
        <v>538</v>
      </c>
      <c r="K253" s="402" t="s">
        <v>54</v>
      </c>
      <c r="L253" s="403">
        <f>L237+L238</f>
        <v>1369.02</v>
      </c>
      <c r="M253" s="403">
        <v>20</v>
      </c>
      <c r="N253" s="404">
        <f t="shared" si="43"/>
        <v>27380.400000000001</v>
      </c>
      <c r="O253" s="1001" t="s">
        <v>4204</v>
      </c>
      <c r="P253" s="406" t="s">
        <v>3605</v>
      </c>
    </row>
    <row r="254" spans="1:17" s="125" customFormat="1" ht="13.9" customHeight="1" outlineLevel="2" x14ac:dyDescent="0.25">
      <c r="A254" s="390">
        <f ca="1">IF($H254="UNIDADE CONSTRUTIVA",OFFSET(A254,-1,0)+1,LARGE(A$3:A253,1))</f>
        <v>0</v>
      </c>
      <c r="B254" s="390">
        <f t="shared" ca="1" si="44"/>
        <v>15</v>
      </c>
      <c r="C254" s="390">
        <f t="shared" ca="1" si="45"/>
        <v>1</v>
      </c>
      <c r="D254" s="391">
        <f t="shared" ca="1" si="46"/>
        <v>7</v>
      </c>
      <c r="E254" s="391">
        <f t="shared" ca="1" si="47"/>
        <v>11</v>
      </c>
      <c r="G254" s="398"/>
      <c r="H254" s="399" t="s">
        <v>433</v>
      </c>
      <c r="I254" s="400" t="str">
        <f t="shared" ca="1" si="57"/>
        <v>15.001.007.011</v>
      </c>
      <c r="J254" s="401" t="s">
        <v>537</v>
      </c>
      <c r="K254" s="402" t="s">
        <v>54</v>
      </c>
      <c r="L254" s="403">
        <f>L239+L240</f>
        <v>275.27</v>
      </c>
      <c r="M254" s="403">
        <f>'Custos Serviços'!G132</f>
        <v>37.893664143996659</v>
      </c>
      <c r="N254" s="404">
        <f t="shared" si="43"/>
        <v>10430.988928917959</v>
      </c>
      <c r="O254" s="998" t="s">
        <v>4192</v>
      </c>
      <c r="P254" s="406" t="s">
        <v>3605</v>
      </c>
    </row>
    <row r="255" spans="1:17" s="125" customFormat="1" ht="13.9" customHeight="1" outlineLevel="2" x14ac:dyDescent="0.25">
      <c r="A255" s="390">
        <f ca="1">IF($H255="UNIDADE CONSTRUTIVA",OFFSET(A255,-1,0)+1,LARGE(A$3:A254,1))</f>
        <v>0</v>
      </c>
      <c r="B255" s="390">
        <f t="shared" ca="1" si="44"/>
        <v>15</v>
      </c>
      <c r="C255" s="390">
        <f t="shared" ca="1" si="45"/>
        <v>1</v>
      </c>
      <c r="D255" s="391">
        <f t="shared" ca="1" si="46"/>
        <v>7</v>
      </c>
      <c r="E255" s="391">
        <f t="shared" ca="1" si="47"/>
        <v>12</v>
      </c>
      <c r="G255" s="398"/>
      <c r="H255" s="399" t="s">
        <v>433</v>
      </c>
      <c r="I255" s="400" t="str">
        <f t="shared" ca="1" si="57"/>
        <v>15.001.007.012</v>
      </c>
      <c r="J255" s="401" t="s">
        <v>539</v>
      </c>
      <c r="K255" s="402" t="s">
        <v>54</v>
      </c>
      <c r="L255" s="403">
        <f>L242</f>
        <v>16.88</v>
      </c>
      <c r="M255" s="403">
        <f>'Custos Serviços'!G107</f>
        <v>30.857616113744069</v>
      </c>
      <c r="N255" s="404">
        <f t="shared" si="43"/>
        <v>520.87655999999981</v>
      </c>
      <c r="O255" s="998" t="s">
        <v>4192</v>
      </c>
      <c r="P255" s="406" t="s">
        <v>3605</v>
      </c>
    </row>
    <row r="256" spans="1:17" s="125" customFormat="1" ht="13.9" customHeight="1" collapsed="1" x14ac:dyDescent="0.25">
      <c r="A256" s="390">
        <f ca="1">IF($H256="UNIDADE CONSTRUTIVA",OFFSET(A256,-1,0)+1,LARGE(A$3:A255,1))</f>
        <v>0</v>
      </c>
      <c r="B256" s="390">
        <f t="shared" ca="1" si="44"/>
        <v>16</v>
      </c>
      <c r="C256" s="390">
        <f t="shared" ca="1" si="45"/>
        <v>0</v>
      </c>
      <c r="D256" s="391">
        <f t="shared" ca="1" si="46"/>
        <v>7</v>
      </c>
      <c r="E256" s="391">
        <f t="shared" ca="1" si="47"/>
        <v>12</v>
      </c>
      <c r="G256" s="398"/>
      <c r="H256" s="399" t="s">
        <v>430</v>
      </c>
      <c r="I256" s="400" t="str">
        <f t="shared" ca="1" si="57"/>
        <v>16</v>
      </c>
      <c r="J256" s="401" t="s">
        <v>255</v>
      </c>
      <c r="K256" s="402"/>
      <c r="L256" s="403"/>
      <c r="M256" s="403"/>
      <c r="N256" s="404">
        <f t="shared" ca="1" si="43"/>
        <v>2171928.8232569261</v>
      </c>
      <c r="O256" s="405"/>
      <c r="P256" s="406"/>
      <c r="Q256" s="986">
        <f ca="1">N256/Obra!$E$9</f>
        <v>169.30721483286803</v>
      </c>
    </row>
    <row r="257" spans="1:17" s="125" customFormat="1" ht="13.9" hidden="1" customHeight="1" outlineLevel="1" x14ac:dyDescent="0.25">
      <c r="A257" s="390">
        <f ca="1">IF($H257="UNIDADE CONSTRUTIVA",OFFSET(A257,-1,0)+1,LARGE(A$3:A256,1))</f>
        <v>0</v>
      </c>
      <c r="B257" s="390">
        <f t="shared" ca="1" si="44"/>
        <v>16</v>
      </c>
      <c r="C257" s="390">
        <f t="shared" ca="1" si="45"/>
        <v>1</v>
      </c>
      <c r="D257" s="391">
        <f t="shared" ca="1" si="46"/>
        <v>0</v>
      </c>
      <c r="E257" s="391">
        <f t="shared" ca="1" si="47"/>
        <v>12</v>
      </c>
      <c r="G257" s="398"/>
      <c r="H257" s="399" t="s">
        <v>229</v>
      </c>
      <c r="I257" s="400" t="str">
        <f t="shared" ca="1" si="57"/>
        <v>16.001</v>
      </c>
      <c r="J257" s="401" t="s">
        <v>244</v>
      </c>
      <c r="K257" s="402"/>
      <c r="L257" s="403"/>
      <c r="M257" s="403"/>
      <c r="N257" s="404">
        <f t="shared" ca="1" si="43"/>
        <v>2171928.8232569261</v>
      </c>
      <c r="O257" s="405"/>
      <c r="P257" s="406"/>
    </row>
    <row r="258" spans="1:17" s="125" customFormat="1" ht="13.9" hidden="1" customHeight="1" outlineLevel="1" x14ac:dyDescent="0.25">
      <c r="A258" s="390">
        <f ca="1">IF($H258="UNIDADE CONSTRUTIVA",OFFSET(A258,-1,0)+1,LARGE(A$3:A257,1))</f>
        <v>0</v>
      </c>
      <c r="B258" s="390">
        <f t="shared" ca="1" si="44"/>
        <v>16</v>
      </c>
      <c r="C258" s="390">
        <f t="shared" ca="1" si="45"/>
        <v>1</v>
      </c>
      <c r="D258" s="391">
        <f t="shared" ca="1" si="46"/>
        <v>1</v>
      </c>
      <c r="E258" s="391">
        <f t="shared" ca="1" si="47"/>
        <v>0</v>
      </c>
      <c r="G258" s="398"/>
      <c r="H258" s="399" t="s">
        <v>432</v>
      </c>
      <c r="I258" s="400" t="str">
        <f t="shared" ca="1" si="57"/>
        <v>16.001.001</v>
      </c>
      <c r="J258" s="401" t="s">
        <v>541</v>
      </c>
      <c r="K258" s="402"/>
      <c r="L258" s="403"/>
      <c r="M258" s="403"/>
      <c r="N258" s="404">
        <f t="shared" ca="1" si="43"/>
        <v>349824.79679310671</v>
      </c>
      <c r="O258" s="405"/>
      <c r="P258" s="406"/>
    </row>
    <row r="259" spans="1:17" s="125" customFormat="1" ht="13.9" hidden="1" customHeight="1" outlineLevel="2" x14ac:dyDescent="0.25">
      <c r="A259" s="390">
        <f ca="1">IF($H259="UNIDADE CONSTRUTIVA",OFFSET(A259,-1,0)+1,LARGE(A$3:A258,1))</f>
        <v>0</v>
      </c>
      <c r="B259" s="390">
        <f t="shared" ca="1" si="44"/>
        <v>16</v>
      </c>
      <c r="C259" s="390">
        <f t="shared" ca="1" si="45"/>
        <v>1</v>
      </c>
      <c r="D259" s="391">
        <f t="shared" ca="1" si="46"/>
        <v>1</v>
      </c>
      <c r="E259" s="391">
        <f t="shared" ca="1" si="47"/>
        <v>1</v>
      </c>
      <c r="G259" s="398"/>
      <c r="H259" s="399" t="s">
        <v>433</v>
      </c>
      <c r="I259" s="400" t="str">
        <f t="shared" ref="I259" ca="1" si="58">IF(H259="Unidade Construtiva",TEXT(A259,"00"),IF(H259="Célula Construtiva",TEXT(B259,"00"),IF(H259="Etapa",CONCATENATE(TEXT(B259,"00"),".",TEXT(C259,"000")),IF(H259="Subetapa",CONCATENATE(TEXT(B259,"00"),".",TEXT(C259,"000"),".",TEXT(D259,"000")),IF(H259="Serviço",CONCATENATE(TEXT(B259,"00"),".",TEXT(C259,"000"),".",TEXT(D259,"000"),".",TEXT(E259,"000")),"")))))</f>
        <v>16.001.001.001</v>
      </c>
      <c r="J259" s="401" t="s">
        <v>3556</v>
      </c>
      <c r="K259" s="402" t="s">
        <v>66</v>
      </c>
      <c r="L259" s="403">
        <f>'ARQ. RES'!D112</f>
        <v>49.05</v>
      </c>
      <c r="M259" s="403">
        <v>77.900435999999999</v>
      </c>
      <c r="N259" s="404">
        <f t="shared" si="43"/>
        <v>3821.0163857999996</v>
      </c>
      <c r="O259" s="405"/>
      <c r="P259" s="406" t="s">
        <v>3605</v>
      </c>
    </row>
    <row r="260" spans="1:17" s="125" customFormat="1" ht="13.9" hidden="1" customHeight="1" outlineLevel="2" x14ac:dyDescent="0.25">
      <c r="A260" s="390">
        <f ca="1">IF($H260="UNIDADE CONSTRUTIVA",OFFSET(A260,-1,0)+1,LARGE(A$3:A259,1))</f>
        <v>0</v>
      </c>
      <c r="B260" s="390">
        <f t="shared" ca="1" si="44"/>
        <v>16</v>
      </c>
      <c r="C260" s="390">
        <f t="shared" ca="1" si="45"/>
        <v>1</v>
      </c>
      <c r="D260" s="391">
        <f t="shared" ca="1" si="46"/>
        <v>1</v>
      </c>
      <c r="E260" s="391">
        <f t="shared" ca="1" si="47"/>
        <v>2</v>
      </c>
      <c r="G260" s="398"/>
      <c r="H260" s="399" t="s">
        <v>433</v>
      </c>
      <c r="I260" s="400" t="str">
        <f t="shared" ca="1" si="57"/>
        <v>16.001.001.002</v>
      </c>
      <c r="J260" s="401" t="s">
        <v>3554</v>
      </c>
      <c r="K260" s="402" t="s">
        <v>66</v>
      </c>
      <c r="L260" s="403">
        <f>'ARQ. RES'!D115</f>
        <v>171.14</v>
      </c>
      <c r="M260" s="403">
        <v>6.0427933333333339</v>
      </c>
      <c r="N260" s="404">
        <f t="shared" si="43"/>
        <v>1034.1636510666667</v>
      </c>
      <c r="O260" s="405"/>
      <c r="P260" s="406" t="s">
        <v>3605</v>
      </c>
    </row>
    <row r="261" spans="1:17" s="125" customFormat="1" ht="13.9" hidden="1" customHeight="1" outlineLevel="2" x14ac:dyDescent="0.25">
      <c r="A261" s="390">
        <f ca="1">IF($H261="UNIDADE CONSTRUTIVA",OFFSET(A261,-1,0)+1,LARGE(A$3:A260,1))</f>
        <v>0</v>
      </c>
      <c r="B261" s="390">
        <f t="shared" ca="1" si="44"/>
        <v>16</v>
      </c>
      <c r="C261" s="390">
        <f t="shared" ca="1" si="45"/>
        <v>1</v>
      </c>
      <c r="D261" s="391">
        <f t="shared" ca="1" si="46"/>
        <v>1</v>
      </c>
      <c r="E261" s="391">
        <f t="shared" ca="1" si="47"/>
        <v>3</v>
      </c>
      <c r="G261" s="398"/>
      <c r="H261" s="399" t="s">
        <v>433</v>
      </c>
      <c r="I261" s="400" t="str">
        <f t="shared" ca="1" si="57"/>
        <v>16.001.001.003</v>
      </c>
      <c r="J261" s="401" t="s">
        <v>3555</v>
      </c>
      <c r="K261" s="402" t="s">
        <v>66</v>
      </c>
      <c r="L261" s="403">
        <f>SUM('ARQ. RES'!$D$113:$D$119)-L260</f>
        <v>4428.34</v>
      </c>
      <c r="M261" s="403">
        <v>77.900435999999999</v>
      </c>
      <c r="N261" s="404">
        <f t="shared" si="43"/>
        <v>344969.61675624002</v>
      </c>
      <c r="O261" s="405"/>
      <c r="P261" s="406" t="s">
        <v>3605</v>
      </c>
      <c r="Q261" s="993"/>
    </row>
    <row r="262" spans="1:17" s="125" customFormat="1" ht="13.9" hidden="1" customHeight="1" outlineLevel="1" x14ac:dyDescent="0.25">
      <c r="A262" s="390">
        <f ca="1">IF($H262="UNIDADE CONSTRUTIVA",OFFSET(A262,-1,0)+1,LARGE(A$3:A261,1))</f>
        <v>0</v>
      </c>
      <c r="B262" s="390">
        <f t="shared" ca="1" si="44"/>
        <v>16</v>
      </c>
      <c r="C262" s="390">
        <f t="shared" ca="1" si="45"/>
        <v>1</v>
      </c>
      <c r="D262" s="391">
        <f t="shared" ca="1" si="46"/>
        <v>2</v>
      </c>
      <c r="E262" s="391">
        <f t="shared" ca="1" si="47"/>
        <v>0</v>
      </c>
      <c r="G262" s="398"/>
      <c r="H262" s="399" t="s">
        <v>432</v>
      </c>
      <c r="I262" s="400" t="str">
        <f t="shared" ca="1" si="57"/>
        <v>16.001.002</v>
      </c>
      <c r="J262" s="401" t="s">
        <v>542</v>
      </c>
      <c r="K262" s="402"/>
      <c r="L262" s="403"/>
      <c r="M262" s="403"/>
      <c r="N262" s="404">
        <f t="shared" ca="1" si="43"/>
        <v>460805.42426435987</v>
      </c>
      <c r="O262" s="405"/>
      <c r="P262" s="406"/>
    </row>
    <row r="263" spans="1:17" s="125" customFormat="1" ht="13.9" hidden="1" customHeight="1" outlineLevel="2" x14ac:dyDescent="0.25">
      <c r="A263" s="390">
        <f ca="1">IF($H263="UNIDADE CONSTRUTIVA",OFFSET(A263,-1,0)+1,LARGE(A$3:A262,1))</f>
        <v>0</v>
      </c>
      <c r="B263" s="390">
        <f t="shared" ca="1" si="44"/>
        <v>16</v>
      </c>
      <c r="C263" s="390">
        <f t="shared" ca="1" si="45"/>
        <v>1</v>
      </c>
      <c r="D263" s="391">
        <f t="shared" ca="1" si="46"/>
        <v>2</v>
      </c>
      <c r="E263" s="391">
        <f t="shared" ca="1" si="47"/>
        <v>1</v>
      </c>
      <c r="G263" s="398"/>
      <c r="H263" s="399" t="s">
        <v>433</v>
      </c>
      <c r="I263" s="400" t="str">
        <f t="shared" ca="1" si="57"/>
        <v>16.001.002.001</v>
      </c>
      <c r="J263" s="401" t="s">
        <v>543</v>
      </c>
      <c r="K263" s="402" t="s">
        <v>66</v>
      </c>
      <c r="L263" s="403">
        <f>SUM('ARQ. RES'!$D$121:$D$128)+0.01</f>
        <v>20680.379999999994</v>
      </c>
      <c r="M263" s="403">
        <v>20.491900999999999</v>
      </c>
      <c r="N263" s="404">
        <f t="shared" si="43"/>
        <v>423780.29960237985</v>
      </c>
      <c r="O263" s="405" t="s">
        <v>544</v>
      </c>
      <c r="P263" s="406" t="s">
        <v>3605</v>
      </c>
    </row>
    <row r="264" spans="1:17" s="125" customFormat="1" ht="13.9" hidden="1" customHeight="1" outlineLevel="2" x14ac:dyDescent="0.25">
      <c r="A264" s="390">
        <f ca="1">IF($H264="UNIDADE CONSTRUTIVA",OFFSET(A264,-1,0)+1,LARGE(A$3:A263,1))</f>
        <v>0</v>
      </c>
      <c r="B264" s="390">
        <f t="shared" ca="1" si="44"/>
        <v>16</v>
      </c>
      <c r="C264" s="390">
        <f t="shared" ca="1" si="45"/>
        <v>1</v>
      </c>
      <c r="D264" s="391">
        <f t="shared" ca="1" si="46"/>
        <v>2</v>
      </c>
      <c r="E264" s="391">
        <f t="shared" ca="1" si="47"/>
        <v>2</v>
      </c>
      <c r="G264" s="398"/>
      <c r="H264" s="399" t="s">
        <v>433</v>
      </c>
      <c r="I264" s="400" t="str">
        <f t="shared" ca="1" si="57"/>
        <v>16.001.002.002</v>
      </c>
      <c r="J264" s="401" t="s">
        <v>545</v>
      </c>
      <c r="K264" s="402" t="s">
        <v>66</v>
      </c>
      <c r="L264" s="403">
        <f>SUM('ARQ. RES'!D129:D133)</f>
        <v>5490.03</v>
      </c>
      <c r="M264" s="403">
        <v>6.7440659999999992</v>
      </c>
      <c r="N264" s="404">
        <f t="shared" ref="N264:N327" si="59">IF(H264="Serviço",M264*L264,IF(H264="CÉLULA CONSTRUTIVA",SUMIFS($N$8:$N$395,$B$8:$B$395,B264,$H$8:$H$395,"Serviço"),IF(H264="ETAPA",SUMIFS($N$8:$N$395,$B$8:$B$395,B264,$C$8:$C$395,C264,$H$8:$H$395,"Serviço"),IF(H264="SUBETAPA",SUMIFS($N$8:$N$395,$B$8:$B$395,B264,$C$8:$C$395,C264,$D$8:$D$395,D264,$H$8:$H$395,"Serviço"),0))))</f>
        <v>37025.124661979993</v>
      </c>
      <c r="O264" s="405" t="s">
        <v>546</v>
      </c>
      <c r="P264" s="406" t="s">
        <v>3605</v>
      </c>
      <c r="Q264" s="993"/>
    </row>
    <row r="265" spans="1:17" s="125" customFormat="1" ht="13.9" hidden="1" customHeight="1" outlineLevel="1" x14ac:dyDescent="0.25">
      <c r="A265" s="390">
        <f ca="1">IF($H265="UNIDADE CONSTRUTIVA",OFFSET(A265,-1,0)+1,LARGE(A$3:A264,1))</f>
        <v>0</v>
      </c>
      <c r="B265" s="390">
        <f t="shared" ref="B265:B328" ca="1" si="60">IF(H265="UNIDADE CONSTRUTIVA",0,IF(H265="CÉLULA CONSTRUTIVA",OFFSET(B265,-1,0)+1,OFFSET(B265,-1,0)))</f>
        <v>16</v>
      </c>
      <c r="C265" s="390">
        <f t="shared" ref="C265:C328" ca="1" si="61">IF(H265="CÉLULA CONSTRUTIVA",0,IF(H265="ETAPA",OFFSET(C265,-1,0)+1,OFFSET(C265,-1,0)))</f>
        <v>1</v>
      </c>
      <c r="D265" s="391">
        <f t="shared" ref="D265:D328" ca="1" si="62">IF(H265="ETAPA",0,IF(H265="SUBETAPA",OFFSET(D265,-1,0)+1,OFFSET(D265,-1,0)))</f>
        <v>3</v>
      </c>
      <c r="E265" s="391">
        <f t="shared" ref="E265:E328" ca="1" si="63">IF(H265="Subetapa",0,IF(H265="serviço",OFFSET(E265,-1,0)+1,OFFSET(E265,-1,0)))</f>
        <v>0</v>
      </c>
      <c r="G265" s="398"/>
      <c r="H265" s="399" t="s">
        <v>432</v>
      </c>
      <c r="I265" s="400" t="str">
        <f t="shared" ca="1" si="57"/>
        <v>16.001.003</v>
      </c>
      <c r="J265" s="401" t="s">
        <v>547</v>
      </c>
      <c r="K265" s="402"/>
      <c r="L265" s="403"/>
      <c r="M265" s="403"/>
      <c r="N265" s="404">
        <f t="shared" ca="1" si="59"/>
        <v>173117.54219945997</v>
      </c>
      <c r="O265" s="405"/>
      <c r="P265" s="406"/>
    </row>
    <row r="266" spans="1:17" s="125" customFormat="1" ht="13.9" hidden="1" customHeight="1" outlineLevel="2" x14ac:dyDescent="0.25">
      <c r="A266" s="390">
        <f ca="1">IF($H266="UNIDADE CONSTRUTIVA",OFFSET(A266,-1,0)+1,LARGE(A$3:A265,1))</f>
        <v>0</v>
      </c>
      <c r="B266" s="390">
        <f t="shared" ca="1" si="60"/>
        <v>16</v>
      </c>
      <c r="C266" s="390">
        <f t="shared" ca="1" si="61"/>
        <v>1</v>
      </c>
      <c r="D266" s="391">
        <f t="shared" ca="1" si="62"/>
        <v>3</v>
      </c>
      <c r="E266" s="391">
        <f t="shared" ca="1" si="63"/>
        <v>1</v>
      </c>
      <c r="G266" s="398"/>
      <c r="H266" s="399" t="s">
        <v>433</v>
      </c>
      <c r="I266" s="400" t="str">
        <f ca="1">IF(H266="Unidade Construtiva",TEXT(A266,"00"),IF(H266="Célula Construtiva",TEXT(B266,"00"),IF(H266="Etapa",CONCATENATE(TEXT(B266,"00"),".",TEXT(C266,"000")),IF(H266="Subetapa",CONCATENATE(TEXT(B266,"00"),".",TEXT(C266,"000"),".",TEXT(D266,"000")),IF(H266="Serviço",CONCATENATE(TEXT(B266,"00"),".",TEXT(C266,"000"),".",TEXT(D266,"000"),".",TEXT(E266,"000")),"")))))</f>
        <v>16.001.003.001</v>
      </c>
      <c r="J266" s="401" t="s">
        <v>3680</v>
      </c>
      <c r="K266" s="402" t="s">
        <v>66</v>
      </c>
      <c r="L266" s="403">
        <f>'ARQ. RES'!$D$136-0.04</f>
        <v>4227.16</v>
      </c>
      <c r="M266" s="403">
        <v>6.7440659999999992</v>
      </c>
      <c r="N266" s="404">
        <f t="shared" si="59"/>
        <v>28508.246032559997</v>
      </c>
      <c r="O266" s="405"/>
      <c r="P266" s="406" t="s">
        <v>3605</v>
      </c>
    </row>
    <row r="267" spans="1:17" s="125" customFormat="1" ht="13.9" hidden="1" customHeight="1" outlineLevel="2" x14ac:dyDescent="0.25">
      <c r="A267" s="390">
        <f ca="1">IF($H267="UNIDADE CONSTRUTIVA",OFFSET(A267,-1,0)+1,LARGE(A$3:A266,1))</f>
        <v>0</v>
      </c>
      <c r="B267" s="390">
        <f t="shared" ca="1" si="60"/>
        <v>16</v>
      </c>
      <c r="C267" s="390">
        <f t="shared" ca="1" si="61"/>
        <v>1</v>
      </c>
      <c r="D267" s="391">
        <f t="shared" ca="1" si="62"/>
        <v>3</v>
      </c>
      <c r="E267" s="391">
        <f t="shared" ca="1" si="63"/>
        <v>2</v>
      </c>
      <c r="G267" s="398"/>
      <c r="H267" s="399" t="s">
        <v>433</v>
      </c>
      <c r="I267" s="400" t="str">
        <f t="shared" ca="1" si="57"/>
        <v>16.001.003.002</v>
      </c>
      <c r="J267" s="401" t="s">
        <v>548</v>
      </c>
      <c r="K267" s="402" t="s">
        <v>66</v>
      </c>
      <c r="L267" s="403">
        <f>'ARQ. RES'!$D$135</f>
        <v>7056.9</v>
      </c>
      <c r="M267" s="403">
        <v>20.491900999999999</v>
      </c>
      <c r="N267" s="404">
        <f t="shared" si="59"/>
        <v>144609.29616689999</v>
      </c>
      <c r="O267" s="405"/>
      <c r="P267" s="406" t="s">
        <v>3605</v>
      </c>
    </row>
    <row r="268" spans="1:17" s="125" customFormat="1" ht="13.9" hidden="1" customHeight="1" outlineLevel="1" x14ac:dyDescent="0.25">
      <c r="A268" s="390">
        <f ca="1">IF($H268="UNIDADE CONSTRUTIVA",OFFSET(A268,-1,0)+1,LARGE(A$3:A267,1))</f>
        <v>0</v>
      </c>
      <c r="B268" s="390">
        <f t="shared" ca="1" si="60"/>
        <v>16</v>
      </c>
      <c r="C268" s="390">
        <f t="shared" ca="1" si="61"/>
        <v>1</v>
      </c>
      <c r="D268" s="391">
        <f t="shared" ca="1" si="62"/>
        <v>4</v>
      </c>
      <c r="E268" s="391">
        <f t="shared" ca="1" si="63"/>
        <v>0</v>
      </c>
      <c r="G268" s="398"/>
      <c r="H268" s="399" t="s">
        <v>432</v>
      </c>
      <c r="I268" s="400" t="str">
        <f t="shared" ca="1" si="57"/>
        <v>16.001.004</v>
      </c>
      <c r="J268" s="401" t="s">
        <v>549</v>
      </c>
      <c r="K268" s="402"/>
      <c r="L268" s="403"/>
      <c r="M268" s="403"/>
      <c r="N268" s="404">
        <f t="shared" ca="1" si="59"/>
        <v>1188181.0599999998</v>
      </c>
      <c r="O268" s="405"/>
      <c r="P268" s="406"/>
    </row>
    <row r="269" spans="1:17" s="125" customFormat="1" ht="13.9" hidden="1" customHeight="1" outlineLevel="2" x14ac:dyDescent="0.25">
      <c r="A269" s="390">
        <f ca="1">IF($H269="UNIDADE CONSTRUTIVA",OFFSET(A269,-1,0)+1,LARGE(A$3:A268,1))</f>
        <v>0</v>
      </c>
      <c r="B269" s="390">
        <f t="shared" ca="1" si="60"/>
        <v>16</v>
      </c>
      <c r="C269" s="390">
        <f t="shared" ca="1" si="61"/>
        <v>1</v>
      </c>
      <c r="D269" s="391">
        <f t="shared" ca="1" si="62"/>
        <v>4</v>
      </c>
      <c r="E269" s="391">
        <f t="shared" ca="1" si="63"/>
        <v>1</v>
      </c>
      <c r="G269" s="398"/>
      <c r="H269" s="399" t="s">
        <v>433</v>
      </c>
      <c r="I269" s="400" t="str">
        <f t="shared" ca="1" si="57"/>
        <v>16.001.004.001</v>
      </c>
      <c r="J269" s="401" t="s">
        <v>550</v>
      </c>
      <c r="K269" s="402" t="s">
        <v>66</v>
      </c>
      <c r="L269" s="403">
        <f>L259</f>
        <v>49.05</v>
      </c>
      <c r="M269" s="403">
        <v>30</v>
      </c>
      <c r="N269" s="404">
        <f t="shared" si="59"/>
        <v>1471.5</v>
      </c>
      <c r="O269" s="1001" t="s">
        <v>4204</v>
      </c>
      <c r="P269" s="406" t="s">
        <v>3605</v>
      </c>
    </row>
    <row r="270" spans="1:17" s="125" customFormat="1" ht="13.9" hidden="1" customHeight="1" outlineLevel="2" x14ac:dyDescent="0.25">
      <c r="A270" s="390">
        <f ca="1">IF($H270="UNIDADE CONSTRUTIVA",OFFSET(A270,-1,0)+1,LARGE(A$3:A269,1))</f>
        <v>0</v>
      </c>
      <c r="B270" s="390">
        <f t="shared" ca="1" si="60"/>
        <v>16</v>
      </c>
      <c r="C270" s="390">
        <f t="shared" ca="1" si="61"/>
        <v>1</v>
      </c>
      <c r="D270" s="391">
        <f t="shared" ca="1" si="62"/>
        <v>4</v>
      </c>
      <c r="E270" s="391">
        <f t="shared" ca="1" si="63"/>
        <v>2</v>
      </c>
      <c r="G270" s="398"/>
      <c r="H270" s="399" t="s">
        <v>433</v>
      </c>
      <c r="I270" s="400" t="str">
        <f ca="1">IF(H270="Unidade Construtiva",TEXT(A270,"00"),IF(H270="Célula Construtiva",TEXT(B270,"00"),IF(H270="Etapa",CONCATENATE(TEXT(B270,"00"),".",TEXT(C270,"000")),IF(H270="Subetapa",CONCATENATE(TEXT(B270,"00"),".",TEXT(C270,"000"),".",TEXT(D270,"000")),IF(H270="Serviço",CONCATENATE(TEXT(B270,"00"),".",TEXT(C270,"000"),".",TEXT(D270,"000"),".",TEXT(E270,"000")),"")))))</f>
        <v>16.001.004.002</v>
      </c>
      <c r="J270" s="401" t="s">
        <v>3557</v>
      </c>
      <c r="K270" s="402" t="s">
        <v>66</v>
      </c>
      <c r="L270" s="403">
        <f>L260</f>
        <v>171.14</v>
      </c>
      <c r="M270" s="403">
        <v>30</v>
      </c>
      <c r="N270" s="404">
        <f t="shared" si="59"/>
        <v>5134.2</v>
      </c>
      <c r="O270" s="1001" t="s">
        <v>4204</v>
      </c>
      <c r="P270" s="406" t="s">
        <v>3605</v>
      </c>
    </row>
    <row r="271" spans="1:17" s="125" customFormat="1" ht="13.9" hidden="1" customHeight="1" outlineLevel="2" x14ac:dyDescent="0.25">
      <c r="A271" s="390">
        <f ca="1">IF($H271="UNIDADE CONSTRUTIVA",OFFSET(A271,-1,0)+1,LARGE(A$3:A270,1))</f>
        <v>0</v>
      </c>
      <c r="B271" s="390">
        <f t="shared" ca="1" si="60"/>
        <v>16</v>
      </c>
      <c r="C271" s="390">
        <f t="shared" ca="1" si="61"/>
        <v>1</v>
      </c>
      <c r="D271" s="391">
        <f t="shared" ca="1" si="62"/>
        <v>4</v>
      </c>
      <c r="E271" s="391">
        <f t="shared" ca="1" si="63"/>
        <v>3</v>
      </c>
      <c r="G271" s="398"/>
      <c r="H271" s="399" t="s">
        <v>433</v>
      </c>
      <c r="I271" s="400" t="str">
        <f ca="1">IF(H271="Unidade Construtiva",TEXT(A271,"00"),IF(H271="Célula Construtiva",TEXT(B271,"00"),IF(H271="Etapa",CONCATENATE(TEXT(B271,"00"),".",TEXT(C271,"000")),IF(H271="Subetapa",CONCATENATE(TEXT(B271,"00"),".",TEXT(C271,"000"),".",TEXT(D271,"000")),IF(H271="Serviço",CONCATENATE(TEXT(B271,"00"),".",TEXT(C271,"000"),".",TEXT(D271,"000"),".",TEXT(E271,"000")),"")))))</f>
        <v>16.001.004.003</v>
      </c>
      <c r="J271" s="401" t="s">
        <v>3558</v>
      </c>
      <c r="K271" s="402" t="s">
        <v>66</v>
      </c>
      <c r="L271" s="403">
        <f>L261</f>
        <v>4428.34</v>
      </c>
      <c r="M271" s="403">
        <v>30</v>
      </c>
      <c r="N271" s="404">
        <f t="shared" si="59"/>
        <v>132850.20000000001</v>
      </c>
      <c r="O271" s="1001" t="s">
        <v>4204</v>
      </c>
      <c r="P271" s="406" t="s">
        <v>3605</v>
      </c>
    </row>
    <row r="272" spans="1:17" s="125" customFormat="1" ht="13.9" hidden="1" customHeight="1" outlineLevel="2" x14ac:dyDescent="0.25">
      <c r="A272" s="390">
        <f ca="1">IF($H272="UNIDADE CONSTRUTIVA",OFFSET(A272,-1,0)+1,LARGE(A$3:A271,1))</f>
        <v>0</v>
      </c>
      <c r="B272" s="390">
        <f t="shared" ca="1" si="60"/>
        <v>16</v>
      </c>
      <c r="C272" s="390">
        <f t="shared" ca="1" si="61"/>
        <v>1</v>
      </c>
      <c r="D272" s="391">
        <f t="shared" ca="1" si="62"/>
        <v>4</v>
      </c>
      <c r="E272" s="391">
        <f t="shared" ca="1" si="63"/>
        <v>4</v>
      </c>
      <c r="G272" s="398"/>
      <c r="H272" s="399" t="s">
        <v>433</v>
      </c>
      <c r="I272" s="400" t="str">
        <f t="shared" ca="1" si="57"/>
        <v>16.001.004.004</v>
      </c>
      <c r="J272" s="401" t="s">
        <v>551</v>
      </c>
      <c r="K272" s="402" t="s">
        <v>66</v>
      </c>
      <c r="L272" s="403">
        <f>L263</f>
        <v>20680.379999999994</v>
      </c>
      <c r="M272" s="403">
        <v>28</v>
      </c>
      <c r="N272" s="404">
        <f t="shared" si="59"/>
        <v>579050.63999999978</v>
      </c>
      <c r="O272" s="1001" t="s">
        <v>4204</v>
      </c>
      <c r="P272" s="406" t="s">
        <v>3605</v>
      </c>
    </row>
    <row r="273" spans="1:17" s="125" customFormat="1" ht="13.9" hidden="1" customHeight="1" outlineLevel="2" x14ac:dyDescent="0.25">
      <c r="A273" s="390">
        <f ca="1">IF($H273="UNIDADE CONSTRUTIVA",OFFSET(A273,-1,0)+1,LARGE(A$3:A272,1))</f>
        <v>0</v>
      </c>
      <c r="B273" s="390">
        <f t="shared" ca="1" si="60"/>
        <v>16</v>
      </c>
      <c r="C273" s="390">
        <f t="shared" ca="1" si="61"/>
        <v>1</v>
      </c>
      <c r="D273" s="391">
        <f t="shared" ca="1" si="62"/>
        <v>4</v>
      </c>
      <c r="E273" s="391">
        <f t="shared" ca="1" si="63"/>
        <v>5</v>
      </c>
      <c r="G273" s="398"/>
      <c r="H273" s="399" t="s">
        <v>433</v>
      </c>
      <c r="I273" s="400" t="str">
        <f t="shared" ca="1" si="57"/>
        <v>16.001.004.005</v>
      </c>
      <c r="J273" s="401" t="s">
        <v>552</v>
      </c>
      <c r="K273" s="402" t="s">
        <v>66</v>
      </c>
      <c r="L273" s="403">
        <f>L264</f>
        <v>5490.03</v>
      </c>
      <c r="M273" s="403">
        <v>28</v>
      </c>
      <c r="N273" s="404">
        <f t="shared" si="59"/>
        <v>153720.84</v>
      </c>
      <c r="O273" s="1001" t="s">
        <v>4204</v>
      </c>
      <c r="P273" s="406" t="s">
        <v>3605</v>
      </c>
    </row>
    <row r="274" spans="1:17" s="125" customFormat="1" ht="13.9" hidden="1" customHeight="1" outlineLevel="2" x14ac:dyDescent="0.25">
      <c r="A274" s="390">
        <f ca="1">IF($H274="UNIDADE CONSTRUTIVA",OFFSET(A274,-1,0)+1,LARGE(A$3:A273,1))</f>
        <v>0</v>
      </c>
      <c r="B274" s="390">
        <f t="shared" ca="1" si="60"/>
        <v>16</v>
      </c>
      <c r="C274" s="390">
        <f t="shared" ca="1" si="61"/>
        <v>1</v>
      </c>
      <c r="D274" s="391">
        <f t="shared" ca="1" si="62"/>
        <v>4</v>
      </c>
      <c r="E274" s="391">
        <f t="shared" ca="1" si="63"/>
        <v>6</v>
      </c>
      <c r="G274" s="398"/>
      <c r="H274" s="399" t="s">
        <v>433</v>
      </c>
      <c r="I274" s="400" t="str">
        <f t="shared" ca="1" si="57"/>
        <v>16.001.004.006</v>
      </c>
      <c r="J274" s="401" t="s">
        <v>553</v>
      </c>
      <c r="K274" s="402" t="s">
        <v>66</v>
      </c>
      <c r="L274" s="403">
        <f>L267</f>
        <v>7056.9</v>
      </c>
      <c r="M274" s="403">
        <v>28</v>
      </c>
      <c r="N274" s="404">
        <f t="shared" si="59"/>
        <v>197593.19999999998</v>
      </c>
      <c r="O274" s="1001" t="s">
        <v>4204</v>
      </c>
      <c r="P274" s="406" t="s">
        <v>3605</v>
      </c>
    </row>
    <row r="275" spans="1:17" s="125" customFormat="1" ht="13.9" hidden="1" customHeight="1" outlineLevel="2" x14ac:dyDescent="0.25">
      <c r="A275" s="390">
        <f ca="1">IF($H275="UNIDADE CONSTRUTIVA",OFFSET(A275,-1,0)+1,LARGE(A$3:A274,1))</f>
        <v>0</v>
      </c>
      <c r="B275" s="390">
        <f t="shared" ca="1" si="60"/>
        <v>16</v>
      </c>
      <c r="C275" s="390">
        <f t="shared" ca="1" si="61"/>
        <v>1</v>
      </c>
      <c r="D275" s="391">
        <f t="shared" ca="1" si="62"/>
        <v>4</v>
      </c>
      <c r="E275" s="391">
        <f t="shared" ca="1" si="63"/>
        <v>7</v>
      </c>
      <c r="G275" s="398"/>
      <c r="H275" s="399" t="s">
        <v>433</v>
      </c>
      <c r="I275" s="400" t="str">
        <f ca="1">IF(H275="Unidade Construtiva",TEXT(A275,"00"),IF(H275="Célula Construtiva",TEXT(B275,"00"),IF(H275="Etapa",CONCATENATE(TEXT(B275,"00"),".",TEXT(C275,"000")),IF(H275="Subetapa",CONCATENATE(TEXT(B275,"00"),".",TEXT(C275,"000"),".",TEXT(D275,"000")),IF(H275="Serviço",CONCATENATE(TEXT(B275,"00"),".",TEXT(C275,"000"),".",TEXT(D275,"000"),".",TEXT(E275,"000")),"")))))</f>
        <v>16.001.004.007</v>
      </c>
      <c r="J275" s="401" t="s">
        <v>554</v>
      </c>
      <c r="K275" s="402" t="s">
        <v>66</v>
      </c>
      <c r="L275" s="403">
        <f>L266</f>
        <v>4227.16</v>
      </c>
      <c r="M275" s="403">
        <v>28</v>
      </c>
      <c r="N275" s="404">
        <f t="shared" si="59"/>
        <v>118360.48</v>
      </c>
      <c r="O275" s="1001" t="s">
        <v>4204</v>
      </c>
      <c r="P275" s="406" t="s">
        <v>3605</v>
      </c>
    </row>
    <row r="276" spans="1:17" s="125" customFormat="1" ht="13.9" customHeight="1" x14ac:dyDescent="0.25">
      <c r="A276" s="390">
        <f ca="1">IF($H276="UNIDADE CONSTRUTIVA",OFFSET(A276,-1,0)+1,LARGE(A$3:A275,1))</f>
        <v>0</v>
      </c>
      <c r="B276" s="390">
        <f t="shared" ca="1" si="60"/>
        <v>17</v>
      </c>
      <c r="C276" s="390">
        <f t="shared" ca="1" si="61"/>
        <v>0</v>
      </c>
      <c r="D276" s="391">
        <f t="shared" ca="1" si="62"/>
        <v>4</v>
      </c>
      <c r="E276" s="391">
        <f t="shared" ca="1" si="63"/>
        <v>7</v>
      </c>
      <c r="G276" s="398"/>
      <c r="H276" s="399" t="s">
        <v>430</v>
      </c>
      <c r="I276" s="400" t="str">
        <f t="shared" ref="I276:I288" ca="1" si="64">IF(H276="Unidade Construtiva",TEXT(A276,"00"),IF(H276="Célula Construtiva",TEXT(B276,"00"),IF(H276="Etapa",CONCATENATE(TEXT(B276,"00"),".",TEXT(C276,"000")),IF(H276="Subetapa",CONCATENATE(TEXT(B276,"00"),".",TEXT(C276,"000"),".",TEXT(D276,"000")),IF(H276="Serviço",CONCATENATE(TEXT(B276,"00"),".",TEXT(C276,"000"),".",TEXT(D276,"000"),".",TEXT(E276,"000")),"")))))</f>
        <v>17</v>
      </c>
      <c r="J276" s="401" t="s">
        <v>246</v>
      </c>
      <c r="K276" s="402"/>
      <c r="L276" s="403"/>
      <c r="M276" s="403"/>
      <c r="N276" s="404">
        <f t="shared" ca="1" si="59"/>
        <v>5635901.6365585728</v>
      </c>
      <c r="O276" s="405"/>
      <c r="P276" s="406"/>
      <c r="Q276" s="986">
        <f ca="1">N276/Obra!$E$9</f>
        <v>439.33244908406408</v>
      </c>
    </row>
    <row r="277" spans="1:17" s="125" customFormat="1" ht="13.9" customHeight="1" outlineLevel="1" x14ac:dyDescent="0.25">
      <c r="A277" s="390">
        <f ca="1">IF($H277="UNIDADE CONSTRUTIVA",OFFSET(A277,-1,0)+1,LARGE(A$3:A276,1))</f>
        <v>0</v>
      </c>
      <c r="B277" s="390">
        <f t="shared" ca="1" si="60"/>
        <v>17</v>
      </c>
      <c r="C277" s="390">
        <f t="shared" ca="1" si="61"/>
        <v>1</v>
      </c>
      <c r="D277" s="391">
        <f t="shared" ca="1" si="62"/>
        <v>0</v>
      </c>
      <c r="E277" s="391">
        <f t="shared" ca="1" si="63"/>
        <v>7</v>
      </c>
      <c r="G277" s="398"/>
      <c r="H277" s="399" t="s">
        <v>229</v>
      </c>
      <c r="I277" s="400" t="str">
        <f t="shared" ca="1" si="64"/>
        <v>17.001</v>
      </c>
      <c r="J277" s="401" t="s">
        <v>3520</v>
      </c>
      <c r="K277" s="402"/>
      <c r="L277" s="403"/>
      <c r="M277" s="403"/>
      <c r="N277" s="404">
        <f t="shared" ca="1" si="59"/>
        <v>4793127.531758572</v>
      </c>
      <c r="O277" s="405"/>
      <c r="P277" s="406"/>
    </row>
    <row r="278" spans="1:17" s="125" customFormat="1" ht="13.9" customHeight="1" outlineLevel="1" x14ac:dyDescent="0.25">
      <c r="A278" s="390">
        <f ca="1">IF($H278="UNIDADE CONSTRUTIVA",OFFSET(A278,-1,0)+1,LARGE(A$3:A277,1))</f>
        <v>0</v>
      </c>
      <c r="B278" s="390">
        <f t="shared" ca="1" si="60"/>
        <v>17</v>
      </c>
      <c r="C278" s="390">
        <f t="shared" ca="1" si="61"/>
        <v>1</v>
      </c>
      <c r="D278" s="391">
        <f t="shared" ca="1" si="62"/>
        <v>1</v>
      </c>
      <c r="E278" s="391">
        <f t="shared" ca="1" si="63"/>
        <v>0</v>
      </c>
      <c r="G278" s="398"/>
      <c r="H278" s="399" t="s">
        <v>432</v>
      </c>
      <c r="I278" s="400" t="str">
        <f t="shared" ca="1" si="64"/>
        <v>17.001.001</v>
      </c>
      <c r="J278" s="401" t="s">
        <v>555</v>
      </c>
      <c r="K278" s="402"/>
      <c r="L278" s="403"/>
      <c r="M278" s="403"/>
      <c r="N278" s="404">
        <f t="shared" ca="1" si="59"/>
        <v>338062.37652000005</v>
      </c>
      <c r="O278" s="405"/>
      <c r="P278" s="406"/>
    </row>
    <row r="279" spans="1:17" s="125" customFormat="1" ht="13.9" customHeight="1" outlineLevel="2" x14ac:dyDescent="0.25">
      <c r="A279" s="390">
        <f ca="1">IF($H279="UNIDADE CONSTRUTIVA",OFFSET(A279,-1,0)+1,LARGE(A$3:A278,1))</f>
        <v>0</v>
      </c>
      <c r="B279" s="390">
        <f t="shared" ca="1" si="60"/>
        <v>17</v>
      </c>
      <c r="C279" s="390">
        <f t="shared" ca="1" si="61"/>
        <v>1</v>
      </c>
      <c r="D279" s="391">
        <f t="shared" ca="1" si="62"/>
        <v>1</v>
      </c>
      <c r="E279" s="391">
        <f t="shared" ca="1" si="63"/>
        <v>1</v>
      </c>
      <c r="G279" s="398"/>
      <c r="H279" s="399" t="s">
        <v>433</v>
      </c>
      <c r="I279" s="400" t="str">
        <f t="shared" ca="1" si="64"/>
        <v>17.001.001.001</v>
      </c>
      <c r="J279" s="401" t="s">
        <v>556</v>
      </c>
      <c r="K279" s="402" t="s">
        <v>54</v>
      </c>
      <c r="L279" s="403">
        <f>ESQUADRIAS!I118</f>
        <v>7380.63</v>
      </c>
      <c r="M279" s="403">
        <v>45.804000000000002</v>
      </c>
      <c r="N279" s="404">
        <f t="shared" si="59"/>
        <v>338062.37652000005</v>
      </c>
      <c r="O279" s="405"/>
      <c r="P279" s="406" t="s">
        <v>3605</v>
      </c>
    </row>
    <row r="280" spans="1:17" s="125" customFormat="1" ht="13.9" customHeight="1" outlineLevel="1" x14ac:dyDescent="0.25">
      <c r="A280" s="390">
        <f ca="1">IF($H280="UNIDADE CONSTRUTIVA",OFFSET(A280,-1,0)+1,LARGE(A$3:A279,1))</f>
        <v>0</v>
      </c>
      <c r="B280" s="390">
        <f t="shared" ca="1" si="60"/>
        <v>17</v>
      </c>
      <c r="C280" s="390">
        <f t="shared" ca="1" si="61"/>
        <v>1</v>
      </c>
      <c r="D280" s="391">
        <f t="shared" ca="1" si="62"/>
        <v>2</v>
      </c>
      <c r="E280" s="391">
        <f t="shared" ca="1" si="63"/>
        <v>0</v>
      </c>
      <c r="G280" s="398"/>
      <c r="H280" s="399" t="s">
        <v>432</v>
      </c>
      <c r="I280" s="400" t="str">
        <f t="shared" ca="1" si="64"/>
        <v>17.001.002</v>
      </c>
      <c r="J280" s="401" t="s">
        <v>557</v>
      </c>
      <c r="K280" s="402"/>
      <c r="L280" s="403"/>
      <c r="M280" s="403"/>
      <c r="N280" s="404">
        <f t="shared" ca="1" si="59"/>
        <v>2067408</v>
      </c>
      <c r="O280" s="405">
        <f>L281/Obra!E9</f>
        <v>0.16444852915383371</v>
      </c>
      <c r="P280" s="406"/>
    </row>
    <row r="281" spans="1:17" s="125" customFormat="1" ht="13.9" customHeight="1" outlineLevel="2" x14ac:dyDescent="0.25">
      <c r="A281" s="390">
        <f ca="1">IF($H281="UNIDADE CONSTRUTIVA",OFFSET(A281,-1,0)+1,LARGE(A$3:A280,1))</f>
        <v>0</v>
      </c>
      <c r="B281" s="390">
        <f t="shared" ca="1" si="60"/>
        <v>17</v>
      </c>
      <c r="C281" s="390">
        <f t="shared" ca="1" si="61"/>
        <v>1</v>
      </c>
      <c r="D281" s="391">
        <f t="shared" ca="1" si="62"/>
        <v>2</v>
      </c>
      <c r="E281" s="391">
        <f t="shared" ca="1" si="63"/>
        <v>1</v>
      </c>
      <c r="G281" s="398"/>
      <c r="H281" s="399" t="s">
        <v>433</v>
      </c>
      <c r="I281" s="400" t="str">
        <f t="shared" ca="1" si="64"/>
        <v>17.001.002.001</v>
      </c>
      <c r="J281" s="401" t="s">
        <v>558</v>
      </c>
      <c r="K281" s="402" t="s">
        <v>66</v>
      </c>
      <c r="L281" s="410">
        <f>ESQUADRIAS!I122+ESQUADRIAS!I121</f>
        <v>2109.6</v>
      </c>
      <c r="M281" s="410">
        <v>980</v>
      </c>
      <c r="N281" s="404">
        <f t="shared" si="59"/>
        <v>2067408</v>
      </c>
      <c r="O281" s="405"/>
      <c r="P281" s="406" t="s">
        <v>3605</v>
      </c>
    </row>
    <row r="282" spans="1:17" s="125" customFormat="1" ht="11.25" customHeight="1" outlineLevel="1" x14ac:dyDescent="0.25">
      <c r="A282" s="390">
        <f ca="1">IF($H282="UNIDADE CONSTRUTIVA",OFFSET(A282,-1,0)+1,LARGE(A$3:A281,1))</f>
        <v>0</v>
      </c>
      <c r="B282" s="390">
        <f t="shared" ca="1" si="60"/>
        <v>17</v>
      </c>
      <c r="C282" s="390">
        <f t="shared" ca="1" si="61"/>
        <v>1</v>
      </c>
      <c r="D282" s="391">
        <f t="shared" ca="1" si="62"/>
        <v>3</v>
      </c>
      <c r="E282" s="391">
        <f t="shared" ca="1" si="63"/>
        <v>0</v>
      </c>
      <c r="G282" s="398"/>
      <c r="H282" s="399" t="s">
        <v>432</v>
      </c>
      <c r="I282" s="400" t="str">
        <f ca="1">IF(H282="Unidade Construtiva",TEXT(A282,"00"),IF(H282="Célula Construtiva",TEXT(B282,"00"),IF(H282="Etapa",CONCATENATE(TEXT(B282,"00"),".",TEXT(C282,"000")),IF(H282="Subetapa",CONCATENATE(TEXT(B282,"00"),".",TEXT(C282,"000"),".",TEXT(D282,"000")),IF(H282="Serviço",CONCATENATE(TEXT(B282,"00"),".",TEXT(C282,"000"),".",TEXT(D282,"000"),".",TEXT(E282,"000")),"")))))</f>
        <v>17.001.003</v>
      </c>
      <c r="J282" s="401" t="s">
        <v>3698</v>
      </c>
      <c r="K282" s="402"/>
      <c r="L282" s="410"/>
      <c r="M282" s="410"/>
      <c r="N282" s="404">
        <f t="shared" ca="1" si="59"/>
        <v>1148447.0466</v>
      </c>
      <c r="O282" s="405"/>
      <c r="P282" s="406"/>
    </row>
    <row r="283" spans="1:17" s="125" customFormat="1" ht="11.25" outlineLevel="2" x14ac:dyDescent="0.25">
      <c r="A283" s="390">
        <f ca="1">IF($H283="UNIDADE CONSTRUTIVA",OFFSET(A283,-1,0)+1,LARGE(A$3:A282,1))</f>
        <v>0</v>
      </c>
      <c r="B283" s="390">
        <f t="shared" ca="1" si="60"/>
        <v>17</v>
      </c>
      <c r="C283" s="390">
        <f t="shared" ca="1" si="61"/>
        <v>1</v>
      </c>
      <c r="D283" s="391">
        <f t="shared" ca="1" si="62"/>
        <v>3</v>
      </c>
      <c r="E283" s="391">
        <f t="shared" ca="1" si="63"/>
        <v>1</v>
      </c>
      <c r="G283" s="398"/>
      <c r="H283" s="399" t="s">
        <v>433</v>
      </c>
      <c r="I283" s="400" t="str">
        <f ca="1">IF(H283="Unidade Construtiva",TEXT(A283,"00"),IF(H283="Célula Construtiva",TEXT(B283,"00"),IF(H283="Etapa",CONCATENATE(TEXT(B283,"00"),".",TEXT(C283,"000")),IF(H283="Subetapa",CONCATENATE(TEXT(B283,"00"),".",TEXT(C283,"000"),".",TEXT(D283,"000")),IF(H283="Serviço",CONCATENATE(TEXT(B283,"00"),".",TEXT(C283,"000"),".",TEXT(D283,"000"),".",TEXT(E283,"000")),"")))))</f>
        <v>17.001.003.001</v>
      </c>
      <c r="J283" s="401" t="s">
        <v>3699</v>
      </c>
      <c r="K283" s="402" t="s">
        <v>66</v>
      </c>
      <c r="L283" s="410">
        <f>ESQUADRIAS!I124</f>
        <v>1290.38994</v>
      </c>
      <c r="M283" s="410">
        <v>890</v>
      </c>
      <c r="N283" s="404">
        <f t="shared" si="59"/>
        <v>1148447.0466</v>
      </c>
      <c r="O283" s="405"/>
      <c r="P283" s="406" t="s">
        <v>3605</v>
      </c>
    </row>
    <row r="284" spans="1:17" s="125" customFormat="1" ht="11.25" customHeight="1" outlineLevel="1" x14ac:dyDescent="0.25">
      <c r="A284" s="390">
        <f ca="1">IF($H284="UNIDADE CONSTRUTIVA",OFFSET(A284,-1,0)+1,LARGE(A$3:A283,1))</f>
        <v>0</v>
      </c>
      <c r="B284" s="390">
        <f t="shared" ca="1" si="60"/>
        <v>17</v>
      </c>
      <c r="C284" s="390">
        <f t="shared" ca="1" si="61"/>
        <v>1</v>
      </c>
      <c r="D284" s="391">
        <f t="shared" ca="1" si="62"/>
        <v>4</v>
      </c>
      <c r="E284" s="391">
        <f t="shared" ca="1" si="63"/>
        <v>0</v>
      </c>
      <c r="G284" s="398"/>
      <c r="H284" s="399" t="s">
        <v>432</v>
      </c>
      <c r="I284" s="400" t="str">
        <f ca="1">IF(H284="Unidade Construtiva",TEXT(A284,"00"),IF(H284="Célula Construtiva",TEXT(B284,"00"),IF(H284="Etapa",CONCATENATE(TEXT(B284,"00"),".",TEXT(C284,"000")),IF(H284="Subetapa",CONCATENATE(TEXT(B284,"00"),".",TEXT(C284,"000"),".",TEXT(D284,"000")),IF(H284="Serviço",CONCATENATE(TEXT(B284,"00"),".",TEXT(C284,"000"),".",TEXT(D284,"000"),".",TEXT(E284,"000")),"")))))</f>
        <v>17.001.004</v>
      </c>
      <c r="J284" s="401" t="s">
        <v>559</v>
      </c>
      <c r="K284" s="402"/>
      <c r="L284" s="410"/>
      <c r="M284" s="410"/>
      <c r="N284" s="404">
        <f t="shared" ca="1" si="59"/>
        <v>954627.8</v>
      </c>
      <c r="O284" s="405"/>
      <c r="P284" s="406"/>
    </row>
    <row r="285" spans="1:17" s="125" customFormat="1" ht="11.25" outlineLevel="2" x14ac:dyDescent="0.25">
      <c r="A285" s="390">
        <f ca="1">IF($H285="UNIDADE CONSTRUTIVA",OFFSET(A285,-1,0)+1,LARGE(A$3:A284,1))</f>
        <v>0</v>
      </c>
      <c r="B285" s="390">
        <f t="shared" ca="1" si="60"/>
        <v>17</v>
      </c>
      <c r="C285" s="390">
        <f t="shared" ca="1" si="61"/>
        <v>1</v>
      </c>
      <c r="D285" s="391">
        <f t="shared" ca="1" si="62"/>
        <v>4</v>
      </c>
      <c r="E285" s="391">
        <f t="shared" ca="1" si="63"/>
        <v>1</v>
      </c>
      <c r="G285" s="398"/>
      <c r="H285" s="399" t="s">
        <v>433</v>
      </c>
      <c r="I285" s="400" t="str">
        <f ca="1">IF(H285="Unidade Construtiva",TEXT(A285,"00"),IF(H285="Célula Construtiva",TEXT(B285,"00"),IF(H285="Etapa",CONCATENATE(TEXT(B285,"00"),".",TEXT(C285,"000")),IF(H285="Subetapa",CONCATENATE(TEXT(B285,"00"),".",TEXT(C285,"000"),".",TEXT(D285,"000")),IF(H285="Serviço",CONCATENATE(TEXT(B285,"00"),".",TEXT(C285,"000"),".",TEXT(D285,"000"),".",TEXT(E285,"000")),"")))))</f>
        <v>17.001.004.001</v>
      </c>
      <c r="J285" s="401" t="s">
        <v>559</v>
      </c>
      <c r="K285" s="402" t="s">
        <v>66</v>
      </c>
      <c r="L285" s="410">
        <f>ESQUADRIAS!I125</f>
        <v>974.11</v>
      </c>
      <c r="M285" s="410">
        <v>980</v>
      </c>
      <c r="N285" s="404">
        <f t="shared" si="59"/>
        <v>954627.8</v>
      </c>
      <c r="O285" s="405"/>
      <c r="P285" s="406" t="s">
        <v>3605</v>
      </c>
    </row>
    <row r="286" spans="1:17" s="125" customFormat="1" ht="13.9" customHeight="1" outlineLevel="1" x14ac:dyDescent="0.25">
      <c r="A286" s="390">
        <f ca="1">IF($H286="UNIDADE CONSTRUTIVA",OFFSET(A286,-1,0)+1,LARGE(A$3:A285,1))</f>
        <v>0</v>
      </c>
      <c r="B286" s="390">
        <f t="shared" ca="1" si="60"/>
        <v>17</v>
      </c>
      <c r="C286" s="390">
        <f t="shared" ca="1" si="61"/>
        <v>1</v>
      </c>
      <c r="D286" s="391">
        <f t="shared" ca="1" si="62"/>
        <v>5</v>
      </c>
      <c r="E286" s="391">
        <f t="shared" ca="1" si="63"/>
        <v>0</v>
      </c>
      <c r="G286" s="398"/>
      <c r="H286" s="399" t="s">
        <v>432</v>
      </c>
      <c r="I286" s="400" t="str">
        <f t="shared" ca="1" si="64"/>
        <v>17.001.005</v>
      </c>
      <c r="J286" s="401" t="s">
        <v>560</v>
      </c>
      <c r="K286" s="402"/>
      <c r="L286" s="403"/>
      <c r="M286" s="403"/>
      <c r="N286" s="404">
        <f t="shared" ca="1" si="59"/>
        <v>284582.30863857246</v>
      </c>
      <c r="O286" s="405"/>
      <c r="P286" s="406"/>
    </row>
    <row r="287" spans="1:17" s="125" customFormat="1" ht="13.9" customHeight="1" outlineLevel="2" x14ac:dyDescent="0.25">
      <c r="A287" s="390">
        <f ca="1">IF($H287="UNIDADE CONSTRUTIVA",OFFSET(A287,-1,0)+1,LARGE(A$3:A286,1))</f>
        <v>0</v>
      </c>
      <c r="B287" s="390">
        <f t="shared" ca="1" si="60"/>
        <v>17</v>
      </c>
      <c r="C287" s="390">
        <f t="shared" ca="1" si="61"/>
        <v>1</v>
      </c>
      <c r="D287" s="391">
        <f t="shared" ca="1" si="62"/>
        <v>5</v>
      </c>
      <c r="E287" s="391">
        <f t="shared" ca="1" si="63"/>
        <v>1</v>
      </c>
      <c r="G287" s="398"/>
      <c r="H287" s="399" t="s">
        <v>433</v>
      </c>
      <c r="I287" s="400" t="str">
        <f t="shared" ref="I287" ca="1" si="65">IF(H287="Unidade Construtiva",TEXT(A287,"00"),IF(H287="Célula Construtiva",TEXT(B287,"00"),IF(H287="Etapa",CONCATENATE(TEXT(B287,"00"),".",TEXT(C287,"000")),IF(H287="Subetapa",CONCATENATE(TEXT(B287,"00"),".",TEXT(C287,"000"),".",TEXT(D287,"000")),IF(H287="Serviço",CONCATENATE(TEXT(B287,"00"),".",TEXT(C287,"000"),".",TEXT(D287,"000"),".",TEXT(E287,"000")),"")))))</f>
        <v>17.001.005.001</v>
      </c>
      <c r="J287" s="401" t="s">
        <v>4178</v>
      </c>
      <c r="K287" s="402" t="s">
        <v>54</v>
      </c>
      <c r="L287" s="410">
        <f>ESQUADRIAS!H78</f>
        <v>16.34</v>
      </c>
      <c r="M287" s="403">
        <v>805.017048470742</v>
      </c>
      <c r="N287" s="404">
        <f t="shared" si="59"/>
        <v>13153.978572011923</v>
      </c>
      <c r="O287" s="405"/>
      <c r="P287" s="406" t="s">
        <v>3605</v>
      </c>
    </row>
    <row r="288" spans="1:17" s="125" customFormat="1" ht="13.9" customHeight="1" outlineLevel="2" x14ac:dyDescent="0.25">
      <c r="A288" s="390">
        <f ca="1">IF($H288="UNIDADE CONSTRUTIVA",OFFSET(A288,-1,0)+1,LARGE(A$3:A287,1))</f>
        <v>0</v>
      </c>
      <c r="B288" s="390">
        <f t="shared" ca="1" si="60"/>
        <v>17</v>
      </c>
      <c r="C288" s="390">
        <f t="shared" ca="1" si="61"/>
        <v>1</v>
      </c>
      <c r="D288" s="391">
        <f t="shared" ca="1" si="62"/>
        <v>5</v>
      </c>
      <c r="E288" s="391">
        <f t="shared" ca="1" si="63"/>
        <v>2</v>
      </c>
      <c r="G288" s="398"/>
      <c r="H288" s="399" t="s">
        <v>433</v>
      </c>
      <c r="I288" s="400" t="str">
        <f t="shared" ca="1" si="64"/>
        <v>17.001.005.002</v>
      </c>
      <c r="J288" s="401" t="s">
        <v>561</v>
      </c>
      <c r="K288" s="402" t="s">
        <v>54</v>
      </c>
      <c r="L288" s="410">
        <f>+ESQUADRIAS!H79+ESQUADRIAS!H82</f>
        <v>239.48</v>
      </c>
      <c r="M288" s="403">
        <v>805.017048470742</v>
      </c>
      <c r="N288" s="404">
        <f t="shared" si="59"/>
        <v>192785.4827677733</v>
      </c>
      <c r="O288" s="405"/>
      <c r="P288" s="406" t="s">
        <v>3605</v>
      </c>
    </row>
    <row r="289" spans="1:17" s="125" customFormat="1" ht="13.9" customHeight="1" outlineLevel="2" x14ac:dyDescent="0.25">
      <c r="A289" s="390">
        <f ca="1">IF($H289="UNIDADE CONSTRUTIVA",OFFSET(A289,-1,0)+1,LARGE(A$3:A288,1))</f>
        <v>0</v>
      </c>
      <c r="B289" s="390">
        <f t="shared" ca="1" si="60"/>
        <v>17</v>
      </c>
      <c r="C289" s="390">
        <f t="shared" ca="1" si="61"/>
        <v>1</v>
      </c>
      <c r="D289" s="391">
        <f t="shared" ca="1" si="62"/>
        <v>5</v>
      </c>
      <c r="E289" s="391">
        <f t="shared" ca="1" si="63"/>
        <v>3</v>
      </c>
      <c r="G289" s="398"/>
      <c r="H289" s="399" t="s">
        <v>433</v>
      </c>
      <c r="I289" s="400" t="str">
        <f t="shared" ref="I289:I291" ca="1" si="66">IF(H289="Unidade Construtiva",TEXT(A289,"00"),IF(H289="Célula Construtiva",TEXT(B289,"00"),IF(H289="Etapa",CONCATENATE(TEXT(B289,"00"),".",TEXT(C289,"000")),IF(H289="Subetapa",CONCATENATE(TEXT(B289,"00"),".",TEXT(C289,"000"),".",TEXT(D289,"000")),IF(H289="Serviço",CONCATENATE(TEXT(B289,"00"),".",TEXT(C289,"000"),".",TEXT(D289,"000"),".",TEXT(E289,"000")),"")))))</f>
        <v>17.001.005.003</v>
      </c>
      <c r="J289" s="401" t="s">
        <v>562</v>
      </c>
      <c r="K289" s="402" t="s">
        <v>54</v>
      </c>
      <c r="L289" s="410">
        <f>ESQUADRIAS!H80</f>
        <v>16.05</v>
      </c>
      <c r="M289" s="403">
        <v>878.20041651353665</v>
      </c>
      <c r="N289" s="404">
        <f t="shared" si="59"/>
        <v>14095.116685042263</v>
      </c>
      <c r="O289" s="405"/>
      <c r="P289" s="406" t="s">
        <v>3605</v>
      </c>
    </row>
    <row r="290" spans="1:17" s="125" customFormat="1" ht="13.9" customHeight="1" outlineLevel="2" x14ac:dyDescent="0.25">
      <c r="A290" s="390">
        <f ca="1">IF($H290="UNIDADE CONSTRUTIVA",OFFSET(A290,-1,0)+1,LARGE(A$3:A289,1))</f>
        <v>0</v>
      </c>
      <c r="B290" s="390">
        <f t="shared" ca="1" si="60"/>
        <v>17</v>
      </c>
      <c r="C290" s="390">
        <f t="shared" ca="1" si="61"/>
        <v>1</v>
      </c>
      <c r="D290" s="391">
        <f t="shared" ca="1" si="62"/>
        <v>5</v>
      </c>
      <c r="E290" s="391">
        <f t="shared" ca="1" si="63"/>
        <v>4</v>
      </c>
      <c r="G290" s="398"/>
      <c r="H290" s="399" t="s">
        <v>433</v>
      </c>
      <c r="I290" s="400" t="str">
        <f t="shared" ca="1" si="66"/>
        <v>17.001.005.004</v>
      </c>
      <c r="J290" s="401" t="s">
        <v>3578</v>
      </c>
      <c r="K290" s="402" t="s">
        <v>54</v>
      </c>
      <c r="L290" s="410">
        <f>ESQUADRIAS!H81</f>
        <v>36.75</v>
      </c>
      <c r="M290" s="403">
        <v>1756.4008330270733</v>
      </c>
      <c r="N290" s="404">
        <f t="shared" si="59"/>
        <v>64547.730613744941</v>
      </c>
      <c r="O290" s="405"/>
      <c r="P290" s="406" t="s">
        <v>3605</v>
      </c>
    </row>
    <row r="291" spans="1:17" s="125" customFormat="1" ht="13.9" customHeight="1" outlineLevel="1" x14ac:dyDescent="0.25">
      <c r="A291" s="390">
        <f ca="1">IF($H291="UNIDADE CONSTRUTIVA",OFFSET(A291,-1,0)+1,LARGE(A$3:A290,1))</f>
        <v>0</v>
      </c>
      <c r="B291" s="390">
        <f t="shared" ca="1" si="60"/>
        <v>17</v>
      </c>
      <c r="C291" s="390">
        <f t="shared" ca="1" si="61"/>
        <v>2</v>
      </c>
      <c r="D291" s="391">
        <f t="shared" ca="1" si="62"/>
        <v>0</v>
      </c>
      <c r="E291" s="391">
        <f t="shared" ca="1" si="63"/>
        <v>4</v>
      </c>
      <c r="G291" s="398"/>
      <c r="H291" s="399" t="s">
        <v>229</v>
      </c>
      <c r="I291" s="400" t="str">
        <f t="shared" ca="1" si="66"/>
        <v>17.002</v>
      </c>
      <c r="J291" s="401" t="s">
        <v>3521</v>
      </c>
      <c r="K291" s="402"/>
      <c r="L291" s="403"/>
      <c r="M291" s="403"/>
      <c r="N291" s="404">
        <f t="shared" ca="1" si="59"/>
        <v>715548.57000000007</v>
      </c>
      <c r="O291" s="405"/>
      <c r="P291" s="406"/>
    </row>
    <row r="292" spans="1:17" s="125" customFormat="1" ht="13.9" customHeight="1" outlineLevel="1" x14ac:dyDescent="0.25">
      <c r="A292" s="390">
        <f ca="1">IF($H292="UNIDADE CONSTRUTIVA",OFFSET(A292,-1,0)+1,LARGE(A$3:A291,1))</f>
        <v>0</v>
      </c>
      <c r="B292" s="390">
        <f t="shared" ca="1" si="60"/>
        <v>17</v>
      </c>
      <c r="C292" s="390">
        <f t="shared" ca="1" si="61"/>
        <v>2</v>
      </c>
      <c r="D292" s="391">
        <f t="shared" ca="1" si="62"/>
        <v>1</v>
      </c>
      <c r="E292" s="391">
        <f t="shared" ca="1" si="63"/>
        <v>0</v>
      </c>
      <c r="G292" s="398"/>
      <c r="H292" s="399" t="s">
        <v>432</v>
      </c>
      <c r="I292" s="400" t="str">
        <f t="shared" ref="I292:I305" ca="1" si="67">IF(H292="Unidade Construtiva",TEXT(A292,"00"),IF(H292="Célula Construtiva",TEXT(B292,"00"),IF(H292="Etapa",CONCATENATE(TEXT(B292,"00"),".",TEXT(C292,"000")),IF(H292="Subetapa",CONCATENATE(TEXT(B292,"00"),".",TEXT(C292,"000"),".",TEXT(D292,"000")),IF(H292="Serviço",CONCATENATE(TEXT(B292,"00"),".",TEXT(C292,"000"),".",TEXT(D292,"000"),".",TEXT(E292,"000")),"")))))</f>
        <v>17.002.001</v>
      </c>
      <c r="J292" s="401" t="s">
        <v>563</v>
      </c>
      <c r="K292" s="402"/>
      <c r="L292" s="403"/>
      <c r="M292" s="403"/>
      <c r="N292" s="404">
        <f t="shared" ca="1" si="59"/>
        <v>412527.52000000008</v>
      </c>
      <c r="O292" s="405"/>
      <c r="P292" s="406"/>
    </row>
    <row r="293" spans="1:17" s="125" customFormat="1" ht="13.9" customHeight="1" outlineLevel="2" x14ac:dyDescent="0.25">
      <c r="A293" s="390">
        <f ca="1">IF($H293="UNIDADE CONSTRUTIVA",OFFSET(A293,-1,0)+1,LARGE(A$3:A292,1))</f>
        <v>0</v>
      </c>
      <c r="B293" s="390">
        <f t="shared" ca="1" si="60"/>
        <v>17</v>
      </c>
      <c r="C293" s="390">
        <f t="shared" ca="1" si="61"/>
        <v>2</v>
      </c>
      <c r="D293" s="391">
        <f t="shared" ca="1" si="62"/>
        <v>1</v>
      </c>
      <c r="E293" s="391">
        <f t="shared" ca="1" si="63"/>
        <v>1</v>
      </c>
      <c r="G293" s="398"/>
      <c r="H293" s="399" t="s">
        <v>433</v>
      </c>
      <c r="I293" s="400" t="str">
        <f t="shared" ca="1" si="67"/>
        <v>17.002.001.001</v>
      </c>
      <c r="J293" s="401" t="s">
        <v>3579</v>
      </c>
      <c r="K293" s="402" t="s">
        <v>31</v>
      </c>
      <c r="L293" s="403">
        <f>ESQUADRIAS!$I$10</f>
        <v>217</v>
      </c>
      <c r="M293" s="403">
        <f>737.22+25</f>
        <v>762.22</v>
      </c>
      <c r="N293" s="404">
        <f t="shared" si="59"/>
        <v>165401.74000000002</v>
      </c>
      <c r="O293" s="405" t="s">
        <v>4182</v>
      </c>
      <c r="P293" s="406" t="s">
        <v>3605</v>
      </c>
    </row>
    <row r="294" spans="1:17" s="125" customFormat="1" ht="12.75" customHeight="1" outlineLevel="2" x14ac:dyDescent="0.25">
      <c r="A294" s="390">
        <f ca="1">IF($H294="UNIDADE CONSTRUTIVA",OFFSET(A294,-1,0)+1,LARGE(A$3:A293,1))</f>
        <v>0</v>
      </c>
      <c r="B294" s="390">
        <f t="shared" ca="1" si="60"/>
        <v>17</v>
      </c>
      <c r="C294" s="390">
        <f t="shared" ca="1" si="61"/>
        <v>2</v>
      </c>
      <c r="D294" s="391">
        <f t="shared" ca="1" si="62"/>
        <v>1</v>
      </c>
      <c r="E294" s="391">
        <f t="shared" ca="1" si="63"/>
        <v>2</v>
      </c>
      <c r="G294" s="398"/>
      <c r="H294" s="399" t="s">
        <v>433</v>
      </c>
      <c r="I294" s="400" t="str">
        <f t="shared" ca="1" si="67"/>
        <v>17.002.001.002</v>
      </c>
      <c r="J294" s="401" t="s">
        <v>3581</v>
      </c>
      <c r="K294" s="402" t="s">
        <v>31</v>
      </c>
      <c r="L294" s="403">
        <f>ESQUADRIAS!$I$9</f>
        <v>151</v>
      </c>
      <c r="M294" s="403">
        <f>759.2+25</f>
        <v>784.2</v>
      </c>
      <c r="N294" s="404">
        <f t="shared" si="59"/>
        <v>118414.20000000001</v>
      </c>
      <c r="O294" s="405" t="s">
        <v>4182</v>
      </c>
      <c r="P294" s="406" t="s">
        <v>3605</v>
      </c>
    </row>
    <row r="295" spans="1:17" s="125" customFormat="1" ht="12.75" customHeight="1" outlineLevel="2" x14ac:dyDescent="0.25">
      <c r="A295" s="390">
        <f ca="1">IF($H295="UNIDADE CONSTRUTIVA",OFFSET(A295,-1,0)+1,LARGE(A$3:A294,1))</f>
        <v>0</v>
      </c>
      <c r="B295" s="390">
        <f t="shared" ca="1" si="60"/>
        <v>17</v>
      </c>
      <c r="C295" s="390">
        <f t="shared" ca="1" si="61"/>
        <v>2</v>
      </c>
      <c r="D295" s="391">
        <f t="shared" ca="1" si="62"/>
        <v>1</v>
      </c>
      <c r="E295" s="391">
        <f t="shared" ca="1" si="63"/>
        <v>3</v>
      </c>
      <c r="G295" s="398"/>
      <c r="H295" s="399" t="s">
        <v>433</v>
      </c>
      <c r="I295" s="400" t="str">
        <f t="shared" ca="1" si="67"/>
        <v>17.002.001.003</v>
      </c>
      <c r="J295" s="401" t="s">
        <v>3580</v>
      </c>
      <c r="K295" s="402" t="s">
        <v>31</v>
      </c>
      <c r="L295" s="403">
        <f>ESQUADRIAS!$I$8</f>
        <v>120</v>
      </c>
      <c r="M295" s="403">
        <f>849.21+25</f>
        <v>874.21</v>
      </c>
      <c r="N295" s="404">
        <f t="shared" si="59"/>
        <v>104905.20000000001</v>
      </c>
      <c r="O295" s="405" t="s">
        <v>4182</v>
      </c>
      <c r="P295" s="406" t="s">
        <v>3605</v>
      </c>
    </row>
    <row r="296" spans="1:17" s="125" customFormat="1" ht="12.75" customHeight="1" outlineLevel="2" x14ac:dyDescent="0.25">
      <c r="A296" s="390">
        <f ca="1">IF($H296="UNIDADE CONSTRUTIVA",OFFSET(A296,-1,0)+1,LARGE(A$3:A295,1))</f>
        <v>0</v>
      </c>
      <c r="B296" s="390">
        <f t="shared" ca="1" si="60"/>
        <v>17</v>
      </c>
      <c r="C296" s="390">
        <f t="shared" ca="1" si="61"/>
        <v>2</v>
      </c>
      <c r="D296" s="391">
        <f t="shared" ca="1" si="62"/>
        <v>1</v>
      </c>
      <c r="E296" s="391">
        <f t="shared" ca="1" si="63"/>
        <v>4</v>
      </c>
      <c r="G296" s="398"/>
      <c r="H296" s="399" t="s">
        <v>433</v>
      </c>
      <c r="I296" s="400" t="str">
        <f t="shared" ca="1" si="67"/>
        <v>17.002.001.004</v>
      </c>
      <c r="J296" s="401" t="s">
        <v>3582</v>
      </c>
      <c r="K296" s="402" t="s">
        <v>31</v>
      </c>
      <c r="L296" s="403">
        <f>ESQUADRIAS!$I$11</f>
        <v>26</v>
      </c>
      <c r="M296" s="403">
        <f>890.63+25</f>
        <v>915.63</v>
      </c>
      <c r="N296" s="404">
        <f t="shared" si="59"/>
        <v>23806.38</v>
      </c>
      <c r="O296" s="405" t="s">
        <v>4182</v>
      </c>
      <c r="P296" s="406" t="s">
        <v>3605</v>
      </c>
    </row>
    <row r="297" spans="1:17" s="125" customFormat="1" ht="13.9" customHeight="1" outlineLevel="1" x14ac:dyDescent="0.25">
      <c r="A297" s="390">
        <f ca="1">IF($H297="UNIDADE CONSTRUTIVA",OFFSET(A297,-1,0)+1,LARGE(A$3:A296,1))</f>
        <v>0</v>
      </c>
      <c r="B297" s="390">
        <f t="shared" ca="1" si="60"/>
        <v>17</v>
      </c>
      <c r="C297" s="390">
        <f t="shared" ca="1" si="61"/>
        <v>2</v>
      </c>
      <c r="D297" s="391">
        <f t="shared" ca="1" si="62"/>
        <v>2</v>
      </c>
      <c r="E297" s="391">
        <f t="shared" ca="1" si="63"/>
        <v>0</v>
      </c>
      <c r="G297" s="398"/>
      <c r="H297" s="399" t="s">
        <v>432</v>
      </c>
      <c r="I297" s="400" t="str">
        <f t="shared" ref="I297:I298" ca="1" si="68">IF(H297="Unidade Construtiva",TEXT(A297,"00"),IF(H297="Célula Construtiva",TEXT(B297,"00"),IF(H297="Etapa",CONCATENATE(TEXT(B297,"00"),".",TEXT(C297,"000")),IF(H297="Subetapa",CONCATENATE(TEXT(B297,"00"),".",TEXT(C297,"000"),".",TEXT(D297,"000")),IF(H297="Serviço",CONCATENATE(TEXT(B297,"00"),".",TEXT(C297,"000"),".",TEXT(D297,"000"),".",TEXT(E297,"000")),"")))))</f>
        <v>17.002.002</v>
      </c>
      <c r="J297" s="401" t="s">
        <v>3583</v>
      </c>
      <c r="K297" s="402"/>
      <c r="L297" s="403"/>
      <c r="M297" s="403"/>
      <c r="N297" s="404">
        <f t="shared" ca="1" si="59"/>
        <v>87974.15</v>
      </c>
      <c r="O297" s="405"/>
      <c r="P297" s="406"/>
    </row>
    <row r="298" spans="1:17" s="125" customFormat="1" ht="13.9" customHeight="1" outlineLevel="2" x14ac:dyDescent="0.25">
      <c r="A298" s="390">
        <f ca="1">IF($H298="UNIDADE CONSTRUTIVA",OFFSET(A298,-1,0)+1,LARGE(A$3:A297,1))</f>
        <v>0</v>
      </c>
      <c r="B298" s="390">
        <f t="shared" ca="1" si="60"/>
        <v>17</v>
      </c>
      <c r="C298" s="390">
        <f t="shared" ca="1" si="61"/>
        <v>2</v>
      </c>
      <c r="D298" s="391">
        <f t="shared" ca="1" si="62"/>
        <v>2</v>
      </c>
      <c r="E298" s="391">
        <f t="shared" ca="1" si="63"/>
        <v>1</v>
      </c>
      <c r="G298" s="398"/>
      <c r="H298" s="399" t="s">
        <v>433</v>
      </c>
      <c r="I298" s="400" t="str">
        <f t="shared" ca="1" si="68"/>
        <v>17.002.002.001</v>
      </c>
      <c r="J298" s="401" t="s">
        <v>3584</v>
      </c>
      <c r="K298" s="402" t="s">
        <v>66</v>
      </c>
      <c r="L298" s="403">
        <f>ESQUADRIAS!I120</f>
        <v>181.39</v>
      </c>
      <c r="M298" s="403">
        <v>485</v>
      </c>
      <c r="N298" s="404">
        <f t="shared" si="59"/>
        <v>87974.15</v>
      </c>
      <c r="O298" s="405"/>
      <c r="P298" s="406" t="s">
        <v>3605</v>
      </c>
    </row>
    <row r="299" spans="1:17" s="125" customFormat="1" ht="13.9" customHeight="1" outlineLevel="1" x14ac:dyDescent="0.25">
      <c r="A299" s="390">
        <f ca="1">IF($H299="UNIDADE CONSTRUTIVA",OFFSET(A299,-1,0)+1,LARGE(A$3:A298,1))</f>
        <v>0</v>
      </c>
      <c r="B299" s="390">
        <f t="shared" ca="1" si="60"/>
        <v>17</v>
      </c>
      <c r="C299" s="390">
        <f t="shared" ca="1" si="61"/>
        <v>2</v>
      </c>
      <c r="D299" s="391">
        <f t="shared" ca="1" si="62"/>
        <v>3</v>
      </c>
      <c r="E299" s="391">
        <f t="shared" ca="1" si="63"/>
        <v>0</v>
      </c>
      <c r="G299" s="398"/>
      <c r="H299" s="399" t="s">
        <v>432</v>
      </c>
      <c r="I299" s="400" t="str">
        <f t="shared" ca="1" si="67"/>
        <v>17.002.003</v>
      </c>
      <c r="J299" s="401" t="s">
        <v>564</v>
      </c>
      <c r="K299" s="402"/>
      <c r="L299" s="403"/>
      <c r="M299" s="403"/>
      <c r="N299" s="404">
        <f t="shared" ca="1" si="59"/>
        <v>22536.899999999998</v>
      </c>
      <c r="O299" s="405"/>
      <c r="P299" s="406"/>
    </row>
    <row r="300" spans="1:17" s="125" customFormat="1" ht="13.9" customHeight="1" outlineLevel="2" x14ac:dyDescent="0.25">
      <c r="A300" s="390">
        <f ca="1">IF($H300="UNIDADE CONSTRUTIVA",OFFSET(A300,-1,0)+1,LARGE(A$3:A299,1))</f>
        <v>0</v>
      </c>
      <c r="B300" s="390">
        <f t="shared" ca="1" si="60"/>
        <v>17</v>
      </c>
      <c r="C300" s="390">
        <f t="shared" ca="1" si="61"/>
        <v>2</v>
      </c>
      <c r="D300" s="391">
        <f t="shared" ca="1" si="62"/>
        <v>3</v>
      </c>
      <c r="E300" s="391">
        <f t="shared" ca="1" si="63"/>
        <v>1</v>
      </c>
      <c r="G300" s="398"/>
      <c r="H300" s="399" t="s">
        <v>433</v>
      </c>
      <c r="I300" s="400" t="str">
        <f t="shared" ca="1" si="67"/>
        <v>17.002.003.001</v>
      </c>
      <c r="J300" s="401" t="s">
        <v>565</v>
      </c>
      <c r="K300" s="402" t="s">
        <v>31</v>
      </c>
      <c r="L300" s="403">
        <f>ESQUADRIAS!I119</f>
        <v>265.14</v>
      </c>
      <c r="M300" s="403">
        <v>85</v>
      </c>
      <c r="N300" s="404">
        <f t="shared" si="59"/>
        <v>22536.899999999998</v>
      </c>
      <c r="O300" s="405"/>
      <c r="P300" s="406" t="s">
        <v>3605</v>
      </c>
    </row>
    <row r="301" spans="1:17" s="125" customFormat="1" ht="13.9" customHeight="1" outlineLevel="1" x14ac:dyDescent="0.25">
      <c r="A301" s="390">
        <f ca="1">IF($H301="UNIDADE CONSTRUTIVA",OFFSET(A301,-1,0)+1,LARGE(A$3:A300,1))</f>
        <v>0</v>
      </c>
      <c r="B301" s="390">
        <f t="shared" ca="1" si="60"/>
        <v>17</v>
      </c>
      <c r="C301" s="390">
        <f t="shared" ca="1" si="61"/>
        <v>2</v>
      </c>
      <c r="D301" s="391">
        <f t="shared" ca="1" si="62"/>
        <v>4</v>
      </c>
      <c r="E301" s="391">
        <f t="shared" ca="1" si="63"/>
        <v>0</v>
      </c>
      <c r="G301" s="398"/>
      <c r="H301" s="399" t="s">
        <v>432</v>
      </c>
      <c r="I301" s="400" t="str">
        <f t="shared" ca="1" si="67"/>
        <v>17.002.004</v>
      </c>
      <c r="J301" s="401" t="s">
        <v>566</v>
      </c>
      <c r="K301" s="402"/>
      <c r="L301" s="403"/>
      <c r="M301" s="403"/>
      <c r="N301" s="404">
        <f t="shared" ca="1" si="59"/>
        <v>146250</v>
      </c>
      <c r="O301" s="405"/>
      <c r="P301" s="406"/>
    </row>
    <row r="302" spans="1:17" s="125" customFormat="1" ht="13.9" customHeight="1" outlineLevel="2" x14ac:dyDescent="0.25">
      <c r="A302" s="390">
        <f ca="1">IF($H302="UNIDADE CONSTRUTIVA",OFFSET(A302,-1,0)+1,LARGE(A$3:A301,1))</f>
        <v>0</v>
      </c>
      <c r="B302" s="390">
        <f t="shared" ca="1" si="60"/>
        <v>17</v>
      </c>
      <c r="C302" s="390">
        <f t="shared" ca="1" si="61"/>
        <v>2</v>
      </c>
      <c r="D302" s="391">
        <f t="shared" ca="1" si="62"/>
        <v>4</v>
      </c>
      <c r="E302" s="391">
        <f t="shared" ca="1" si="63"/>
        <v>1</v>
      </c>
      <c r="G302" s="398"/>
      <c r="H302" s="399" t="s">
        <v>433</v>
      </c>
      <c r="I302" s="400" t="str">
        <f t="shared" ca="1" si="67"/>
        <v>17.002.004.001</v>
      </c>
      <c r="J302" s="401" t="s">
        <v>568</v>
      </c>
      <c r="K302" s="402" t="s">
        <v>31</v>
      </c>
      <c r="L302" s="403">
        <f>Obra!E10</f>
        <v>117</v>
      </c>
      <c r="M302" s="403">
        <v>1250</v>
      </c>
      <c r="N302" s="404">
        <f t="shared" si="59"/>
        <v>146250</v>
      </c>
      <c r="O302" s="405" t="s">
        <v>569</v>
      </c>
      <c r="P302" s="406" t="s">
        <v>3605</v>
      </c>
    </row>
    <row r="303" spans="1:17" s="125" customFormat="1" ht="13.9" customHeight="1" outlineLevel="1" x14ac:dyDescent="0.25">
      <c r="A303" s="390">
        <f ca="1">IF($H303="UNIDADE CONSTRUTIVA",OFFSET(A303,-1,0)+1,LARGE(A$3:A302,1))</f>
        <v>0</v>
      </c>
      <c r="B303" s="390">
        <f t="shared" ca="1" si="60"/>
        <v>17</v>
      </c>
      <c r="C303" s="390">
        <f t="shared" ca="1" si="61"/>
        <v>2</v>
      </c>
      <c r="D303" s="391">
        <f t="shared" ca="1" si="62"/>
        <v>5</v>
      </c>
      <c r="E303" s="391">
        <f t="shared" ca="1" si="63"/>
        <v>0</v>
      </c>
      <c r="G303" s="398"/>
      <c r="H303" s="399" t="s">
        <v>432</v>
      </c>
      <c r="I303" s="400" t="str">
        <f t="shared" ca="1" si="67"/>
        <v>17.002.005</v>
      </c>
      <c r="J303" s="401" t="s">
        <v>454</v>
      </c>
      <c r="K303" s="402"/>
      <c r="L303" s="403"/>
      <c r="M303" s="403"/>
      <c r="N303" s="404">
        <f t="shared" ca="1" si="59"/>
        <v>46260</v>
      </c>
      <c r="O303" s="405"/>
      <c r="P303" s="406"/>
    </row>
    <row r="304" spans="1:17" s="125" customFormat="1" ht="13.9" customHeight="1" outlineLevel="2" x14ac:dyDescent="0.25">
      <c r="A304" s="390">
        <f ca="1">IF($H304="UNIDADE CONSTRUTIVA",OFFSET(A304,-1,0)+1,LARGE(A$3:A303,1))</f>
        <v>0</v>
      </c>
      <c r="B304" s="390">
        <f t="shared" ca="1" si="60"/>
        <v>17</v>
      </c>
      <c r="C304" s="390">
        <f t="shared" ca="1" si="61"/>
        <v>2</v>
      </c>
      <c r="D304" s="391">
        <f t="shared" ca="1" si="62"/>
        <v>5</v>
      </c>
      <c r="E304" s="391">
        <f t="shared" ca="1" si="63"/>
        <v>1</v>
      </c>
      <c r="G304" s="398"/>
      <c r="H304" s="399" t="s">
        <v>433</v>
      </c>
      <c r="I304" s="400" t="str">
        <f t="shared" ca="1" si="67"/>
        <v>17.002.005.001</v>
      </c>
      <c r="J304" s="401" t="s">
        <v>567</v>
      </c>
      <c r="K304" s="402" t="s">
        <v>31</v>
      </c>
      <c r="L304" s="403">
        <f>SUM(L293:L296)</f>
        <v>514</v>
      </c>
      <c r="M304" s="403">
        <v>90</v>
      </c>
      <c r="N304" s="404">
        <f t="shared" si="59"/>
        <v>46260</v>
      </c>
      <c r="O304" s="1001" t="s">
        <v>4204</v>
      </c>
      <c r="P304" s="406" t="s">
        <v>3605</v>
      </c>
      <c r="Q304" s="405" t="s">
        <v>4182</v>
      </c>
    </row>
    <row r="305" spans="1:17" s="125" customFormat="1" ht="13.9" customHeight="1" outlineLevel="1" x14ac:dyDescent="0.25">
      <c r="A305" s="390">
        <f ca="1">IF($H305="UNIDADE CONSTRUTIVA",OFFSET(A305,-1,0)+1,LARGE(A$3:A304,1))</f>
        <v>0</v>
      </c>
      <c r="B305" s="390">
        <f t="shared" ca="1" si="60"/>
        <v>17</v>
      </c>
      <c r="C305" s="390">
        <f t="shared" ca="1" si="61"/>
        <v>3</v>
      </c>
      <c r="D305" s="391">
        <f t="shared" ca="1" si="62"/>
        <v>0</v>
      </c>
      <c r="E305" s="391">
        <f t="shared" ca="1" si="63"/>
        <v>1</v>
      </c>
      <c r="G305" s="398"/>
      <c r="H305" s="399" t="s">
        <v>229</v>
      </c>
      <c r="I305" s="400" t="str">
        <f t="shared" ca="1" si="67"/>
        <v>17.003</v>
      </c>
      <c r="J305" s="401" t="s">
        <v>3522</v>
      </c>
      <c r="K305" s="402"/>
      <c r="L305" s="403"/>
      <c r="M305" s="403"/>
      <c r="N305" s="404">
        <f t="shared" ca="1" si="59"/>
        <v>127225.53480000001</v>
      </c>
      <c r="O305" s="405"/>
      <c r="P305" s="406"/>
    </row>
    <row r="306" spans="1:17" s="125" customFormat="1" ht="13.9" customHeight="1" outlineLevel="1" x14ac:dyDescent="0.25">
      <c r="A306" s="390">
        <f ca="1">IF($H306="UNIDADE CONSTRUTIVA",OFFSET(A306,-1,0)+1,LARGE(A$3:A305,1))</f>
        <v>0</v>
      </c>
      <c r="B306" s="390">
        <f t="shared" ca="1" si="60"/>
        <v>17</v>
      </c>
      <c r="C306" s="390">
        <f t="shared" ca="1" si="61"/>
        <v>3</v>
      </c>
      <c r="D306" s="391">
        <f t="shared" ca="1" si="62"/>
        <v>1</v>
      </c>
      <c r="E306" s="391">
        <f t="shared" ca="1" si="63"/>
        <v>0</v>
      </c>
      <c r="G306" s="398"/>
      <c r="H306" s="399" t="s">
        <v>432</v>
      </c>
      <c r="I306" s="400" t="str">
        <f ca="1">IF(H306="Unidade Construtiva",TEXT(A306,"00"),IF(H306="Célula Construtiva",TEXT(B306,"00"),IF(H306="Etapa",CONCATENATE(TEXT(B306,"00"),".",TEXT(C306,"000")),IF(H306="Subetapa",CONCATENATE(TEXT(B306,"00"),".",TEXT(C306,"000"),".",TEXT(D306,"000")),IF(H306="Serviço",CONCATENATE(TEXT(B306,"00"),".",TEXT(C306,"000"),".",TEXT(D306,"000"),".",TEXT(E306,"000")),"")))))</f>
        <v>17.003.001</v>
      </c>
      <c r="J306" s="401" t="s">
        <v>555</v>
      </c>
      <c r="K306" s="402"/>
      <c r="L306" s="403"/>
      <c r="M306" s="403"/>
      <c r="N306" s="404">
        <f t="shared" ca="1" si="59"/>
        <v>69352.534800000009</v>
      </c>
      <c r="O306" s="405"/>
      <c r="P306" s="406"/>
    </row>
    <row r="307" spans="1:17" s="125" customFormat="1" ht="13.9" customHeight="1" outlineLevel="2" x14ac:dyDescent="0.25">
      <c r="A307" s="390">
        <f ca="1">IF($H307="UNIDADE CONSTRUTIVA",OFFSET(A307,-1,0)+1,LARGE(A$3:A306,1))</f>
        <v>0</v>
      </c>
      <c r="B307" s="390">
        <f t="shared" ca="1" si="60"/>
        <v>17</v>
      </c>
      <c r="C307" s="390">
        <f t="shared" ca="1" si="61"/>
        <v>3</v>
      </c>
      <c r="D307" s="391">
        <f t="shared" ca="1" si="62"/>
        <v>1</v>
      </c>
      <c r="E307" s="391">
        <f t="shared" ca="1" si="63"/>
        <v>1</v>
      </c>
      <c r="G307" s="398"/>
      <c r="H307" s="399" t="s">
        <v>433</v>
      </c>
      <c r="I307" s="400" t="str">
        <f ca="1">IF(H307="Unidade Construtiva",TEXT(A307,"00"),IF(H307="Célula Construtiva",TEXT(B307,"00"),IF(H307="Etapa",CONCATENATE(TEXT(B307,"00"),".",TEXT(C307,"000")),IF(H307="Subetapa",CONCATENATE(TEXT(B307,"00"),".",TEXT(C307,"000"),".",TEXT(D307,"000")),IF(H307="Serviço",CONCATENATE(TEXT(B307,"00"),".",TEXT(C307,"000"),".",TEXT(D307,"000"),".",TEXT(E307,"000")),"")))))</f>
        <v>17.003.001.001</v>
      </c>
      <c r="J307" s="401" t="s">
        <v>570</v>
      </c>
      <c r="K307" s="402" t="s">
        <v>54</v>
      </c>
      <c r="L307" s="403">
        <f>SUM(ESQUADRIAS!F95:F97)+SUM(ESQUADRIAS!G95:G97)*2</f>
        <v>1262.7</v>
      </c>
      <c r="M307" s="403">
        <v>54.923999999999999</v>
      </c>
      <c r="N307" s="404">
        <f t="shared" si="59"/>
        <v>69352.534800000009</v>
      </c>
      <c r="O307" s="405"/>
      <c r="P307" s="406" t="s">
        <v>3605</v>
      </c>
    </row>
    <row r="308" spans="1:17" s="125" customFormat="1" ht="13.9" customHeight="1" outlineLevel="1" x14ac:dyDescent="0.25">
      <c r="A308" s="390">
        <f ca="1">IF($H308="UNIDADE CONSTRUTIVA",OFFSET(A308,-1,0)+1,LARGE(A$3:A307,1))</f>
        <v>0</v>
      </c>
      <c r="B308" s="390">
        <f t="shared" ca="1" si="60"/>
        <v>17</v>
      </c>
      <c r="C308" s="390">
        <f t="shared" ca="1" si="61"/>
        <v>3</v>
      </c>
      <c r="D308" s="391">
        <f t="shared" ca="1" si="62"/>
        <v>2</v>
      </c>
      <c r="E308" s="391">
        <f t="shared" ca="1" si="63"/>
        <v>0</v>
      </c>
      <c r="G308" s="398"/>
      <c r="H308" s="399" t="s">
        <v>432</v>
      </c>
      <c r="I308" s="400" t="str">
        <f t="shared" ref="I308:I377" ca="1" si="69">IF(H308="Unidade Construtiva",TEXT(A308,"00"),IF(H308="Célula Construtiva",TEXT(B308,"00"),IF(H308="Etapa",CONCATENATE(TEXT(B308,"00"),".",TEXT(C308,"000")),IF(H308="Subetapa",CONCATENATE(TEXT(B308,"00"),".",TEXT(C308,"000"),".",TEXT(D308,"000")),IF(H308="Serviço",CONCATENATE(TEXT(B308,"00"),".",TEXT(C308,"000"),".",TEXT(D308,"000"),".",TEXT(E308,"000")),"")))))</f>
        <v>17.003.002</v>
      </c>
      <c r="J308" s="401" t="s">
        <v>571</v>
      </c>
      <c r="K308" s="402"/>
      <c r="L308" s="403"/>
      <c r="M308" s="403"/>
      <c r="N308" s="404">
        <f t="shared" ca="1" si="59"/>
        <v>47273</v>
      </c>
      <c r="O308" s="405"/>
      <c r="P308" s="406"/>
    </row>
    <row r="309" spans="1:17" s="125" customFormat="1" ht="13.9" customHeight="1" outlineLevel="2" x14ac:dyDescent="0.25">
      <c r="A309" s="390">
        <f ca="1">IF($H309="UNIDADE CONSTRUTIVA",OFFSET(A309,-1,0)+1,LARGE(A$3:A308,1))</f>
        <v>0</v>
      </c>
      <c r="B309" s="390">
        <f t="shared" ca="1" si="60"/>
        <v>17</v>
      </c>
      <c r="C309" s="390">
        <f t="shared" ca="1" si="61"/>
        <v>3</v>
      </c>
      <c r="D309" s="391">
        <f t="shared" ca="1" si="62"/>
        <v>2</v>
      </c>
      <c r="E309" s="391">
        <f t="shared" ca="1" si="63"/>
        <v>1</v>
      </c>
      <c r="G309" s="398"/>
      <c r="H309" s="399" t="s">
        <v>433</v>
      </c>
      <c r="I309" s="400" t="str">
        <f t="shared" ca="1" si="69"/>
        <v>17.003.002.001</v>
      </c>
      <c r="J309" s="401" t="s">
        <v>574</v>
      </c>
      <c r="K309" s="402" t="s">
        <v>31</v>
      </c>
      <c r="L309" s="403">
        <f>ESQUADRIAS!I95</f>
        <v>5</v>
      </c>
      <c r="M309" s="403">
        <f>939+50</f>
        <v>989</v>
      </c>
      <c r="N309" s="404">
        <f t="shared" si="59"/>
        <v>4945</v>
      </c>
      <c r="O309" s="405"/>
      <c r="P309" s="406" t="s">
        <v>3605</v>
      </c>
    </row>
    <row r="310" spans="1:17" s="125" customFormat="1" ht="13.9" customHeight="1" outlineLevel="2" x14ac:dyDescent="0.25">
      <c r="A310" s="390">
        <f ca="1">IF($H310="UNIDADE CONSTRUTIVA",OFFSET(A310,-1,0)+1,LARGE(A$3:A309,1))</f>
        <v>0</v>
      </c>
      <c r="B310" s="390">
        <f t="shared" ca="1" si="60"/>
        <v>17</v>
      </c>
      <c r="C310" s="390">
        <f t="shared" ca="1" si="61"/>
        <v>3</v>
      </c>
      <c r="D310" s="391">
        <f t="shared" ca="1" si="62"/>
        <v>2</v>
      </c>
      <c r="E310" s="391">
        <f t="shared" ca="1" si="63"/>
        <v>2</v>
      </c>
      <c r="G310" s="398"/>
      <c r="H310" s="399" t="s">
        <v>433</v>
      </c>
      <c r="I310" s="400" t="str">
        <f t="shared" ref="I310" ca="1" si="70">IF(H310="Unidade Construtiva",TEXT(A310,"00"),IF(H310="Célula Construtiva",TEXT(B310,"00"),IF(H310="Etapa",CONCATENATE(TEXT(B310,"00"),".",TEXT(C310,"000")),IF(H310="Subetapa",CONCATENATE(TEXT(B310,"00"),".",TEXT(C310,"000"),".",TEXT(D310,"000")),IF(H310="Serviço",CONCATENATE(TEXT(B310,"00"),".",TEXT(C310,"000"),".",TEXT(D310,"000"),".",TEXT(E310,"000")),"")))))</f>
        <v>17.003.002.002</v>
      </c>
      <c r="J310" s="401" t="s">
        <v>574</v>
      </c>
      <c r="K310" s="402" t="s">
        <v>31</v>
      </c>
      <c r="L310" s="403">
        <f>ESQUADRIAS!I96</f>
        <v>36</v>
      </c>
      <c r="M310" s="403">
        <f>998+50</f>
        <v>1048</v>
      </c>
      <c r="N310" s="404">
        <f t="shared" si="59"/>
        <v>37728</v>
      </c>
      <c r="O310" s="405"/>
      <c r="P310" s="406" t="s">
        <v>3605</v>
      </c>
    </row>
    <row r="311" spans="1:17" s="125" customFormat="1" ht="12.75" customHeight="1" outlineLevel="2" x14ac:dyDescent="0.25">
      <c r="A311" s="390">
        <f ca="1">IF($H311="UNIDADE CONSTRUTIVA",OFFSET(A311,-1,0)+1,LARGE(A$3:A310,1))</f>
        <v>0</v>
      </c>
      <c r="B311" s="390">
        <f t="shared" ca="1" si="60"/>
        <v>17</v>
      </c>
      <c r="C311" s="390">
        <f t="shared" ca="1" si="61"/>
        <v>3</v>
      </c>
      <c r="D311" s="391">
        <f t="shared" ca="1" si="62"/>
        <v>2</v>
      </c>
      <c r="E311" s="391">
        <f t="shared" ca="1" si="63"/>
        <v>3</v>
      </c>
      <c r="G311" s="398"/>
      <c r="H311" s="399" t="s">
        <v>433</v>
      </c>
      <c r="I311" s="400" t="str">
        <f t="shared" ca="1" si="69"/>
        <v>17.003.002.003</v>
      </c>
      <c r="J311" s="401" t="s">
        <v>572</v>
      </c>
      <c r="K311" s="402" t="s">
        <v>31</v>
      </c>
      <c r="L311" s="403">
        <f>ESQUADRIAS!I97</f>
        <v>4</v>
      </c>
      <c r="M311" s="403">
        <f>1100+50</f>
        <v>1150</v>
      </c>
      <c r="N311" s="404">
        <f t="shared" si="59"/>
        <v>4600</v>
      </c>
      <c r="O311" s="405"/>
      <c r="P311" s="406" t="s">
        <v>3605</v>
      </c>
    </row>
    <row r="312" spans="1:17" s="125" customFormat="1" ht="13.9" customHeight="1" outlineLevel="1" x14ac:dyDescent="0.25">
      <c r="A312" s="390">
        <f ca="1">IF($H312="UNIDADE CONSTRUTIVA",OFFSET(A312,-1,0)+1,LARGE(A$3:A311,1))</f>
        <v>0</v>
      </c>
      <c r="B312" s="390">
        <f t="shared" ca="1" si="60"/>
        <v>17</v>
      </c>
      <c r="C312" s="390">
        <f t="shared" ca="1" si="61"/>
        <v>3</v>
      </c>
      <c r="D312" s="391">
        <f t="shared" ca="1" si="62"/>
        <v>3</v>
      </c>
      <c r="E312" s="391">
        <f t="shared" ca="1" si="63"/>
        <v>0</v>
      </c>
      <c r="G312" s="398"/>
      <c r="H312" s="399" t="s">
        <v>432</v>
      </c>
      <c r="I312" s="400" t="str">
        <f t="shared" ca="1" si="69"/>
        <v>17.003.003</v>
      </c>
      <c r="J312" s="401" t="s">
        <v>575</v>
      </c>
      <c r="K312" s="402"/>
      <c r="L312" s="403"/>
      <c r="M312" s="403"/>
      <c r="N312" s="404">
        <f t="shared" ca="1" si="59"/>
        <v>4300</v>
      </c>
      <c r="O312" s="405"/>
      <c r="P312" s="406"/>
    </row>
    <row r="313" spans="1:17" s="125" customFormat="1" ht="13.9" customHeight="1" outlineLevel="2" x14ac:dyDescent="0.25">
      <c r="A313" s="390">
        <f ca="1">IF($H313="UNIDADE CONSTRUTIVA",OFFSET(A313,-1,0)+1,LARGE(A$3:A312,1))</f>
        <v>0</v>
      </c>
      <c r="B313" s="390">
        <f t="shared" ca="1" si="60"/>
        <v>17</v>
      </c>
      <c r="C313" s="390">
        <f t="shared" ca="1" si="61"/>
        <v>3</v>
      </c>
      <c r="D313" s="391">
        <f t="shared" ca="1" si="62"/>
        <v>3</v>
      </c>
      <c r="E313" s="391">
        <f t="shared" ca="1" si="63"/>
        <v>1</v>
      </c>
      <c r="G313" s="398"/>
      <c r="H313" s="399" t="s">
        <v>433</v>
      </c>
      <c r="I313" s="400" t="str">
        <f ca="1">IF(H313="Unidade Construtiva",TEXT(A313,"00"),IF(H313="Célula Construtiva",TEXT(B313,"00"),IF(H313="Etapa",CONCATENATE(TEXT(B313,"00"),".",TEXT(C313,"000")),IF(H313="Subetapa",CONCATENATE(TEXT(B313,"00"),".",TEXT(C313,"000"),".",TEXT(D313,"000")),IF(H313="Serviço",CONCATENATE(TEXT(B313,"00"),".",TEXT(C313,"000"),".",TEXT(D313,"000"),".",TEXT(E313,"000")),"")))))</f>
        <v>17.003.003.001</v>
      </c>
      <c r="J313" s="401" t="s">
        <v>576</v>
      </c>
      <c r="K313" s="402" t="s">
        <v>501</v>
      </c>
      <c r="L313" s="403">
        <v>1</v>
      </c>
      <c r="M313" s="403">
        <v>4300</v>
      </c>
      <c r="N313" s="404">
        <f t="shared" si="59"/>
        <v>4300</v>
      </c>
      <c r="O313" s="405"/>
      <c r="P313" s="406" t="s">
        <v>3605</v>
      </c>
    </row>
    <row r="314" spans="1:17" s="125" customFormat="1" ht="13.9" customHeight="1" outlineLevel="1" x14ac:dyDescent="0.25">
      <c r="A314" s="390">
        <f ca="1">IF($H314="UNIDADE CONSTRUTIVA",OFFSET(A314,-1,0)+1,LARGE(A$3:A313,1))</f>
        <v>0</v>
      </c>
      <c r="B314" s="390">
        <f t="shared" ca="1" si="60"/>
        <v>17</v>
      </c>
      <c r="C314" s="390">
        <f t="shared" ca="1" si="61"/>
        <v>3</v>
      </c>
      <c r="D314" s="391">
        <f t="shared" ca="1" si="62"/>
        <v>4</v>
      </c>
      <c r="E314" s="391">
        <f t="shared" ca="1" si="63"/>
        <v>0</v>
      </c>
      <c r="G314" s="398"/>
      <c r="H314" s="399" t="s">
        <v>432</v>
      </c>
      <c r="I314" s="400" t="str">
        <f t="shared" ca="1" si="69"/>
        <v>17.003.004</v>
      </c>
      <c r="J314" s="401" t="s">
        <v>454</v>
      </c>
      <c r="K314" s="402"/>
      <c r="L314" s="403"/>
      <c r="M314" s="403"/>
      <c r="N314" s="404">
        <f t="shared" ca="1" si="59"/>
        <v>6300</v>
      </c>
      <c r="O314" s="405"/>
      <c r="P314" s="406"/>
    </row>
    <row r="315" spans="1:17" s="125" customFormat="1" ht="13.9" customHeight="1" outlineLevel="2" x14ac:dyDescent="0.25">
      <c r="A315" s="390">
        <f ca="1">IF($H315="UNIDADE CONSTRUTIVA",OFFSET(A315,-1,0)+1,LARGE(A$3:A314,1))</f>
        <v>0</v>
      </c>
      <c r="B315" s="390">
        <f t="shared" ca="1" si="60"/>
        <v>17</v>
      </c>
      <c r="C315" s="390">
        <f t="shared" ca="1" si="61"/>
        <v>3</v>
      </c>
      <c r="D315" s="391">
        <f t="shared" ca="1" si="62"/>
        <v>4</v>
      </c>
      <c r="E315" s="391">
        <f t="shared" ca="1" si="63"/>
        <v>1</v>
      </c>
      <c r="G315" s="398"/>
      <c r="H315" s="399" t="s">
        <v>433</v>
      </c>
      <c r="I315" s="400" t="str">
        <f t="shared" ca="1" si="69"/>
        <v>17.003.004.001</v>
      </c>
      <c r="J315" s="401" t="s">
        <v>573</v>
      </c>
      <c r="K315" s="402" t="s">
        <v>31</v>
      </c>
      <c r="L315" s="403">
        <f>SUM(L309:L311)</f>
        <v>45</v>
      </c>
      <c r="M315" s="403">
        <v>140</v>
      </c>
      <c r="N315" s="404">
        <f t="shared" si="59"/>
        <v>6300</v>
      </c>
      <c r="O315" s="1001" t="s">
        <v>4204</v>
      </c>
      <c r="P315" s="406" t="s">
        <v>3605</v>
      </c>
    </row>
    <row r="316" spans="1:17" s="125" customFormat="1" ht="13.9" customHeight="1" collapsed="1" x14ac:dyDescent="0.25">
      <c r="A316" s="390">
        <f ca="1">IF($H316="UNIDADE CONSTRUTIVA",OFFSET(A316,-1,0)+1,LARGE(A$3:A315,1))</f>
        <v>0</v>
      </c>
      <c r="B316" s="390">
        <f t="shared" ca="1" si="60"/>
        <v>18</v>
      </c>
      <c r="C316" s="390">
        <f t="shared" ca="1" si="61"/>
        <v>0</v>
      </c>
      <c r="D316" s="391">
        <f t="shared" ca="1" si="62"/>
        <v>4</v>
      </c>
      <c r="E316" s="391">
        <f t="shared" ca="1" si="63"/>
        <v>1</v>
      </c>
      <c r="G316" s="398"/>
      <c r="H316" s="399" t="s">
        <v>430</v>
      </c>
      <c r="I316" s="400" t="str">
        <f t="shared" ca="1" si="69"/>
        <v>18</v>
      </c>
      <c r="J316" s="401" t="s">
        <v>247</v>
      </c>
      <c r="K316" s="402"/>
      <c r="L316" s="403"/>
      <c r="M316" s="403"/>
      <c r="N316" s="404">
        <f t="shared" ca="1" si="59"/>
        <v>563017.14800000004</v>
      </c>
      <c r="O316" s="405"/>
      <c r="P316" s="406"/>
      <c r="Q316" s="986">
        <f ca="1">N316/Obra!$E$9</f>
        <v>43.888576923106903</v>
      </c>
    </row>
    <row r="317" spans="1:17" s="125" customFormat="1" ht="13.9" hidden="1" customHeight="1" outlineLevel="1" x14ac:dyDescent="0.25">
      <c r="A317" s="390">
        <f ca="1">IF($H317="UNIDADE CONSTRUTIVA",OFFSET(A317,-1,0)+1,LARGE(A$3:A316,1))</f>
        <v>0</v>
      </c>
      <c r="B317" s="390">
        <f t="shared" ca="1" si="60"/>
        <v>18</v>
      </c>
      <c r="C317" s="390">
        <f t="shared" ca="1" si="61"/>
        <v>1</v>
      </c>
      <c r="D317" s="391">
        <f t="shared" ca="1" si="62"/>
        <v>0</v>
      </c>
      <c r="E317" s="391">
        <f t="shared" ca="1" si="63"/>
        <v>1</v>
      </c>
      <c r="G317" s="398"/>
      <c r="H317" s="399" t="s">
        <v>229</v>
      </c>
      <c r="I317" s="400" t="str">
        <f t="shared" ca="1" si="69"/>
        <v>18.001</v>
      </c>
      <c r="J317" s="401" t="s">
        <v>247</v>
      </c>
      <c r="K317" s="402"/>
      <c r="L317" s="403"/>
      <c r="M317" s="403"/>
      <c r="N317" s="404">
        <f t="shared" ca="1" si="59"/>
        <v>563017.14800000004</v>
      </c>
      <c r="O317" s="405"/>
      <c r="P317" s="406"/>
    </row>
    <row r="318" spans="1:17" s="125" customFormat="1" ht="13.9" hidden="1" customHeight="1" outlineLevel="1" x14ac:dyDescent="0.25">
      <c r="A318" s="390">
        <f ca="1">IF($H318="UNIDADE CONSTRUTIVA",OFFSET(A318,-1,0)+1,LARGE(A$3:A317,1))</f>
        <v>0</v>
      </c>
      <c r="B318" s="390">
        <f t="shared" ca="1" si="60"/>
        <v>18</v>
      </c>
      <c r="C318" s="390">
        <f t="shared" ca="1" si="61"/>
        <v>1</v>
      </c>
      <c r="D318" s="391">
        <f t="shared" ca="1" si="62"/>
        <v>1</v>
      </c>
      <c r="E318" s="391">
        <f t="shared" ca="1" si="63"/>
        <v>0</v>
      </c>
      <c r="G318" s="398"/>
      <c r="H318" s="399" t="s">
        <v>432</v>
      </c>
      <c r="I318" s="400" t="str">
        <f t="shared" ca="1" si="69"/>
        <v>18.001.001</v>
      </c>
      <c r="J318" s="401" t="s">
        <v>291</v>
      </c>
      <c r="K318" s="402"/>
      <c r="L318" s="403"/>
      <c r="M318" s="403"/>
      <c r="N318" s="404">
        <f t="shared" ca="1" si="59"/>
        <v>407287.91800000001</v>
      </c>
      <c r="O318" s="405"/>
      <c r="P318" s="406"/>
    </row>
    <row r="319" spans="1:17" s="125" customFormat="1" ht="13.9" hidden="1" customHeight="1" outlineLevel="2" x14ac:dyDescent="0.25">
      <c r="A319" s="390">
        <f ca="1">IF($H319="UNIDADE CONSTRUTIVA",OFFSET(A319,-1,0)+1,LARGE(A$3:A318,1))</f>
        <v>0</v>
      </c>
      <c r="B319" s="390">
        <f t="shared" ca="1" si="60"/>
        <v>18</v>
      </c>
      <c r="C319" s="390">
        <f t="shared" ca="1" si="61"/>
        <v>1</v>
      </c>
      <c r="D319" s="391">
        <f t="shared" ca="1" si="62"/>
        <v>1</v>
      </c>
      <c r="E319" s="391">
        <f t="shared" ca="1" si="63"/>
        <v>1</v>
      </c>
      <c r="G319" s="398"/>
      <c r="H319" s="399" t="s">
        <v>433</v>
      </c>
      <c r="I319" s="400" t="str">
        <f t="shared" ca="1" si="69"/>
        <v>18.001.001.001</v>
      </c>
      <c r="J319" s="401" t="s">
        <v>3591</v>
      </c>
      <c r="K319" s="402" t="s">
        <v>74</v>
      </c>
      <c r="L319" s="403">
        <v>1</v>
      </c>
      <c r="M319" s="403">
        <f>SUM('LOUÇAS E METAIS'!S8:S26)</f>
        <v>407287.91800000001</v>
      </c>
      <c r="N319" s="404">
        <f t="shared" si="59"/>
        <v>407287.91800000001</v>
      </c>
      <c r="O319" s="405"/>
      <c r="P319" s="406" t="s">
        <v>3605</v>
      </c>
    </row>
    <row r="320" spans="1:17" s="125" customFormat="1" ht="13.9" hidden="1" customHeight="1" outlineLevel="1" x14ac:dyDescent="0.25">
      <c r="A320" s="390">
        <f ca="1">IF($H320="UNIDADE CONSTRUTIVA",OFFSET(A320,-1,0)+1,LARGE(A$3:A319,1))</f>
        <v>0</v>
      </c>
      <c r="B320" s="390">
        <f t="shared" ca="1" si="60"/>
        <v>18</v>
      </c>
      <c r="C320" s="390">
        <f t="shared" ca="1" si="61"/>
        <v>1</v>
      </c>
      <c r="D320" s="391">
        <f t="shared" ca="1" si="62"/>
        <v>2</v>
      </c>
      <c r="E320" s="391">
        <f t="shared" ca="1" si="63"/>
        <v>0</v>
      </c>
      <c r="G320" s="398"/>
      <c r="H320" s="399" t="s">
        <v>432</v>
      </c>
      <c r="I320" s="400" t="str">
        <f t="shared" ca="1" si="69"/>
        <v>18.001.002</v>
      </c>
      <c r="J320" s="401" t="s">
        <v>577</v>
      </c>
      <c r="K320" s="402"/>
      <c r="L320" s="403"/>
      <c r="M320" s="403"/>
      <c r="N320" s="404">
        <f t="shared" ca="1" si="59"/>
        <v>64147.630000000005</v>
      </c>
      <c r="O320" s="405"/>
      <c r="P320" s="406"/>
    </row>
    <row r="321" spans="1:17" s="125" customFormat="1" ht="13.9" hidden="1" customHeight="1" outlineLevel="2" x14ac:dyDescent="0.25">
      <c r="A321" s="390">
        <f ca="1">IF($H321="UNIDADE CONSTRUTIVA",OFFSET(A321,-1,0)+1,LARGE(A$3:A320,1))</f>
        <v>0</v>
      </c>
      <c r="B321" s="390">
        <f t="shared" ca="1" si="60"/>
        <v>18</v>
      </c>
      <c r="C321" s="390">
        <f t="shared" ca="1" si="61"/>
        <v>1</v>
      </c>
      <c r="D321" s="391">
        <f t="shared" ca="1" si="62"/>
        <v>2</v>
      </c>
      <c r="E321" s="391">
        <f t="shared" ca="1" si="63"/>
        <v>1</v>
      </c>
      <c r="G321" s="398"/>
      <c r="H321" s="399" t="s">
        <v>433</v>
      </c>
      <c r="I321" s="400" t="str">
        <f t="shared" ca="1" si="69"/>
        <v>18.001.002.001</v>
      </c>
      <c r="J321" s="401" t="s">
        <v>309</v>
      </c>
      <c r="K321" s="402" t="s">
        <v>74</v>
      </c>
      <c r="L321" s="403">
        <v>1</v>
      </c>
      <c r="M321" s="403">
        <f>SUM('LOUÇAS E METAIS'!S28:S45)</f>
        <v>64147.630000000005</v>
      </c>
      <c r="N321" s="404">
        <f t="shared" si="59"/>
        <v>64147.630000000005</v>
      </c>
      <c r="O321" s="405"/>
      <c r="P321" s="406" t="s">
        <v>3605</v>
      </c>
    </row>
    <row r="322" spans="1:17" s="125" customFormat="1" ht="13.9" hidden="1" customHeight="1" outlineLevel="1" x14ac:dyDescent="0.25">
      <c r="A322" s="390">
        <f ca="1">IF($H322="UNIDADE CONSTRUTIVA",OFFSET(A322,-1,0)+1,LARGE(A$3:A321,1))</f>
        <v>0</v>
      </c>
      <c r="B322" s="390">
        <f t="shared" ca="1" si="60"/>
        <v>18</v>
      </c>
      <c r="C322" s="390">
        <f t="shared" ca="1" si="61"/>
        <v>1</v>
      </c>
      <c r="D322" s="391">
        <f t="shared" ca="1" si="62"/>
        <v>3</v>
      </c>
      <c r="E322" s="391">
        <f t="shared" ca="1" si="63"/>
        <v>0</v>
      </c>
      <c r="G322" s="398"/>
      <c r="H322" s="399" t="s">
        <v>432</v>
      </c>
      <c r="I322" s="400" t="str">
        <f t="shared" ca="1" si="69"/>
        <v>18.001.003</v>
      </c>
      <c r="J322" s="401" t="s">
        <v>578</v>
      </c>
      <c r="K322" s="402"/>
      <c r="L322" s="403"/>
      <c r="M322" s="403"/>
      <c r="N322" s="404">
        <f t="shared" ca="1" si="59"/>
        <v>91581.6</v>
      </c>
      <c r="O322" s="405"/>
      <c r="P322" s="406"/>
    </row>
    <row r="323" spans="1:17" s="125" customFormat="1" ht="13.9" hidden="1" customHeight="1" outlineLevel="2" x14ac:dyDescent="0.25">
      <c r="A323" s="390">
        <f ca="1">IF($H323="UNIDADE CONSTRUTIVA",OFFSET(A323,-1,0)+1,LARGE(A$3:A322,1))</f>
        <v>0</v>
      </c>
      <c r="B323" s="390">
        <f t="shared" ca="1" si="60"/>
        <v>18</v>
      </c>
      <c r="C323" s="390">
        <f t="shared" ca="1" si="61"/>
        <v>1</v>
      </c>
      <c r="D323" s="391">
        <f t="shared" ca="1" si="62"/>
        <v>3</v>
      </c>
      <c r="E323" s="391">
        <f t="shared" ca="1" si="63"/>
        <v>1</v>
      </c>
      <c r="G323" s="398"/>
      <c r="H323" s="399" t="s">
        <v>433</v>
      </c>
      <c r="I323" s="400" t="str">
        <f t="shared" ca="1" si="69"/>
        <v>18.001.003.001</v>
      </c>
      <c r="J323" s="401" t="s">
        <v>579</v>
      </c>
      <c r="K323" s="402" t="s">
        <v>66</v>
      </c>
      <c r="L323" s="403">
        <v>1</v>
      </c>
      <c r="M323" s="403">
        <f>SUM('LOUÇAS E METAIS'!S46:S49)</f>
        <v>91581.6</v>
      </c>
      <c r="N323" s="404">
        <f t="shared" si="59"/>
        <v>91581.6</v>
      </c>
      <c r="O323" s="405"/>
      <c r="P323" s="406" t="s">
        <v>3605</v>
      </c>
    </row>
    <row r="324" spans="1:17" s="125" customFormat="1" ht="13.9" customHeight="1" collapsed="1" x14ac:dyDescent="0.25">
      <c r="A324" s="390">
        <f ca="1">IF($H324="UNIDADE CONSTRUTIVA",OFFSET(A324,-1,0)+1,LARGE(A$3:A323,1))</f>
        <v>0</v>
      </c>
      <c r="B324" s="390">
        <f t="shared" ca="1" si="60"/>
        <v>19</v>
      </c>
      <c r="C324" s="390">
        <f t="shared" ca="1" si="61"/>
        <v>0</v>
      </c>
      <c r="D324" s="391">
        <f t="shared" ca="1" si="62"/>
        <v>3</v>
      </c>
      <c r="E324" s="391">
        <f t="shared" ca="1" si="63"/>
        <v>1</v>
      </c>
      <c r="G324" s="398"/>
      <c r="H324" s="399" t="s">
        <v>430</v>
      </c>
      <c r="I324" s="400" t="str">
        <f t="shared" ref="I324:I336" ca="1" si="71">IF(H324="Unidade Construtiva",TEXT(A324,"00"),IF(H324="Célula Construtiva",TEXT(B324,"00"),IF(H324="Etapa",CONCATENATE(TEXT(B324,"00"),".",TEXT(C324,"000")),IF(H324="Subetapa",CONCATENATE(TEXT(B324,"00"),".",TEXT(C324,"000"),".",TEXT(D324,"000")),IF(H324="Serviço",CONCATENATE(TEXT(B324,"00"),".",TEXT(C324,"000"),".",TEXT(D324,"000"),".",TEXT(E324,"000")),"")))))</f>
        <v>19</v>
      </c>
      <c r="J324" s="401" t="s">
        <v>248</v>
      </c>
      <c r="K324" s="402"/>
      <c r="L324" s="403"/>
      <c r="M324" s="403"/>
      <c r="N324" s="404">
        <f t="shared" ca="1" si="59"/>
        <v>147997.62263807998</v>
      </c>
      <c r="O324" s="405"/>
      <c r="P324" s="406"/>
      <c r="Q324" s="986">
        <f ca="1">N324/Obra!$E$9</f>
        <v>11.536780129454103</v>
      </c>
    </row>
    <row r="325" spans="1:17" s="125" customFormat="1" ht="13.9" hidden="1" customHeight="1" outlineLevel="1" x14ac:dyDescent="0.25">
      <c r="A325" s="390">
        <f ca="1">IF($H325="UNIDADE CONSTRUTIVA",OFFSET(A325,-1,0)+1,LARGE(A$3:A324,1))</f>
        <v>0</v>
      </c>
      <c r="B325" s="390">
        <f t="shared" ca="1" si="60"/>
        <v>19</v>
      </c>
      <c r="C325" s="390">
        <f t="shared" ca="1" si="61"/>
        <v>1</v>
      </c>
      <c r="D325" s="391">
        <f t="shared" ca="1" si="62"/>
        <v>0</v>
      </c>
      <c r="E325" s="391">
        <f t="shared" ca="1" si="63"/>
        <v>1</v>
      </c>
      <c r="G325" s="398"/>
      <c r="H325" s="399" t="s">
        <v>229</v>
      </c>
      <c r="I325" s="400" t="str">
        <f t="shared" ca="1" si="71"/>
        <v>19.001</v>
      </c>
      <c r="J325" s="401" t="s">
        <v>248</v>
      </c>
      <c r="K325" s="402"/>
      <c r="L325" s="403"/>
      <c r="M325" s="403"/>
      <c r="N325" s="404">
        <f t="shared" ca="1" si="59"/>
        <v>147997.62263807998</v>
      </c>
      <c r="O325" s="405"/>
      <c r="P325" s="406"/>
    </row>
    <row r="326" spans="1:17" s="125" customFormat="1" ht="13.9" hidden="1" customHeight="1" outlineLevel="1" x14ac:dyDescent="0.25">
      <c r="A326" s="390">
        <f ca="1">IF($H326="UNIDADE CONSTRUTIVA",OFFSET(A326,-1,0)+1,LARGE(A$3:A325,1))</f>
        <v>0</v>
      </c>
      <c r="B326" s="390">
        <f t="shared" ca="1" si="60"/>
        <v>19</v>
      </c>
      <c r="C326" s="390">
        <f t="shared" ca="1" si="61"/>
        <v>1</v>
      </c>
      <c r="D326" s="391">
        <f t="shared" ca="1" si="62"/>
        <v>1</v>
      </c>
      <c r="E326" s="391">
        <f t="shared" ca="1" si="63"/>
        <v>0</v>
      </c>
      <c r="G326" s="398"/>
      <c r="H326" s="399" t="s">
        <v>432</v>
      </c>
      <c r="I326" s="400" t="str">
        <f t="shared" ca="1" si="71"/>
        <v>19.001.001</v>
      </c>
      <c r="J326" s="401" t="s">
        <v>3592</v>
      </c>
      <c r="K326" s="402"/>
      <c r="L326" s="403"/>
      <c r="M326" s="403"/>
      <c r="N326" s="404">
        <f t="shared" ca="1" si="59"/>
        <v>37249.259940000004</v>
      </c>
      <c r="O326" s="405"/>
      <c r="P326" s="406"/>
    </row>
    <row r="327" spans="1:17" s="125" customFormat="1" ht="13.9" hidden="1" customHeight="1" outlineLevel="2" x14ac:dyDescent="0.25">
      <c r="A327" s="390">
        <f ca="1">IF($H327="UNIDADE CONSTRUTIVA",OFFSET(A327,-1,0)+1,LARGE(A$3:A326,1))</f>
        <v>0</v>
      </c>
      <c r="B327" s="390">
        <f t="shared" ca="1" si="60"/>
        <v>19</v>
      </c>
      <c r="C327" s="390">
        <f t="shared" ca="1" si="61"/>
        <v>1</v>
      </c>
      <c r="D327" s="391">
        <f t="shared" ca="1" si="62"/>
        <v>1</v>
      </c>
      <c r="E327" s="391">
        <f t="shared" ca="1" si="63"/>
        <v>1</v>
      </c>
      <c r="G327" s="398"/>
      <c r="H327" s="399" t="s">
        <v>433</v>
      </c>
      <c r="I327" s="400" t="str">
        <f t="shared" ca="1" si="71"/>
        <v>19.001.001.001</v>
      </c>
      <c r="J327" s="401" t="s">
        <v>3601</v>
      </c>
      <c r="K327" s="402" t="s">
        <v>66</v>
      </c>
      <c r="L327" s="403">
        <f>'ARQ. RES'!$D$23</f>
        <v>311</v>
      </c>
      <c r="M327" s="403">
        <v>119.77254000000001</v>
      </c>
      <c r="N327" s="404">
        <f t="shared" si="59"/>
        <v>37249.259940000004</v>
      </c>
      <c r="O327" s="405"/>
      <c r="P327" s="406" t="s">
        <v>3605</v>
      </c>
    </row>
    <row r="328" spans="1:17" s="125" customFormat="1" ht="13.9" hidden="1" customHeight="1" outlineLevel="1" x14ac:dyDescent="0.25">
      <c r="A328" s="390">
        <f ca="1">IF($H328="UNIDADE CONSTRUTIVA",OFFSET(A328,-1,0)+1,LARGE(A$3:A327,1))</f>
        <v>0</v>
      </c>
      <c r="B328" s="390">
        <f t="shared" ca="1" si="60"/>
        <v>19</v>
      </c>
      <c r="C328" s="390">
        <f t="shared" ca="1" si="61"/>
        <v>1</v>
      </c>
      <c r="D328" s="391">
        <f t="shared" ca="1" si="62"/>
        <v>2</v>
      </c>
      <c r="E328" s="391">
        <f t="shared" ca="1" si="63"/>
        <v>0</v>
      </c>
      <c r="G328" s="398"/>
      <c r="H328" s="399" t="s">
        <v>432</v>
      </c>
      <c r="I328" s="400" t="str">
        <f t="shared" ca="1" si="71"/>
        <v>19.001.002</v>
      </c>
      <c r="J328" s="401" t="s">
        <v>3593</v>
      </c>
      <c r="K328" s="402"/>
      <c r="L328" s="403"/>
      <c r="M328" s="403"/>
      <c r="N328" s="404">
        <f t="shared" ref="N328:N391" ca="1" si="72">IF(H328="Serviço",M328*L328,IF(H328="CÉLULA CONSTRUTIVA",SUMIFS($N$8:$N$395,$B$8:$B$395,B328,$H$8:$H$395,"Serviço"),IF(H328="ETAPA",SUMIFS($N$8:$N$395,$B$8:$B$395,B328,$C$8:$C$395,C328,$H$8:$H$395,"Serviço"),IF(H328="SUBETAPA",SUMIFS($N$8:$N$395,$B$8:$B$395,B328,$C$8:$C$395,C328,$D$8:$D$395,D328,$H$8:$H$395,"Serviço"),0))))</f>
        <v>12329.725620000001</v>
      </c>
      <c r="O328" s="405"/>
      <c r="P328" s="406"/>
    </row>
    <row r="329" spans="1:17" s="125" customFormat="1" ht="13.9" hidden="1" customHeight="1" outlineLevel="2" x14ac:dyDescent="0.25">
      <c r="A329" s="390">
        <f ca="1">IF($H329="UNIDADE CONSTRUTIVA",OFFSET(A329,-1,0)+1,LARGE(A$3:A328,1))</f>
        <v>0</v>
      </c>
      <c r="B329" s="390">
        <f t="shared" ref="B329:B392" ca="1" si="73">IF(H329="UNIDADE CONSTRUTIVA",0,IF(H329="CÉLULA CONSTRUTIVA",OFFSET(B329,-1,0)+1,OFFSET(B329,-1,0)))</f>
        <v>19</v>
      </c>
      <c r="C329" s="390">
        <f t="shared" ref="C329:C392" ca="1" si="74">IF(H329="CÉLULA CONSTRUTIVA",0,IF(H329="ETAPA",OFFSET(C329,-1,0)+1,OFFSET(C329,-1,0)))</f>
        <v>1</v>
      </c>
      <c r="D329" s="391">
        <f t="shared" ref="D329:D392" ca="1" si="75">IF(H329="ETAPA",0,IF(H329="SUBETAPA",OFFSET(D329,-1,0)+1,OFFSET(D329,-1,0)))</f>
        <v>2</v>
      </c>
      <c r="E329" s="391">
        <f t="shared" ref="E329:E392" ca="1" si="76">IF(H329="Subetapa",0,IF(H329="serviço",OFFSET(E329,-1,0)+1,OFFSET(E329,-1,0)))</f>
        <v>1</v>
      </c>
      <c r="G329" s="398"/>
      <c r="H329" s="399" t="s">
        <v>433</v>
      </c>
      <c r="I329" s="400" t="str">
        <f t="shared" ca="1" si="71"/>
        <v>19.001.002.001</v>
      </c>
      <c r="J329" s="401" t="s">
        <v>3600</v>
      </c>
      <c r="K329" s="402" t="s">
        <v>66</v>
      </c>
      <c r="L329" s="403">
        <f>'ARQ. RES'!$D$23</f>
        <v>311</v>
      </c>
      <c r="M329" s="403">
        <v>39.645420000000001</v>
      </c>
      <c r="N329" s="404">
        <f t="shared" si="72"/>
        <v>12329.725620000001</v>
      </c>
      <c r="O329" s="405"/>
      <c r="P329" s="406" t="s">
        <v>3605</v>
      </c>
    </row>
    <row r="330" spans="1:17" s="125" customFormat="1" ht="13.9" hidden="1" customHeight="1" outlineLevel="1" x14ac:dyDescent="0.25">
      <c r="A330" s="390">
        <f ca="1">IF($H330="UNIDADE CONSTRUTIVA",OFFSET(A330,-1,0)+1,LARGE(A$3:A329,1))</f>
        <v>0</v>
      </c>
      <c r="B330" s="390">
        <f t="shared" ca="1" si="73"/>
        <v>19</v>
      </c>
      <c r="C330" s="390">
        <f t="shared" ca="1" si="74"/>
        <v>1</v>
      </c>
      <c r="D330" s="391">
        <f t="shared" ca="1" si="75"/>
        <v>3</v>
      </c>
      <c r="E330" s="391">
        <f t="shared" ca="1" si="76"/>
        <v>0</v>
      </c>
      <c r="G330" s="398"/>
      <c r="H330" s="399" t="s">
        <v>432</v>
      </c>
      <c r="I330" s="400" t="str">
        <f t="shared" ref="I330:I332" ca="1" si="77">IF(H330="Unidade Construtiva",TEXT(A330,"00"),IF(H330="Célula Construtiva",TEXT(B330,"00"),IF(H330="Etapa",CONCATENATE(TEXT(B330,"00"),".",TEXT(C330,"000")),IF(H330="Subetapa",CONCATENATE(TEXT(B330,"00"),".",TEXT(C330,"000"),".",TEXT(D330,"000")),IF(H330="Serviço",CONCATENATE(TEXT(B330,"00"),".",TEXT(C330,"000"),".",TEXT(D330,"000"),".",TEXT(E330,"000")),"")))))</f>
        <v>19.001.003</v>
      </c>
      <c r="J330" s="401" t="s">
        <v>3594</v>
      </c>
      <c r="K330" s="402"/>
      <c r="L330" s="403"/>
      <c r="M330" s="403"/>
      <c r="N330" s="404">
        <f t="shared" ca="1" si="72"/>
        <v>8479.6570780799993</v>
      </c>
      <c r="O330" s="405"/>
      <c r="P330" s="406"/>
    </row>
    <row r="331" spans="1:17" s="125" customFormat="1" ht="13.9" hidden="1" customHeight="1" outlineLevel="2" x14ac:dyDescent="0.25">
      <c r="A331" s="390">
        <f ca="1">IF($H331="UNIDADE CONSTRUTIVA",OFFSET(A331,-1,0)+1,LARGE(A$3:A330,1))</f>
        <v>0</v>
      </c>
      <c r="B331" s="390">
        <f t="shared" ca="1" si="73"/>
        <v>19</v>
      </c>
      <c r="C331" s="390">
        <f t="shared" ca="1" si="74"/>
        <v>1</v>
      </c>
      <c r="D331" s="391">
        <f t="shared" ca="1" si="75"/>
        <v>3</v>
      </c>
      <c r="E331" s="391">
        <f t="shared" ca="1" si="76"/>
        <v>1</v>
      </c>
      <c r="G331" s="398"/>
      <c r="H331" s="399" t="s">
        <v>433</v>
      </c>
      <c r="I331" s="400" t="str">
        <f t="shared" ref="I331" ca="1" si="78">IF(H331="Unidade Construtiva",TEXT(A331,"00"),IF(H331="Célula Construtiva",TEXT(B331,"00"),IF(H331="Etapa",CONCATENATE(TEXT(B331,"00"),".",TEXT(C331,"000")),IF(H331="Subetapa",CONCATENATE(TEXT(B331,"00"),".",TEXT(C331,"000"),".",TEXT(D331,"000")),IF(H331="Serviço",CONCATENATE(TEXT(B331,"00"),".",TEXT(C331,"000"),".",TEXT(D331,"000"),".",TEXT(E331,"000")),"")))))</f>
        <v>19.001.003.001</v>
      </c>
      <c r="J331" s="401" t="s">
        <v>3602</v>
      </c>
      <c r="K331" s="402" t="s">
        <v>54</v>
      </c>
      <c r="L331" s="403">
        <f>'ARQ. RES'!$D$20</f>
        <v>77.42</v>
      </c>
      <c r="M331" s="403">
        <v>84.197948999999994</v>
      </c>
      <c r="N331" s="404">
        <f t="shared" si="72"/>
        <v>6518.6052115799994</v>
      </c>
      <c r="O331" s="405"/>
      <c r="P331" s="406" t="s">
        <v>3605</v>
      </c>
    </row>
    <row r="332" spans="1:17" s="125" customFormat="1" ht="13.9" hidden="1" customHeight="1" outlineLevel="2" x14ac:dyDescent="0.25">
      <c r="A332" s="390">
        <f ca="1">IF($H332="UNIDADE CONSTRUTIVA",OFFSET(A332,-1,0)+1,LARGE(A$3:A331,1))</f>
        <v>0</v>
      </c>
      <c r="B332" s="390">
        <f t="shared" ca="1" si="73"/>
        <v>19</v>
      </c>
      <c r="C332" s="390">
        <f t="shared" ca="1" si="74"/>
        <v>1</v>
      </c>
      <c r="D332" s="391">
        <f t="shared" ca="1" si="75"/>
        <v>3</v>
      </c>
      <c r="E332" s="391">
        <f t="shared" ca="1" si="76"/>
        <v>2</v>
      </c>
      <c r="G332" s="398"/>
      <c r="H332" s="399" t="s">
        <v>433</v>
      </c>
      <c r="I332" s="400" t="str">
        <f t="shared" ca="1" si="77"/>
        <v>19.001.003.002</v>
      </c>
      <c r="J332" s="401" t="s">
        <v>3603</v>
      </c>
      <c r="K332" s="402" t="s">
        <v>54</v>
      </c>
      <c r="L332" s="403">
        <f>'ARQ. RES'!$D$22</f>
        <v>48.25</v>
      </c>
      <c r="M332" s="403">
        <v>40.643562000000003</v>
      </c>
      <c r="N332" s="404">
        <f t="shared" si="72"/>
        <v>1961.0518665000002</v>
      </c>
      <c r="O332" s="405"/>
      <c r="P332" s="406" t="s">
        <v>3605</v>
      </c>
    </row>
    <row r="333" spans="1:17" s="125" customFormat="1" ht="13.9" hidden="1" customHeight="1" outlineLevel="1" x14ac:dyDescent="0.25">
      <c r="A333" s="390">
        <f ca="1">IF($H333="UNIDADE CONSTRUTIVA",OFFSET(A333,-1,0)+1,LARGE(A$3:A332,1))</f>
        <v>0</v>
      </c>
      <c r="B333" s="390">
        <f t="shared" ca="1" si="73"/>
        <v>19</v>
      </c>
      <c r="C333" s="390">
        <f t="shared" ca="1" si="74"/>
        <v>1</v>
      </c>
      <c r="D333" s="391">
        <f t="shared" ca="1" si="75"/>
        <v>4</v>
      </c>
      <c r="E333" s="391">
        <f t="shared" ca="1" si="76"/>
        <v>0</v>
      </c>
      <c r="G333" s="398"/>
      <c r="H333" s="399" t="s">
        <v>432</v>
      </c>
      <c r="I333" s="400" t="str">
        <f t="shared" ca="1" si="71"/>
        <v>19.001.004</v>
      </c>
      <c r="J333" s="401" t="s">
        <v>3595</v>
      </c>
      <c r="K333" s="402"/>
      <c r="L333" s="403"/>
      <c r="M333" s="403"/>
      <c r="N333" s="404">
        <f t="shared" ca="1" si="72"/>
        <v>8182.9800000000005</v>
      </c>
      <c r="O333" s="405"/>
      <c r="P333" s="406"/>
    </row>
    <row r="334" spans="1:17" s="125" customFormat="1" ht="13.9" hidden="1" customHeight="1" outlineLevel="2" x14ac:dyDescent="0.25">
      <c r="A334" s="390">
        <f ca="1">IF($H334="UNIDADE CONSTRUTIVA",OFFSET(A334,-1,0)+1,LARGE(A$3:A333,1))</f>
        <v>0</v>
      </c>
      <c r="B334" s="390">
        <f t="shared" ca="1" si="73"/>
        <v>19</v>
      </c>
      <c r="C334" s="390">
        <f t="shared" ca="1" si="74"/>
        <v>1</v>
      </c>
      <c r="D334" s="391">
        <f t="shared" ca="1" si="75"/>
        <v>4</v>
      </c>
      <c r="E334" s="391">
        <f t="shared" ca="1" si="76"/>
        <v>1</v>
      </c>
      <c r="G334" s="398"/>
      <c r="H334" s="399" t="s">
        <v>433</v>
      </c>
      <c r="I334" s="400" t="str">
        <f t="shared" ref="I334" ca="1" si="79">IF(H334="Unidade Construtiva",TEXT(A334,"00"),IF(H334="Célula Construtiva",TEXT(B334,"00"),IF(H334="Etapa",CONCATENATE(TEXT(B334,"00"),".",TEXT(C334,"000")),IF(H334="Subetapa",CONCATENATE(TEXT(B334,"00"),".",TEXT(C334,"000"),".",TEXT(D334,"000")),IF(H334="Serviço",CONCATENATE(TEXT(B334,"00"),".",TEXT(C334,"000"),".",TEXT(D334,"000"),".",TEXT(E334,"000")),"")))))</f>
        <v>19.001.004.001</v>
      </c>
      <c r="J334" s="401" t="s">
        <v>3604</v>
      </c>
      <c r="K334" s="402" t="s">
        <v>66</v>
      </c>
      <c r="L334" s="403">
        <f>'ARQ. RES'!$D$21</f>
        <v>8.07</v>
      </c>
      <c r="M334" s="403">
        <v>1014</v>
      </c>
      <c r="N334" s="404">
        <f t="shared" si="72"/>
        <v>8182.9800000000005</v>
      </c>
      <c r="O334" s="405"/>
      <c r="P334" s="406" t="s">
        <v>3605</v>
      </c>
    </row>
    <row r="335" spans="1:17" s="125" customFormat="1" ht="13.9" hidden="1" customHeight="1" outlineLevel="1" x14ac:dyDescent="0.25">
      <c r="A335" s="390">
        <f ca="1">IF($H335="UNIDADE CONSTRUTIVA",OFFSET(A335,-1,0)+1,LARGE(A$3:A334,1))</f>
        <v>0</v>
      </c>
      <c r="B335" s="390">
        <f t="shared" ca="1" si="73"/>
        <v>19</v>
      </c>
      <c r="C335" s="390">
        <f t="shared" ca="1" si="74"/>
        <v>1</v>
      </c>
      <c r="D335" s="391">
        <f t="shared" ca="1" si="75"/>
        <v>5</v>
      </c>
      <c r="E335" s="391">
        <f t="shared" ca="1" si="76"/>
        <v>0</v>
      </c>
      <c r="G335" s="398"/>
      <c r="H335" s="399" t="s">
        <v>432</v>
      </c>
      <c r="I335" s="400" t="str">
        <f t="shared" ca="1" si="71"/>
        <v>19.001.005</v>
      </c>
      <c r="J335" s="401" t="s">
        <v>3684</v>
      </c>
      <c r="K335" s="402"/>
      <c r="L335" s="403"/>
      <c r="M335" s="403"/>
      <c r="N335" s="404">
        <f t="shared" ca="1" si="72"/>
        <v>81756</v>
      </c>
      <c r="O335" s="405"/>
      <c r="P335" s="406"/>
    </row>
    <row r="336" spans="1:17" s="125" customFormat="1" ht="13.9" hidden="1" customHeight="1" outlineLevel="2" x14ac:dyDescent="0.25">
      <c r="A336" s="390">
        <f ca="1">IF($H336="UNIDADE CONSTRUTIVA",OFFSET(A336,-1,0)+1,LARGE(A$3:A335,1))</f>
        <v>0</v>
      </c>
      <c r="B336" s="390">
        <f t="shared" ca="1" si="73"/>
        <v>19</v>
      </c>
      <c r="C336" s="390">
        <f t="shared" ca="1" si="74"/>
        <v>1</v>
      </c>
      <c r="D336" s="391">
        <f t="shared" ca="1" si="75"/>
        <v>5</v>
      </c>
      <c r="E336" s="391">
        <f t="shared" ca="1" si="76"/>
        <v>1</v>
      </c>
      <c r="G336" s="398"/>
      <c r="H336" s="399" t="s">
        <v>433</v>
      </c>
      <c r="I336" s="400" t="str">
        <f t="shared" ca="1" si="71"/>
        <v>19.001.005.001</v>
      </c>
      <c r="J336" s="401" t="s">
        <v>3684</v>
      </c>
      <c r="K336" s="402" t="s">
        <v>74</v>
      </c>
      <c r="L336" s="403">
        <v>1</v>
      </c>
      <c r="M336" s="403">
        <f>'Custos Serviços'!D82</f>
        <v>81756</v>
      </c>
      <c r="N336" s="404">
        <f t="shared" si="72"/>
        <v>81756</v>
      </c>
      <c r="O336" s="999" t="s">
        <v>4192</v>
      </c>
      <c r="P336" s="406" t="s">
        <v>3605</v>
      </c>
    </row>
    <row r="337" spans="1:17" s="125" customFormat="1" ht="13.9" customHeight="1" collapsed="1" x14ac:dyDescent="0.25">
      <c r="A337" s="390">
        <f ca="1">IF($H337="UNIDADE CONSTRUTIVA",OFFSET(A337,-1,0)+1,LARGE(A$3:A336,1))</f>
        <v>0</v>
      </c>
      <c r="B337" s="390">
        <f t="shared" ca="1" si="73"/>
        <v>20</v>
      </c>
      <c r="C337" s="390">
        <f t="shared" ca="1" si="74"/>
        <v>0</v>
      </c>
      <c r="D337" s="391">
        <f t="shared" ca="1" si="75"/>
        <v>5</v>
      </c>
      <c r="E337" s="391">
        <f t="shared" ca="1" si="76"/>
        <v>1</v>
      </c>
      <c r="G337" s="398"/>
      <c r="H337" s="399" t="s">
        <v>430</v>
      </c>
      <c r="I337" s="400" t="str">
        <f t="shared" ca="1" si="69"/>
        <v>20</v>
      </c>
      <c r="J337" s="401" t="s">
        <v>256</v>
      </c>
      <c r="K337" s="402"/>
      <c r="L337" s="403"/>
      <c r="M337" s="403"/>
      <c r="N337" s="404">
        <f t="shared" ca="1" si="72"/>
        <v>1882731.3978797966</v>
      </c>
      <c r="O337" s="405">
        <f>L342/Obra!E9</f>
        <v>0.68238110494507065</v>
      </c>
      <c r="P337" s="406"/>
      <c r="Q337" s="986">
        <f ca="1">N337/Obra!$E$9</f>
        <v>146.76356142068346</v>
      </c>
    </row>
    <row r="338" spans="1:17" s="125" customFormat="1" ht="13.9" hidden="1" customHeight="1" outlineLevel="1" x14ac:dyDescent="0.25">
      <c r="A338" s="390">
        <f ca="1">IF($H338="UNIDADE CONSTRUTIVA",OFFSET(A338,-1,0)+1,LARGE(A$3:A337,1))</f>
        <v>0</v>
      </c>
      <c r="B338" s="390">
        <f t="shared" ca="1" si="73"/>
        <v>20</v>
      </c>
      <c r="C338" s="390">
        <f t="shared" ca="1" si="74"/>
        <v>1</v>
      </c>
      <c r="D338" s="391">
        <f t="shared" ca="1" si="75"/>
        <v>0</v>
      </c>
      <c r="E338" s="391">
        <f t="shared" ca="1" si="76"/>
        <v>1</v>
      </c>
      <c r="G338" s="398"/>
      <c r="H338" s="399" t="s">
        <v>229</v>
      </c>
      <c r="I338" s="400" t="str">
        <f t="shared" ca="1" si="69"/>
        <v>20.001</v>
      </c>
      <c r="J338" s="401" t="s">
        <v>256</v>
      </c>
      <c r="K338" s="402"/>
      <c r="L338" s="403"/>
      <c r="M338" s="403"/>
      <c r="N338" s="404">
        <f t="shared" ca="1" si="72"/>
        <v>1882731.3978797966</v>
      </c>
      <c r="O338" s="405"/>
      <c r="P338" s="406"/>
    </row>
    <row r="339" spans="1:17" s="125" customFormat="1" ht="13.9" hidden="1" customHeight="1" outlineLevel="1" x14ac:dyDescent="0.25">
      <c r="A339" s="390">
        <f ca="1">IF($H339="UNIDADE CONSTRUTIVA",OFFSET(A339,-1,0)+1,LARGE(A$3:A338,1))</f>
        <v>0</v>
      </c>
      <c r="B339" s="390">
        <f t="shared" ca="1" si="73"/>
        <v>20</v>
      </c>
      <c r="C339" s="390">
        <f t="shared" ca="1" si="74"/>
        <v>1</v>
      </c>
      <c r="D339" s="391">
        <f t="shared" ca="1" si="75"/>
        <v>1</v>
      </c>
      <c r="E339" s="391">
        <f t="shared" ca="1" si="76"/>
        <v>0</v>
      </c>
      <c r="G339" s="398"/>
      <c r="H339" s="399" t="s">
        <v>432</v>
      </c>
      <c r="I339" s="400" t="str">
        <f t="shared" ca="1" si="69"/>
        <v>20.001.001</v>
      </c>
      <c r="J339" s="401" t="s">
        <v>580</v>
      </c>
      <c r="K339" s="402"/>
      <c r="L339" s="403"/>
      <c r="M339" s="403"/>
      <c r="N339" s="404">
        <f t="shared" ca="1" si="72"/>
        <v>236141.40896775</v>
      </c>
      <c r="O339" s="405"/>
      <c r="P339" s="406"/>
    </row>
    <row r="340" spans="1:17" s="125" customFormat="1" ht="13.9" hidden="1" customHeight="1" outlineLevel="2" x14ac:dyDescent="0.25">
      <c r="A340" s="390">
        <f ca="1">IF($H340="UNIDADE CONSTRUTIVA",OFFSET(A340,-1,0)+1,LARGE(A$3:A339,1))</f>
        <v>0</v>
      </c>
      <c r="B340" s="390">
        <f t="shared" ca="1" si="73"/>
        <v>20</v>
      </c>
      <c r="C340" s="390">
        <f t="shared" ca="1" si="74"/>
        <v>1</v>
      </c>
      <c r="D340" s="391">
        <f t="shared" ca="1" si="75"/>
        <v>1</v>
      </c>
      <c r="E340" s="391">
        <f t="shared" ca="1" si="76"/>
        <v>1</v>
      </c>
      <c r="G340" s="398"/>
      <c r="H340" s="399" t="s">
        <v>433</v>
      </c>
      <c r="I340" s="400" t="str">
        <f t="shared" ca="1" si="69"/>
        <v>20.001.001.001</v>
      </c>
      <c r="J340" s="401" t="s">
        <v>592</v>
      </c>
      <c r="K340" s="402" t="s">
        <v>66</v>
      </c>
      <c r="L340" s="403">
        <f>'ARQ. RES'!$D$204</f>
        <v>5964.79</v>
      </c>
      <c r="M340" s="403">
        <v>12.75</v>
      </c>
      <c r="N340" s="404">
        <f t="shared" si="72"/>
        <v>76051.072499999995</v>
      </c>
      <c r="O340" s="405"/>
      <c r="P340" s="406" t="s">
        <v>3605</v>
      </c>
    </row>
    <row r="341" spans="1:17" s="125" customFormat="1" ht="13.9" hidden="1" customHeight="1" outlineLevel="2" x14ac:dyDescent="0.25">
      <c r="A341" s="390">
        <f ca="1">IF($H341="UNIDADE CONSTRUTIVA",OFFSET(A341,-1,0)+1,LARGE(A$3:A340,1))</f>
        <v>0</v>
      </c>
      <c r="B341" s="390">
        <f t="shared" ca="1" si="73"/>
        <v>20</v>
      </c>
      <c r="C341" s="390">
        <f t="shared" ca="1" si="74"/>
        <v>1</v>
      </c>
      <c r="D341" s="391">
        <f t="shared" ca="1" si="75"/>
        <v>1</v>
      </c>
      <c r="E341" s="391">
        <f t="shared" ca="1" si="76"/>
        <v>2</v>
      </c>
      <c r="G341" s="398"/>
      <c r="H341" s="399" t="s">
        <v>433</v>
      </c>
      <c r="I341" s="400" t="str">
        <f t="shared" ca="1" si="69"/>
        <v>20.001.001.002</v>
      </c>
      <c r="J341" s="401" t="s">
        <v>581</v>
      </c>
      <c r="K341" s="402" t="s">
        <v>66</v>
      </c>
      <c r="L341" s="403">
        <f>'ARQ. RES'!$D$205</f>
        <v>2789.02</v>
      </c>
      <c r="M341" s="403">
        <v>7.4998500000000003</v>
      </c>
      <c r="N341" s="404">
        <f t="shared" si="72"/>
        <v>20917.231647000001</v>
      </c>
      <c r="O341" s="405"/>
      <c r="P341" s="406" t="s">
        <v>3605</v>
      </c>
    </row>
    <row r="342" spans="1:17" s="125" customFormat="1" ht="13.9" hidden="1" customHeight="1" outlineLevel="2" x14ac:dyDescent="0.25">
      <c r="A342" s="390">
        <f ca="1">IF($H342="UNIDADE CONSTRUTIVA",OFFSET(A342,-1,0)+1,LARGE(A$3:A341,1))</f>
        <v>0</v>
      </c>
      <c r="B342" s="390">
        <f t="shared" ca="1" si="73"/>
        <v>20</v>
      </c>
      <c r="C342" s="390">
        <f t="shared" ca="1" si="74"/>
        <v>1</v>
      </c>
      <c r="D342" s="391">
        <f t="shared" ca="1" si="75"/>
        <v>1</v>
      </c>
      <c r="E342" s="391">
        <f t="shared" ca="1" si="76"/>
        <v>3</v>
      </c>
      <c r="G342" s="398"/>
      <c r="H342" s="399" t="s">
        <v>433</v>
      </c>
      <c r="I342" s="400" t="str">
        <f t="shared" ca="1" si="69"/>
        <v>20.001.001.003</v>
      </c>
      <c r="J342" s="401" t="s">
        <v>582</v>
      </c>
      <c r="K342" s="402" t="s">
        <v>66</v>
      </c>
      <c r="L342" s="403">
        <f>'ARQ. RES'!$D$217</f>
        <v>8753.81</v>
      </c>
      <c r="M342" s="403">
        <v>15.898575000000001</v>
      </c>
      <c r="N342" s="404">
        <f t="shared" si="72"/>
        <v>139173.10482075001</v>
      </c>
      <c r="O342" s="405"/>
      <c r="P342" s="406" t="s">
        <v>3605</v>
      </c>
    </row>
    <row r="343" spans="1:17" s="125" customFormat="1" ht="13.9" hidden="1" customHeight="1" outlineLevel="1" x14ac:dyDescent="0.25">
      <c r="A343" s="390">
        <f ca="1">IF($H343="UNIDADE CONSTRUTIVA",OFFSET(A343,-1,0)+1,LARGE(A$3:A342,1))</f>
        <v>0</v>
      </c>
      <c r="B343" s="390">
        <f t="shared" ca="1" si="73"/>
        <v>20</v>
      </c>
      <c r="C343" s="390">
        <f t="shared" ca="1" si="74"/>
        <v>1</v>
      </c>
      <c r="D343" s="391">
        <f t="shared" ca="1" si="75"/>
        <v>2</v>
      </c>
      <c r="E343" s="391">
        <f t="shared" ca="1" si="76"/>
        <v>0</v>
      </c>
      <c r="G343" s="398"/>
      <c r="H343" s="399" t="s">
        <v>432</v>
      </c>
      <c r="I343" s="400" t="str">
        <f t="shared" ca="1" si="69"/>
        <v>20.001.002</v>
      </c>
      <c r="J343" s="401" t="s">
        <v>583</v>
      </c>
      <c r="K343" s="402"/>
      <c r="L343" s="403"/>
      <c r="M343" s="403"/>
      <c r="N343" s="404">
        <f t="shared" ca="1" si="72"/>
        <v>161338.55644754635</v>
      </c>
      <c r="O343" s="405"/>
      <c r="P343" s="406"/>
    </row>
    <row r="344" spans="1:17" s="125" customFormat="1" ht="13.9" hidden="1" customHeight="1" outlineLevel="2" x14ac:dyDescent="0.25">
      <c r="A344" s="390">
        <f ca="1">IF($H344="UNIDADE CONSTRUTIVA",OFFSET(A344,-1,0)+1,LARGE(A$3:A343,1))</f>
        <v>0</v>
      </c>
      <c r="B344" s="390">
        <f t="shared" ca="1" si="73"/>
        <v>20</v>
      </c>
      <c r="C344" s="390">
        <f t="shared" ca="1" si="74"/>
        <v>1</v>
      </c>
      <c r="D344" s="391">
        <f t="shared" ca="1" si="75"/>
        <v>2</v>
      </c>
      <c r="E344" s="391">
        <f t="shared" ca="1" si="76"/>
        <v>1</v>
      </c>
      <c r="G344" s="398"/>
      <c r="H344" s="399" t="s">
        <v>433</v>
      </c>
      <c r="I344" s="400" t="str">
        <f t="shared" ref="I344" ca="1" si="80">IF(H344="Unidade Construtiva",TEXT(A344,"00"),IF(H344="Célula Construtiva",TEXT(B344,"00"),IF(H344="Etapa",CONCATENATE(TEXT(B344,"00"),".",TEXT(C344,"000")),IF(H344="Subetapa",CONCATENATE(TEXT(B344,"00"),".",TEXT(C344,"000"),".",TEXT(D344,"000")),IF(H344="Serviço",CONCATENATE(TEXT(B344,"00"),".",TEXT(C344,"000"),".",TEXT(D344,"000"),".",TEXT(E344,"000")),"")))))</f>
        <v>20.001.002.001</v>
      </c>
      <c r="J344" s="412" t="s">
        <v>4170</v>
      </c>
      <c r="K344" s="402" t="s">
        <v>66</v>
      </c>
      <c r="L344" s="403">
        <f>SUMPRODUCT(EPCs!M9:M11,EPCs!N9:N11)</f>
        <v>1477.6271999999999</v>
      </c>
      <c r="M344" s="403">
        <v>2.4761920000000002</v>
      </c>
      <c r="N344" s="404">
        <f t="shared" si="72"/>
        <v>3658.8886516224002</v>
      </c>
      <c r="O344" s="405" t="s">
        <v>584</v>
      </c>
      <c r="P344" s="406" t="s">
        <v>3605</v>
      </c>
    </row>
    <row r="345" spans="1:17" s="125" customFormat="1" ht="13.9" hidden="1" customHeight="1" outlineLevel="2" x14ac:dyDescent="0.25">
      <c r="A345" s="390">
        <f ca="1">IF($H345="UNIDADE CONSTRUTIVA",OFFSET(A345,-1,0)+1,LARGE(A$3:A344,1))</f>
        <v>0</v>
      </c>
      <c r="B345" s="390">
        <f t="shared" ca="1" si="73"/>
        <v>20</v>
      </c>
      <c r="C345" s="390">
        <f t="shared" ca="1" si="74"/>
        <v>1</v>
      </c>
      <c r="D345" s="391">
        <f t="shared" ca="1" si="75"/>
        <v>2</v>
      </c>
      <c r="E345" s="391">
        <f t="shared" ca="1" si="76"/>
        <v>2</v>
      </c>
      <c r="G345" s="398"/>
      <c r="H345" s="399" t="s">
        <v>433</v>
      </c>
      <c r="I345" s="400" t="str">
        <f t="shared" ca="1" si="69"/>
        <v>20.001.002.002</v>
      </c>
      <c r="J345" s="412" t="s">
        <v>4171</v>
      </c>
      <c r="K345" s="402" t="s">
        <v>66</v>
      </c>
      <c r="L345" s="403">
        <f>SUMPRODUCT(EPCs!M26:M27,EPCs!N26:N27)</f>
        <v>1184.575104</v>
      </c>
      <c r="M345" s="403">
        <v>2.4761920000000002</v>
      </c>
      <c r="N345" s="404">
        <f t="shared" si="72"/>
        <v>2933.2353959239681</v>
      </c>
      <c r="O345" s="405" t="s">
        <v>584</v>
      </c>
      <c r="P345" s="406" t="s">
        <v>3605</v>
      </c>
    </row>
    <row r="346" spans="1:17" s="125" customFormat="1" ht="13.9" hidden="1" customHeight="1" outlineLevel="2" x14ac:dyDescent="0.25">
      <c r="A346" s="390">
        <f ca="1">IF($H346="UNIDADE CONSTRUTIVA",OFFSET(A346,-1,0)+1,LARGE(A$3:A345,1))</f>
        <v>0</v>
      </c>
      <c r="B346" s="390">
        <f t="shared" ca="1" si="73"/>
        <v>20</v>
      </c>
      <c r="C346" s="390">
        <f t="shared" ca="1" si="74"/>
        <v>1</v>
      </c>
      <c r="D346" s="391">
        <f t="shared" ca="1" si="75"/>
        <v>2</v>
      </c>
      <c r="E346" s="391">
        <f t="shared" ca="1" si="76"/>
        <v>3</v>
      </c>
      <c r="G346" s="398"/>
      <c r="H346" s="399" t="s">
        <v>433</v>
      </c>
      <c r="I346" s="400" t="str">
        <f t="shared" ref="I346:I347" ca="1" si="81">IF(H346="Unidade Construtiva",TEXT(A346,"00"),IF(H346="Célula Construtiva",TEXT(B346,"00"),IF(H346="Etapa",CONCATENATE(TEXT(B346,"00"),".",TEXT(C346,"000")),IF(H346="Subetapa",CONCATENATE(TEXT(B346,"00"),".",TEXT(C346,"000"),".",TEXT(D346,"000")),IF(H346="Serviço",CONCATENATE(TEXT(B346,"00"),".",TEXT(C346,"000"),".",TEXT(D346,"000"),".",TEXT(E346,"000")),"")))))</f>
        <v>20.001.002.003</v>
      </c>
      <c r="J346" s="412" t="s">
        <v>4212</v>
      </c>
      <c r="K346" s="402" t="s">
        <v>54</v>
      </c>
      <c r="L346" s="403">
        <f>'ARQ. RES'!D207</f>
        <v>1441.81</v>
      </c>
      <c r="M346" s="403">
        <v>98</v>
      </c>
      <c r="N346" s="404">
        <f t="shared" si="72"/>
        <v>141297.38</v>
      </c>
      <c r="O346" s="405"/>
      <c r="P346" s="406" t="s">
        <v>3605</v>
      </c>
    </row>
    <row r="347" spans="1:17" s="125" customFormat="1" ht="13.9" hidden="1" customHeight="1" outlineLevel="2" x14ac:dyDescent="0.25">
      <c r="A347" s="390">
        <f ca="1">IF($H347="UNIDADE CONSTRUTIVA",OFFSET(A347,-1,0)+1,LARGE(A$3:A346,1))</f>
        <v>0</v>
      </c>
      <c r="B347" s="390">
        <f t="shared" ca="1" si="73"/>
        <v>20</v>
      </c>
      <c r="C347" s="390">
        <f t="shared" ca="1" si="74"/>
        <v>1</v>
      </c>
      <c r="D347" s="391">
        <f t="shared" ca="1" si="75"/>
        <v>2</v>
      </c>
      <c r="E347" s="391">
        <f t="shared" ca="1" si="76"/>
        <v>4</v>
      </c>
      <c r="G347" s="398"/>
      <c r="H347" s="399" t="s">
        <v>433</v>
      </c>
      <c r="I347" s="400" t="str">
        <f t="shared" ca="1" si="81"/>
        <v>20.001.002.004</v>
      </c>
      <c r="J347" s="412" t="s">
        <v>4213</v>
      </c>
      <c r="K347" s="402" t="s">
        <v>54</v>
      </c>
      <c r="L347" s="403">
        <f>'ARQ. RES'!D208</f>
        <v>42.28</v>
      </c>
      <c r="M347" s="403">
        <v>163.33000000000001</v>
      </c>
      <c r="N347" s="404">
        <f t="shared" si="72"/>
        <v>6905.5924000000005</v>
      </c>
      <c r="O347" s="405"/>
      <c r="P347" s="406" t="s">
        <v>3605</v>
      </c>
    </row>
    <row r="348" spans="1:17" s="125" customFormat="1" ht="13.9" hidden="1" customHeight="1" outlineLevel="2" x14ac:dyDescent="0.25">
      <c r="A348" s="390">
        <f ca="1">IF($H348="UNIDADE CONSTRUTIVA",OFFSET(A348,-1,0)+1,LARGE(A$3:A347,1))</f>
        <v>0</v>
      </c>
      <c r="B348" s="390">
        <f t="shared" ca="1" si="73"/>
        <v>20</v>
      </c>
      <c r="C348" s="390">
        <f t="shared" ca="1" si="74"/>
        <v>1</v>
      </c>
      <c r="D348" s="391">
        <f t="shared" ca="1" si="75"/>
        <v>2</v>
      </c>
      <c r="E348" s="391">
        <f t="shared" ca="1" si="76"/>
        <v>5</v>
      </c>
      <c r="G348" s="398"/>
      <c r="H348" s="399" t="s">
        <v>433</v>
      </c>
      <c r="I348" s="400" t="str">
        <f t="shared" ref="I348" ca="1" si="82">IF(H348="Unidade Construtiva",TEXT(A348,"00"),IF(H348="Célula Construtiva",TEXT(B348,"00"),IF(H348="Etapa",CONCATENATE(TEXT(B348,"00"),".",TEXT(C348,"000")),IF(H348="Subetapa",CONCATENATE(TEXT(B348,"00"),".",TEXT(C348,"000"),".",TEXT(D348,"000")),IF(H348="Serviço",CONCATENATE(TEXT(B348,"00"),".",TEXT(C348,"000"),".",TEXT(D348,"000"),".",TEXT(E348,"000")),"")))))</f>
        <v>20.001.002.005</v>
      </c>
      <c r="J348" s="412" t="s">
        <v>3704</v>
      </c>
      <c r="K348" s="402" t="s">
        <v>54</v>
      </c>
      <c r="L348" s="403">
        <f>'ARQ. RES'!D209</f>
        <v>66.77</v>
      </c>
      <c r="M348" s="403">
        <v>98</v>
      </c>
      <c r="N348" s="404">
        <f t="shared" si="72"/>
        <v>6543.46</v>
      </c>
      <c r="O348" s="405"/>
      <c r="P348" s="406" t="s">
        <v>3605</v>
      </c>
    </row>
    <row r="349" spans="1:17" s="125" customFormat="1" ht="13.9" hidden="1" customHeight="1" outlineLevel="1" x14ac:dyDescent="0.25">
      <c r="A349" s="390">
        <f ca="1">IF($H349="UNIDADE CONSTRUTIVA",OFFSET(A349,-1,0)+1,LARGE(A$3:A348,1))</f>
        <v>0</v>
      </c>
      <c r="B349" s="390">
        <f t="shared" ca="1" si="73"/>
        <v>20</v>
      </c>
      <c r="C349" s="390">
        <f t="shared" ca="1" si="74"/>
        <v>1</v>
      </c>
      <c r="D349" s="391">
        <f t="shared" ca="1" si="75"/>
        <v>3</v>
      </c>
      <c r="E349" s="391">
        <f t="shared" ca="1" si="76"/>
        <v>0</v>
      </c>
      <c r="G349" s="398"/>
      <c r="H349" s="399" t="s">
        <v>432</v>
      </c>
      <c r="I349" s="400" t="str">
        <f t="shared" ca="1" si="69"/>
        <v>20.001.003</v>
      </c>
      <c r="J349" s="401" t="s">
        <v>585</v>
      </c>
      <c r="K349" s="402"/>
      <c r="L349" s="403"/>
      <c r="M349" s="403"/>
      <c r="N349" s="404">
        <f t="shared" ca="1" si="72"/>
        <v>81525.436884499984</v>
      </c>
      <c r="O349" s="405"/>
      <c r="P349" s="406"/>
    </row>
    <row r="350" spans="1:17" s="125" customFormat="1" ht="13.9" hidden="1" customHeight="1" outlineLevel="2" x14ac:dyDescent="0.25">
      <c r="A350" s="390">
        <f ca="1">IF($H350="UNIDADE CONSTRUTIVA",OFFSET(A350,-1,0)+1,LARGE(A$3:A349,1))</f>
        <v>0</v>
      </c>
      <c r="B350" s="390">
        <f t="shared" ca="1" si="73"/>
        <v>20</v>
      </c>
      <c r="C350" s="390">
        <f t="shared" ca="1" si="74"/>
        <v>1</v>
      </c>
      <c r="D350" s="391">
        <f t="shared" ca="1" si="75"/>
        <v>3</v>
      </c>
      <c r="E350" s="391">
        <f t="shared" ca="1" si="76"/>
        <v>1</v>
      </c>
      <c r="G350" s="398"/>
      <c r="H350" s="399" t="s">
        <v>433</v>
      </c>
      <c r="I350" s="400" t="str">
        <f t="shared" ca="1" si="69"/>
        <v>20.001.003.001</v>
      </c>
      <c r="J350" s="401" t="s">
        <v>586</v>
      </c>
      <c r="K350" s="402" t="s">
        <v>66</v>
      </c>
      <c r="L350" s="403">
        <f>L351+L352</f>
        <v>8821.15</v>
      </c>
      <c r="M350" s="403">
        <v>1</v>
      </c>
      <c r="N350" s="404">
        <f t="shared" si="72"/>
        <v>8821.15</v>
      </c>
      <c r="O350" s="405"/>
      <c r="P350" s="406" t="s">
        <v>3605</v>
      </c>
    </row>
    <row r="351" spans="1:17" s="125" customFormat="1" ht="13.9" hidden="1" customHeight="1" outlineLevel="2" x14ac:dyDescent="0.25">
      <c r="A351" s="390">
        <f ca="1">IF($H351="UNIDADE CONSTRUTIVA",OFFSET(A351,-1,0)+1,LARGE(A$3:A350,1))</f>
        <v>0</v>
      </c>
      <c r="B351" s="390">
        <f t="shared" ca="1" si="73"/>
        <v>20</v>
      </c>
      <c r="C351" s="390">
        <f t="shared" ca="1" si="74"/>
        <v>1</v>
      </c>
      <c r="D351" s="391">
        <f t="shared" ca="1" si="75"/>
        <v>3</v>
      </c>
      <c r="E351" s="391">
        <f t="shared" ca="1" si="76"/>
        <v>2</v>
      </c>
      <c r="G351" s="398"/>
      <c r="H351" s="399" t="s">
        <v>433</v>
      </c>
      <c r="I351" s="400" t="str">
        <f t="shared" ca="1" si="69"/>
        <v>20.001.003.002</v>
      </c>
      <c r="J351" s="401" t="s">
        <v>587</v>
      </c>
      <c r="K351" s="402" t="s">
        <v>66</v>
      </c>
      <c r="L351" s="403">
        <f>'ARQ. RES'!D219</f>
        <v>961.16</v>
      </c>
      <c r="M351" s="403">
        <v>20.491900999999999</v>
      </c>
      <c r="N351" s="404">
        <f t="shared" si="72"/>
        <v>19695.995565159999</v>
      </c>
      <c r="O351" s="405"/>
      <c r="P351" s="406" t="s">
        <v>3605</v>
      </c>
    </row>
    <row r="352" spans="1:17" s="125" customFormat="1" ht="13.9" hidden="1" customHeight="1" outlineLevel="2" x14ac:dyDescent="0.25">
      <c r="A352" s="390">
        <f ca="1">IF($H352="UNIDADE CONSTRUTIVA",OFFSET(A352,-1,0)+1,LARGE(A$3:A351,1))</f>
        <v>0</v>
      </c>
      <c r="B352" s="390">
        <f t="shared" ca="1" si="73"/>
        <v>20</v>
      </c>
      <c r="C352" s="390">
        <f t="shared" ca="1" si="74"/>
        <v>1</v>
      </c>
      <c r="D352" s="391">
        <f t="shared" ca="1" si="75"/>
        <v>3</v>
      </c>
      <c r="E352" s="391">
        <f t="shared" ca="1" si="76"/>
        <v>3</v>
      </c>
      <c r="G352" s="398"/>
      <c r="H352" s="399" t="s">
        <v>433</v>
      </c>
      <c r="I352" s="400" t="str">
        <f t="shared" ca="1" si="69"/>
        <v>20.001.003.003</v>
      </c>
      <c r="J352" s="401" t="s">
        <v>588</v>
      </c>
      <c r="K352" s="402" t="s">
        <v>66</v>
      </c>
      <c r="L352" s="403">
        <f>SUM('ARQ. RES'!D220:D223)</f>
        <v>7859.9899999999989</v>
      </c>
      <c r="M352" s="403">
        <v>6.7440659999999992</v>
      </c>
      <c r="N352" s="404">
        <f t="shared" si="72"/>
        <v>53008.291319339987</v>
      </c>
      <c r="O352" s="405"/>
      <c r="P352" s="406" t="s">
        <v>3605</v>
      </c>
    </row>
    <row r="353" spans="1:17" s="125" customFormat="1" ht="13.9" hidden="1" customHeight="1" outlineLevel="1" x14ac:dyDescent="0.25">
      <c r="A353" s="390">
        <f ca="1">IF($H353="UNIDADE CONSTRUTIVA",OFFSET(A353,-1,0)+1,LARGE(A$3:A352,1))</f>
        <v>0</v>
      </c>
      <c r="B353" s="390">
        <f t="shared" ca="1" si="73"/>
        <v>20</v>
      </c>
      <c r="C353" s="390">
        <f t="shared" ca="1" si="74"/>
        <v>1</v>
      </c>
      <c r="D353" s="391">
        <f t="shared" ca="1" si="75"/>
        <v>4</v>
      </c>
      <c r="E353" s="391">
        <f t="shared" ca="1" si="76"/>
        <v>0</v>
      </c>
      <c r="G353" s="398"/>
      <c r="H353" s="399" t="s">
        <v>432</v>
      </c>
      <c r="I353" s="400" t="str">
        <f t="shared" ref="I353:I357" ca="1" si="83">IF(H353="Unidade Construtiva",TEXT(A353,"00"),IF(H353="Célula Construtiva",TEXT(B353,"00"),IF(H353="Etapa",CONCATENATE(TEXT(B353,"00"),".",TEXT(C353,"000")),IF(H353="Subetapa",CONCATENATE(TEXT(B353,"00"),".",TEXT(C353,"000"),".",TEXT(D353,"000")),IF(H353="Serviço",CONCATENATE(TEXT(B353,"00"),".",TEXT(C353,"000"),".",TEXT(D353,"000"),".",TEXT(E353,"000")),"")))))</f>
        <v>20.001.004</v>
      </c>
      <c r="J353" s="401" t="s">
        <v>589</v>
      </c>
      <c r="K353" s="402"/>
      <c r="L353" s="403"/>
      <c r="M353" s="403"/>
      <c r="N353" s="404">
        <f t="shared" ca="1" si="72"/>
        <v>188300.10558</v>
      </c>
      <c r="O353" s="405">
        <f>SUM(L354:L357)</f>
        <v>839.18000000000006</v>
      </c>
      <c r="P353" s="406"/>
    </row>
    <row r="354" spans="1:17" s="125" customFormat="1" ht="13.9" hidden="1" customHeight="1" outlineLevel="2" x14ac:dyDescent="0.25">
      <c r="A354" s="390">
        <f ca="1">IF($H354="UNIDADE CONSTRUTIVA",OFFSET(A354,-1,0)+1,LARGE(A$3:A353,1))</f>
        <v>0</v>
      </c>
      <c r="B354" s="390">
        <f t="shared" ca="1" si="73"/>
        <v>20</v>
      </c>
      <c r="C354" s="390">
        <f t="shared" ca="1" si="74"/>
        <v>1</v>
      </c>
      <c r="D354" s="391">
        <f t="shared" ca="1" si="75"/>
        <v>4</v>
      </c>
      <c r="E354" s="391">
        <f t="shared" ca="1" si="76"/>
        <v>1</v>
      </c>
      <c r="G354" s="398"/>
      <c r="H354" s="399" t="s">
        <v>433</v>
      </c>
      <c r="I354" s="400" t="str">
        <f t="shared" ca="1" si="83"/>
        <v>20.001.004.001</v>
      </c>
      <c r="J354" s="401" t="s">
        <v>3570</v>
      </c>
      <c r="K354" s="402" t="s">
        <v>66</v>
      </c>
      <c r="L354" s="403">
        <f>'ARQ. RES'!D211</f>
        <v>64.31</v>
      </c>
      <c r="M354" s="403">
        <v>750</v>
      </c>
      <c r="N354" s="404">
        <f t="shared" si="72"/>
        <v>48232.5</v>
      </c>
      <c r="O354" s="405">
        <f ca="1">N353/Obra!E9</f>
        <v>14.678458192141921</v>
      </c>
      <c r="P354" s="406" t="s">
        <v>3605</v>
      </c>
    </row>
    <row r="355" spans="1:17" s="125" customFormat="1" ht="13.9" hidden="1" customHeight="1" outlineLevel="2" x14ac:dyDescent="0.25">
      <c r="A355" s="390">
        <f ca="1">IF($H355="UNIDADE CONSTRUTIVA",OFFSET(A355,-1,0)+1,LARGE(A$3:A354,1))</f>
        <v>0</v>
      </c>
      <c r="B355" s="390">
        <f t="shared" ca="1" si="73"/>
        <v>20</v>
      </c>
      <c r="C355" s="390">
        <f t="shared" ca="1" si="74"/>
        <v>1</v>
      </c>
      <c r="D355" s="391">
        <f t="shared" ca="1" si="75"/>
        <v>4</v>
      </c>
      <c r="E355" s="391">
        <f t="shared" ca="1" si="76"/>
        <v>2</v>
      </c>
      <c r="G355" s="398"/>
      <c r="H355" s="399" t="s">
        <v>433</v>
      </c>
      <c r="I355" s="400" t="str">
        <f t="shared" ref="I355:I356" ca="1" si="84">IF(H355="Unidade Construtiva",TEXT(A355,"00"),IF(H355="Célula Construtiva",TEXT(B355,"00"),IF(H355="Etapa",CONCATENATE(TEXT(B355,"00"),".",TEXT(C355,"000")),IF(H355="Subetapa",CONCATENATE(TEXT(B355,"00"),".",TEXT(C355,"000"),".",TEXT(D355,"000")),IF(H355="Serviço",CONCATENATE(TEXT(B355,"00"),".",TEXT(C355,"000"),".",TEXT(D355,"000"),".",TEXT(E355,"000")),"")))))</f>
        <v>20.001.004.002</v>
      </c>
      <c r="J355" s="401" t="s">
        <v>3563</v>
      </c>
      <c r="K355" s="402" t="s">
        <v>66</v>
      </c>
      <c r="L355" s="403">
        <f>SUM('ARQ. RES'!D212)</f>
        <v>15.06</v>
      </c>
      <c r="M355" s="403">
        <v>164.58500000000001</v>
      </c>
      <c r="N355" s="404">
        <f t="shared" si="72"/>
        <v>2478.6501000000003</v>
      </c>
      <c r="O355" s="405"/>
      <c r="P355" s="406" t="s">
        <v>3605</v>
      </c>
    </row>
    <row r="356" spans="1:17" s="125" customFormat="1" ht="13.9" hidden="1" customHeight="1" outlineLevel="2" x14ac:dyDescent="0.25">
      <c r="A356" s="390">
        <f ca="1">IF($H356="UNIDADE CONSTRUTIVA",OFFSET(A356,-1,0)+1,LARGE(A$3:A355,1))</f>
        <v>0</v>
      </c>
      <c r="B356" s="390">
        <f t="shared" ca="1" si="73"/>
        <v>20</v>
      </c>
      <c r="C356" s="390">
        <f t="shared" ca="1" si="74"/>
        <v>1</v>
      </c>
      <c r="D356" s="391">
        <f t="shared" ca="1" si="75"/>
        <v>4</v>
      </c>
      <c r="E356" s="391">
        <f t="shared" ca="1" si="76"/>
        <v>3</v>
      </c>
      <c r="G356" s="398"/>
      <c r="H356" s="399" t="s">
        <v>433</v>
      </c>
      <c r="I356" s="400" t="str">
        <f t="shared" ca="1" si="84"/>
        <v>20.001.004.003</v>
      </c>
      <c r="J356" s="401" t="s">
        <v>3564</v>
      </c>
      <c r="K356" s="402" t="s">
        <v>66</v>
      </c>
      <c r="L356" s="403">
        <f>'ARQ. RES'!D214</f>
        <v>710.37</v>
      </c>
      <c r="M356" s="403">
        <v>149.72399999999999</v>
      </c>
      <c r="N356" s="404">
        <f t="shared" si="72"/>
        <v>106359.43788</v>
      </c>
      <c r="O356" s="405"/>
      <c r="P356" s="406" t="s">
        <v>3605</v>
      </c>
    </row>
    <row r="357" spans="1:17" s="125" customFormat="1" ht="13.9" hidden="1" customHeight="1" outlineLevel="2" x14ac:dyDescent="0.25">
      <c r="A357" s="390">
        <f ca="1">IF($H357="UNIDADE CONSTRUTIVA",OFFSET(A357,-1,0)+1,LARGE(A$3:A356,1))</f>
        <v>0</v>
      </c>
      <c r="B357" s="390">
        <f t="shared" ca="1" si="73"/>
        <v>20</v>
      </c>
      <c r="C357" s="390">
        <f t="shared" ca="1" si="74"/>
        <v>1</v>
      </c>
      <c r="D357" s="391">
        <f t="shared" ca="1" si="75"/>
        <v>4</v>
      </c>
      <c r="E357" s="391">
        <f t="shared" ca="1" si="76"/>
        <v>4</v>
      </c>
      <c r="G357" s="398"/>
      <c r="H357" s="399" t="s">
        <v>433</v>
      </c>
      <c r="I357" s="400" t="str">
        <f t="shared" ca="1" si="83"/>
        <v>20.001.004.004</v>
      </c>
      <c r="J357" s="401" t="s">
        <v>3565</v>
      </c>
      <c r="K357" s="402" t="s">
        <v>66</v>
      </c>
      <c r="L357" s="403">
        <f>'ARQ. RES'!D215+'ARQ. RES'!D213</f>
        <v>49.44</v>
      </c>
      <c r="M357" s="403">
        <v>631.66499999999996</v>
      </c>
      <c r="N357" s="404">
        <f t="shared" si="72"/>
        <v>31229.517599999996</v>
      </c>
      <c r="O357" s="405"/>
      <c r="P357" s="406" t="s">
        <v>3605</v>
      </c>
    </row>
    <row r="358" spans="1:17" s="125" customFormat="1" ht="13.9" hidden="1" customHeight="1" outlineLevel="1" x14ac:dyDescent="0.25">
      <c r="A358" s="390">
        <f ca="1">IF($H358="UNIDADE CONSTRUTIVA",OFFSET(A358,-1,0)+1,LARGE(A$3:A357,1))</f>
        <v>0</v>
      </c>
      <c r="B358" s="390">
        <f t="shared" ca="1" si="73"/>
        <v>20</v>
      </c>
      <c r="C358" s="390">
        <f t="shared" ca="1" si="74"/>
        <v>1</v>
      </c>
      <c r="D358" s="391">
        <f t="shared" ca="1" si="75"/>
        <v>5</v>
      </c>
      <c r="E358" s="391">
        <f t="shared" ca="1" si="76"/>
        <v>0</v>
      </c>
      <c r="G358" s="398"/>
      <c r="H358" s="399" t="s">
        <v>432</v>
      </c>
      <c r="I358" s="400" t="str">
        <f t="shared" ca="1" si="69"/>
        <v>20.001.005</v>
      </c>
      <c r="J358" s="401" t="s">
        <v>454</v>
      </c>
      <c r="K358" s="402"/>
      <c r="L358" s="403"/>
      <c r="M358" s="403"/>
      <c r="N358" s="404">
        <f t="shared" ca="1" si="72"/>
        <v>1215425.8899999999</v>
      </c>
      <c r="O358" s="405"/>
      <c r="P358" s="406"/>
    </row>
    <row r="359" spans="1:17" s="125" customFormat="1" ht="13.9" hidden="1" customHeight="1" outlineLevel="2" x14ac:dyDescent="0.25">
      <c r="A359" s="390">
        <f ca="1">IF($H359="UNIDADE CONSTRUTIVA",OFFSET(A359,-1,0)+1,LARGE(A$3:A358,1))</f>
        <v>0</v>
      </c>
      <c r="B359" s="390">
        <f t="shared" ca="1" si="73"/>
        <v>20</v>
      </c>
      <c r="C359" s="390">
        <f t="shared" ca="1" si="74"/>
        <v>1</v>
      </c>
      <c r="D359" s="391">
        <f t="shared" ca="1" si="75"/>
        <v>5</v>
      </c>
      <c r="E359" s="391">
        <f t="shared" ca="1" si="76"/>
        <v>1</v>
      </c>
      <c r="G359" s="398"/>
      <c r="H359" s="399" t="s">
        <v>433</v>
      </c>
      <c r="I359" s="400" t="str">
        <f t="shared" ca="1" si="69"/>
        <v>20.001.005.001</v>
      </c>
      <c r="J359" s="401" t="s">
        <v>590</v>
      </c>
      <c r="K359" s="402" t="s">
        <v>66</v>
      </c>
      <c r="L359" s="403">
        <f>L342</f>
        <v>8753.81</v>
      </c>
      <c r="M359" s="403">
        <f>'Custos Serviços'!$G$81</f>
        <v>77.828968186423978</v>
      </c>
      <c r="N359" s="404">
        <f t="shared" si="72"/>
        <v>681300</v>
      </c>
      <c r="O359" s="999" t="s">
        <v>4192</v>
      </c>
      <c r="P359" s="406" t="s">
        <v>3605</v>
      </c>
    </row>
    <row r="360" spans="1:17" s="125" customFormat="1" ht="13.9" hidden="1" customHeight="1" outlineLevel="2" x14ac:dyDescent="0.25">
      <c r="A360" s="390">
        <f ca="1">IF($H360="UNIDADE CONSTRUTIVA",OFFSET(A360,-1,0)+1,LARGE(A$3:A359,1))</f>
        <v>0</v>
      </c>
      <c r="B360" s="390">
        <f t="shared" ca="1" si="73"/>
        <v>20</v>
      </c>
      <c r="C360" s="390">
        <f t="shared" ca="1" si="74"/>
        <v>1</v>
      </c>
      <c r="D360" s="391">
        <f t="shared" ca="1" si="75"/>
        <v>5</v>
      </c>
      <c r="E360" s="391">
        <f t="shared" ca="1" si="76"/>
        <v>2</v>
      </c>
      <c r="G360" s="398"/>
      <c r="H360" s="399" t="s">
        <v>433</v>
      </c>
      <c r="I360" s="400" t="str">
        <f t="shared" ref="I360" ca="1" si="85">IF(H360="Unidade Construtiva",TEXT(A360,"00"),IF(H360="Célula Construtiva",TEXT(B360,"00"),IF(H360="Etapa",CONCATENATE(TEXT(B360,"00"),".",TEXT(C360,"000")),IF(H360="Subetapa",CONCATENATE(TEXT(B360,"00"),".",TEXT(C360,"000"),".",TEXT(D360,"000")),IF(H360="Serviço",CONCATENATE(TEXT(B360,"00"),".",TEXT(C360,"000"),".",TEXT(D360,"000"),".",TEXT(E360,"000")),"")))))</f>
        <v>20.001.005.002</v>
      </c>
      <c r="J360" s="401" t="s">
        <v>3566</v>
      </c>
      <c r="K360" s="402" t="s">
        <v>66</v>
      </c>
      <c r="L360" s="403">
        <f>L351</f>
        <v>961.16</v>
      </c>
      <c r="M360" s="403">
        <v>36.5</v>
      </c>
      <c r="N360" s="404">
        <f t="shared" si="72"/>
        <v>35082.339999999997</v>
      </c>
      <c r="O360" s="1001" t="s">
        <v>4204</v>
      </c>
      <c r="P360" s="406" t="s">
        <v>3605</v>
      </c>
    </row>
    <row r="361" spans="1:17" s="125" customFormat="1" ht="13.9" hidden="1" customHeight="1" outlineLevel="2" x14ac:dyDescent="0.25">
      <c r="A361" s="390">
        <f ca="1">IF($H361="UNIDADE CONSTRUTIVA",OFFSET(A361,-1,0)+1,LARGE(A$3:A360,1))</f>
        <v>0</v>
      </c>
      <c r="B361" s="390">
        <f t="shared" ca="1" si="73"/>
        <v>20</v>
      </c>
      <c r="C361" s="390">
        <f t="shared" ca="1" si="74"/>
        <v>1</v>
      </c>
      <c r="D361" s="391">
        <f t="shared" ca="1" si="75"/>
        <v>5</v>
      </c>
      <c r="E361" s="391">
        <f t="shared" ca="1" si="76"/>
        <v>3</v>
      </c>
      <c r="G361" s="398"/>
      <c r="H361" s="399" t="s">
        <v>433</v>
      </c>
      <c r="I361" s="400" t="str">
        <f t="shared" ca="1" si="69"/>
        <v>20.001.005.003</v>
      </c>
      <c r="J361" s="401" t="s">
        <v>591</v>
      </c>
      <c r="K361" s="402" t="s">
        <v>66</v>
      </c>
      <c r="L361" s="403">
        <f>L352</f>
        <v>7859.9899999999989</v>
      </c>
      <c r="M361" s="403">
        <v>45</v>
      </c>
      <c r="N361" s="404">
        <f t="shared" si="72"/>
        <v>353699.54999999993</v>
      </c>
      <c r="O361" s="1001" t="s">
        <v>4204</v>
      </c>
      <c r="P361" s="406" t="s">
        <v>3605</v>
      </c>
    </row>
    <row r="362" spans="1:17" s="125" customFormat="1" ht="13.9" hidden="1" customHeight="1" outlineLevel="2" x14ac:dyDescent="0.25">
      <c r="A362" s="390">
        <f ca="1">IF($H362="UNIDADE CONSTRUTIVA",OFFSET(A362,-1,0)+1,LARGE(A$3:A361,1))</f>
        <v>0</v>
      </c>
      <c r="B362" s="390">
        <f t="shared" ca="1" si="73"/>
        <v>20</v>
      </c>
      <c r="C362" s="390">
        <f t="shared" ca="1" si="74"/>
        <v>1</v>
      </c>
      <c r="D362" s="391">
        <f t="shared" ca="1" si="75"/>
        <v>5</v>
      </c>
      <c r="E362" s="391">
        <f t="shared" ca="1" si="76"/>
        <v>4</v>
      </c>
      <c r="G362" s="398"/>
      <c r="H362" s="399" t="s">
        <v>433</v>
      </c>
      <c r="I362" s="400" t="str">
        <f t="shared" ref="I362:I364" ca="1" si="86">IF(H362="Unidade Construtiva",TEXT(A362,"00"),IF(H362="Célula Construtiva",TEXT(B362,"00"),IF(H362="Etapa",CONCATENATE(TEXT(B362,"00"),".",TEXT(C362,"000")),IF(H362="Subetapa",CONCATENATE(TEXT(B362,"00"),".",TEXT(C362,"000"),".",TEXT(D362,"000")),IF(H362="Serviço",CONCATENATE(TEXT(B362,"00"),".",TEXT(C362,"000"),".",TEXT(D362,"000"),".",TEXT(E362,"000")),"")))))</f>
        <v>20.001.005.004</v>
      </c>
      <c r="J362" s="401" t="s">
        <v>3567</v>
      </c>
      <c r="K362" s="402" t="s">
        <v>66</v>
      </c>
      <c r="L362" s="403">
        <f>L355</f>
        <v>15.06</v>
      </c>
      <c r="M362" s="403">
        <f>'Custos Serviços'!G141</f>
        <v>187.57210886987497</v>
      </c>
      <c r="N362" s="404">
        <f t="shared" si="72"/>
        <v>2824.8359595803172</v>
      </c>
      <c r="O362" s="999" t="s">
        <v>4192</v>
      </c>
      <c r="P362" s="406" t="s">
        <v>3605</v>
      </c>
    </row>
    <row r="363" spans="1:17" s="125" customFormat="1" ht="13.9" hidden="1" customHeight="1" outlineLevel="2" x14ac:dyDescent="0.25">
      <c r="A363" s="390">
        <f ca="1">IF($H363="UNIDADE CONSTRUTIVA",OFFSET(A363,-1,0)+1,LARGE(A$3:A362,1))</f>
        <v>0</v>
      </c>
      <c r="B363" s="390">
        <f t="shared" ca="1" si="73"/>
        <v>20</v>
      </c>
      <c r="C363" s="390">
        <f t="shared" ca="1" si="74"/>
        <v>1</v>
      </c>
      <c r="D363" s="391">
        <f t="shared" ca="1" si="75"/>
        <v>5</v>
      </c>
      <c r="E363" s="391">
        <f t="shared" ca="1" si="76"/>
        <v>5</v>
      </c>
      <c r="G363" s="398"/>
      <c r="H363" s="399" t="s">
        <v>433</v>
      </c>
      <c r="I363" s="400" t="str">
        <f t="shared" ca="1" si="86"/>
        <v>20.001.005.005</v>
      </c>
      <c r="J363" s="401" t="s">
        <v>3568</v>
      </c>
      <c r="K363" s="402" t="s">
        <v>66</v>
      </c>
      <c r="L363" s="403">
        <f>L356</f>
        <v>710.37</v>
      </c>
      <c r="M363" s="403">
        <f>'Custos Serviços'!G142</f>
        <v>187.572108869875</v>
      </c>
      <c r="N363" s="404">
        <f t="shared" si="72"/>
        <v>133245.5989778931</v>
      </c>
      <c r="O363" s="999" t="s">
        <v>4192</v>
      </c>
      <c r="P363" s="406" t="s">
        <v>3605</v>
      </c>
    </row>
    <row r="364" spans="1:17" s="125" customFormat="1" ht="13.9" hidden="1" customHeight="1" outlineLevel="2" x14ac:dyDescent="0.25">
      <c r="A364" s="390">
        <f ca="1">IF($H364="UNIDADE CONSTRUTIVA",OFFSET(A364,-1,0)+1,LARGE(A$3:A363,1))</f>
        <v>0</v>
      </c>
      <c r="B364" s="390">
        <f t="shared" ca="1" si="73"/>
        <v>20</v>
      </c>
      <c r="C364" s="390">
        <f t="shared" ca="1" si="74"/>
        <v>1</v>
      </c>
      <c r="D364" s="391">
        <f t="shared" ca="1" si="75"/>
        <v>5</v>
      </c>
      <c r="E364" s="391">
        <f t="shared" ca="1" si="76"/>
        <v>6</v>
      </c>
      <c r="G364" s="398"/>
      <c r="H364" s="399" t="s">
        <v>433</v>
      </c>
      <c r="I364" s="400" t="str">
        <f t="shared" ca="1" si="86"/>
        <v>20.001.005.006</v>
      </c>
      <c r="J364" s="401" t="s">
        <v>3569</v>
      </c>
      <c r="K364" s="402" t="s">
        <v>66</v>
      </c>
      <c r="L364" s="403">
        <f>L357</f>
        <v>49.44</v>
      </c>
      <c r="M364" s="403">
        <f>'Custos Serviços'!G143</f>
        <v>187.57210886987494</v>
      </c>
      <c r="N364" s="404">
        <f t="shared" si="72"/>
        <v>9273.5650625266171</v>
      </c>
      <c r="O364" s="999" t="s">
        <v>4192</v>
      </c>
      <c r="P364" s="406" t="s">
        <v>3605</v>
      </c>
    </row>
    <row r="365" spans="1:17" s="125" customFormat="1" ht="13.9" customHeight="1" collapsed="1" x14ac:dyDescent="0.25">
      <c r="A365" s="390">
        <f ca="1">IF($H365="UNIDADE CONSTRUTIVA",OFFSET(A365,-1,0)+1,LARGE(A$3:A364,1))</f>
        <v>0</v>
      </c>
      <c r="B365" s="390">
        <f t="shared" ca="1" si="73"/>
        <v>21</v>
      </c>
      <c r="C365" s="390">
        <f t="shared" ca="1" si="74"/>
        <v>0</v>
      </c>
      <c r="D365" s="391">
        <f t="shared" ca="1" si="75"/>
        <v>5</v>
      </c>
      <c r="E365" s="391">
        <f t="shared" ca="1" si="76"/>
        <v>6</v>
      </c>
      <c r="G365" s="398"/>
      <c r="H365" s="399" t="s">
        <v>430</v>
      </c>
      <c r="I365" s="400" t="str">
        <f t="shared" ca="1" si="69"/>
        <v>21</v>
      </c>
      <c r="J365" s="401" t="s">
        <v>257</v>
      </c>
      <c r="K365" s="402"/>
      <c r="L365" s="403"/>
      <c r="M365" s="403"/>
      <c r="N365" s="404">
        <f t="shared" ca="1" si="72"/>
        <v>2251630.964046597</v>
      </c>
      <c r="O365" s="405"/>
      <c r="P365" s="406"/>
      <c r="Q365" s="986">
        <f ca="1">N365/Obra!$E$9</f>
        <v>175.52019351284201</v>
      </c>
    </row>
    <row r="366" spans="1:17" s="125" customFormat="1" ht="13.9" hidden="1" customHeight="1" outlineLevel="1" x14ac:dyDescent="0.25">
      <c r="A366" s="390">
        <f ca="1">IF($H366="UNIDADE CONSTRUTIVA",OFFSET(A366,-1,0)+1,LARGE(A$3:A365,1))</f>
        <v>0</v>
      </c>
      <c r="B366" s="390">
        <f t="shared" ca="1" si="73"/>
        <v>21</v>
      </c>
      <c r="C366" s="390">
        <f t="shared" ca="1" si="74"/>
        <v>1</v>
      </c>
      <c r="D366" s="391">
        <f t="shared" ca="1" si="75"/>
        <v>0</v>
      </c>
      <c r="E366" s="391">
        <f t="shared" ca="1" si="76"/>
        <v>6</v>
      </c>
      <c r="G366" s="398"/>
      <c r="H366" s="399" t="s">
        <v>229</v>
      </c>
      <c r="I366" s="400" t="str">
        <f t="shared" ca="1" si="69"/>
        <v>21.001</v>
      </c>
      <c r="J366" s="401" t="s">
        <v>3523</v>
      </c>
      <c r="K366" s="402"/>
      <c r="L366" s="403"/>
      <c r="M366" s="403"/>
      <c r="N366" s="404">
        <f t="shared" ca="1" si="72"/>
        <v>168326.69604086</v>
      </c>
      <c r="O366" s="405"/>
      <c r="P366" s="406"/>
    </row>
    <row r="367" spans="1:17" s="125" customFormat="1" ht="13.9" hidden="1" customHeight="1" outlineLevel="1" x14ac:dyDescent="0.25">
      <c r="A367" s="390">
        <f ca="1">IF($H367="UNIDADE CONSTRUTIVA",OFFSET(A367,-1,0)+1,LARGE(A$3:A366,1))</f>
        <v>0</v>
      </c>
      <c r="B367" s="390">
        <f t="shared" ca="1" si="73"/>
        <v>21</v>
      </c>
      <c r="C367" s="390">
        <f t="shared" ca="1" si="74"/>
        <v>1</v>
      </c>
      <c r="D367" s="391">
        <f t="shared" ca="1" si="75"/>
        <v>1</v>
      </c>
      <c r="E367" s="391">
        <f t="shared" ca="1" si="76"/>
        <v>0</v>
      </c>
      <c r="G367" s="398"/>
      <c r="H367" s="399" t="s">
        <v>432</v>
      </c>
      <c r="I367" s="400" t="str">
        <f t="shared" ca="1" si="69"/>
        <v>21.001.001</v>
      </c>
      <c r="J367" s="401" t="s">
        <v>593</v>
      </c>
      <c r="K367" s="402"/>
      <c r="L367" s="403"/>
      <c r="M367" s="403"/>
      <c r="N367" s="404">
        <f t="shared" ca="1" si="72"/>
        <v>168326.69604086</v>
      </c>
      <c r="O367" s="405"/>
      <c r="P367" s="406"/>
    </row>
    <row r="368" spans="1:17" s="125" customFormat="1" ht="13.9" hidden="1" customHeight="1" outlineLevel="2" x14ac:dyDescent="0.25">
      <c r="A368" s="390">
        <f ca="1">IF($H368="UNIDADE CONSTRUTIVA",OFFSET(A368,-1,0)+1,LARGE(A$3:A367,1))</f>
        <v>0</v>
      </c>
      <c r="B368" s="390">
        <f t="shared" ca="1" si="73"/>
        <v>21</v>
      </c>
      <c r="C368" s="390">
        <f t="shared" ca="1" si="74"/>
        <v>1</v>
      </c>
      <c r="D368" s="391">
        <f t="shared" ca="1" si="75"/>
        <v>1</v>
      </c>
      <c r="E368" s="391">
        <f t="shared" ca="1" si="76"/>
        <v>1</v>
      </c>
      <c r="G368" s="398"/>
      <c r="H368" s="399" t="s">
        <v>433</v>
      </c>
      <c r="I368" s="400" t="str">
        <f t="shared" ca="1" si="69"/>
        <v>21.001.001.001</v>
      </c>
      <c r="J368" s="401" t="s">
        <v>594</v>
      </c>
      <c r="K368" s="402" t="s">
        <v>66</v>
      </c>
      <c r="L368" s="403">
        <f>'ARQ. RES'!$D$225</f>
        <v>625.62</v>
      </c>
      <c r="M368" s="403">
        <v>77.560686000000018</v>
      </c>
      <c r="N368" s="404">
        <f t="shared" si="72"/>
        <v>48523.51637532001</v>
      </c>
      <c r="O368" s="405"/>
      <c r="P368" s="406" t="s">
        <v>3605</v>
      </c>
    </row>
    <row r="369" spans="1:17" s="125" customFormat="1" ht="13.9" hidden="1" customHeight="1" outlineLevel="2" x14ac:dyDescent="0.25">
      <c r="A369" s="390">
        <f ca="1">IF($H369="UNIDADE CONSTRUTIVA",OFFSET(A369,-1,0)+1,LARGE(A$3:A368,1))</f>
        <v>0</v>
      </c>
      <c r="B369" s="390">
        <f t="shared" ca="1" si="73"/>
        <v>21</v>
      </c>
      <c r="C369" s="390">
        <f t="shared" ca="1" si="74"/>
        <v>1</v>
      </c>
      <c r="D369" s="391">
        <f t="shared" ca="1" si="75"/>
        <v>1</v>
      </c>
      <c r="E369" s="391">
        <f t="shared" ca="1" si="76"/>
        <v>2</v>
      </c>
      <c r="G369" s="398"/>
      <c r="H369" s="399" t="s">
        <v>433</v>
      </c>
      <c r="I369" s="400" t="str">
        <f t="shared" ref="I369" ca="1" si="87">IF(H369="Unidade Construtiva",TEXT(A369,"00"),IF(H369="Célula Construtiva",TEXT(B369,"00"),IF(H369="Etapa",CONCATENATE(TEXT(B369,"00"),".",TEXT(C369,"000")),IF(H369="Subetapa",CONCATENATE(TEXT(B369,"00"),".",TEXT(C369,"000"),".",TEXT(D369,"000")),IF(H369="Serviço",CONCATENATE(TEXT(B369,"00"),".",TEXT(C369,"000"),".",TEXT(D369,"000"),".",TEXT(E369,"000")),"")))))</f>
        <v>21.001.001.002</v>
      </c>
      <c r="J369" s="401" t="s">
        <v>3690</v>
      </c>
      <c r="K369" s="402" t="s">
        <v>74</v>
      </c>
      <c r="L369" s="403">
        <v>1</v>
      </c>
      <c r="M369" s="403">
        <f>76000</f>
        <v>76000</v>
      </c>
      <c r="N369" s="404">
        <f t="shared" si="72"/>
        <v>76000</v>
      </c>
      <c r="O369" s="405" t="s">
        <v>4181</v>
      </c>
      <c r="P369" s="406" t="s">
        <v>3605</v>
      </c>
    </row>
    <row r="370" spans="1:17" s="125" customFormat="1" ht="13.9" hidden="1" customHeight="1" outlineLevel="2" x14ac:dyDescent="0.25">
      <c r="A370" s="390">
        <f ca="1">IF($H370="UNIDADE CONSTRUTIVA",OFFSET(A370,-1,0)+1,LARGE(A$3:A369,1))</f>
        <v>0</v>
      </c>
      <c r="B370" s="390">
        <f t="shared" ca="1" si="73"/>
        <v>21</v>
      </c>
      <c r="C370" s="390">
        <f t="shared" ca="1" si="74"/>
        <v>1</v>
      </c>
      <c r="D370" s="391">
        <f t="shared" ca="1" si="75"/>
        <v>1</v>
      </c>
      <c r="E370" s="391">
        <f t="shared" ca="1" si="76"/>
        <v>3</v>
      </c>
      <c r="G370" s="398"/>
      <c r="H370" s="399" t="s">
        <v>433</v>
      </c>
      <c r="I370" s="400" t="str">
        <f t="shared" ca="1" si="69"/>
        <v>21.001.001.003</v>
      </c>
      <c r="J370" s="401" t="s">
        <v>3559</v>
      </c>
      <c r="K370" s="402" t="s">
        <v>66</v>
      </c>
      <c r="L370" s="403">
        <f>'ARQ. RES'!$D$226</f>
        <v>43.39</v>
      </c>
      <c r="M370" s="403">
        <v>116.41068600000003</v>
      </c>
      <c r="N370" s="404">
        <f t="shared" si="72"/>
        <v>5051.0596655400013</v>
      </c>
      <c r="O370" s="405"/>
      <c r="P370" s="406" t="s">
        <v>3605</v>
      </c>
    </row>
    <row r="371" spans="1:17" s="125" customFormat="1" ht="13.9" hidden="1" customHeight="1" outlineLevel="2" x14ac:dyDescent="0.25">
      <c r="A371" s="390">
        <f ca="1">IF($H371="UNIDADE CONSTRUTIVA",OFFSET(A371,-1,0)+1,LARGE(A$3:A370,1))</f>
        <v>0</v>
      </c>
      <c r="B371" s="390">
        <f t="shared" ca="1" si="73"/>
        <v>21</v>
      </c>
      <c r="C371" s="390">
        <f t="shared" ca="1" si="74"/>
        <v>1</v>
      </c>
      <c r="D371" s="391">
        <f t="shared" ca="1" si="75"/>
        <v>1</v>
      </c>
      <c r="E371" s="391">
        <f t="shared" ca="1" si="76"/>
        <v>4</v>
      </c>
      <c r="G371" s="398"/>
      <c r="H371" s="399" t="s">
        <v>433</v>
      </c>
      <c r="I371" s="400" t="str">
        <f t="shared" ca="1" si="69"/>
        <v>21.001.001.004</v>
      </c>
      <c r="J371" s="401" t="s">
        <v>595</v>
      </c>
      <c r="K371" s="402" t="s">
        <v>66</v>
      </c>
      <c r="L371" s="403">
        <f>L368</f>
        <v>625.62</v>
      </c>
      <c r="M371" s="403">
        <v>60</v>
      </c>
      <c r="N371" s="404">
        <f t="shared" si="72"/>
        <v>37537.199999999997</v>
      </c>
      <c r="O371" s="1001" t="s">
        <v>4204</v>
      </c>
      <c r="P371" s="406" t="s">
        <v>3605</v>
      </c>
      <c r="Q371" s="405" t="s">
        <v>4180</v>
      </c>
    </row>
    <row r="372" spans="1:17" s="125" customFormat="1" ht="13.9" hidden="1" customHeight="1" outlineLevel="2" x14ac:dyDescent="0.25">
      <c r="A372" s="390">
        <f ca="1">IF($H372="UNIDADE CONSTRUTIVA",OFFSET(A372,-1,0)+1,LARGE(A$3:A371,1))</f>
        <v>0</v>
      </c>
      <c r="B372" s="390">
        <f t="shared" ca="1" si="73"/>
        <v>21</v>
      </c>
      <c r="C372" s="390">
        <f t="shared" ca="1" si="74"/>
        <v>1</v>
      </c>
      <c r="D372" s="391">
        <f t="shared" ca="1" si="75"/>
        <v>1</v>
      </c>
      <c r="E372" s="391">
        <f t="shared" ca="1" si="76"/>
        <v>5</v>
      </c>
      <c r="G372" s="398"/>
      <c r="H372" s="399" t="s">
        <v>433</v>
      </c>
      <c r="I372" s="400" t="str">
        <f ca="1">IF(H372="Unidade Construtiva",TEXT(A372,"00"),IF(H372="Célula Construtiva",TEXT(B372,"00"),IF(H372="Etapa",CONCATENATE(TEXT(B372,"00"),".",TEXT(C372,"000")),IF(H372="Subetapa",CONCATENATE(TEXT(B372,"00"),".",TEXT(C372,"000"),".",TEXT(D372,"000")),IF(H372="Serviço",CONCATENATE(TEXT(B372,"00"),".",TEXT(C372,"000"),".",TEXT(D372,"000"),".",TEXT(E372,"000")),"")))))</f>
        <v>21.001.001.005</v>
      </c>
      <c r="J372" s="401" t="s">
        <v>3560</v>
      </c>
      <c r="K372" s="402" t="s">
        <v>66</v>
      </c>
      <c r="L372" s="403">
        <f>L370</f>
        <v>43.39</v>
      </c>
      <c r="M372" s="403">
        <v>28</v>
      </c>
      <c r="N372" s="404">
        <f t="shared" si="72"/>
        <v>1214.92</v>
      </c>
      <c r="O372" s="1001" t="s">
        <v>4204</v>
      </c>
      <c r="P372" s="406" t="s">
        <v>3605</v>
      </c>
    </row>
    <row r="373" spans="1:17" s="125" customFormat="1" ht="13.9" hidden="1" customHeight="1" outlineLevel="1" x14ac:dyDescent="0.25">
      <c r="A373" s="390">
        <f ca="1">IF($H373="UNIDADE CONSTRUTIVA",OFFSET(A373,-1,0)+1,LARGE(A$3:A372,1))</f>
        <v>0</v>
      </c>
      <c r="B373" s="390">
        <f t="shared" ca="1" si="73"/>
        <v>21</v>
      </c>
      <c r="C373" s="390">
        <f t="shared" ca="1" si="74"/>
        <v>2</v>
      </c>
      <c r="D373" s="391">
        <f t="shared" ca="1" si="75"/>
        <v>0</v>
      </c>
      <c r="E373" s="391">
        <f t="shared" ca="1" si="76"/>
        <v>5</v>
      </c>
      <c r="G373" s="398"/>
      <c r="H373" s="399" t="s">
        <v>229</v>
      </c>
      <c r="I373" s="400" t="str">
        <f t="shared" ca="1" si="69"/>
        <v>21.002</v>
      </c>
      <c r="J373" s="401" t="s">
        <v>257</v>
      </c>
      <c r="K373" s="402"/>
      <c r="L373" s="403"/>
      <c r="M373" s="403"/>
      <c r="N373" s="404">
        <f t="shared" ca="1" si="72"/>
        <v>2083304.2680057376</v>
      </c>
      <c r="O373" s="405"/>
      <c r="P373" s="406"/>
    </row>
    <row r="374" spans="1:17" s="125" customFormat="1" ht="13.9" hidden="1" customHeight="1" outlineLevel="1" x14ac:dyDescent="0.25">
      <c r="A374" s="390">
        <f ca="1">IF($H374="UNIDADE CONSTRUTIVA",OFFSET(A374,-1,0)+1,LARGE(A$3:A373,1))</f>
        <v>0</v>
      </c>
      <c r="B374" s="390">
        <f t="shared" ca="1" si="73"/>
        <v>21</v>
      </c>
      <c r="C374" s="390">
        <f t="shared" ca="1" si="74"/>
        <v>2</v>
      </c>
      <c r="D374" s="391">
        <f t="shared" ca="1" si="75"/>
        <v>1</v>
      </c>
      <c r="E374" s="391">
        <f t="shared" ca="1" si="76"/>
        <v>0</v>
      </c>
      <c r="G374" s="398"/>
      <c r="H374" s="399" t="s">
        <v>432</v>
      </c>
      <c r="I374" s="400" t="str">
        <f t="shared" ca="1" si="69"/>
        <v>21.002.001</v>
      </c>
      <c r="J374" s="401" t="s">
        <v>596</v>
      </c>
      <c r="K374" s="402"/>
      <c r="L374" s="403"/>
      <c r="M374" s="403"/>
      <c r="N374" s="404">
        <f t="shared" ca="1" si="72"/>
        <v>1249775.1500000001</v>
      </c>
      <c r="O374" s="405"/>
      <c r="P374" s="406"/>
    </row>
    <row r="375" spans="1:17" s="125" customFormat="1" ht="13.9" hidden="1" customHeight="1" outlineLevel="2" x14ac:dyDescent="0.25">
      <c r="A375" s="390">
        <f ca="1">IF($H375="UNIDADE CONSTRUTIVA",OFFSET(A375,-1,0)+1,LARGE(A$3:A374,1))</f>
        <v>0</v>
      </c>
      <c r="B375" s="390">
        <f t="shared" ca="1" si="73"/>
        <v>21</v>
      </c>
      <c r="C375" s="390">
        <f t="shared" ca="1" si="74"/>
        <v>2</v>
      </c>
      <c r="D375" s="391">
        <f t="shared" ca="1" si="75"/>
        <v>1</v>
      </c>
      <c r="E375" s="391">
        <f t="shared" ca="1" si="76"/>
        <v>1</v>
      </c>
      <c r="G375" s="398"/>
      <c r="H375" s="399" t="s">
        <v>433</v>
      </c>
      <c r="I375" s="400" t="str">
        <f t="shared" ca="1" si="69"/>
        <v>21.002.001.001</v>
      </c>
      <c r="J375" s="401" t="s">
        <v>597</v>
      </c>
      <c r="K375" s="402" t="s">
        <v>74</v>
      </c>
      <c r="L375" s="403">
        <v>1</v>
      </c>
      <c r="M375" s="403">
        <f>MOBILIÁRIO!C6</f>
        <v>1249775.1500000001</v>
      </c>
      <c r="N375" s="404">
        <f t="shared" si="72"/>
        <v>1249775.1500000001</v>
      </c>
      <c r="O375" s="405"/>
      <c r="P375" s="406" t="s">
        <v>3605</v>
      </c>
    </row>
    <row r="376" spans="1:17" s="125" customFormat="1" ht="13.9" hidden="1" customHeight="1" outlineLevel="1" x14ac:dyDescent="0.25">
      <c r="A376" s="390">
        <f ca="1">IF($H376="UNIDADE CONSTRUTIVA",OFFSET(A376,-1,0)+1,LARGE(A$3:A375,1))</f>
        <v>0</v>
      </c>
      <c r="B376" s="390">
        <f t="shared" ca="1" si="73"/>
        <v>21</v>
      </c>
      <c r="C376" s="390">
        <f t="shared" ca="1" si="74"/>
        <v>2</v>
      </c>
      <c r="D376" s="391">
        <f t="shared" ca="1" si="75"/>
        <v>2</v>
      </c>
      <c r="E376" s="391">
        <f t="shared" ca="1" si="76"/>
        <v>0</v>
      </c>
      <c r="G376" s="398"/>
      <c r="H376" s="399" t="s">
        <v>432</v>
      </c>
      <c r="I376" s="400" t="str">
        <f t="shared" ca="1" si="69"/>
        <v>21.002.002</v>
      </c>
      <c r="J376" s="401" t="s">
        <v>598</v>
      </c>
      <c r="K376" s="402"/>
      <c r="L376" s="403"/>
      <c r="M376" s="403"/>
      <c r="N376" s="404">
        <f t="shared" ca="1" si="72"/>
        <v>220504.72300573724</v>
      </c>
      <c r="O376" s="405"/>
      <c r="P376" s="406"/>
    </row>
    <row r="377" spans="1:17" s="125" customFormat="1" ht="13.9" hidden="1" customHeight="1" outlineLevel="2" x14ac:dyDescent="0.25">
      <c r="A377" s="390">
        <f ca="1">IF($H377="UNIDADE CONSTRUTIVA",OFFSET(A377,-1,0)+1,LARGE(A$3:A376,1))</f>
        <v>0</v>
      </c>
      <c r="B377" s="390">
        <f t="shared" ca="1" si="73"/>
        <v>21</v>
      </c>
      <c r="C377" s="390">
        <f t="shared" ca="1" si="74"/>
        <v>2</v>
      </c>
      <c r="D377" s="391">
        <f t="shared" ca="1" si="75"/>
        <v>2</v>
      </c>
      <c r="E377" s="391">
        <f t="shared" ca="1" si="76"/>
        <v>1</v>
      </c>
      <c r="G377" s="398"/>
      <c r="H377" s="399" t="s">
        <v>433</v>
      </c>
      <c r="I377" s="400" t="str">
        <f t="shared" ca="1" si="69"/>
        <v>21.002.002.001</v>
      </c>
      <c r="J377" s="401" t="s">
        <v>599</v>
      </c>
      <c r="K377" s="402" t="s">
        <v>74</v>
      </c>
      <c r="L377" s="403">
        <v>1</v>
      </c>
      <c r="M377" s="403">
        <v>169333.95600000003</v>
      </c>
      <c r="N377" s="404">
        <f t="shared" si="72"/>
        <v>169333.95600000003</v>
      </c>
      <c r="O377" s="405"/>
      <c r="P377" s="406" t="s">
        <v>3605</v>
      </c>
    </row>
    <row r="378" spans="1:17" s="125" customFormat="1" ht="13.9" hidden="1" customHeight="1" outlineLevel="2" x14ac:dyDescent="0.25">
      <c r="A378" s="390">
        <f ca="1">IF($H378="UNIDADE CONSTRUTIVA",OFFSET(A378,-1,0)+1,LARGE(A$3:A377,1))</f>
        <v>0</v>
      </c>
      <c r="B378" s="390">
        <f t="shared" ca="1" si="73"/>
        <v>21</v>
      </c>
      <c r="C378" s="390">
        <f t="shared" ca="1" si="74"/>
        <v>2</v>
      </c>
      <c r="D378" s="391">
        <f t="shared" ca="1" si="75"/>
        <v>2</v>
      </c>
      <c r="E378" s="391">
        <f t="shared" ca="1" si="76"/>
        <v>2</v>
      </c>
      <c r="G378" s="398"/>
      <c r="H378" s="399" t="s">
        <v>433</v>
      </c>
      <c r="I378" s="400" t="str">
        <f t="shared" ref="I378:I382" ca="1" si="88">IF(H378="Unidade Construtiva",TEXT(A378,"00"),IF(H378="Célula Construtiva",TEXT(B378,"00"),IF(H378="Etapa",CONCATENATE(TEXT(B378,"00"),".",TEXT(C378,"000")),IF(H378="Subetapa",CONCATENATE(TEXT(B378,"00"),".",TEXT(C378,"000"),".",TEXT(D378,"000")),IF(H378="Serviço",CONCATENATE(TEXT(B378,"00"),".",TEXT(C378,"000"),".",TEXT(D378,"000"),".",TEXT(E378,"000")),"")))))</f>
        <v>21.002.002.002</v>
      </c>
      <c r="J378" s="401" t="s">
        <v>3663</v>
      </c>
      <c r="K378" s="402" t="s">
        <v>66</v>
      </c>
      <c r="L378" s="403">
        <f>SUPRAESTRUTURA!$AR$18</f>
        <v>26.364999999999998</v>
      </c>
      <c r="M378" s="403">
        <v>71.678088677685949</v>
      </c>
      <c r="N378" s="404">
        <f t="shared" si="72"/>
        <v>1889.7928079871899</v>
      </c>
      <c r="O378" s="405"/>
      <c r="P378" s="406" t="s">
        <v>3605</v>
      </c>
    </row>
    <row r="379" spans="1:17" s="125" customFormat="1" ht="13.9" hidden="1" customHeight="1" outlineLevel="2" x14ac:dyDescent="0.25">
      <c r="A379" s="390">
        <f ca="1">IF($H379="UNIDADE CONSTRUTIVA",OFFSET(A379,-1,0)+1,LARGE(A$3:A378,1))</f>
        <v>0</v>
      </c>
      <c r="B379" s="390">
        <f t="shared" ca="1" si="73"/>
        <v>21</v>
      </c>
      <c r="C379" s="390">
        <f t="shared" ca="1" si="74"/>
        <v>2</v>
      </c>
      <c r="D379" s="391">
        <f t="shared" ca="1" si="75"/>
        <v>2</v>
      </c>
      <c r="E379" s="391">
        <f t="shared" ca="1" si="76"/>
        <v>3</v>
      </c>
      <c r="G379" s="398"/>
      <c r="H379" s="399" t="s">
        <v>433</v>
      </c>
      <c r="I379" s="400" t="str">
        <f t="shared" ca="1" si="88"/>
        <v>21.002.002.003</v>
      </c>
      <c r="J379" s="401" t="s">
        <v>3664</v>
      </c>
      <c r="K379" s="402" t="s">
        <v>434</v>
      </c>
      <c r="L379" s="403">
        <f>SUPRAESTRUTURA!$AQ$18</f>
        <v>1.4235</v>
      </c>
      <c r="M379" s="403">
        <v>557.26</v>
      </c>
      <c r="N379" s="404">
        <f t="shared" si="72"/>
        <v>793.25960999999995</v>
      </c>
      <c r="O379" s="405"/>
      <c r="P379" s="406" t="s">
        <v>3605</v>
      </c>
    </row>
    <row r="380" spans="1:17" s="125" customFormat="1" ht="13.9" hidden="1" customHeight="1" outlineLevel="2" x14ac:dyDescent="0.25">
      <c r="A380" s="390">
        <f ca="1">IF($H380="UNIDADE CONSTRUTIVA",OFFSET(A380,-1,0)+1,LARGE(A$3:A379,1))</f>
        <v>0</v>
      </c>
      <c r="B380" s="390">
        <f t="shared" ca="1" si="73"/>
        <v>21</v>
      </c>
      <c r="C380" s="390">
        <f t="shared" ca="1" si="74"/>
        <v>2</v>
      </c>
      <c r="D380" s="391">
        <f t="shared" ca="1" si="75"/>
        <v>2</v>
      </c>
      <c r="E380" s="391">
        <f t="shared" ca="1" si="76"/>
        <v>4</v>
      </c>
      <c r="G380" s="398"/>
      <c r="H380" s="399" t="s">
        <v>433</v>
      </c>
      <c r="I380" s="400" t="str">
        <f t="shared" ca="1" si="88"/>
        <v>21.002.002.004</v>
      </c>
      <c r="J380" s="401" t="s">
        <v>3665</v>
      </c>
      <c r="K380" s="402" t="s">
        <v>437</v>
      </c>
      <c r="L380" s="403">
        <f>SUPRAESTRUTURA!$AP$18</f>
        <v>85.41</v>
      </c>
      <c r="M380" s="403">
        <v>5.7102750000000002</v>
      </c>
      <c r="N380" s="404">
        <f t="shared" si="72"/>
        <v>487.71458775000002</v>
      </c>
      <c r="O380" s="405"/>
      <c r="P380" s="406" t="s">
        <v>3605</v>
      </c>
    </row>
    <row r="381" spans="1:17" s="125" customFormat="1" ht="13.9" hidden="1" customHeight="1" outlineLevel="2" x14ac:dyDescent="0.25">
      <c r="A381" s="390">
        <f ca="1">IF($H381="UNIDADE CONSTRUTIVA",OFFSET(A381,-1,0)+1,LARGE(A$3:A380,1))</f>
        <v>0</v>
      </c>
      <c r="B381" s="390">
        <f t="shared" ca="1" si="73"/>
        <v>21</v>
      </c>
      <c r="C381" s="390">
        <f t="shared" ca="1" si="74"/>
        <v>2</v>
      </c>
      <c r="D381" s="391">
        <f t="shared" ca="1" si="75"/>
        <v>2</v>
      </c>
      <c r="E381" s="391">
        <f t="shared" ca="1" si="76"/>
        <v>5</v>
      </c>
      <c r="G381" s="398"/>
      <c r="H381" s="399" t="s">
        <v>433</v>
      </c>
      <c r="I381" s="400" t="str">
        <f t="shared" ca="1" si="88"/>
        <v>21.002.002.005</v>
      </c>
      <c r="J381" s="401" t="s">
        <v>3666</v>
      </c>
      <c r="K381" s="402" t="s">
        <v>74</v>
      </c>
      <c r="L381" s="403">
        <v>1</v>
      </c>
      <c r="M381" s="403">
        <v>18000</v>
      </c>
      <c r="N381" s="404">
        <f t="shared" si="72"/>
        <v>18000</v>
      </c>
      <c r="O381" s="405"/>
      <c r="P381" s="406" t="s">
        <v>3605</v>
      </c>
    </row>
    <row r="382" spans="1:17" s="125" customFormat="1" ht="13.9" hidden="1" customHeight="1" outlineLevel="2" x14ac:dyDescent="0.25">
      <c r="A382" s="390">
        <f ca="1">IF($H382="UNIDADE CONSTRUTIVA",OFFSET(A382,-1,0)+1,LARGE(A$3:A381,1))</f>
        <v>0</v>
      </c>
      <c r="B382" s="390">
        <f t="shared" ca="1" si="73"/>
        <v>21</v>
      </c>
      <c r="C382" s="390">
        <f t="shared" ca="1" si="74"/>
        <v>2</v>
      </c>
      <c r="D382" s="391">
        <f t="shared" ca="1" si="75"/>
        <v>2</v>
      </c>
      <c r="E382" s="391">
        <f t="shared" ca="1" si="76"/>
        <v>6</v>
      </c>
      <c r="G382" s="398"/>
      <c r="H382" s="399" t="s">
        <v>433</v>
      </c>
      <c r="I382" s="400" t="str">
        <f t="shared" ca="1" si="88"/>
        <v>21.002.002.006</v>
      </c>
      <c r="J382" s="401" t="s">
        <v>3667</v>
      </c>
      <c r="K382" s="402" t="s">
        <v>74</v>
      </c>
      <c r="L382" s="403">
        <v>1</v>
      </c>
      <c r="M382" s="403">
        <v>15000</v>
      </c>
      <c r="N382" s="404">
        <f t="shared" si="72"/>
        <v>15000</v>
      </c>
      <c r="O382" s="405"/>
      <c r="P382" s="406" t="s">
        <v>3605</v>
      </c>
    </row>
    <row r="383" spans="1:17" s="125" customFormat="1" ht="13.9" hidden="1" customHeight="1" outlineLevel="2" x14ac:dyDescent="0.25">
      <c r="A383" s="390">
        <f ca="1">IF($H383="UNIDADE CONSTRUTIVA",OFFSET(A383,-1,0)+1,LARGE(A$3:A382,1))</f>
        <v>0</v>
      </c>
      <c r="B383" s="390">
        <f t="shared" ca="1" si="73"/>
        <v>21</v>
      </c>
      <c r="C383" s="390">
        <f t="shared" ca="1" si="74"/>
        <v>2</v>
      </c>
      <c r="D383" s="391">
        <f t="shared" ca="1" si="75"/>
        <v>2</v>
      </c>
      <c r="E383" s="391">
        <f t="shared" ca="1" si="76"/>
        <v>7</v>
      </c>
      <c r="G383" s="398"/>
      <c r="H383" s="399" t="s">
        <v>433</v>
      </c>
      <c r="I383" s="400" t="str">
        <f t="shared" ref="I383" ca="1" si="89">IF(H383="Unidade Construtiva",TEXT(A383,"00"),IF(H383="Célula Construtiva",TEXT(B383,"00"),IF(H383="Etapa",CONCATENATE(TEXT(B383,"00"),".",TEXT(C383,"000")),IF(H383="Subetapa",CONCATENATE(TEXT(B383,"00"),".",TEXT(C383,"000"),".",TEXT(D383,"000")),IF(H383="Serviço",CONCATENATE(TEXT(B383,"00"),".",TEXT(C383,"000"),".",TEXT(D383,"000"),".",TEXT(E383,"000")),"")))))</f>
        <v>21.002.002.007</v>
      </c>
      <c r="J383" s="401" t="s">
        <v>3668</v>
      </c>
      <c r="K383" s="402" t="s">
        <v>74</v>
      </c>
      <c r="L383" s="403">
        <v>1</v>
      </c>
      <c r="M383" s="403">
        <v>15000</v>
      </c>
      <c r="N383" s="404">
        <f t="shared" si="72"/>
        <v>15000</v>
      </c>
      <c r="O383" s="1001" t="s">
        <v>4204</v>
      </c>
      <c r="P383" s="406" t="s">
        <v>3605</v>
      </c>
    </row>
    <row r="384" spans="1:17" s="125" customFormat="1" ht="13.9" hidden="1" customHeight="1" outlineLevel="1" x14ac:dyDescent="0.25">
      <c r="A384" s="390">
        <f ca="1">IF($H384="UNIDADE CONSTRUTIVA",OFFSET(A384,-1,0)+1,LARGE(A$3:A383,1))</f>
        <v>0</v>
      </c>
      <c r="B384" s="390">
        <f t="shared" ca="1" si="73"/>
        <v>21</v>
      </c>
      <c r="C384" s="390">
        <f t="shared" ca="1" si="74"/>
        <v>2</v>
      </c>
      <c r="D384" s="391">
        <f t="shared" ca="1" si="75"/>
        <v>3</v>
      </c>
      <c r="E384" s="391">
        <f t="shared" ca="1" si="76"/>
        <v>0</v>
      </c>
      <c r="G384" s="398"/>
      <c r="H384" s="399" t="s">
        <v>432</v>
      </c>
      <c r="I384" s="400" t="str">
        <f t="shared" ref="I384:I395" ca="1" si="90">IF(H384="Unidade Construtiva",TEXT(A384,"00"),IF(H384="Célula Construtiva",TEXT(B384,"00"),IF(H384="Etapa",CONCATENATE(TEXT(B384,"00"),".",TEXT(C384,"000")),IF(H384="Subetapa",CONCATENATE(TEXT(B384,"00"),".",TEXT(C384,"000"),".",TEXT(D384,"000")),IF(H384="Serviço",CONCATENATE(TEXT(B384,"00"),".",TEXT(C384,"000"),".",TEXT(D384,"000"),".",TEXT(E384,"000")),"")))))</f>
        <v>21.002.003</v>
      </c>
      <c r="J384" s="401" t="s">
        <v>600</v>
      </c>
      <c r="K384" s="402"/>
      <c r="L384" s="403"/>
      <c r="M384" s="403"/>
      <c r="N384" s="404">
        <f t="shared" ca="1" si="72"/>
        <v>141111.63000000003</v>
      </c>
      <c r="O384" s="405"/>
      <c r="P384" s="406"/>
    </row>
    <row r="385" spans="1:17" s="125" customFormat="1" ht="13.9" hidden="1" customHeight="1" outlineLevel="2" x14ac:dyDescent="0.25">
      <c r="A385" s="390">
        <f ca="1">IF($H385="UNIDADE CONSTRUTIVA",OFFSET(A385,-1,0)+1,LARGE(A$3:A384,1))</f>
        <v>0</v>
      </c>
      <c r="B385" s="390">
        <f t="shared" ca="1" si="73"/>
        <v>21</v>
      </c>
      <c r="C385" s="390">
        <f t="shared" ca="1" si="74"/>
        <v>2</v>
      </c>
      <c r="D385" s="391">
        <f t="shared" ca="1" si="75"/>
        <v>3</v>
      </c>
      <c r="E385" s="391">
        <f t="shared" ca="1" si="76"/>
        <v>1</v>
      </c>
      <c r="G385" s="398"/>
      <c r="H385" s="399" t="s">
        <v>433</v>
      </c>
      <c r="I385" s="400" t="str">
        <f t="shared" ca="1" si="90"/>
        <v>21.002.003.001</v>
      </c>
      <c r="J385" s="401" t="s">
        <v>600</v>
      </c>
      <c r="K385" s="402" t="s">
        <v>74</v>
      </c>
      <c r="L385" s="403">
        <v>1</v>
      </c>
      <c r="M385" s="403">
        <v>141111.63000000003</v>
      </c>
      <c r="N385" s="404">
        <f t="shared" si="72"/>
        <v>141111.63000000003</v>
      </c>
      <c r="O385" s="405"/>
      <c r="P385" s="406" t="s">
        <v>3605</v>
      </c>
    </row>
    <row r="386" spans="1:17" s="125" customFormat="1" ht="13.9" hidden="1" customHeight="1" outlineLevel="1" x14ac:dyDescent="0.25">
      <c r="A386" s="390">
        <f ca="1">IF($H386="UNIDADE CONSTRUTIVA",OFFSET(A386,-1,0)+1,LARGE(A$3:A385,1))</f>
        <v>0</v>
      </c>
      <c r="B386" s="390">
        <f t="shared" ca="1" si="73"/>
        <v>21</v>
      </c>
      <c r="C386" s="390">
        <f t="shared" ca="1" si="74"/>
        <v>2</v>
      </c>
      <c r="D386" s="391">
        <f t="shared" ca="1" si="75"/>
        <v>4</v>
      </c>
      <c r="E386" s="391">
        <f t="shared" ca="1" si="76"/>
        <v>0</v>
      </c>
      <c r="G386" s="398"/>
      <c r="H386" s="399" t="s">
        <v>432</v>
      </c>
      <c r="I386" s="400" t="str">
        <f t="shared" ca="1" si="90"/>
        <v>21.002.004</v>
      </c>
      <c r="J386" s="401" t="s">
        <v>601</v>
      </c>
      <c r="K386" s="402"/>
      <c r="L386" s="403"/>
      <c r="M386" s="403"/>
      <c r="N386" s="404">
        <f t="shared" ca="1" si="72"/>
        <v>420599.44500000007</v>
      </c>
      <c r="O386" s="405"/>
      <c r="P386" s="406"/>
    </row>
    <row r="387" spans="1:17" s="125" customFormat="1" ht="13.9" hidden="1" customHeight="1" outlineLevel="2" x14ac:dyDescent="0.25">
      <c r="A387" s="390">
        <f ca="1">IF($H387="UNIDADE CONSTRUTIVA",OFFSET(A387,-1,0)+1,LARGE(A$3:A386,1))</f>
        <v>0</v>
      </c>
      <c r="B387" s="390">
        <f t="shared" ca="1" si="73"/>
        <v>21</v>
      </c>
      <c r="C387" s="390">
        <f t="shared" ca="1" si="74"/>
        <v>2</v>
      </c>
      <c r="D387" s="391">
        <f t="shared" ca="1" si="75"/>
        <v>4</v>
      </c>
      <c r="E387" s="391">
        <f t="shared" ca="1" si="76"/>
        <v>1</v>
      </c>
      <c r="G387" s="398"/>
      <c r="H387" s="399" t="s">
        <v>433</v>
      </c>
      <c r="I387" s="400" t="str">
        <f t="shared" ca="1" si="90"/>
        <v>21.002.004.001</v>
      </c>
      <c r="J387" s="401" t="s">
        <v>602</v>
      </c>
      <c r="K387" s="402" t="s">
        <v>74</v>
      </c>
      <c r="L387" s="403">
        <v>1</v>
      </c>
      <c r="M387" s="403">
        <v>211667.44500000004</v>
      </c>
      <c r="N387" s="404">
        <f t="shared" si="72"/>
        <v>211667.44500000004</v>
      </c>
      <c r="O387" s="405"/>
      <c r="P387" s="406" t="s">
        <v>3605</v>
      </c>
    </row>
    <row r="388" spans="1:17" s="125" customFormat="1" ht="13.9" hidden="1" customHeight="1" outlineLevel="2" x14ac:dyDescent="0.25">
      <c r="A388" s="390">
        <f ca="1">IF($H388="UNIDADE CONSTRUTIVA",OFFSET(A388,-1,0)+1,LARGE(A$3:A387,1))</f>
        <v>0</v>
      </c>
      <c r="B388" s="390">
        <f t="shared" ca="1" si="73"/>
        <v>21</v>
      </c>
      <c r="C388" s="390">
        <f t="shared" ca="1" si="74"/>
        <v>2</v>
      </c>
      <c r="D388" s="391">
        <f t="shared" ca="1" si="75"/>
        <v>4</v>
      </c>
      <c r="E388" s="391">
        <f t="shared" ca="1" si="76"/>
        <v>2</v>
      </c>
      <c r="G388" s="398"/>
      <c r="H388" s="399" t="s">
        <v>433</v>
      </c>
      <c r="I388" s="400" t="str">
        <f t="shared" ref="I388" ca="1" si="91">IF(H388="Unidade Construtiva",TEXT(A388,"00"),IF(H388="Célula Construtiva",TEXT(B388,"00"),IF(H388="Etapa",CONCATENATE(TEXT(B388,"00"),".",TEXT(C388,"000")),IF(H388="Subetapa",CONCATENATE(TEXT(B388,"00"),".",TEXT(C388,"000"),".",TEXT(D388,"000")),IF(H388="Serviço",CONCATENATE(TEXT(B388,"00"),".",TEXT(C388,"000"),".",TEXT(D388,"000"),".",TEXT(E388,"000")),"")))))</f>
        <v>21.002.004.002</v>
      </c>
      <c r="J388" s="401" t="s">
        <v>603</v>
      </c>
      <c r="K388" s="402" t="s">
        <v>74</v>
      </c>
      <c r="L388" s="403">
        <v>1</v>
      </c>
      <c r="M388" s="403">
        <f>'Custos Serviços'!$E$144</f>
        <v>72672</v>
      </c>
      <c r="N388" s="404">
        <f t="shared" si="72"/>
        <v>72672</v>
      </c>
      <c r="O388" s="999" t="s">
        <v>4192</v>
      </c>
      <c r="P388" s="406" t="s">
        <v>3605</v>
      </c>
    </row>
    <row r="389" spans="1:17" s="125" customFormat="1" ht="13.9" hidden="1" customHeight="1" outlineLevel="2" x14ac:dyDescent="0.25">
      <c r="A389" s="390">
        <f ca="1">IF($H389="UNIDADE CONSTRUTIVA",OFFSET(A389,-1,0)+1,LARGE(A$3:A388,1))</f>
        <v>0</v>
      </c>
      <c r="B389" s="390">
        <f t="shared" ca="1" si="73"/>
        <v>21</v>
      </c>
      <c r="C389" s="390">
        <f t="shared" ca="1" si="74"/>
        <v>2</v>
      </c>
      <c r="D389" s="391">
        <f t="shared" ca="1" si="75"/>
        <v>4</v>
      </c>
      <c r="E389" s="391">
        <f t="shared" ca="1" si="76"/>
        <v>3</v>
      </c>
      <c r="G389" s="398"/>
      <c r="H389" s="399" t="s">
        <v>433</v>
      </c>
      <c r="I389" s="400" t="str">
        <f t="shared" ca="1" si="90"/>
        <v>21.002.004.003</v>
      </c>
      <c r="J389" s="401" t="s">
        <v>1022</v>
      </c>
      <c r="K389" s="402" t="s">
        <v>74</v>
      </c>
      <c r="L389" s="403">
        <v>1</v>
      </c>
      <c r="M389" s="403">
        <f>'Custos Serviços'!$D$145</f>
        <v>136260</v>
      </c>
      <c r="N389" s="404">
        <f t="shared" si="72"/>
        <v>136260</v>
      </c>
      <c r="O389" s="999" t="s">
        <v>4192</v>
      </c>
      <c r="P389" s="406" t="s">
        <v>3605</v>
      </c>
    </row>
    <row r="390" spans="1:17" s="125" customFormat="1" ht="13.9" hidden="1" customHeight="1" outlineLevel="1" x14ac:dyDescent="0.25">
      <c r="A390" s="390">
        <f ca="1">IF($H390="UNIDADE CONSTRUTIVA",OFFSET(A390,-1,0)+1,LARGE(A$3:A389,1))</f>
        <v>0</v>
      </c>
      <c r="B390" s="390">
        <f t="shared" ca="1" si="73"/>
        <v>21</v>
      </c>
      <c r="C390" s="390">
        <f t="shared" ca="1" si="74"/>
        <v>2</v>
      </c>
      <c r="D390" s="391">
        <f t="shared" ca="1" si="75"/>
        <v>5</v>
      </c>
      <c r="E390" s="391">
        <f t="shared" ca="1" si="76"/>
        <v>0</v>
      </c>
      <c r="G390" s="398"/>
      <c r="H390" s="399" t="s">
        <v>432</v>
      </c>
      <c r="I390" s="400" t="str">
        <f t="shared" ca="1" si="90"/>
        <v>21.002.005</v>
      </c>
      <c r="J390" s="401" t="s">
        <v>604</v>
      </c>
      <c r="K390" s="402"/>
      <c r="L390" s="403"/>
      <c r="M390" s="403"/>
      <c r="N390" s="404">
        <f t="shared" ca="1" si="72"/>
        <v>51313.320000000007</v>
      </c>
      <c r="O390" s="405"/>
      <c r="P390" s="406"/>
    </row>
    <row r="391" spans="1:17" s="125" customFormat="1" ht="13.9" hidden="1" customHeight="1" outlineLevel="2" x14ac:dyDescent="0.25">
      <c r="A391" s="390">
        <f ca="1">IF($H391="UNIDADE CONSTRUTIVA",OFFSET(A391,-1,0)+1,LARGE(A$3:A390,1))</f>
        <v>0</v>
      </c>
      <c r="B391" s="390">
        <f t="shared" ca="1" si="73"/>
        <v>21</v>
      </c>
      <c r="C391" s="390">
        <f t="shared" ca="1" si="74"/>
        <v>2</v>
      </c>
      <c r="D391" s="391">
        <f t="shared" ca="1" si="75"/>
        <v>5</v>
      </c>
      <c r="E391" s="391">
        <f t="shared" ca="1" si="76"/>
        <v>1</v>
      </c>
      <c r="G391" s="398"/>
      <c r="H391" s="399" t="s">
        <v>433</v>
      </c>
      <c r="I391" s="400" t="str">
        <f t="shared" ca="1" si="90"/>
        <v>21.002.005.001</v>
      </c>
      <c r="J391" s="401" t="s">
        <v>604</v>
      </c>
      <c r="K391" s="402" t="s">
        <v>74</v>
      </c>
      <c r="L391" s="403">
        <v>1</v>
      </c>
      <c r="M391" s="403">
        <v>51313.320000000007</v>
      </c>
      <c r="N391" s="404">
        <f t="shared" si="72"/>
        <v>51313.320000000007</v>
      </c>
      <c r="O391" s="405"/>
      <c r="P391" s="406" t="s">
        <v>3605</v>
      </c>
    </row>
    <row r="392" spans="1:17" s="125" customFormat="1" ht="13.9" customHeight="1" collapsed="1" x14ac:dyDescent="0.25">
      <c r="A392" s="390">
        <f ca="1">IF($H392="UNIDADE CONSTRUTIVA",OFFSET(A392,-1,0)+1,LARGE(A$3:A391,1))</f>
        <v>0</v>
      </c>
      <c r="B392" s="390">
        <f t="shared" ca="1" si="73"/>
        <v>22</v>
      </c>
      <c r="C392" s="390">
        <f t="shared" ca="1" si="74"/>
        <v>0</v>
      </c>
      <c r="D392" s="391">
        <f t="shared" ca="1" si="75"/>
        <v>5</v>
      </c>
      <c r="E392" s="391">
        <f t="shared" ca="1" si="76"/>
        <v>1</v>
      </c>
      <c r="G392" s="398"/>
      <c r="H392" s="399" t="s">
        <v>430</v>
      </c>
      <c r="I392" s="400" t="str">
        <f t="shared" ca="1" si="90"/>
        <v>22</v>
      </c>
      <c r="J392" s="401" t="s">
        <v>605</v>
      </c>
      <c r="K392" s="402"/>
      <c r="L392" s="403"/>
      <c r="M392" s="403"/>
      <c r="N392" s="404">
        <f t="shared" ref="N392:N395" ca="1" si="92">IF(H392="Serviço",M392*L392,IF(H392="CÉLULA CONSTRUTIVA",SUMIFS($N$8:$N$395,$B$8:$B$395,B392,$H$8:$H$395,"Serviço"),IF(H392="ETAPA",SUMIFS($N$8:$N$395,$B$8:$B$395,B392,$C$8:$C$395,C392,$H$8:$H$395,"Serviço"),IF(H392="SUBETAPA",SUMIFS($N$8:$N$395,$B$8:$B$395,B392,$C$8:$C$395,C392,$D$8:$D$395,D392,$H$8:$H$395,"Serviço"),0))))</f>
        <v>719909.22089031583</v>
      </c>
      <c r="O392" s="405"/>
      <c r="P392" s="406"/>
      <c r="Q392" s="986">
        <f ca="1">N392/Obra!$E$9</f>
        <v>56.118701412445404</v>
      </c>
    </row>
    <row r="393" spans="1:17" s="125" customFormat="1" ht="13.9" hidden="1" customHeight="1" outlineLevel="1" x14ac:dyDescent="0.25">
      <c r="A393" s="390">
        <f ca="1">IF($H393="UNIDADE CONSTRUTIVA",OFFSET(A393,-1,0)+1,LARGE(A$3:A392,1))</f>
        <v>0</v>
      </c>
      <c r="B393" s="390">
        <f t="shared" ref="B393:B401" ca="1" si="93">IF(H393="UNIDADE CONSTRUTIVA",0,IF(H393="CÉLULA CONSTRUTIVA",OFFSET(B393,-1,0)+1,OFFSET(B393,-1,0)))</f>
        <v>22</v>
      </c>
      <c r="C393" s="390">
        <f t="shared" ref="C393:C401" ca="1" si="94">IF(H393="CÉLULA CONSTRUTIVA",0,IF(H393="ETAPA",OFFSET(C393,-1,0)+1,OFFSET(C393,-1,0)))</f>
        <v>1</v>
      </c>
      <c r="D393" s="391">
        <f t="shared" ref="D393:D401" ca="1" si="95">IF(H393="ETAPA",0,IF(H393="SUBETAPA",OFFSET(D393,-1,0)+1,OFFSET(D393,-1,0)))</f>
        <v>0</v>
      </c>
      <c r="E393" s="391">
        <f t="shared" ref="E393:E401" ca="1" si="96">IF(H393="Subetapa",0,IF(H393="serviço",OFFSET(E393,-1,0)+1,OFFSET(E393,-1,0)))</f>
        <v>1</v>
      </c>
      <c r="G393" s="398"/>
      <c r="H393" s="399" t="s">
        <v>229</v>
      </c>
      <c r="I393" s="400" t="str">
        <f t="shared" ca="1" si="90"/>
        <v>22.001</v>
      </c>
      <c r="J393" s="401" t="s">
        <v>605</v>
      </c>
      <c r="K393" s="402"/>
      <c r="L393" s="403"/>
      <c r="M393" s="403"/>
      <c r="N393" s="404">
        <f t="shared" ca="1" si="92"/>
        <v>719909.22089031583</v>
      </c>
      <c r="O393" s="405"/>
      <c r="P393" s="406"/>
    </row>
    <row r="394" spans="1:17" s="125" customFormat="1" ht="13.9" hidden="1" customHeight="1" outlineLevel="1" x14ac:dyDescent="0.25">
      <c r="A394" s="390">
        <f ca="1">IF($H394="UNIDADE CONSTRUTIVA",OFFSET(A394,-1,0)+1,LARGE(A$3:A393,1))</f>
        <v>0</v>
      </c>
      <c r="B394" s="390">
        <f t="shared" ca="1" si="93"/>
        <v>22</v>
      </c>
      <c r="C394" s="390">
        <f t="shared" ca="1" si="94"/>
        <v>1</v>
      </c>
      <c r="D394" s="391">
        <f t="shared" ca="1" si="95"/>
        <v>1</v>
      </c>
      <c r="E394" s="391">
        <f t="shared" ca="1" si="96"/>
        <v>0</v>
      </c>
      <c r="G394" s="398"/>
      <c r="H394" s="399" t="s">
        <v>432</v>
      </c>
      <c r="I394" s="400" t="str">
        <f t="shared" ca="1" si="90"/>
        <v>22.001.001</v>
      </c>
      <c r="J394" s="401" t="s">
        <v>606</v>
      </c>
      <c r="K394" s="402"/>
      <c r="L394" s="403"/>
      <c r="M394" s="403"/>
      <c r="N394" s="404">
        <f t="shared" ca="1" si="92"/>
        <v>719909.22089031583</v>
      </c>
      <c r="O394" s="405"/>
      <c r="P394" s="406"/>
    </row>
    <row r="395" spans="1:17" s="125" customFormat="1" ht="11.25" hidden="1" outlineLevel="2" x14ac:dyDescent="0.25">
      <c r="A395" s="390">
        <f ca="1">IF($H395="UNIDADE CONSTRUTIVA",OFFSET(A395,-1,0)+1,LARGE(A$3:A394,1))</f>
        <v>0</v>
      </c>
      <c r="B395" s="390">
        <f t="shared" ca="1" si="93"/>
        <v>22</v>
      </c>
      <c r="C395" s="390">
        <f t="shared" ca="1" si="94"/>
        <v>1</v>
      </c>
      <c r="D395" s="391">
        <f t="shared" ca="1" si="95"/>
        <v>1</v>
      </c>
      <c r="E395" s="391">
        <f t="shared" ca="1" si="96"/>
        <v>1</v>
      </c>
      <c r="G395" s="398"/>
      <c r="H395" s="399" t="s">
        <v>433</v>
      </c>
      <c r="I395" s="400" t="str">
        <f t="shared" ca="1" si="90"/>
        <v>22.001.001.001</v>
      </c>
      <c r="J395" s="401" t="s">
        <v>606</v>
      </c>
      <c r="K395" s="402" t="s">
        <v>74</v>
      </c>
      <c r="L395" s="403">
        <v>1</v>
      </c>
      <c r="M395" s="403">
        <f>SUMIFS(N7:N391,H7:H391,"serviço")*0.02</f>
        <v>719909.22089031583</v>
      </c>
      <c r="N395" s="404">
        <f t="shared" si="92"/>
        <v>719909.22089031583</v>
      </c>
      <c r="O395" s="405"/>
      <c r="P395" s="406" t="s">
        <v>3605</v>
      </c>
    </row>
    <row r="396" spans="1:17" s="125" customFormat="1" ht="11.25" hidden="1" outlineLevel="2" x14ac:dyDescent="0.25">
      <c r="A396" s="390">
        <f ca="1">IF($H396="UNIDADE CONSTRUTIVA",OFFSET(A396,-1,0)+1,LARGE(A$3:A395,1))</f>
        <v>0</v>
      </c>
      <c r="B396" s="390">
        <f t="shared" ca="1" si="93"/>
        <v>22</v>
      </c>
      <c r="C396" s="390">
        <f t="shared" ca="1" si="94"/>
        <v>1</v>
      </c>
      <c r="D396" s="391">
        <f t="shared" ca="1" si="95"/>
        <v>1</v>
      </c>
      <c r="E396" s="391">
        <f t="shared" ca="1" si="96"/>
        <v>1</v>
      </c>
      <c r="G396" s="975"/>
      <c r="H396" s="976"/>
      <c r="I396" s="976"/>
      <c r="J396" s="977" t="s">
        <v>56</v>
      </c>
      <c r="K396" s="978"/>
      <c r="L396" s="979"/>
      <c r="M396" s="979"/>
      <c r="N396" s="980">
        <f ca="1">SUM(N8:N395)/4</f>
        <v>36715370.265406087</v>
      </c>
      <c r="O396" s="981"/>
      <c r="P396" s="982"/>
    </row>
    <row r="397" spans="1:17" ht="11.25" x14ac:dyDescent="0.25">
      <c r="A397" s="390">
        <f ca="1">IF($H397="UNIDADE CONSTRUTIVA",OFFSET(A397,-1,0)+1,LARGE(A$3:A396,1))</f>
        <v>0</v>
      </c>
      <c r="B397" s="390">
        <f t="shared" ca="1" si="93"/>
        <v>22</v>
      </c>
      <c r="C397" s="390">
        <f t="shared" ca="1" si="94"/>
        <v>1</v>
      </c>
      <c r="D397" s="391">
        <f t="shared" ca="1" si="95"/>
        <v>1</v>
      </c>
      <c r="E397" s="391">
        <f t="shared" ca="1" si="96"/>
        <v>1</v>
      </c>
      <c r="F397" s="125"/>
      <c r="M397" s="971">
        <f ca="1">SUMIFS($N$7:$N$395,$H$7:$H$395,N397)</f>
        <v>36715370.265406094</v>
      </c>
      <c r="N397" s="972" t="s">
        <v>430</v>
      </c>
    </row>
    <row r="398" spans="1:17" ht="11.25" x14ac:dyDescent="0.25">
      <c r="A398" s="390">
        <f ca="1">IF($H398="UNIDADE CONSTRUTIVA",OFFSET(A398,-1,0)+1,LARGE(A$3:A397,1))</f>
        <v>0</v>
      </c>
      <c r="B398" s="390">
        <f t="shared" ca="1" si="93"/>
        <v>22</v>
      </c>
      <c r="C398" s="390">
        <f t="shared" ca="1" si="94"/>
        <v>1</v>
      </c>
      <c r="D398" s="391">
        <f t="shared" ca="1" si="95"/>
        <v>1</v>
      </c>
      <c r="E398" s="391">
        <f t="shared" ca="1" si="96"/>
        <v>1</v>
      </c>
      <c r="F398" s="125"/>
      <c r="M398" s="971">
        <f ca="1">SUMIFS($N$7:$N$395,$H$7:$H$395,N398)</f>
        <v>36715370.265406094</v>
      </c>
      <c r="N398" s="972" t="s">
        <v>229</v>
      </c>
    </row>
    <row r="399" spans="1:17" ht="11.25" x14ac:dyDescent="0.25">
      <c r="A399" s="390">
        <f ca="1">IF($H399="UNIDADE CONSTRUTIVA",OFFSET(A399,-1,0)+1,LARGE(A$3:A398,1))</f>
        <v>0</v>
      </c>
      <c r="B399" s="390">
        <f t="shared" ca="1" si="93"/>
        <v>22</v>
      </c>
      <c r="C399" s="390">
        <f t="shared" ca="1" si="94"/>
        <v>1</v>
      </c>
      <c r="D399" s="391">
        <f t="shared" ca="1" si="95"/>
        <v>1</v>
      </c>
      <c r="E399" s="391">
        <f t="shared" ca="1" si="96"/>
        <v>1</v>
      </c>
      <c r="F399" s="125"/>
      <c r="M399" s="971">
        <f ca="1">SUMIFS($N$7:$N$395,$H$7:$H$395,N399)</f>
        <v>36715370.265406087</v>
      </c>
      <c r="N399" s="972" t="s">
        <v>432</v>
      </c>
    </row>
    <row r="400" spans="1:17" ht="11.25" x14ac:dyDescent="0.25">
      <c r="A400" s="390">
        <f ca="1">IF($H400="UNIDADE CONSTRUTIVA",OFFSET(A400,-1,0)+1,LARGE(A$3:A399,1))</f>
        <v>0</v>
      </c>
      <c r="B400" s="390">
        <f t="shared" ca="1" si="93"/>
        <v>22</v>
      </c>
      <c r="C400" s="390">
        <f t="shared" ca="1" si="94"/>
        <v>1</v>
      </c>
      <c r="D400" s="391">
        <f t="shared" ca="1" si="95"/>
        <v>1</v>
      </c>
      <c r="E400" s="391">
        <f t="shared" ca="1" si="96"/>
        <v>1</v>
      </c>
      <c r="F400" s="125"/>
      <c r="M400" s="971">
        <f>SUMIFS($N$7:$N$395,$H$7:$H$395,N400)</f>
        <v>36715370.265406102</v>
      </c>
      <c r="N400" s="972" t="s">
        <v>433</v>
      </c>
    </row>
    <row r="401" spans="1:14" ht="11.25" x14ac:dyDescent="0.25">
      <c r="A401" s="390">
        <f ca="1">IF($H401="UNIDADE CONSTRUTIVA",OFFSET(A401,-1,0)+1,LARGE(A$3:A400,1))</f>
        <v>0</v>
      </c>
      <c r="B401" s="390">
        <f t="shared" ca="1" si="93"/>
        <v>22</v>
      </c>
      <c r="C401" s="390">
        <f t="shared" ca="1" si="94"/>
        <v>1</v>
      </c>
      <c r="D401" s="391">
        <f t="shared" ca="1" si="95"/>
        <v>1</v>
      </c>
      <c r="E401" s="391">
        <f t="shared" ca="1" si="96"/>
        <v>1</v>
      </c>
      <c r="F401" s="125"/>
      <c r="M401" s="971">
        <f ca="1">SUM(Obra!C33:C52)</f>
        <v>36715370.265406102</v>
      </c>
      <c r="N401" s="972" t="s">
        <v>4162</v>
      </c>
    </row>
    <row r="402" spans="1:14" ht="14.1" customHeight="1" x14ac:dyDescent="0.25">
      <c r="M402" s="971">
        <f ca="1">SUMIFS($N$7:$N$395,$O$7:$O$395,N402)</f>
        <v>7968906.4724754374</v>
      </c>
      <c r="N402" s="999" t="s">
        <v>4192</v>
      </c>
    </row>
    <row r="403" spans="1:14" ht="14.1" customHeight="1" x14ac:dyDescent="0.25">
      <c r="M403" s="992">
        <f>Ger_Administrativo!N100+Ger_Administrativo!N104+Ger_Administrativo!N115+Ger_Administrativo!N116</f>
        <v>374260.80000000005</v>
      </c>
      <c r="N403" s="999" t="s">
        <v>4192</v>
      </c>
    </row>
    <row r="404" spans="1:14" ht="14.1" customHeight="1" x14ac:dyDescent="0.25">
      <c r="M404" s="971">
        <f ca="1">SUMIFS($N$7:$N$395,$O$7:$O$395,N404)</f>
        <v>3220140.9764359994</v>
      </c>
      <c r="N404" s="1000" t="s">
        <v>4204</v>
      </c>
    </row>
  </sheetData>
  <autoFilter ref="G7:P400" xr:uid="{00000000-0009-0000-0000-000003000000}">
    <filterColumn colId="3" showButton="0"/>
  </autoFilter>
  <mergeCells count="1">
    <mergeCell ref="G6:P6"/>
  </mergeCells>
  <conditionalFormatting sqref="G23">
    <cfRule type="expression" dxfId="4269" priority="5347">
      <formula>$H23="CÉLULA CONSTRUTIVA"</formula>
    </cfRule>
    <cfRule type="expression" dxfId="4268" priority="5348">
      <formula>$H23="ETAPA"</formula>
    </cfRule>
  </conditionalFormatting>
  <conditionalFormatting sqref="G67:H68 J67:K68 O67:O68">
    <cfRule type="expression" dxfId="4267" priority="5800">
      <formula>$H67="ETAPA"</formula>
    </cfRule>
    <cfRule type="expression" dxfId="4266" priority="5799">
      <formula>$H67="CÉLULA CONSTRUTIVA"</formula>
    </cfRule>
  </conditionalFormatting>
  <conditionalFormatting sqref="G69:H69 J69:K69 N69:O69">
    <cfRule type="expression" dxfId="4265" priority="5793">
      <formula>$H69="ETAPA"</formula>
    </cfRule>
    <cfRule type="expression" dxfId="4264" priority="5792">
      <formula>$H69="CÉLULA CONSTRUTIVA"</formula>
    </cfRule>
  </conditionalFormatting>
  <conditionalFormatting sqref="G70:H70 J70:K70 N70:O70">
    <cfRule type="expression" dxfId="4263" priority="5803">
      <formula>$H70="CÉLULA CONSTRUTIVA"</formula>
    </cfRule>
  </conditionalFormatting>
  <conditionalFormatting sqref="G73:H73 K73">
    <cfRule type="expression" dxfId="4262" priority="801">
      <formula>$H73="CÉLULA CONSTRUTIVA"</formula>
    </cfRule>
    <cfRule type="expression" dxfId="4261" priority="800">
      <formula>$H73="SUBETAPA"</formula>
    </cfRule>
    <cfRule type="expression" dxfId="4260" priority="802">
      <formula>$H73="ETAPA"</formula>
    </cfRule>
  </conditionalFormatting>
  <conditionalFormatting sqref="G74:H74 K74 N74:O74">
    <cfRule type="expression" dxfId="4259" priority="784">
      <formula>$H74="ETAPA"</formula>
    </cfRule>
  </conditionalFormatting>
  <conditionalFormatting sqref="G75:H75 K75">
    <cfRule type="expression" dxfId="4258" priority="691">
      <formula>$H75="ETAPA"</formula>
    </cfRule>
    <cfRule type="expression" dxfId="4257" priority="690">
      <formula>$H75="CÉLULA CONSTRUTIVA"</formula>
    </cfRule>
    <cfRule type="expression" dxfId="4256" priority="689">
      <formula>$H75="SUBETAPA"</formula>
    </cfRule>
  </conditionalFormatting>
  <conditionalFormatting sqref="G76:H76 K76 N76:O76">
    <cfRule type="expression" dxfId="4255" priority="673">
      <formula>$H76="ETAPA"</formula>
    </cfRule>
  </conditionalFormatting>
  <conditionalFormatting sqref="G78:H78 K78 N78:O78 G81:H81 J81:K81 O81:P81 G89:H91 J89:K91 N90:N91 J94">
    <cfRule type="expression" dxfId="4254" priority="5773">
      <formula>$H78="ETAPA"</formula>
    </cfRule>
  </conditionalFormatting>
  <conditionalFormatting sqref="G79:H79 K79">
    <cfRule type="expression" dxfId="4253" priority="631">
      <formula>$H79="ETAPA"</formula>
    </cfRule>
  </conditionalFormatting>
  <conditionalFormatting sqref="G80:H80 K80 N80:O80">
    <cfRule type="expression" dxfId="4252" priority="613">
      <formula>$H80="ETAPA"</formula>
    </cfRule>
  </conditionalFormatting>
  <conditionalFormatting sqref="G83:H83 J83:K83 O83:P83">
    <cfRule type="expression" dxfId="4251" priority="727">
      <formula>$H83="ETAPA"</formula>
    </cfRule>
  </conditionalFormatting>
  <conditionalFormatting sqref="G84:H84 N84:O84">
    <cfRule type="expression" dxfId="4250" priority="742">
      <formula>$H84="ETAPA"</formula>
    </cfRule>
  </conditionalFormatting>
  <conditionalFormatting sqref="G84:H84">
    <cfRule type="expression" dxfId="4249" priority="740">
      <formula>$H84="SUBETAPA"</formula>
    </cfRule>
    <cfRule type="expression" dxfId="4248" priority="741">
      <formula>$H84="CÉLULA CONSTRUTIVA"</formula>
    </cfRule>
  </conditionalFormatting>
  <conditionalFormatting sqref="G89:H91 G93:H94 N78:O78 J93:K93 J94 J81:K81 J89:K91 G78:H78 N90:N91 N93 K78 O81:P81 G81:H81">
    <cfRule type="expression" dxfId="4247" priority="5772">
      <formula>$H78="CÉLULA CONSTRUTIVA"</formula>
    </cfRule>
  </conditionalFormatting>
  <conditionalFormatting sqref="G92:H92 J92 N92">
    <cfRule type="expression" dxfId="4246" priority="5767">
      <formula>$H92="ETAPA"</formula>
    </cfRule>
  </conditionalFormatting>
  <conditionalFormatting sqref="G92:H92 N92 J92">
    <cfRule type="expression" dxfId="4245" priority="5766">
      <formula>$H92="CÉLULA CONSTRUTIVA"</formula>
    </cfRule>
  </conditionalFormatting>
  <conditionalFormatting sqref="G95:H95 J95:K95 N95">
    <cfRule type="expression" dxfId="4244" priority="566">
      <formula>$H95="SUBETAPA"</formula>
    </cfRule>
    <cfRule type="expression" dxfId="4243" priority="567">
      <formula>$H95="CÉLULA CONSTRUTIVA"</formula>
    </cfRule>
    <cfRule type="expression" dxfId="4242" priority="568">
      <formula>$H95="ETAPA"</formula>
    </cfRule>
  </conditionalFormatting>
  <conditionalFormatting sqref="G96:H96 J96:K96 N96">
    <cfRule type="expression" dxfId="4241" priority="5770">
      <formula>$H96="ETAPA"</formula>
    </cfRule>
    <cfRule type="expression" dxfId="4240" priority="5769">
      <formula>$H96="CÉLULA CONSTRUTIVA"</formula>
    </cfRule>
  </conditionalFormatting>
  <conditionalFormatting sqref="G317:H317 J317:K317 G318:K318">
    <cfRule type="expression" dxfId="4239" priority="7436">
      <formula>$H317="ETAPA"</formula>
    </cfRule>
  </conditionalFormatting>
  <conditionalFormatting sqref="G77:I78 N78:O78 O81:P81 G81:I82">
    <cfRule type="expression" dxfId="4238" priority="5771">
      <formula>$H77="SUBETAPA"</formula>
    </cfRule>
  </conditionalFormatting>
  <conditionalFormatting sqref="G85:I94 N90:N94">
    <cfRule type="expression" dxfId="4237" priority="5765">
      <formula>$H85="SUBETAPA"</formula>
    </cfRule>
  </conditionalFormatting>
  <conditionalFormatting sqref="G145:I145 K145 O145:P145">
    <cfRule type="expression" dxfId="4236" priority="1241">
      <formula>$H145="SUBETAPA"</formula>
    </cfRule>
    <cfRule type="expression" dxfId="4235" priority="1242">
      <formula>$H145="CÉLULA CONSTRUTIVA"</formula>
    </cfRule>
    <cfRule type="expression" dxfId="4234" priority="1243">
      <formula>$H145="ETAPA"</formula>
    </cfRule>
  </conditionalFormatting>
  <conditionalFormatting sqref="G201:I201 N201">
    <cfRule type="expression" dxfId="4233" priority="4799">
      <formula>$H201="ETAPA"</formula>
    </cfRule>
    <cfRule type="expression" dxfId="4232" priority="4798">
      <formula>$H201="CÉLULA CONSTRUTIVA"</formula>
    </cfRule>
  </conditionalFormatting>
  <conditionalFormatting sqref="G211:I211 K211 O211:P211">
    <cfRule type="expression" dxfId="4231" priority="7622">
      <formula>$H211="CÉLULA CONSTRUTIVA"</formula>
    </cfRule>
    <cfRule type="expression" dxfId="4230" priority="7623">
      <formula>$H211="ETAPA"</formula>
    </cfRule>
  </conditionalFormatting>
  <conditionalFormatting sqref="G212:I212 K212 N212">
    <cfRule type="expression" dxfId="4229" priority="7625">
      <formula>$H212="CÉLULA CONSTRUTIVA"</formula>
    </cfRule>
    <cfRule type="expression" dxfId="4228" priority="7626">
      <formula>$H212="ETAPA"</formula>
    </cfRule>
  </conditionalFormatting>
  <conditionalFormatting sqref="G214:I214 K214 O214">
    <cfRule type="expression" dxfId="4227" priority="7591">
      <formula>$H214="CÉLULA CONSTRUTIVA"</formula>
    </cfRule>
    <cfRule type="expression" dxfId="4226" priority="7592">
      <formula>$H214="ETAPA"</formula>
    </cfRule>
  </conditionalFormatting>
  <conditionalFormatting sqref="G216:I218 K216:K218 N216:O218">
    <cfRule type="expression" dxfId="4225" priority="7594">
      <formula>$H216="CÉLULA CONSTRUTIVA"</formula>
    </cfRule>
    <cfRule type="expression" dxfId="4224" priority="7595">
      <formula>$H216="ETAPA"</formula>
    </cfRule>
  </conditionalFormatting>
  <conditionalFormatting sqref="G250:I250 K250:L250 N250">
    <cfRule type="expression" dxfId="4223" priority="4402">
      <formula>$H250="CÉLULA CONSTRUTIVA"</formula>
    </cfRule>
    <cfRule type="expression" dxfId="4222" priority="4407">
      <formula>$H250="ETAPA"</formula>
    </cfRule>
  </conditionalFormatting>
  <conditionalFormatting sqref="G259:I259 K259 N259:O259">
    <cfRule type="expression" dxfId="4221" priority="4368">
      <formula>$H259="ETAPA"</formula>
    </cfRule>
  </conditionalFormatting>
  <conditionalFormatting sqref="G259:I259 N259:O259 K259">
    <cfRule type="expression" dxfId="4220" priority="4367">
      <formula>$H259="CÉLULA CONSTRUTIVA"</formula>
    </cfRule>
  </conditionalFormatting>
  <conditionalFormatting sqref="G264:I264 K264 N264:O264">
    <cfRule type="expression" dxfId="4219" priority="7566">
      <formula>$H264="CÉLULA CONSTRUTIVA"</formula>
    </cfRule>
  </conditionalFormatting>
  <conditionalFormatting sqref="G331:I331 K331:L331 N331:O331">
    <cfRule type="expression" dxfId="4218" priority="4120">
      <formula>$H331="ETAPA"</formula>
    </cfRule>
    <cfRule type="expression" dxfId="4217" priority="4119">
      <formula>$H331="CÉLULA CONSTRUTIVA"</formula>
    </cfRule>
  </conditionalFormatting>
  <conditionalFormatting sqref="G357:I357 K357 N354:O357 G354:K356">
    <cfRule type="expression" dxfId="4216" priority="4681">
      <formula>$H354="CÉLULA CONSTRUTIVA"</formula>
    </cfRule>
  </conditionalFormatting>
  <conditionalFormatting sqref="G17:J17 N17 O18:P18 G18:K22 N19 O20:P22 G25:K26 N25:N26 N28:N29 G28:K30 O30:P30 G31:J38 N31:N38 K32:K37 G39:K39 O39:P39 G41:K41 N41 G43:K43 O43:P43 N45 G45:K47 O46:P46 N47 O49:P51 G49:K58 N52:O54 O55:P55 N56:O56 G60:K66 G103:L103 G105:L107 G109:L111 N112 G112:K114 P113 O114:P114 G116:K116 N116:O116 G117:L117 P117 G135:L137 N136:O137 G146:L146 P151:P152 G152:L156 O153:P154 N155 N156:O156 G168:L168 N168:P168 O176:P176 G176:M177 N177 G181:K182 O181:P182 G369:L369 N369:P369 O262:P262 P15:P17 O203:P204 O213:P213 O276:P277 O284:P284 O299:P299 O301:P301 O303:P303 O314:P314 O316:P316 P377:P383 O62:P62 O243:P243 N60:O61 L60:L65 N63:N65 G70:H72 J71:K72 G77:H77 K77 G82:H82 G85:H88 J86:K88 P90:P94 G197:K197 N197 G202:L202 N202 G203:K205 O205 J211:J212 P212 G213:L213 J216:J218 G219:K219 N219:O219 O241:P241 N242:O242 N244:N245 G249:L249 N249 J250 G251:L251 N251 L253 G257:K258 O257:P258 G261:L262 G263:K263 N263:O264 L263:L269 G265:K269 N266:O267 N269 G271:K275 N271:N275 L276 G277:K277 G281:J281 N281:O281 L284 K284:K285 G284:J286 N285:O285 G288:J290 G291:L292 G293:K293 N293:O293 G295:L296 N295:O296 G299:L301 N300:O300 G303:L305 N304 G307:K307 N307:O307 G314:K316 N315 I317 P345:P347 J359 O268:P268 G349:K349 O352 G358:K358 O358:P358 G264:I264 K264 J70:L70 N82:O82 N86:O86 N88:O88">
    <cfRule type="expression" dxfId="4215" priority="8232">
      <formula>$H15="ETAPA"</formula>
    </cfRule>
  </conditionalFormatting>
  <conditionalFormatting sqref="G287:J287">
    <cfRule type="expression" dxfId="4214" priority="890">
      <formula>$H287="SUBETAPA"</formula>
    </cfRule>
    <cfRule type="expression" dxfId="4213" priority="891">
      <formula>$H287="CÉLULA CONSTRUTIVA"</formula>
    </cfRule>
    <cfRule type="expression" dxfId="4212" priority="892">
      <formula>$H287="ETAPA"</formula>
    </cfRule>
  </conditionalFormatting>
  <conditionalFormatting sqref="G344:J344 N344:O344">
    <cfRule type="expression" dxfId="4211" priority="1058">
      <formula>$H344="ETAPA"</formula>
    </cfRule>
  </conditionalFormatting>
  <conditionalFormatting sqref="G371:J372 N371:N372 O373:P374 N375:O375">
    <cfRule type="expression" dxfId="4210" priority="8189">
      <formula>$H371="CÉLULA CONSTRUTIVA"</formula>
    </cfRule>
  </conditionalFormatting>
  <conditionalFormatting sqref="G371:J372 N371:N372 O373:P374 N375:P375">
    <cfRule type="expression" dxfId="4209" priority="8190">
      <formula>$H371="ETAPA"</formula>
    </cfRule>
  </conditionalFormatting>
  <conditionalFormatting sqref="G8:K9 O8:P9 O12:P14">
    <cfRule type="expression" dxfId="4208" priority="8023">
      <formula>$H8="ETAPA"</formula>
    </cfRule>
    <cfRule type="expression" dxfId="4207" priority="8022">
      <formula>$H8="CÉLULA CONSTRUTIVA"</formula>
    </cfRule>
  </conditionalFormatting>
  <conditionalFormatting sqref="G10:K10 G11:J11 N11 O10:P10">
    <cfRule type="expression" dxfId="4206" priority="7347">
      <formula>$H10="CÉLULA CONSTRUTIVA"</formula>
    </cfRule>
  </conditionalFormatting>
  <conditionalFormatting sqref="G10:K10 O10:P10 G11:J11 N11">
    <cfRule type="expression" dxfId="4205" priority="7348">
      <formula>$H10="ETAPA"</formula>
    </cfRule>
  </conditionalFormatting>
  <conditionalFormatting sqref="G24:K24 N24:O24 O25:O29">
    <cfRule type="expression" dxfId="4204" priority="4919">
      <formula>$H24="ETAPA"</formula>
    </cfRule>
    <cfRule type="expression" dxfId="4203" priority="4918">
      <formula>$H24="CÉLULA CONSTRUTIVA"</formula>
    </cfRule>
  </conditionalFormatting>
  <conditionalFormatting sqref="G27:K27 N27">
    <cfRule type="expression" dxfId="4202" priority="6020">
      <formula>$H27="CÉLULA CONSTRUTIVA"</formula>
    </cfRule>
    <cfRule type="expression" dxfId="4201" priority="6021">
      <formula>$H27="ETAPA"</formula>
    </cfRule>
  </conditionalFormatting>
  <conditionalFormatting sqref="G40:K40 N40">
    <cfRule type="expression" dxfId="4200" priority="5312">
      <formula>$H40="CÉLULA CONSTRUTIVA"</formula>
    </cfRule>
    <cfRule type="expression" dxfId="4199" priority="5313">
      <formula>$H40="ETAPA"</formula>
    </cfRule>
  </conditionalFormatting>
  <conditionalFormatting sqref="G42:K42 N42">
    <cfRule type="expression" dxfId="4198" priority="5298">
      <formula>$H42="CÉLULA CONSTRUTIVA"</formula>
    </cfRule>
    <cfRule type="expression" dxfId="4197" priority="5299">
      <formula>$H42="ETAPA"</formula>
    </cfRule>
  </conditionalFormatting>
  <conditionalFormatting sqref="G44:K44 N44">
    <cfRule type="expression" dxfId="4196" priority="6046">
      <formula>$H44="ETAPA"</formula>
    </cfRule>
    <cfRule type="expression" dxfId="4195" priority="6045">
      <formula>$H44="CÉLULA CONSTRUTIVA"</formula>
    </cfRule>
  </conditionalFormatting>
  <conditionalFormatting sqref="G48:K48 N48">
    <cfRule type="expression" dxfId="4194" priority="6625">
      <formula>$H48="ETAPA"</formula>
    </cfRule>
    <cfRule type="expression" dxfId="4193" priority="6624">
      <formula>$H48="CÉLULA CONSTRUTIVA"</formula>
    </cfRule>
  </conditionalFormatting>
  <conditionalFormatting sqref="G59:K59">
    <cfRule type="expression" dxfId="4192" priority="8055">
      <formula>$H59="ETAPA"</formula>
    </cfRule>
  </conditionalFormatting>
  <conditionalFormatting sqref="G66:K72 N69:O70 O67:P68">
    <cfRule type="expression" dxfId="4191" priority="5798">
      <formula>$H66="SUBETAPA"</formula>
    </cfRule>
  </conditionalFormatting>
  <conditionalFormatting sqref="G97:K100 N100:O100 O97:P99 G102:K102 O102:P102">
    <cfRule type="expression" dxfId="4190" priority="7568">
      <formula>$H97="CÉLULA CONSTRUTIVA"</formula>
    </cfRule>
  </conditionalFormatting>
  <conditionalFormatting sqref="G101:K101 N101:O101">
    <cfRule type="expression" dxfId="4189" priority="1151">
      <formula>$H101="SUBETAPA"</formula>
    </cfRule>
    <cfRule type="expression" dxfId="4188" priority="1153">
      <formula>$H101="ETAPA"</formula>
    </cfRule>
    <cfRule type="expression" dxfId="4187" priority="1152">
      <formula>$H101="CÉLULA CONSTRUTIVA"</formula>
    </cfRule>
  </conditionalFormatting>
  <conditionalFormatting sqref="G104:K104 N104:O104">
    <cfRule type="expression" dxfId="4186" priority="1139">
      <formula>$H104="ETAPA"</formula>
    </cfRule>
    <cfRule type="expression" dxfId="4185" priority="1138">
      <formula>$H104="CÉLULA CONSTRUTIVA"</formula>
    </cfRule>
    <cfRule type="expression" dxfId="4184" priority="1137">
      <formula>$H104="SUBETAPA"</formula>
    </cfRule>
  </conditionalFormatting>
  <conditionalFormatting sqref="G108:K108 N108:O108">
    <cfRule type="expression" dxfId="4183" priority="1124">
      <formula>$H108="CÉLULA CONSTRUTIVA"</formula>
    </cfRule>
    <cfRule type="expression" dxfId="4182" priority="1125">
      <formula>$H108="ETAPA"</formula>
    </cfRule>
    <cfRule type="expression" dxfId="4181" priority="1123">
      <formula>$H108="SUBETAPA"</formula>
    </cfRule>
  </conditionalFormatting>
  <conditionalFormatting sqref="G118:K120 N120:O120">
    <cfRule type="expression" dxfId="4180" priority="7655">
      <formula>$H118="ETAPA"</formula>
    </cfRule>
  </conditionalFormatting>
  <conditionalFormatting sqref="G121:K121">
    <cfRule type="expression" dxfId="4179" priority="7657">
      <formula>$H121="ETAPA"</formula>
    </cfRule>
  </conditionalFormatting>
  <conditionalFormatting sqref="G131:K131 P131">
    <cfRule type="expression" dxfId="4178" priority="1231">
      <formula>$H131="CÉLULA CONSTRUTIVA"</formula>
    </cfRule>
    <cfRule type="expression" dxfId="4177" priority="1232">
      <formula>$H131="ETAPA"</formula>
    </cfRule>
    <cfRule type="expression" dxfId="4176" priority="1230">
      <formula>$H131="SUBETAPA"</formula>
    </cfRule>
  </conditionalFormatting>
  <conditionalFormatting sqref="G138:K138 P138">
    <cfRule type="expression" dxfId="4175" priority="7029">
      <formula>$H138="ETAPA"</formula>
    </cfRule>
    <cfRule type="expression" dxfId="4174" priority="7028">
      <formula>$H138="CÉLULA CONSTRUTIVA"</formula>
    </cfRule>
  </conditionalFormatting>
  <conditionalFormatting sqref="G139:K139 N139">
    <cfRule type="expression" dxfId="4173" priority="6919">
      <formula>$H139="CÉLULA CONSTRUTIVA"</formula>
    </cfRule>
    <cfRule type="expression" dxfId="4172" priority="6920">
      <formula>$H139="ETAPA"</formula>
    </cfRule>
  </conditionalFormatting>
  <conditionalFormatting sqref="G140:K140 N140">
    <cfRule type="expression" dxfId="4171" priority="1312">
      <formula>$H140="SUBETAPA"</formula>
    </cfRule>
    <cfRule type="expression" dxfId="4170" priority="1313">
      <formula>$H140="CÉLULA CONSTRUTIVA"</formula>
    </cfRule>
    <cfRule type="expression" dxfId="4169" priority="1314">
      <formula>$H140="ETAPA"</formula>
    </cfRule>
  </conditionalFormatting>
  <conditionalFormatting sqref="G141:K141 N141">
    <cfRule type="expression" dxfId="4168" priority="7025">
      <formula>$H141="CÉLULA CONSTRUTIVA"</formula>
    </cfRule>
    <cfRule type="expression" dxfId="4167" priority="7026">
      <formula>$H141="ETAPA"</formula>
    </cfRule>
  </conditionalFormatting>
  <conditionalFormatting sqref="G142:K142 N142">
    <cfRule type="expression" dxfId="4166" priority="7022">
      <formula>$H142="CÉLULA CONSTRUTIVA"</formula>
    </cfRule>
    <cfRule type="expression" dxfId="4165" priority="7023">
      <formula>$H142="ETAPA"</formula>
    </cfRule>
  </conditionalFormatting>
  <conditionalFormatting sqref="G143:K144 O144">
    <cfRule type="expression" dxfId="4164" priority="1519">
      <formula>$H143="SUBETAPA"</formula>
    </cfRule>
  </conditionalFormatting>
  <conditionalFormatting sqref="G143:K144 P143 O144:P144">
    <cfRule type="expression" dxfId="4163" priority="1551">
      <formula>$H143="CÉLULA CONSTRUTIVA"</formula>
    </cfRule>
  </conditionalFormatting>
  <conditionalFormatting sqref="G150:K150 O150:P150">
    <cfRule type="expression" dxfId="4162" priority="1510">
      <formula>$H150="ETAPA"</formula>
    </cfRule>
    <cfRule type="expression" dxfId="4161" priority="1509">
      <formula>$H150="CÉLULA CONSTRUTIVA"</formula>
    </cfRule>
    <cfRule type="expression" dxfId="4160" priority="1508">
      <formula>$H150="SUBETAPA"</formula>
    </cfRule>
  </conditionalFormatting>
  <conditionalFormatting sqref="G151:K151 N151">
    <cfRule type="expression" dxfId="4159" priority="1492">
      <formula>$H151="CÉLULA CONSTRUTIVA"</formula>
    </cfRule>
    <cfRule type="expression" dxfId="4158" priority="1493">
      <formula>$H151="ETAPA"</formula>
    </cfRule>
    <cfRule type="expression" dxfId="4157" priority="1491">
      <formula>$H151="SUBETAPA"</formula>
    </cfRule>
  </conditionalFormatting>
  <conditionalFormatting sqref="G161:K161">
    <cfRule type="expression" dxfId="4156" priority="4865">
      <formula>$H161="CÉLULA CONSTRUTIVA"</formula>
    </cfRule>
    <cfRule type="expression" dxfId="4155" priority="4866">
      <formula>$H161="ETAPA"</formula>
    </cfRule>
  </conditionalFormatting>
  <conditionalFormatting sqref="G162:K163 N163:O163 O162:P162">
    <cfRule type="expression" dxfId="4154" priority="7636">
      <formula>$H162="CÉLULA CONSTRUTIVA"</formula>
    </cfRule>
  </conditionalFormatting>
  <conditionalFormatting sqref="G164:K164 N164:O164">
    <cfRule type="expression" dxfId="4153" priority="1768">
      <formula>$H164="ETAPA"</formula>
    </cfRule>
    <cfRule type="expression" dxfId="4152" priority="1767">
      <formula>$H164="CÉLULA CONSTRUTIVA"</formula>
    </cfRule>
  </conditionalFormatting>
  <conditionalFormatting sqref="G165:K165 N165:O165">
    <cfRule type="expression" dxfId="4151" priority="1740">
      <formula>$H165="CÉLULA CONSTRUTIVA"</formula>
    </cfRule>
    <cfRule type="expression" dxfId="4150" priority="1741">
      <formula>$H165="ETAPA"</formula>
    </cfRule>
  </conditionalFormatting>
  <conditionalFormatting sqref="G175:K175 N175:O175">
    <cfRule type="expression" dxfId="4149" priority="1181">
      <formula>$H175="ETAPA"</formula>
    </cfRule>
  </conditionalFormatting>
  <conditionalFormatting sqref="G178:K179 N179:O179 O178:P178">
    <cfRule type="expression" dxfId="4148" priority="7375">
      <formula>$H178="CÉLULA CONSTRUTIVA"</formula>
    </cfRule>
  </conditionalFormatting>
  <conditionalFormatting sqref="G180:K180 O180:P180">
    <cfRule type="expression" dxfId="4147" priority="8103">
      <formula>$H180="CÉLULA CONSTRUTIVA"</formula>
    </cfRule>
    <cfRule type="expression" dxfId="4146" priority="8104">
      <formula>$H180="ETAPA"</formula>
    </cfRule>
  </conditionalFormatting>
  <conditionalFormatting sqref="G181:K182 O181:P182 O153:P154 O30:P30 O39:P39 O43:P43 O49:P51 P113 O114:P114 G115:L119 O18:P18 G18:K22 N19 O20:P22 G25:K26 N25:N26 N28:N29 G28:K30 G31:J38 N31:N38 K32:K37 G39:K39 G41:K41 N41 G43:K43 N45 G45:K47 O46:P46 N47 G49:K56 N52:O54 O55:P55 N56:O56 G66:K66 G103:L103 G105:L107 G109:L111 N112 G112:K114 N116:O116 P117 G135:L137 N136:O137 G146:L146 P152 N155 N156:O156 O176:P176 G176:M177 N177 G369:L369 P115">
    <cfRule type="expression" dxfId="4145" priority="8231">
      <formula>$H18="CÉLULA CONSTRUTIVA"</formula>
    </cfRule>
  </conditionalFormatting>
  <conditionalFormatting sqref="G190:K190 G193:K193 N193">
    <cfRule type="expression" dxfId="4144" priority="4844">
      <formula>$H190="ETAPA"</formula>
    </cfRule>
  </conditionalFormatting>
  <conditionalFormatting sqref="G190:K190 N193 G193:K193">
    <cfRule type="expression" dxfId="4143" priority="4843">
      <formula>$H190="CÉLULA CONSTRUTIVA"</formula>
    </cfRule>
  </conditionalFormatting>
  <conditionalFormatting sqref="G191:K191 N191">
    <cfRule type="expression" dxfId="4142" priority="4813">
      <formula>$H191="ETAPA"</formula>
    </cfRule>
    <cfRule type="expression" dxfId="4141" priority="4812">
      <formula>$H191="CÉLULA CONSTRUTIVA"</formula>
    </cfRule>
  </conditionalFormatting>
  <conditionalFormatting sqref="G192:K192 N192">
    <cfRule type="expression" dxfId="4140" priority="4577">
      <formula>$H192="CÉLULA CONSTRUTIVA"</formula>
    </cfRule>
    <cfRule type="expression" dxfId="4139" priority="4578">
      <formula>$H192="ETAPA"</formula>
    </cfRule>
  </conditionalFormatting>
  <conditionalFormatting sqref="G200:K200 N200">
    <cfRule type="expression" dxfId="4138" priority="4536">
      <formula>$H200="CÉLULA CONSTRUTIVA"</formula>
    </cfRule>
    <cfRule type="expression" dxfId="4137" priority="4537">
      <formula>$H200="ETAPA"</formula>
    </cfRule>
  </conditionalFormatting>
  <conditionalFormatting sqref="G215:K215 O215">
    <cfRule type="expression" dxfId="4136" priority="7557">
      <formula>$H215="CÉLULA CONSTRUTIVA"</formula>
    </cfRule>
    <cfRule type="expression" dxfId="4135" priority="7558">
      <formula>$H215="ETAPA"</formula>
    </cfRule>
  </conditionalFormatting>
  <conditionalFormatting sqref="G220:K220 N220:O220">
    <cfRule type="expression" dxfId="4134" priority="4596">
      <formula>$H220="CÉLULA CONSTRUTIVA"</formula>
    </cfRule>
    <cfRule type="expression" dxfId="4133" priority="4597">
      <formula>$H220="ETAPA"</formula>
    </cfRule>
  </conditionalFormatting>
  <conditionalFormatting sqref="G221:K221 N221:O221">
    <cfRule type="expression" dxfId="4132" priority="4778">
      <formula>$H221="ETAPA"</formula>
    </cfRule>
    <cfRule type="expression" dxfId="4131" priority="4777">
      <formula>$H221="CÉLULA CONSTRUTIVA"</formula>
    </cfRule>
  </conditionalFormatting>
  <conditionalFormatting sqref="G226:K226 N226:O226">
    <cfRule type="expression" dxfId="4130" priority="4743">
      <formula>$H226="ETAPA"</formula>
    </cfRule>
    <cfRule type="expression" dxfId="4129" priority="4742">
      <formula>$H226="CÉLULA CONSTRUTIVA"</formula>
    </cfRule>
  </conditionalFormatting>
  <conditionalFormatting sqref="G228:K228 N228:O228">
    <cfRule type="expression" dxfId="4128" priority="4564">
      <formula>$H228="ETAPA"</formula>
    </cfRule>
  </conditionalFormatting>
  <conditionalFormatting sqref="G229:K229 N229:O229">
    <cfRule type="expression" dxfId="4127" priority="4501">
      <formula>$H229="ETAPA"</formula>
    </cfRule>
  </conditionalFormatting>
  <conditionalFormatting sqref="G230:K230 N230:O230">
    <cfRule type="expression" dxfId="4126" priority="4485">
      <formula>$H230="ETAPA"</formula>
    </cfRule>
  </conditionalFormatting>
  <conditionalFormatting sqref="G231:K231 N231:O231">
    <cfRule type="expression" dxfId="4125" priority="4428">
      <formula>$H231="ETAPA"</formula>
    </cfRule>
  </conditionalFormatting>
  <conditionalFormatting sqref="G232:K233 N233:O233 O232">
    <cfRule type="expression" dxfId="4124" priority="4714">
      <formula>$H232="CÉLULA CONSTRUTIVA"</formula>
    </cfRule>
  </conditionalFormatting>
  <conditionalFormatting sqref="G237:K237 N237:O237">
    <cfRule type="expression" dxfId="4123" priority="4510">
      <formula>$H237="ETAPA"</formula>
    </cfRule>
  </conditionalFormatting>
  <conditionalFormatting sqref="G238:K238 N238:O238">
    <cfRule type="expression" dxfId="4122" priority="4518">
      <formula>$H238="ETAPA"</formula>
    </cfRule>
    <cfRule type="expression" dxfId="4121" priority="4517">
      <formula>$H238="CÉLULA CONSTRUTIVA"</formula>
    </cfRule>
  </conditionalFormatting>
  <conditionalFormatting sqref="G240:K240 N240:O240">
    <cfRule type="expression" dxfId="4120" priority="7819">
      <formula>$H240="CÉLULA CONSTRUTIVA"</formula>
    </cfRule>
  </conditionalFormatting>
  <conditionalFormatting sqref="G246:K247">
    <cfRule type="expression" dxfId="4119" priority="4394">
      <formula>$H246="ETAPA"</formula>
    </cfRule>
  </conditionalFormatting>
  <conditionalFormatting sqref="G248:K248 N248">
    <cfRule type="expression" dxfId="4118" priority="4543">
      <formula>$H248="ETAPA"</formula>
    </cfRule>
    <cfRule type="expression" dxfId="4117" priority="4542">
      <formula>$H248="CÉLULA CONSTRUTIVA"</formula>
    </cfRule>
  </conditionalFormatting>
  <conditionalFormatting sqref="G252:K252 N252">
    <cfRule type="expression" dxfId="4116" priority="4447">
      <formula>$H252="ETAPA"</formula>
    </cfRule>
    <cfRule type="expression" dxfId="4115" priority="4446">
      <formula>$H252="CÉLULA CONSTRUTIVA"</formula>
    </cfRule>
  </conditionalFormatting>
  <conditionalFormatting sqref="G255:K255 N255">
    <cfRule type="expression" dxfId="4114" priority="7821">
      <formula>$H255="ETAPA"</formula>
    </cfRule>
  </conditionalFormatting>
  <conditionalFormatting sqref="G257:K257 O257:P257">
    <cfRule type="expression" dxfId="4113" priority="7550">
      <formula>$H257="CÉLULA CONSTRUTIVA"</formula>
    </cfRule>
  </conditionalFormatting>
  <conditionalFormatting sqref="G260:K260 N260:O261">
    <cfRule type="expression" dxfId="4112" priority="7836">
      <formula>$H260="ETAPA"</formula>
    </cfRule>
  </conditionalFormatting>
  <conditionalFormatting sqref="G265:K265 O265:P265 G268:K268 O268:P268">
    <cfRule type="expression" dxfId="4111" priority="7762">
      <formula>$H265="CÉLULA CONSTRUTIVA"</formula>
    </cfRule>
  </conditionalFormatting>
  <conditionalFormatting sqref="G270:K270 N270">
    <cfRule type="expression" dxfId="4110" priority="6528">
      <formula>$H270="ETAPA"</formula>
    </cfRule>
    <cfRule type="expression" dxfId="4109" priority="6527">
      <formula>$H270="CÉLULA CONSTRUTIVA"</formula>
    </cfRule>
  </conditionalFormatting>
  <conditionalFormatting sqref="G302:K302 N302:O302">
    <cfRule type="expression" dxfId="4108" priority="7125">
      <formula>$H302="ETAPA"</formula>
    </cfRule>
    <cfRule type="expression" dxfId="4107" priority="7119">
      <formula>$H302="CÉLULA CONSTRUTIVA"</formula>
    </cfRule>
  </conditionalFormatting>
  <conditionalFormatting sqref="G311:K311 N311:O311">
    <cfRule type="expression" dxfId="4106" priority="7519">
      <formula>$H311="CÉLULA CONSTRUTIVA"</formula>
    </cfRule>
  </conditionalFormatting>
  <conditionalFormatting sqref="G312:K313 N313:O313 O312:P312">
    <cfRule type="expression" dxfId="4105" priority="7497">
      <formula>$H312="CÉLULA CONSTRUTIVA"</formula>
    </cfRule>
  </conditionalFormatting>
  <conditionalFormatting sqref="G318:K318 G317:H317 J317:K317 O317:P318">
    <cfRule type="expression" dxfId="4104" priority="7426">
      <formula>$H317="CÉLULA CONSTRUTIVA"</formula>
    </cfRule>
  </conditionalFormatting>
  <conditionalFormatting sqref="G324:K324 O324:P324">
    <cfRule type="expression" dxfId="4103" priority="4244">
      <formula>$H324="CÉLULA CONSTRUTIVA"</formula>
    </cfRule>
  </conditionalFormatting>
  <conditionalFormatting sqref="G325:K326 O325:P326">
    <cfRule type="expression" dxfId="4102" priority="4224">
      <formula>$H325="CÉLULA CONSTRUTIVA"</formula>
    </cfRule>
  </conditionalFormatting>
  <conditionalFormatting sqref="G325:K326">
    <cfRule type="expression" dxfId="4101" priority="4234">
      <formula>$H325="ETAPA"</formula>
    </cfRule>
  </conditionalFormatting>
  <conditionalFormatting sqref="G348:K348 N348:O348">
    <cfRule type="expression" dxfId="4100" priority="1645">
      <formula>$H348="ETAPA"</formula>
    </cfRule>
  </conditionalFormatting>
  <conditionalFormatting sqref="G349:K349 O349:P349 G352:K352 O352">
    <cfRule type="expression" dxfId="4099" priority="7705">
      <formula>$H349="CÉLULA CONSTRUTIVA"</formula>
    </cfRule>
  </conditionalFormatting>
  <conditionalFormatting sqref="G350:K350 O350">
    <cfRule type="expression" dxfId="4098" priority="7468">
      <formula>$H350="ETAPA"</formula>
    </cfRule>
    <cfRule type="expression" dxfId="4097" priority="7467">
      <formula>$H350="CÉLULA CONSTRUTIVA"</formula>
    </cfRule>
  </conditionalFormatting>
  <conditionalFormatting sqref="G353:K353 O353:P353">
    <cfRule type="expression" dxfId="4096" priority="4684">
      <formula>$H353="CÉLULA CONSTRUTIVA"</formula>
    </cfRule>
    <cfRule type="expression" dxfId="4095" priority="4685">
      <formula>$H353="ETAPA"</formula>
    </cfRule>
  </conditionalFormatting>
  <conditionalFormatting sqref="G354:K356 N354:O357 G357:I357 K357">
    <cfRule type="expression" dxfId="4094" priority="4682">
      <formula>$H354="ETAPA"</formula>
    </cfRule>
  </conditionalFormatting>
  <conditionalFormatting sqref="G358:K358 O358:P358 G361:K364 N361:N364">
    <cfRule type="expression" dxfId="4093" priority="7699">
      <formula>$H358="CÉLULA CONSTRUTIVA"</formula>
    </cfRule>
  </conditionalFormatting>
  <conditionalFormatting sqref="G360:K360 N360">
    <cfRule type="expression" dxfId="4092" priority="4336">
      <formula>$H360="CÉLULA CONSTRUTIVA"</formula>
    </cfRule>
    <cfRule type="expression" dxfId="4091" priority="4337">
      <formula>$H360="ETAPA"</formula>
    </cfRule>
  </conditionalFormatting>
  <conditionalFormatting sqref="G361:K364 N361:N364">
    <cfRule type="expression" dxfId="4090" priority="7700">
      <formula>$H361="ETAPA"</formula>
    </cfRule>
  </conditionalFormatting>
  <conditionalFormatting sqref="G383:K383 N383">
    <cfRule type="expression" dxfId="4089" priority="2408">
      <formula>$H383="ETAPA"</formula>
    </cfRule>
    <cfRule type="expression" dxfId="4088" priority="2407">
      <formula>$H383="CÉLULA CONSTRUTIVA"</formula>
    </cfRule>
    <cfRule type="expression" dxfId="4087" priority="2406">
      <formula>$H383="SUBETAPA"</formula>
    </cfRule>
  </conditionalFormatting>
  <conditionalFormatting sqref="G388:K388 N388">
    <cfRule type="expression" dxfId="4086" priority="4273">
      <formula>$H388="CÉLULA CONSTRUTIVA"</formula>
    </cfRule>
    <cfRule type="expression" dxfId="4085" priority="4274">
      <formula>$H388="ETAPA"</formula>
    </cfRule>
  </conditionalFormatting>
  <conditionalFormatting sqref="G8:L15">
    <cfRule type="expression" dxfId="4084" priority="5148">
      <formula>$H8="SUBETAPA"</formula>
    </cfRule>
  </conditionalFormatting>
  <conditionalFormatting sqref="G12:L15 N15:P15 O15:O17 H16 P16:P17 P20:P22 I67:I72 I77:I78 I81:I82 I85:I94 P90:P94 I96 P151 P166:P168 N186:N187 G186:K189 N189 G194:K196 N195:O195 O196 G198:K199 N198:N199 J201:K201 G206:L206 N206:P206 G207:I207 K207:L207 O207:P207 N208 G208:L210 N210:O210 P212 O222:P222 G222:K225 N223:O224 O225:P225 G227:K227 N227:O227 O234:P234 G234:K236 N235:O236 G239:K239 N239:O239 G253:K254 N253:N254 G256:K256 O256:P256 G276:K276 O278:P278 G278:K280 N279:O279 K286:L286 O286:P286 K288:L290 N288:O290 G294:K294 N294 O308:P308 G308:K310 N309:O310 N319:O319 G319:M323 O320:P320 N321:O321 O322:P322 N323:O323 O335:P335 G335:L336 N336 L337:L339 O337:P339 G337:K343 N340:O342 O343:P343 G345:P345 G346:K347 M346:P347 G351:K351 N351:O351 G359:I359 K359 N359 O365:P367 G365:L368 N368:P368 P369:P372 G370:J370 N370:O370 K370:K372 L370:L382 G373:K382 P375 O376:P376 N377:P382 P383 O384:P384 G384:K387 N385:P385 O386:P386 N387:O387 N389 P389 G389:K395 O390:P390 N391:O391 O392:P396 G396 G397:K397 M397:P397 G398:P401 O280:P280">
    <cfRule type="expression" dxfId="4083" priority="7735">
      <formula>$H12="CÉLULA CONSTRUTIVA"</formula>
    </cfRule>
  </conditionalFormatting>
  <conditionalFormatting sqref="G12:L15 N15:P15 O15:O17 H16 P16:P17 P20:P22 I67:I72 I77:I78 I81:I82 I85:I94 P90:P94 I96 P151 P166:P168 N186:N187 G186:K189 N189 G194:K196 N195:O195 O196 G198:K199 N198:N199 J201:K201 G206:L206 N206:P206 G207:I207 K207:L207 O207:P207 N208 G208:L210 N210:O210 P212 O222:P222 G222:K225 N223:O224 O225:P225 G227:K227 N227:O227 O234:P234 G234:K236 N235:O236 G239:K239 N239:O239 G253:K254 N253:N254 G256:K256 O256:P256 G276:K276 O278:P278 G278:K280 N279:O279 K286:L286 O286:P286 K288:L290 N288:O290 G294:K294 N294 O308:P308 G308:K310 N309:O310 N319:O319 G319:M323 O320:P320 N321:O321 O322:P322 N323:O323 O335:P335 G335:L336 N336 L337:L339 O337:P339 G337:K343 N340:O342 O343:P343 G345:P345 G346:K347 M346:P347 N351:O351 G351:K352 G359:I359 K359 N359 O365:P367 G365:L368 N368:P368 P369:P372 G370:J370 N370:O370 K370:K372 L370:L382 G373:K382 P375 O376:P376 N377:P382 P383 O384:P384 G384:K387 N385:P385 O386:P386 N387:O387 N389 P389 G389:K395 O390:P390 N391:O391 O392:P396 G396 G397:K397 M397:P397 G398:P401 O280:P280">
    <cfRule type="expression" dxfId="4082" priority="7736">
      <formula>$H12="ETAPA"</formula>
    </cfRule>
  </conditionalFormatting>
  <conditionalFormatting sqref="G16:L16 N16 K17:L17 P66 N157 G157:L160 N159 G166:L167 N166:P167 O208 O209:P209 P368:P369">
    <cfRule type="expression" dxfId="4081" priority="8167">
      <formula>$H16="ETAPA"</formula>
    </cfRule>
  </conditionalFormatting>
  <conditionalFormatting sqref="G16:L17 O153:P154 P66 O209:P209 N369:P369 O20:P22 P129:P130 G162:L163 N163 G152:L160 G166:L174 G109:L117 N16:N17 O18:P18 N19 O30:P30 O39:P39 O43:P43 O46:P46 O49:P51 N52:O54 O55:P55 N103:O103 P105 G105:L107 N106:O107 P109 N110:O110 P111 N112 N116:O116 P117 G146:L146 O169:P169 N170:O170 O171:P173 N174:O174 O176:P176 G176:M177 N177 O180:P180">
    <cfRule type="expression" dxfId="4080" priority="8050">
      <formula>$H16="SUBETAPA"</formula>
    </cfRule>
  </conditionalFormatting>
  <conditionalFormatting sqref="G18:L23">
    <cfRule type="expression" dxfId="4079" priority="4931">
      <formula>$H18="SUBETAPA"</formula>
    </cfRule>
  </conditionalFormatting>
  <conditionalFormatting sqref="G96:L100">
    <cfRule type="expression" dxfId="4078" priority="4968">
      <formula>$H96="SUBETAPA"</formula>
    </cfRule>
  </conditionalFormatting>
  <conditionalFormatting sqref="G102:L103">
    <cfRule type="expression" dxfId="4077" priority="5187">
      <formula>$H102="SUBETAPA"</formula>
    </cfRule>
  </conditionalFormatting>
  <conditionalFormatting sqref="G118:L130">
    <cfRule type="expression" dxfId="4076" priority="5205">
      <formula>$H118="SUBETAPA"</formula>
    </cfRule>
  </conditionalFormatting>
  <conditionalFormatting sqref="G132:L134 N133:O134">
    <cfRule type="expression" dxfId="4075" priority="1381">
      <formula>$H132="SUBETAPA"</formula>
    </cfRule>
    <cfRule type="expression" dxfId="4074" priority="1382">
      <formula>$H132="CÉLULA CONSTRUTIVA"</formula>
    </cfRule>
    <cfRule type="expression" dxfId="4073" priority="1383">
      <formula>$H132="ETAPA"</formula>
    </cfRule>
  </conditionalFormatting>
  <conditionalFormatting sqref="G135:L139">
    <cfRule type="expression" dxfId="4072" priority="5106">
      <formula>$H135="SUBETAPA"</formula>
    </cfRule>
  </conditionalFormatting>
  <conditionalFormatting sqref="G141:L142">
    <cfRule type="expression" dxfId="4071" priority="5112">
      <formula>$H141="SUBETAPA"</formula>
    </cfRule>
  </conditionalFormatting>
  <conditionalFormatting sqref="G147:L149">
    <cfRule type="expression" dxfId="4070" priority="1273">
      <formula>$H147="SUBETAPA"</formula>
    </cfRule>
    <cfRule type="expression" dxfId="4069" priority="1274">
      <formula>$H147="CÉLULA CONSTRUTIVA"</formula>
    </cfRule>
    <cfRule type="expression" dxfId="4068" priority="1275">
      <formula>$H147="ETAPA"</formula>
    </cfRule>
  </conditionalFormatting>
  <conditionalFormatting sqref="G161:L161">
    <cfRule type="expression" dxfId="4067" priority="4852">
      <formula>$H161="SUBETAPA"</formula>
    </cfRule>
  </conditionalFormatting>
  <conditionalFormatting sqref="G164:L164 N164">
    <cfRule type="expression" dxfId="4066" priority="1769">
      <formula>$H164="SUBETAPA"</formula>
    </cfRule>
  </conditionalFormatting>
  <conditionalFormatting sqref="G165:L165 N165">
    <cfRule type="expression" dxfId="4065" priority="1742">
      <formula>$H165="SUBETAPA"</formula>
    </cfRule>
  </conditionalFormatting>
  <conditionalFormatting sqref="G175:L175 N175:O175">
    <cfRule type="expression" dxfId="4064" priority="1179">
      <formula>$H175="SUBETAPA"</formula>
    </cfRule>
  </conditionalFormatting>
  <conditionalFormatting sqref="G178:L240">
    <cfRule type="expression" dxfId="4063" priority="4413">
      <formula>$H178="SUBETAPA"</formula>
    </cfRule>
  </conditionalFormatting>
  <conditionalFormatting sqref="G246:L247 N246:N247">
    <cfRule type="expression" dxfId="4062" priority="4383">
      <formula>$H246="CÉLULA CONSTRUTIVA"</formula>
    </cfRule>
  </conditionalFormatting>
  <conditionalFormatting sqref="G256:L259">
    <cfRule type="expression" dxfId="4061" priority="4360">
      <formula>$H256="SUBETAPA"</formula>
    </cfRule>
  </conditionalFormatting>
  <conditionalFormatting sqref="G260:L281">
    <cfRule type="expression" dxfId="4060" priority="5028">
      <formula>$H260="SUBETAPA"</formula>
    </cfRule>
  </conditionalFormatting>
  <conditionalFormatting sqref="G284:L286">
    <cfRule type="expression" dxfId="4059" priority="5040">
      <formula>$H284="SUBETAPA"</formula>
    </cfRule>
  </conditionalFormatting>
  <conditionalFormatting sqref="G288:L302 O297:P297">
    <cfRule type="expression" dxfId="4058" priority="4280">
      <formula>$H288="SUBETAPA"</formula>
    </cfRule>
  </conditionalFormatting>
  <conditionalFormatting sqref="G297:L298 O297:P297 N298:O298">
    <cfRule type="expression" dxfId="4057" priority="4281">
      <formula>$H297="CÉLULA CONSTRUTIVA"</formula>
    </cfRule>
  </conditionalFormatting>
  <conditionalFormatting sqref="G324:L333">
    <cfRule type="expression" dxfId="4056" priority="4102">
      <formula>$H324="SUBETAPA"</formula>
    </cfRule>
  </conditionalFormatting>
  <conditionalFormatting sqref="G330:L330 G332:I332 K332:L332 O330:P330 N332:O332">
    <cfRule type="expression" dxfId="4055" priority="4148">
      <formula>$H330="CÉLULA CONSTRUTIVA"</formula>
    </cfRule>
  </conditionalFormatting>
  <conditionalFormatting sqref="G330:L330 O330:P330 G332:I332 K332:L332 N332:O332">
    <cfRule type="expression" dxfId="4054" priority="4149">
      <formula>$H330="ETAPA"</formula>
    </cfRule>
  </conditionalFormatting>
  <conditionalFormatting sqref="G333:L333 G327:L329 O328:P328 O333:P333 N329:O329 N327:O327">
    <cfRule type="expression" dxfId="4053" priority="4241">
      <formula>$H327="CÉLULA CONSTRUTIVA"</formula>
    </cfRule>
  </conditionalFormatting>
  <conditionalFormatting sqref="G334:L334 N334:O334">
    <cfRule type="expression" dxfId="4052" priority="2233">
      <formula>$H334="SUBETAPA"</formula>
    </cfRule>
    <cfRule type="expression" dxfId="4051" priority="2235">
      <formula>$H334="ETAPA"</formula>
    </cfRule>
    <cfRule type="expression" dxfId="4050" priority="2234">
      <formula>$H334="CÉLULA CONSTRUTIVA"</formula>
    </cfRule>
  </conditionalFormatting>
  <conditionalFormatting sqref="G335:L343">
    <cfRule type="expression" dxfId="4049" priority="5019">
      <formula>$H335="SUBETAPA"</formula>
    </cfRule>
  </conditionalFormatting>
  <conditionalFormatting sqref="G349:L382">
    <cfRule type="expression" dxfId="4048" priority="4329">
      <formula>$H349="SUBETAPA"</formula>
    </cfRule>
  </conditionalFormatting>
  <conditionalFormatting sqref="G384:L395">
    <cfRule type="expression" dxfId="4047" priority="4256">
      <formula>$H384="SUBETAPA"</formula>
    </cfRule>
  </conditionalFormatting>
  <conditionalFormatting sqref="G306:M306">
    <cfRule type="expression" dxfId="4046" priority="471">
      <formula>$H306="ETAPA"</formula>
    </cfRule>
  </conditionalFormatting>
  <conditionalFormatting sqref="H17">
    <cfRule type="expression" dxfId="4045" priority="8032">
      <formula>$H17="ETAPA"</formula>
    </cfRule>
    <cfRule type="expression" dxfId="4044" priority="8031">
      <formula>$H17="CÉLULA CONSTRUTIVA"</formula>
    </cfRule>
  </conditionalFormatting>
  <conditionalFormatting sqref="H23">
    <cfRule type="expression" dxfId="4043" priority="5341">
      <formula>$H23="CÉLULA CONSTRUTIVA"</formula>
    </cfRule>
    <cfRule type="expression" dxfId="4042" priority="5342">
      <formula>$H23="ETAPA"</formula>
    </cfRule>
  </conditionalFormatting>
  <conditionalFormatting sqref="I73:I74">
    <cfRule type="expression" dxfId="4041" priority="799">
      <formula>$H73="ETAPA"</formula>
    </cfRule>
    <cfRule type="expression" dxfId="4040" priority="798">
      <formula>$H73="CÉLULA CONSTRUTIVA"</formula>
    </cfRule>
    <cfRule type="expression" dxfId="4039" priority="797">
      <formula>$H73="SUBETAPA"</formula>
    </cfRule>
  </conditionalFormatting>
  <conditionalFormatting sqref="I75:I76">
    <cfRule type="expression" dxfId="4038" priority="686">
      <formula>$H75="SUBETAPA"</formula>
    </cfRule>
    <cfRule type="expression" dxfId="4037" priority="688">
      <formula>$H75="ETAPA"</formula>
    </cfRule>
    <cfRule type="expression" dxfId="4036" priority="687">
      <formula>$H75="CÉLULA CONSTRUTIVA"</formula>
    </cfRule>
  </conditionalFormatting>
  <conditionalFormatting sqref="I79:I80">
    <cfRule type="expression" dxfId="4035" priority="628">
      <formula>$H79="ETAPA"</formula>
    </cfRule>
    <cfRule type="expression" dxfId="4034" priority="627">
      <formula>$H79="CÉLULA CONSTRUTIVA"</formula>
    </cfRule>
    <cfRule type="expression" dxfId="4033" priority="626">
      <formula>$H79="SUBETAPA"</formula>
    </cfRule>
  </conditionalFormatting>
  <conditionalFormatting sqref="I83:I84">
    <cfRule type="expression" dxfId="4032" priority="739">
      <formula>$H83="ETAPA"</formula>
    </cfRule>
    <cfRule type="expression" dxfId="4031" priority="738">
      <formula>$H83="CÉLULA CONSTRUTIVA"</formula>
    </cfRule>
    <cfRule type="expression" dxfId="4030" priority="737">
      <formula>$H83="SUBETAPA"</formula>
    </cfRule>
  </conditionalFormatting>
  <conditionalFormatting sqref="I95">
    <cfRule type="expression" dxfId="4029" priority="571">
      <formula>$H95="ETAPA"</formula>
    </cfRule>
    <cfRule type="expression" dxfId="4028" priority="569">
      <formula>$H95="SUBETAPA"</formula>
    </cfRule>
    <cfRule type="expression" dxfId="4027" priority="570">
      <formula>$H95="CÉLULA CONSTRUTIVA"</formula>
    </cfRule>
  </conditionalFormatting>
  <conditionalFormatting sqref="I23:K23">
    <cfRule type="expression" dxfId="4026" priority="5344">
      <formula>$H23="CÉLULA CONSTRUTIVA"</formula>
    </cfRule>
    <cfRule type="expression" dxfId="4025" priority="5345">
      <formula>$H23="ETAPA"</formula>
    </cfRule>
  </conditionalFormatting>
  <conditionalFormatting sqref="J73">
    <cfRule type="expression" dxfId="4024" priority="754">
      <formula>$H73="ETAPA"</formula>
    </cfRule>
    <cfRule type="expression" dxfId="4023" priority="752">
      <formula>$H73="SUBETAPA"</formula>
    </cfRule>
    <cfRule type="expression" dxfId="4022" priority="753">
      <formula>$H73="CÉLULA CONSTRUTIVA"</formula>
    </cfRule>
  </conditionalFormatting>
  <conditionalFormatting sqref="J74">
    <cfRule type="expression" dxfId="4021" priority="746">
      <formula>$H74="SUBETAPA"</formula>
    </cfRule>
    <cfRule type="expression" dxfId="4020" priority="747">
      <formula>$H74="CÉLULA CONSTRUTIVA"</formula>
    </cfRule>
    <cfRule type="expression" dxfId="4019" priority="748">
      <formula>$H74="ETAPA"</formula>
    </cfRule>
  </conditionalFormatting>
  <conditionalFormatting sqref="J75">
    <cfRule type="expression" dxfId="4018" priority="643">
      <formula>$H75="ETAPA"</formula>
    </cfRule>
    <cfRule type="expression" dxfId="4017" priority="641">
      <formula>$H75="SUBETAPA"</formula>
    </cfRule>
    <cfRule type="expression" dxfId="4016" priority="642">
      <formula>$H75="CÉLULA CONSTRUTIVA"</formula>
    </cfRule>
  </conditionalFormatting>
  <conditionalFormatting sqref="J76">
    <cfRule type="expression" dxfId="4015" priority="635">
      <formula>$H76="SUBETAPA"</formula>
    </cfRule>
    <cfRule type="expression" dxfId="4014" priority="636">
      <formula>$H76="CÉLULA CONSTRUTIVA"</formula>
    </cfRule>
    <cfRule type="expression" dxfId="4013" priority="637">
      <formula>$H76="ETAPA"</formula>
    </cfRule>
  </conditionalFormatting>
  <conditionalFormatting sqref="J77">
    <cfRule type="expression" dxfId="4012" priority="1613">
      <formula>$H77="SUBETAPA"</formula>
    </cfRule>
    <cfRule type="expression" dxfId="4011" priority="1614">
      <formula>$H77="CÉLULA CONSTRUTIVA"</formula>
    </cfRule>
    <cfRule type="expression" dxfId="4010" priority="1615">
      <formula>$H77="ETAPA"</formula>
    </cfRule>
  </conditionalFormatting>
  <conditionalFormatting sqref="J78">
    <cfRule type="expression" dxfId="4009" priority="807">
      <formula>$H78="CÉLULA CONSTRUTIVA"</formula>
    </cfRule>
    <cfRule type="expression" dxfId="4008" priority="806">
      <formula>$H78="SUBETAPA"</formula>
    </cfRule>
    <cfRule type="expression" dxfId="4007" priority="808">
      <formula>$H78="ETAPA"</formula>
    </cfRule>
  </conditionalFormatting>
  <conditionalFormatting sqref="J79">
    <cfRule type="expression" dxfId="4006" priority="581">
      <formula>$H79="SUBETAPA"</formula>
    </cfRule>
    <cfRule type="expression" dxfId="4005" priority="583">
      <formula>$H79="ETAPA"</formula>
    </cfRule>
    <cfRule type="expression" dxfId="4004" priority="582">
      <formula>$H79="CÉLULA CONSTRUTIVA"</formula>
    </cfRule>
  </conditionalFormatting>
  <conditionalFormatting sqref="J80">
    <cfRule type="expression" dxfId="4003" priority="575">
      <formula>$H80="SUBETAPA"</formula>
    </cfRule>
    <cfRule type="expression" dxfId="4002" priority="577">
      <formula>$H80="ETAPA"</formula>
    </cfRule>
    <cfRule type="expression" dxfId="4001" priority="576">
      <formula>$H80="CÉLULA CONSTRUTIVA"</formula>
    </cfRule>
  </conditionalFormatting>
  <conditionalFormatting sqref="J82 J85">
    <cfRule type="expression" dxfId="4000" priority="1612">
      <formula>$H82="ETAPA"</formula>
    </cfRule>
    <cfRule type="expression" dxfId="3999" priority="1611">
      <formula>$H82="CÉLULA CONSTRUTIVA"</formula>
    </cfRule>
    <cfRule type="expression" dxfId="3998" priority="1610">
      <formula>$H82="SUBETAPA"</formula>
    </cfRule>
  </conditionalFormatting>
  <conditionalFormatting sqref="J84">
    <cfRule type="expression" dxfId="3997" priority="697">
      <formula>$H84="ETAPA"</formula>
    </cfRule>
    <cfRule type="expression" dxfId="3996" priority="696">
      <formula>$H84="CÉLULA CONSTRUTIVA"</formula>
    </cfRule>
    <cfRule type="expression" dxfId="3995" priority="695">
      <formula>$H84="SUBETAPA"</formula>
    </cfRule>
  </conditionalFormatting>
  <conditionalFormatting sqref="J145">
    <cfRule type="expression" dxfId="3994" priority="1225">
      <formula>$H145="CÉLULA CONSTRUTIVA"</formula>
    </cfRule>
    <cfRule type="expression" dxfId="3993" priority="1226">
      <formula>$H145="ETAPA"</formula>
    </cfRule>
    <cfRule type="expression" dxfId="3992" priority="1224">
      <formula>$H145="SUBETAPA"</formula>
    </cfRule>
  </conditionalFormatting>
  <conditionalFormatting sqref="J157">
    <cfRule type="expression" dxfId="3991" priority="6908">
      <formula>$H157="CÉLULA CONSTRUTIVA"</formula>
    </cfRule>
    <cfRule type="expression" dxfId="3990" priority="6909">
      <formula>$H157="ETAPA"</formula>
    </cfRule>
  </conditionalFormatting>
  <conditionalFormatting sqref="J159">
    <cfRule type="expression" dxfId="3989" priority="6907">
      <formula>$H159="ETAPA"</formula>
    </cfRule>
    <cfRule type="expression" dxfId="3988" priority="6906">
      <formula>$H159="CÉLULA CONSTRUTIVA"</formula>
    </cfRule>
  </conditionalFormatting>
  <conditionalFormatting sqref="J207">
    <cfRule type="expression" dxfId="3987" priority="7616">
      <formula>$H207="CÉLULA CONSTRUTIVA"</formula>
    </cfRule>
    <cfRule type="expression" dxfId="3986" priority="7617">
      <formula>$H207="ETAPA"</formula>
    </cfRule>
  </conditionalFormatting>
  <conditionalFormatting sqref="J214">
    <cfRule type="expression" dxfId="3985" priority="7588">
      <formula>$H214="CÉLULA CONSTRUTIVA"</formula>
    </cfRule>
    <cfRule type="expression" dxfId="3984" priority="7589">
      <formula>$H214="ETAPA"</formula>
    </cfRule>
  </conditionalFormatting>
  <conditionalFormatting sqref="J259">
    <cfRule type="expression" dxfId="3983" priority="4361">
      <formula>$H259="CÉLULA CONSTRUTIVA"</formula>
    </cfRule>
    <cfRule type="expression" dxfId="3982" priority="4362">
      <formula>$H259="ETAPA"</formula>
    </cfRule>
  </conditionalFormatting>
  <conditionalFormatting sqref="J264">
    <cfRule type="expression" dxfId="3981" priority="7564">
      <formula>$H264="ETAPA"</formula>
    </cfRule>
    <cfRule type="expression" dxfId="3980" priority="7563">
      <formula>$H264="CÉLULA CONSTRUTIVA"</formula>
    </cfRule>
  </conditionalFormatting>
  <conditionalFormatting sqref="J314">
    <cfRule type="expression" dxfId="3979" priority="7475">
      <formula>$H314="ETAPA"</formula>
    </cfRule>
  </conditionalFormatting>
  <conditionalFormatting sqref="J331">
    <cfRule type="expression" dxfId="3978" priority="4103">
      <formula>$H331="CÉLULA CONSTRUTIVA"</formula>
    </cfRule>
    <cfRule type="expression" dxfId="3977" priority="4104">
      <formula>$H331="ETAPA"</formula>
    </cfRule>
  </conditionalFormatting>
  <conditionalFormatting sqref="J332">
    <cfRule type="expression" dxfId="3976" priority="4132">
      <formula>$H332="CÉLULA CONSTRUTIVA"</formula>
    </cfRule>
    <cfRule type="expression" dxfId="3975" priority="4133">
      <formula>$H332="ETAPA"</formula>
    </cfRule>
  </conditionalFormatting>
  <conditionalFormatting sqref="J357">
    <cfRule type="expression" dxfId="3974" priority="4355">
      <formula>$H357="CÉLULA CONSTRUTIVA"</formula>
    </cfRule>
    <cfRule type="expression" dxfId="3973" priority="4356">
      <formula>$H357="ETAPA"</formula>
    </cfRule>
  </conditionalFormatting>
  <conditionalFormatting sqref="J83:K83 G83:H83 O83:P83">
    <cfRule type="expression" dxfId="3972" priority="726">
      <formula>$H83="CÉLULA CONSTRUTIVA"</formula>
    </cfRule>
    <cfRule type="expression" dxfId="3971" priority="725">
      <formula>$H83="SUBETAPA"</formula>
    </cfRule>
  </conditionalFormatting>
  <conditionalFormatting sqref="J86:L94">
    <cfRule type="expression" dxfId="3970" priority="4873">
      <formula>$H86="SUBETAPA"</formula>
    </cfRule>
  </conditionalFormatting>
  <conditionalFormatting sqref="K11">
    <cfRule type="expression" dxfId="3969" priority="7345">
      <formula>$H11="ETAPA"</formula>
    </cfRule>
    <cfRule type="expression" dxfId="3968" priority="7344">
      <formula>$H11="CÉLULA CONSTRUTIVA"</formula>
    </cfRule>
  </conditionalFormatting>
  <conditionalFormatting sqref="K31 K38">
    <cfRule type="expression" dxfId="3967" priority="6193">
      <formula>$H31="ETAPA"</formula>
    </cfRule>
    <cfRule type="expression" dxfId="3966" priority="6192">
      <formula>$H31="CÉLULA CONSTRUTIVA"</formula>
    </cfRule>
  </conditionalFormatting>
  <conditionalFormatting sqref="K79 G79:H79">
    <cfRule type="expression" dxfId="3965" priority="630">
      <formula>$H79="CÉLULA CONSTRUTIVA"</formula>
    </cfRule>
    <cfRule type="expression" dxfId="3964" priority="629">
      <formula>$H79="SUBETAPA"</formula>
    </cfRule>
  </conditionalFormatting>
  <conditionalFormatting sqref="K84">
    <cfRule type="expression" dxfId="3963" priority="736">
      <formula>$H84="ETAPA"</formula>
    </cfRule>
  </conditionalFormatting>
  <conditionalFormatting sqref="K92">
    <cfRule type="expression" dxfId="3962" priority="5742">
      <formula>$H92="CÉLULA CONSTRUTIVA"</formula>
    </cfRule>
    <cfRule type="expression" dxfId="3961" priority="5743">
      <formula>$H92="ETAPA"</formula>
    </cfRule>
  </conditionalFormatting>
  <conditionalFormatting sqref="K174">
    <cfRule type="expression" dxfId="3960" priority="6849">
      <formula>$H174="CÉLULA CONSTRUTIVA"</formula>
    </cfRule>
    <cfRule type="expression" dxfId="3959" priority="6850">
      <formula>$H174="ETAPA"</formula>
    </cfRule>
  </conditionalFormatting>
  <conditionalFormatting sqref="K175">
    <cfRule type="expression" dxfId="3958" priority="1178">
      <formula>$H175="ETAPA"</formula>
    </cfRule>
    <cfRule type="expression" dxfId="3957" priority="1177">
      <formula>$H175="CÉLULA CONSTRUTIVA"</formula>
    </cfRule>
  </conditionalFormatting>
  <conditionalFormatting sqref="K281">
    <cfRule type="expression" dxfId="3956" priority="6479">
      <formula>$H281="CÉLULA CONSTRUTIVA"</formula>
    </cfRule>
    <cfRule type="expression" dxfId="3955" priority="6480">
      <formula>$H281="ETAPA"</formula>
    </cfRule>
  </conditionalFormatting>
  <conditionalFormatting sqref="K344">
    <cfRule type="expression" dxfId="3954" priority="1020">
      <formula>$H344="SUBETAPA"</formula>
    </cfRule>
    <cfRule type="expression" dxfId="3953" priority="1021">
      <formula>$H344="CÉLULA CONSTRUTIVA"</formula>
    </cfRule>
    <cfRule type="expression" dxfId="3952" priority="1022">
      <formula>$H344="ETAPA"</formula>
    </cfRule>
  </conditionalFormatting>
  <conditionalFormatting sqref="K77:L78 J81:L81">
    <cfRule type="expression" dxfId="3951" priority="4971">
      <formula>$H77="SUBETAPA"</formula>
    </cfRule>
  </conditionalFormatting>
  <conditionalFormatting sqref="K82:L82 K85:L85">
    <cfRule type="expression" dxfId="3950" priority="4974">
      <formula>$H82="SUBETAPA"</formula>
    </cfRule>
  </conditionalFormatting>
  <conditionalFormatting sqref="K287:L287 N287:O287">
    <cfRule type="expression" dxfId="3949" priority="889">
      <formula>$H287="ETAPA"</formula>
    </cfRule>
    <cfRule type="expression" dxfId="3948" priority="888">
      <formula>$H287="CÉLULA CONSTRUTIVA"</formula>
    </cfRule>
    <cfRule type="expression" dxfId="3947" priority="887">
      <formula>$H287="SUBETAPA"</formula>
    </cfRule>
  </conditionalFormatting>
  <conditionalFormatting sqref="L8:L9">
    <cfRule type="expression" dxfId="3946" priority="5248">
      <formula>$H8="ETAPA"</formula>
    </cfRule>
    <cfRule type="expression" dxfId="3945" priority="5247">
      <formula>$H8="CÉLULA CONSTRUTIVA"</formula>
    </cfRule>
  </conditionalFormatting>
  <conditionalFormatting sqref="L10:L11">
    <cfRule type="expression" dxfId="3944" priority="5149">
      <formula>$H10="CÉLULA CONSTRUTIVA"</formula>
    </cfRule>
    <cfRule type="expression" dxfId="3943" priority="5150">
      <formula>$H10="ETAPA"</formula>
    </cfRule>
  </conditionalFormatting>
  <conditionalFormatting sqref="L18:L22 L25:L26 L28:L30 L39 L41 L43 L46:L47 L49:L55 L112:L114 L181:L182 L197 L203:L205 L219 L257:L258 L271:L275 L277 L314:L316 L349 L358">
    <cfRule type="expression" dxfId="3942" priority="5282">
      <formula>$H18="ETAPA"</formula>
    </cfRule>
  </conditionalFormatting>
  <conditionalFormatting sqref="L23">
    <cfRule type="expression" dxfId="3941" priority="4933">
      <formula>$H23="ETAPA"</formula>
    </cfRule>
    <cfRule type="expression" dxfId="3940" priority="4932">
      <formula>$H23="CÉLULA CONSTRUTIVA"</formula>
    </cfRule>
  </conditionalFormatting>
  <conditionalFormatting sqref="L24">
    <cfRule type="expression" dxfId="3939" priority="4913">
      <formula>$H24="ETAPA"</formula>
    </cfRule>
    <cfRule type="expression" dxfId="3938" priority="4912">
      <formula>$H24="CÉLULA CONSTRUTIVA"</formula>
    </cfRule>
  </conditionalFormatting>
  <conditionalFormatting sqref="L24:L56">
    <cfRule type="expression" dxfId="3937" priority="4780">
      <formula>$H24="SUBETAPA"</formula>
    </cfRule>
  </conditionalFormatting>
  <conditionalFormatting sqref="L27">
    <cfRule type="expression" dxfId="3936" priority="4990">
      <formula>$H27="CÉLULA CONSTRUTIVA"</formula>
    </cfRule>
    <cfRule type="expression" dxfId="3935" priority="4991">
      <formula>$H27="ETAPA"</formula>
    </cfRule>
  </conditionalFormatting>
  <conditionalFormatting sqref="L31:L32">
    <cfRule type="expression" dxfId="3934" priority="5002">
      <formula>$H31="CÉLULA CONSTRUTIVA"</formula>
    </cfRule>
    <cfRule type="expression" dxfId="3933" priority="5003">
      <formula>$H31="ETAPA"</formula>
    </cfRule>
  </conditionalFormatting>
  <conditionalFormatting sqref="L33:L37">
    <cfRule type="expression" dxfId="3932" priority="5262">
      <formula>$H33="CÉLULA CONSTRUTIVA"</formula>
    </cfRule>
    <cfRule type="expression" dxfId="3931" priority="5263">
      <formula>$H33="ETAPA"</formula>
    </cfRule>
  </conditionalFormatting>
  <conditionalFormatting sqref="L38">
    <cfRule type="expression" dxfId="3930" priority="4996">
      <formula>$H38="CÉLULA CONSTRUTIVA"</formula>
    </cfRule>
    <cfRule type="expression" dxfId="3929" priority="4997">
      <formula>$H38="ETAPA"</formula>
    </cfRule>
  </conditionalFormatting>
  <conditionalFormatting sqref="L40">
    <cfRule type="expression" dxfId="3928" priority="4930">
      <formula>$H40="ETAPA"</formula>
    </cfRule>
    <cfRule type="expression" dxfId="3927" priority="4929">
      <formula>$H40="CÉLULA CONSTRUTIVA"</formula>
    </cfRule>
  </conditionalFormatting>
  <conditionalFormatting sqref="L42">
    <cfRule type="expression" dxfId="3926" priority="4926">
      <formula>$H42="CÉLULA CONSTRUTIVA"</formula>
    </cfRule>
    <cfRule type="expression" dxfId="3925" priority="4927">
      <formula>$H42="ETAPA"</formula>
    </cfRule>
  </conditionalFormatting>
  <conditionalFormatting sqref="L44">
    <cfRule type="expression" dxfId="3924" priority="4993">
      <formula>$H44="CÉLULA CONSTRUTIVA"</formula>
    </cfRule>
    <cfRule type="expression" dxfId="3923" priority="4994">
      <formula>$H44="ETAPA"</formula>
    </cfRule>
  </conditionalFormatting>
  <conditionalFormatting sqref="L45">
    <cfRule type="expression" dxfId="3922" priority="4999">
      <formula>$H45="CÉLULA CONSTRUTIVA"</formula>
    </cfRule>
    <cfRule type="expression" dxfId="3921" priority="5000">
      <formula>$H45="ETAPA"</formula>
    </cfRule>
  </conditionalFormatting>
  <conditionalFormatting sqref="L48">
    <cfRule type="expression" dxfId="3920" priority="5061">
      <formula>$H48="ETAPA"</formula>
    </cfRule>
    <cfRule type="expression" dxfId="3919" priority="5060">
      <formula>$H48="CÉLULA CONSTRUTIVA"</formula>
    </cfRule>
  </conditionalFormatting>
  <conditionalFormatting sqref="L56">
    <cfRule type="expression" dxfId="3918" priority="4779">
      <formula>$H56="ETAPA"</formula>
    </cfRule>
    <cfRule type="expression" dxfId="3917" priority="4781">
      <formula>$H56="CÉLULA CONSTRUTIVA"</formula>
    </cfRule>
  </conditionalFormatting>
  <conditionalFormatting sqref="L56:L57">
    <cfRule type="expression" dxfId="3916" priority="4782">
      <formula>$H56="ETAPA"</formula>
    </cfRule>
  </conditionalFormatting>
  <conditionalFormatting sqref="L57">
    <cfRule type="expression" dxfId="3915" priority="4987">
      <formula>$H57="CÉLULA CONSTRUTIVA"</formula>
    </cfRule>
    <cfRule type="expression" dxfId="3914" priority="4986">
      <formula>$H57="SUBETAPA"</formula>
    </cfRule>
  </conditionalFormatting>
  <conditionalFormatting sqref="L57:L59">
    <cfRule type="expression" dxfId="3913" priority="4988">
      <formula>$H57="ETAPA"</formula>
    </cfRule>
  </conditionalFormatting>
  <conditionalFormatting sqref="L66">
    <cfRule type="expression" dxfId="3912" priority="5253">
      <formula>$H66="CÉLULA CONSTRUTIVA"</formula>
    </cfRule>
    <cfRule type="expression" dxfId="3911" priority="5254">
      <formula>$H66="ETAPA"</formula>
    </cfRule>
  </conditionalFormatting>
  <conditionalFormatting sqref="L66:L70">
    <cfRule type="expression" dxfId="3910" priority="4978">
      <formula>$H66="SUBETAPA"</formula>
    </cfRule>
  </conditionalFormatting>
  <conditionalFormatting sqref="L67:L68">
    <cfRule type="expression" dxfId="3909" priority="4980">
      <formula>$H67="ETAPA"</formula>
    </cfRule>
    <cfRule type="expression" dxfId="3908" priority="4979">
      <formula>$H67="CÉLULA CONSTRUTIVA"</formula>
    </cfRule>
  </conditionalFormatting>
  <conditionalFormatting sqref="L69">
    <cfRule type="expression" dxfId="3907" priority="4976">
      <formula>$H69="CÉLULA CONSTRUTIVA"</formula>
    </cfRule>
    <cfRule type="expression" dxfId="3906" priority="4977">
      <formula>$H69="ETAPA"</formula>
    </cfRule>
  </conditionalFormatting>
  <conditionalFormatting sqref="L70">
    <cfRule type="expression" dxfId="3905" priority="4983">
      <formula>$H70="CÉLULA CONSTRUTIVA"</formula>
    </cfRule>
  </conditionalFormatting>
  <conditionalFormatting sqref="L71 L77 L82 L85 L87 L93:L94">
    <cfRule type="expression" dxfId="3904" priority="4984">
      <formula>$H71="ETAPA"</formula>
    </cfRule>
  </conditionalFormatting>
  <conditionalFormatting sqref="L71:L72">
    <cfRule type="expression" dxfId="3903" priority="4870">
      <formula>$H71="SUBETAPA"</formula>
    </cfRule>
  </conditionalFormatting>
  <conditionalFormatting sqref="L72">
    <cfRule type="expression" dxfId="3902" priority="4871">
      <formula>$H72="CÉLULA CONSTRUTIVA"</formula>
    </cfRule>
    <cfRule type="expression" dxfId="3901" priority="4872">
      <formula>$H72="ETAPA"</formula>
    </cfRule>
  </conditionalFormatting>
  <conditionalFormatting sqref="L73">
    <cfRule type="expression" dxfId="3900" priority="780">
      <formula>$H73="CÉLULA CONSTRUTIVA"</formula>
    </cfRule>
    <cfRule type="expression" dxfId="3899" priority="779">
      <formula>$H73="SUBETAPA"</formula>
    </cfRule>
    <cfRule type="expression" dxfId="3898" priority="781">
      <formula>$H73="ETAPA"</formula>
    </cfRule>
  </conditionalFormatting>
  <conditionalFormatting sqref="L74">
    <cfRule type="expression" dxfId="3897" priority="777">
      <formula>$H74="CÉLULA CONSTRUTIVA"</formula>
    </cfRule>
    <cfRule type="expression" dxfId="3896" priority="778">
      <formula>$H74="ETAPA"</formula>
    </cfRule>
    <cfRule type="expression" dxfId="3895" priority="776">
      <formula>$H74="SUBETAPA"</formula>
    </cfRule>
  </conditionalFormatting>
  <conditionalFormatting sqref="L75">
    <cfRule type="expression" dxfId="3894" priority="668">
      <formula>$H75="SUBETAPA"</formula>
    </cfRule>
    <cfRule type="expression" dxfId="3893" priority="669">
      <formula>$H75="CÉLULA CONSTRUTIVA"</formula>
    </cfRule>
    <cfRule type="expression" dxfId="3892" priority="670">
      <formula>$H75="ETAPA"</formula>
    </cfRule>
  </conditionalFormatting>
  <conditionalFormatting sqref="L76">
    <cfRule type="expression" dxfId="3891" priority="667">
      <formula>$H76="ETAPA"</formula>
    </cfRule>
    <cfRule type="expression" dxfId="3890" priority="666">
      <formula>$H76="CÉLULA CONSTRUTIVA"</formula>
    </cfRule>
    <cfRule type="expression" dxfId="3889" priority="665">
      <formula>$H76="SUBETAPA"</formula>
    </cfRule>
  </conditionalFormatting>
  <conditionalFormatting sqref="L78 L81 L89:L91">
    <cfRule type="expression" dxfId="3888" priority="4973">
      <formula>$H78="ETAPA"</formula>
    </cfRule>
  </conditionalFormatting>
  <conditionalFormatting sqref="L79">
    <cfRule type="expression" dxfId="3887" priority="610">
      <formula>$H79="ETAPA"</formula>
    </cfRule>
    <cfRule type="expression" dxfId="3886" priority="609">
      <formula>$H79="CÉLULA CONSTRUTIVA"</formula>
    </cfRule>
    <cfRule type="expression" dxfId="3885" priority="608">
      <formula>$H79="SUBETAPA"</formula>
    </cfRule>
  </conditionalFormatting>
  <conditionalFormatting sqref="L80">
    <cfRule type="expression" dxfId="3884" priority="606">
      <formula>$H80="CÉLULA CONSTRUTIVA"</formula>
    </cfRule>
    <cfRule type="expression" dxfId="3883" priority="607">
      <formula>$H80="ETAPA"</formula>
    </cfRule>
    <cfRule type="expression" dxfId="3882" priority="605">
      <formula>$H80="SUBETAPA"</formula>
    </cfRule>
  </conditionalFormatting>
  <conditionalFormatting sqref="L83">
    <cfRule type="expression" dxfId="3881" priority="720">
      <formula>$H83="CÉLULA CONSTRUTIVA"</formula>
    </cfRule>
    <cfRule type="expression" dxfId="3880" priority="721">
      <formula>$H83="ETAPA"</formula>
    </cfRule>
    <cfRule type="expression" dxfId="3879" priority="719">
      <formula>$H83="SUBETAPA"</formula>
    </cfRule>
  </conditionalFormatting>
  <conditionalFormatting sqref="L84">
    <cfRule type="expression" dxfId="3878" priority="723">
      <formula>$H84="CÉLULA CONSTRUTIVA"</formula>
    </cfRule>
    <cfRule type="expression" dxfId="3877" priority="724">
      <formula>$H84="ETAPA"</formula>
    </cfRule>
    <cfRule type="expression" dxfId="3876" priority="722">
      <formula>$H84="SUBETAPA"</formula>
    </cfRule>
  </conditionalFormatting>
  <conditionalFormatting sqref="L86">
    <cfRule type="expression" dxfId="3875" priority="4874">
      <formula>$H86="CÉLULA CONSTRUTIVA"</formula>
    </cfRule>
    <cfRule type="expression" dxfId="3874" priority="4875">
      <formula>$H86="ETAPA"</formula>
    </cfRule>
  </conditionalFormatting>
  <conditionalFormatting sqref="L88">
    <cfRule type="expression" dxfId="3873" priority="4880">
      <formula>$H88="CÉLULA CONSTRUTIVA"</formula>
    </cfRule>
    <cfRule type="expression" dxfId="3872" priority="4881">
      <formula>$H88="ETAPA"</formula>
    </cfRule>
  </conditionalFormatting>
  <conditionalFormatting sqref="L92">
    <cfRule type="expression" dxfId="3871" priority="4966">
      <formula>$H92="CÉLULA CONSTRUTIVA"</formula>
    </cfRule>
    <cfRule type="expression" dxfId="3870" priority="4967">
      <formula>$H92="ETAPA"</formula>
    </cfRule>
  </conditionalFormatting>
  <conditionalFormatting sqref="L93 L89:L91 L78 L81">
    <cfRule type="expression" dxfId="3869" priority="4972">
      <formula>$H78="CÉLULA CONSTRUTIVA"</formula>
    </cfRule>
  </conditionalFormatting>
  <conditionalFormatting sqref="L94 L82 L87 L77 L71 L85">
    <cfRule type="expression" dxfId="3868" priority="4975">
      <formula>$H71="CÉLULA CONSTRUTIVA"</formula>
    </cfRule>
  </conditionalFormatting>
  <conditionalFormatting sqref="L95">
    <cfRule type="expression" dxfId="3867" priority="563">
      <formula>$H95="SUBETAPA"</formula>
    </cfRule>
    <cfRule type="expression" dxfId="3866" priority="564">
      <formula>$H95="CÉLULA CONSTRUTIVA"</formula>
    </cfRule>
    <cfRule type="expression" dxfId="3865" priority="565">
      <formula>$H95="ETAPA"</formula>
    </cfRule>
  </conditionalFormatting>
  <conditionalFormatting sqref="L96">
    <cfRule type="expression" dxfId="3864" priority="4969">
      <formula>$H96="CÉLULA CONSTRUTIVA"</formula>
    </cfRule>
    <cfRule type="expression" dxfId="3863" priority="4970">
      <formula>$H96="ETAPA"</formula>
    </cfRule>
  </conditionalFormatting>
  <conditionalFormatting sqref="L97:L100 L102">
    <cfRule type="expression" dxfId="3862" priority="5188">
      <formula>$H97="CÉLULA CONSTRUTIVA"</formula>
    </cfRule>
    <cfRule type="expression" dxfId="3861" priority="5189">
      <formula>$H97="ETAPA"</formula>
    </cfRule>
  </conditionalFormatting>
  <conditionalFormatting sqref="L101">
    <cfRule type="expression" dxfId="3860" priority="1142">
      <formula>$H101="ETAPA"</formula>
    </cfRule>
    <cfRule type="expression" dxfId="3859" priority="1140">
      <formula>$H101="SUBETAPA"</formula>
    </cfRule>
    <cfRule type="expression" dxfId="3858" priority="1141">
      <formula>$H101="CÉLULA CONSTRUTIVA"</formula>
    </cfRule>
  </conditionalFormatting>
  <conditionalFormatting sqref="L104">
    <cfRule type="expression" dxfId="3857" priority="1128">
      <formula>$H104="ETAPA"</formula>
    </cfRule>
    <cfRule type="expression" dxfId="3856" priority="1127">
      <formula>$H104="CÉLULA CONSTRUTIVA"</formula>
    </cfRule>
    <cfRule type="expression" dxfId="3855" priority="1126">
      <formula>$H104="SUBETAPA"</formula>
    </cfRule>
  </conditionalFormatting>
  <conditionalFormatting sqref="L108">
    <cfRule type="expression" dxfId="3854" priority="1114">
      <formula>$H108="ETAPA"</formula>
    </cfRule>
    <cfRule type="expression" dxfId="3853" priority="1112">
      <formula>$H108="SUBETAPA"</formula>
    </cfRule>
    <cfRule type="expression" dxfId="3852" priority="1113">
      <formula>$H108="CÉLULA CONSTRUTIVA"</formula>
    </cfRule>
  </conditionalFormatting>
  <conditionalFormatting sqref="L118:L120">
    <cfRule type="expression" dxfId="3851" priority="5207">
      <formula>$H118="ETAPA"</formula>
    </cfRule>
  </conditionalFormatting>
  <conditionalFormatting sqref="L120">
    <cfRule type="expression" dxfId="3850" priority="5206">
      <formula>$H120="CÉLULA CONSTRUTIVA"</formula>
    </cfRule>
  </conditionalFormatting>
  <conditionalFormatting sqref="L121">
    <cfRule type="expression" dxfId="3849" priority="5209">
      <formula>$H121="ETAPA"</formula>
    </cfRule>
    <cfRule type="expression" dxfId="3848" priority="5208">
      <formula>$H121="CÉLULA CONSTRUTIVA"</formula>
    </cfRule>
  </conditionalFormatting>
  <conditionalFormatting sqref="L122:L128 L169:L174">
    <cfRule type="expression" dxfId="3847" priority="5264">
      <formula>$H122="CÉLULA CONSTRUTIVA"</formula>
    </cfRule>
  </conditionalFormatting>
  <conditionalFormatting sqref="L122:L130 L169:L174 L115:L116">
    <cfRule type="expression" dxfId="3846" priority="5265">
      <formula>$H115="ETAPA"</formula>
    </cfRule>
  </conditionalFormatting>
  <conditionalFormatting sqref="L129:L130">
    <cfRule type="expression" dxfId="3845" priority="5211">
      <formula>$H129="CÉLULA CONSTRUTIVA"</formula>
    </cfRule>
  </conditionalFormatting>
  <conditionalFormatting sqref="L131">
    <cfRule type="expression" dxfId="3844" priority="1229">
      <formula>$H131="ETAPA"</formula>
    </cfRule>
    <cfRule type="expression" dxfId="3843" priority="1228">
      <formula>$H131="CÉLULA CONSTRUTIVA"</formula>
    </cfRule>
    <cfRule type="expression" dxfId="3842" priority="1227">
      <formula>$H131="SUBETAPA"</formula>
    </cfRule>
  </conditionalFormatting>
  <conditionalFormatting sqref="L138">
    <cfRule type="expression" dxfId="3841" priority="5120">
      <formula>$H138="ETAPA"</formula>
    </cfRule>
    <cfRule type="expression" dxfId="3840" priority="5119">
      <formula>$H138="CÉLULA CONSTRUTIVA"</formula>
    </cfRule>
  </conditionalFormatting>
  <conditionalFormatting sqref="L139">
    <cfRule type="expression" dxfId="3839" priority="5107">
      <formula>$H139="CÉLULA CONSTRUTIVA"</formula>
    </cfRule>
    <cfRule type="expression" dxfId="3838" priority="5108">
      <formula>$H139="ETAPA"</formula>
    </cfRule>
  </conditionalFormatting>
  <conditionalFormatting sqref="L140">
    <cfRule type="expression" dxfId="3837" priority="1310">
      <formula>$H140="CÉLULA CONSTRUTIVA"</formula>
    </cfRule>
    <cfRule type="expression" dxfId="3836" priority="1309">
      <formula>$H140="SUBETAPA"</formula>
    </cfRule>
    <cfRule type="expression" dxfId="3835" priority="1311">
      <formula>$H140="ETAPA"</formula>
    </cfRule>
  </conditionalFormatting>
  <conditionalFormatting sqref="L141">
    <cfRule type="expression" dxfId="3834" priority="5116">
      <formula>$H141="CÉLULA CONSTRUTIVA"</formula>
    </cfRule>
    <cfRule type="expression" dxfId="3833" priority="5117">
      <formula>$H141="ETAPA"</formula>
    </cfRule>
  </conditionalFormatting>
  <conditionalFormatting sqref="L142">
    <cfRule type="expression" dxfId="3832" priority="5113">
      <formula>$H142="CÉLULA CONSTRUTIVA"</formula>
    </cfRule>
    <cfRule type="expression" dxfId="3831" priority="5114">
      <formula>$H142="ETAPA"</formula>
    </cfRule>
  </conditionalFormatting>
  <conditionalFormatting sqref="L143:L144">
    <cfRule type="expression" dxfId="3830" priority="1487">
      <formula>$H143="ETAPA"</formula>
    </cfRule>
    <cfRule type="expression" dxfId="3829" priority="1485">
      <formula>$H143="CÉLULA CONSTRUTIVA"</formula>
    </cfRule>
    <cfRule type="expression" dxfId="3828" priority="1483">
      <formula>$H143="SUBETAPA"</formula>
    </cfRule>
  </conditionalFormatting>
  <conditionalFormatting sqref="L145">
    <cfRule type="expression" dxfId="3827" priority="1238">
      <formula>$H145="SUBETAPA"</formula>
    </cfRule>
    <cfRule type="expression" dxfId="3826" priority="1240">
      <formula>$H145="ETAPA"</formula>
    </cfRule>
    <cfRule type="expression" dxfId="3825" priority="1239">
      <formula>$H145="CÉLULA CONSTRUTIVA"</formula>
    </cfRule>
  </conditionalFormatting>
  <conditionalFormatting sqref="L150">
    <cfRule type="expression" dxfId="3824" priority="1482">
      <formula>$H150="ETAPA"</formula>
    </cfRule>
    <cfRule type="expression" dxfId="3823" priority="1481">
      <formula>$H150="CÉLULA CONSTRUTIVA"</formula>
    </cfRule>
    <cfRule type="expression" dxfId="3822" priority="1480">
      <formula>$H150="SUBETAPA"</formula>
    </cfRule>
  </conditionalFormatting>
  <conditionalFormatting sqref="L151">
    <cfRule type="expression" dxfId="3821" priority="1469">
      <formula>$H151="CÉLULA CONSTRUTIVA"</formula>
    </cfRule>
    <cfRule type="expression" dxfId="3820" priority="1470">
      <formula>$H151="ETAPA"</formula>
    </cfRule>
    <cfRule type="expression" dxfId="3819" priority="1468">
      <formula>$H151="SUBETAPA"</formula>
    </cfRule>
  </conditionalFormatting>
  <conditionalFormatting sqref="L161">
    <cfRule type="expression" dxfId="3818" priority="4848">
      <formula>$H161="CÉLULA CONSTRUTIVA"</formula>
    </cfRule>
    <cfRule type="expression" dxfId="3817" priority="4849">
      <formula>$H161="ETAPA"</formula>
    </cfRule>
  </conditionalFormatting>
  <conditionalFormatting sqref="L162:L163">
    <cfRule type="expression" dxfId="3816" priority="5203">
      <formula>$H162="CÉLULA CONSTRUTIVA"</formula>
    </cfRule>
    <cfRule type="expression" dxfId="3815" priority="5204">
      <formula>$H162="ETAPA"</formula>
    </cfRule>
  </conditionalFormatting>
  <conditionalFormatting sqref="L164">
    <cfRule type="expression" dxfId="3814" priority="1765">
      <formula>$H164="ETAPA"</formula>
    </cfRule>
    <cfRule type="expression" dxfId="3813" priority="1764">
      <formula>$H164="CÉLULA CONSTRUTIVA"</formula>
    </cfRule>
  </conditionalFormatting>
  <conditionalFormatting sqref="L165">
    <cfRule type="expression" dxfId="3812" priority="1738">
      <formula>$H165="ETAPA"</formula>
    </cfRule>
    <cfRule type="expression" dxfId="3811" priority="1737">
      <formula>$H165="CÉLULA CONSTRUTIVA"</formula>
    </cfRule>
  </conditionalFormatting>
  <conditionalFormatting sqref="L175">
    <cfRule type="expression" dxfId="3810" priority="1175">
      <formula>$H175="CÉLULA CONSTRUTIVA"</formula>
    </cfRule>
    <cfRule type="expression" dxfId="3809" priority="1176">
      <formula>$H175="ETAPA"</formula>
    </cfRule>
  </conditionalFormatting>
  <conditionalFormatting sqref="L178:L179">
    <cfRule type="expression" dxfId="3808" priority="5152">
      <formula>$H178="CÉLULA CONSTRUTIVA"</formula>
    </cfRule>
    <cfRule type="expression" dxfId="3807" priority="5153">
      <formula>$H178="ETAPA"</formula>
    </cfRule>
  </conditionalFormatting>
  <conditionalFormatting sqref="L180">
    <cfRule type="expression" dxfId="3806" priority="5259">
      <formula>$H180="ETAPA"</formula>
    </cfRule>
    <cfRule type="expression" dxfId="3805" priority="5258">
      <formula>$H180="CÉLULA CONSTRUTIVA"</formula>
    </cfRule>
  </conditionalFormatting>
  <conditionalFormatting sqref="L181:L182 L43 L41 L49:L55 L112:L114 L39 L46:L47 L18:L22 L28:L30 L25:L26">
    <cfRule type="expression" dxfId="3804" priority="5281">
      <formula>$H18="CÉLULA CONSTRUTIVA"</formula>
    </cfRule>
  </conditionalFormatting>
  <conditionalFormatting sqref="L183">
    <cfRule type="expression" dxfId="3803" priority="5090">
      <formula>$H183="ETAPA"</formula>
    </cfRule>
    <cfRule type="expression" dxfId="3802" priority="5089">
      <formula>$H183="CÉLULA CONSTRUTIVA"</formula>
    </cfRule>
  </conditionalFormatting>
  <conditionalFormatting sqref="L184:L185">
    <cfRule type="expression" dxfId="3801" priority="5256">
      <formula>$H184="CÉLULA CONSTRUTIVA"</formula>
    </cfRule>
    <cfRule type="expression" dxfId="3800" priority="5257">
      <formula>$H184="ETAPA"</formula>
    </cfRule>
  </conditionalFormatting>
  <conditionalFormatting sqref="L186:L189 L194:L196 L198:L199 L222:L225 L227 L234:L236 L239 L254:L256 L278 L280 L307:L310 L343 L384:L387 L389:L395">
    <cfRule type="expression" dxfId="3799" priority="5220">
      <formula>$H186="ETAPA"</formula>
    </cfRule>
  </conditionalFormatting>
  <conditionalFormatting sqref="L190 L193">
    <cfRule type="expression" dxfId="3798" priority="4819">
      <formula>$H190="ETAPA"</formula>
    </cfRule>
    <cfRule type="expression" dxfId="3797" priority="4818">
      <formula>$H190="CÉLULA CONSTRUTIVA"</formula>
    </cfRule>
  </conditionalFormatting>
  <conditionalFormatting sqref="L191">
    <cfRule type="expression" dxfId="3796" priority="4802">
      <formula>$H191="ETAPA"</formula>
    </cfRule>
    <cfRule type="expression" dxfId="3795" priority="4801">
      <formula>$H191="CÉLULA CONSTRUTIVA"</formula>
    </cfRule>
  </conditionalFormatting>
  <conditionalFormatting sqref="L192">
    <cfRule type="expression" dxfId="3794" priority="4567">
      <formula>$H192="ETAPA"</formula>
    </cfRule>
    <cfRule type="expression" dxfId="3793" priority="4566">
      <formula>$H192="CÉLULA CONSTRUTIVA"</formula>
    </cfRule>
  </conditionalFormatting>
  <conditionalFormatting sqref="L197 L203:L205 L219 L277 L314:L316 L269 L258 L271:L275">
    <cfRule type="expression" dxfId="3792" priority="5231">
      <formula>$H197="CÉLULA CONSTRUTIVA"</formula>
    </cfRule>
  </conditionalFormatting>
  <conditionalFormatting sqref="L198:L199 L254 L256 L278 L280 L186:L189 L222:L225 L343 L194:L196 L227 L234:L236 L239 L308:L310 L389:L395 L384:L387">
    <cfRule type="expression" dxfId="3791" priority="5219">
      <formula>$H186="CÉLULA CONSTRUTIVA"</formula>
    </cfRule>
  </conditionalFormatting>
  <conditionalFormatting sqref="L200">
    <cfRule type="expression" dxfId="3790" priority="4525">
      <formula>$H200="CÉLULA CONSTRUTIVA"</formula>
    </cfRule>
    <cfRule type="expression" dxfId="3789" priority="4526">
      <formula>$H200="ETAPA"</formula>
    </cfRule>
  </conditionalFormatting>
  <conditionalFormatting sqref="L201">
    <cfRule type="expression" dxfId="3788" priority="4785">
      <formula>$H201="ETAPA"</formula>
    </cfRule>
    <cfRule type="expression" dxfId="3787" priority="4784">
      <formula>$H201="CÉLULA CONSTRUTIVA"</formula>
    </cfRule>
  </conditionalFormatting>
  <conditionalFormatting sqref="L211">
    <cfRule type="expression" dxfId="3786" priority="5199">
      <formula>$H211="ETAPA"</formula>
    </cfRule>
    <cfRule type="expression" dxfId="3785" priority="5198">
      <formula>$H211="CÉLULA CONSTRUTIVA"</formula>
    </cfRule>
  </conditionalFormatting>
  <conditionalFormatting sqref="L212">
    <cfRule type="expression" dxfId="3784" priority="5201">
      <formula>$H212="CÉLULA CONSTRUTIVA"</formula>
    </cfRule>
    <cfRule type="expression" dxfId="3783" priority="5202">
      <formula>$H212="ETAPA"</formula>
    </cfRule>
  </conditionalFormatting>
  <conditionalFormatting sqref="L214">
    <cfRule type="expression" dxfId="3782" priority="5192">
      <formula>$H214="CÉLULA CONSTRUTIVA"</formula>
    </cfRule>
    <cfRule type="expression" dxfId="3781" priority="5193">
      <formula>$H214="ETAPA"</formula>
    </cfRule>
  </conditionalFormatting>
  <conditionalFormatting sqref="L215">
    <cfRule type="expression" dxfId="3780" priority="5181">
      <formula>$H215="ETAPA"</formula>
    </cfRule>
    <cfRule type="expression" dxfId="3779" priority="5180">
      <formula>$H215="CÉLULA CONSTRUTIVA"</formula>
    </cfRule>
  </conditionalFormatting>
  <conditionalFormatting sqref="L216:L218">
    <cfRule type="expression" dxfId="3778" priority="5196">
      <formula>$H216="ETAPA"</formula>
    </cfRule>
    <cfRule type="expression" dxfId="3777" priority="5195">
      <formula>$H216="CÉLULA CONSTRUTIVA"</formula>
    </cfRule>
  </conditionalFormatting>
  <conditionalFormatting sqref="L220">
    <cfRule type="expression" dxfId="3776" priority="4583">
      <formula>$H220="CÉLULA CONSTRUTIVA"</formula>
    </cfRule>
    <cfRule type="expression" dxfId="3775" priority="4584">
      <formula>$H220="ETAPA"</formula>
    </cfRule>
  </conditionalFormatting>
  <conditionalFormatting sqref="L221">
    <cfRule type="expression" dxfId="3774" priority="4765">
      <formula>$H221="ETAPA"</formula>
    </cfRule>
    <cfRule type="expression" dxfId="3773" priority="4764">
      <formula>$H221="CÉLULA CONSTRUTIVA"</formula>
    </cfRule>
  </conditionalFormatting>
  <conditionalFormatting sqref="L226">
    <cfRule type="expression" dxfId="3772" priority="4740">
      <formula>$H226="ETAPA"</formula>
    </cfRule>
    <cfRule type="expression" dxfId="3771" priority="4739">
      <formula>$H226="CÉLULA CONSTRUTIVA"</formula>
    </cfRule>
  </conditionalFormatting>
  <conditionalFormatting sqref="L228">
    <cfRule type="expression" dxfId="3770" priority="4550">
      <formula>$H228="CÉLULA CONSTRUTIVA"</formula>
    </cfRule>
    <cfRule type="expression" dxfId="3769" priority="4551">
      <formula>$H228="ETAPA"</formula>
    </cfRule>
  </conditionalFormatting>
  <conditionalFormatting sqref="L229">
    <cfRule type="expression" dxfId="3768" priority="4487">
      <formula>$H229="CÉLULA CONSTRUTIVA"</formula>
    </cfRule>
    <cfRule type="expression" dxfId="3767" priority="4488">
      <formula>$H229="ETAPA"</formula>
    </cfRule>
  </conditionalFormatting>
  <conditionalFormatting sqref="L230">
    <cfRule type="expression" dxfId="3766" priority="4472">
      <formula>$H230="ETAPA"</formula>
    </cfRule>
    <cfRule type="expression" dxfId="3765" priority="4471">
      <formula>$H230="CÉLULA CONSTRUTIVA"</formula>
    </cfRule>
  </conditionalFormatting>
  <conditionalFormatting sqref="L231">
    <cfRule type="expression" dxfId="3764" priority="4415">
      <formula>$H231="ETAPA"</formula>
    </cfRule>
    <cfRule type="expression" dxfId="3763" priority="4414">
      <formula>$H231="CÉLULA CONSTRUTIVA"</formula>
    </cfRule>
  </conditionalFormatting>
  <conditionalFormatting sqref="L232:L233">
    <cfRule type="expression" dxfId="3762" priority="4711">
      <formula>$H232="CÉLULA CONSTRUTIVA"</formula>
    </cfRule>
    <cfRule type="expression" dxfId="3761" priority="4712">
      <formula>$H232="ETAPA"</formula>
    </cfRule>
  </conditionalFormatting>
  <conditionalFormatting sqref="L237">
    <cfRule type="expression" dxfId="3760" priority="4503">
      <formula>$H237="CÉLULA CONSTRUTIVA"</formula>
    </cfRule>
    <cfRule type="expression" dxfId="3759" priority="4504">
      <formula>$H237="ETAPA"</formula>
    </cfRule>
  </conditionalFormatting>
  <conditionalFormatting sqref="L238">
    <cfRule type="expression" dxfId="3758" priority="4506">
      <formula>$H238="CÉLULA CONSTRUTIVA"</formula>
    </cfRule>
    <cfRule type="expression" dxfId="3757" priority="4507">
      <formula>$H238="ETAPA"</formula>
    </cfRule>
  </conditionalFormatting>
  <conditionalFormatting sqref="L240">
    <cfRule type="expression" dxfId="3756" priority="5238">
      <formula>$H240="CÉLULA CONSTRUTIVA"</formula>
    </cfRule>
  </conditionalFormatting>
  <conditionalFormatting sqref="L240:L245">
    <cfRule type="expression" dxfId="3755" priority="5239">
      <formula>$H240="ETAPA"</formula>
    </cfRule>
  </conditionalFormatting>
  <conditionalFormatting sqref="L248">
    <cfRule type="expression" dxfId="3754" priority="4539">
      <formula>$H248="CÉLULA CONSTRUTIVA"</formula>
    </cfRule>
    <cfRule type="expression" dxfId="3753" priority="4540">
      <formula>$H248="ETAPA"</formula>
    </cfRule>
  </conditionalFormatting>
  <conditionalFormatting sqref="L252">
    <cfRule type="expression" dxfId="3752" priority="4464">
      <formula>$H252="ETAPA"</formula>
    </cfRule>
    <cfRule type="expression" dxfId="3751" priority="4449">
      <formula>$H252="CÉLULA CONSTRUTIVA"</formula>
    </cfRule>
  </conditionalFormatting>
  <conditionalFormatting sqref="L257">
    <cfRule type="expression" dxfId="3750" priority="5178">
      <formula>$H257="CÉLULA CONSTRUTIVA"</formula>
    </cfRule>
  </conditionalFormatting>
  <conditionalFormatting sqref="L259">
    <cfRule type="expression" dxfId="3749" priority="4364">
      <formula>$H259="CÉLULA CONSTRUTIVA"</formula>
    </cfRule>
  </conditionalFormatting>
  <conditionalFormatting sqref="L259:L260">
    <cfRule type="expression" dxfId="3748" priority="4365">
      <formula>$H259="ETAPA"</formula>
    </cfRule>
  </conditionalFormatting>
  <conditionalFormatting sqref="L264">
    <cfRule type="expression" dxfId="3747" priority="5186">
      <formula>$H264="CÉLULA CONSTRUTIVA"</formula>
    </cfRule>
  </conditionalFormatting>
  <conditionalFormatting sqref="L265 L268">
    <cfRule type="expression" dxfId="3746" priority="5226">
      <formula>$H265="CÉLULA CONSTRUTIVA"</formula>
    </cfRule>
  </conditionalFormatting>
  <conditionalFormatting sqref="L270">
    <cfRule type="expression" dxfId="3745" priority="5047">
      <formula>$H270="CÉLULA CONSTRUTIVA"</formula>
    </cfRule>
    <cfRule type="expression" dxfId="3744" priority="5048">
      <formula>$H270="ETAPA"</formula>
    </cfRule>
  </conditionalFormatting>
  <conditionalFormatting sqref="L279">
    <cfRule type="expression" dxfId="3743" priority="5044">
      <formula>$H279="CÉLULA CONSTRUTIVA"</formula>
    </cfRule>
    <cfRule type="expression" dxfId="3742" priority="5045">
      <formula>$H279="ETAPA"</formula>
    </cfRule>
  </conditionalFormatting>
  <conditionalFormatting sqref="L281">
    <cfRule type="expression" dxfId="3741" priority="5029">
      <formula>$H281="CÉLULA CONSTRUTIVA"</formula>
    </cfRule>
    <cfRule type="expression" dxfId="3740" priority="5030">
      <formula>$H281="ETAPA"</formula>
    </cfRule>
  </conditionalFormatting>
  <conditionalFormatting sqref="L283">
    <cfRule type="expression" dxfId="3739" priority="1698">
      <formula>$H283="CÉLULA CONSTRUTIVA"</formula>
    </cfRule>
    <cfRule type="expression" dxfId="3738" priority="1699">
      <formula>$H283="ETAPA"</formula>
    </cfRule>
    <cfRule type="expression" dxfId="3737" priority="1697">
      <formula>$H283="SUBETAPA"</formula>
    </cfRule>
  </conditionalFormatting>
  <conditionalFormatting sqref="L285">
    <cfRule type="expression" dxfId="3736" priority="5042">
      <formula>$H285="ETAPA"</formula>
    </cfRule>
    <cfRule type="expression" dxfId="3735" priority="5041">
      <formula>$H285="CÉLULA CONSTRUTIVA"</formula>
    </cfRule>
  </conditionalFormatting>
  <conditionalFormatting sqref="L293:L294">
    <cfRule type="expression" dxfId="3734" priority="5038">
      <formula>$H293="CÉLULA CONSTRUTIVA"</formula>
    </cfRule>
    <cfRule type="expression" dxfId="3733" priority="5039">
      <formula>$H293="ETAPA"</formula>
    </cfRule>
  </conditionalFormatting>
  <conditionalFormatting sqref="L302">
    <cfRule type="expression" dxfId="3732" priority="5122">
      <formula>$H302="CÉLULA CONSTRUTIVA"</formula>
    </cfRule>
    <cfRule type="expression" dxfId="3731" priority="5123">
      <formula>$H302="ETAPA"</formula>
    </cfRule>
  </conditionalFormatting>
  <conditionalFormatting sqref="L308:L318">
    <cfRule type="expression" dxfId="3730" priority="5031">
      <formula>$H308="SUBETAPA"</formula>
    </cfRule>
  </conditionalFormatting>
  <conditionalFormatting sqref="L311">
    <cfRule type="expression" dxfId="3729" priority="5033">
      <formula>$H311="ETAPA"</formula>
    </cfRule>
    <cfRule type="expression" dxfId="3728" priority="5032">
      <formula>$H311="CÉLULA CONSTRUTIVA"</formula>
    </cfRule>
  </conditionalFormatting>
  <conditionalFormatting sqref="L312:L313">
    <cfRule type="expression" dxfId="3727" priority="5169">
      <formula>$H312="CÉLULA CONSTRUTIVA"</formula>
    </cfRule>
    <cfRule type="expression" dxfId="3726" priority="5170">
      <formula>$H312="ETAPA"</formula>
    </cfRule>
  </conditionalFormatting>
  <conditionalFormatting sqref="L317:L318">
    <cfRule type="expression" dxfId="3725" priority="5161">
      <formula>$H317="ETAPA"</formula>
    </cfRule>
    <cfRule type="expression" dxfId="3724" priority="5160">
      <formula>$H317="CÉLULA CONSTRUTIVA"</formula>
    </cfRule>
  </conditionalFormatting>
  <conditionalFormatting sqref="L324">
    <cfRule type="expression" dxfId="3723" priority="4165">
      <formula>$H324="ETAPA"</formula>
    </cfRule>
    <cfRule type="expression" dxfId="3722" priority="4164">
      <formula>$H324="CÉLULA CONSTRUTIVA"</formula>
    </cfRule>
  </conditionalFormatting>
  <conditionalFormatting sqref="L325:L326">
    <cfRule type="expression" dxfId="3721" priority="4162">
      <formula>$H325="ETAPA"</formula>
    </cfRule>
    <cfRule type="expression" dxfId="3720" priority="4161">
      <formula>$H325="CÉLULA CONSTRUTIVA"</formula>
    </cfRule>
  </conditionalFormatting>
  <conditionalFormatting sqref="L340:L341">
    <cfRule type="expression" dxfId="3719" priority="5021">
      <formula>$H340="ETAPA"</formula>
    </cfRule>
    <cfRule type="expression" dxfId="3718" priority="5020">
      <formula>$H340="CÉLULA CONSTRUTIVA"</formula>
    </cfRule>
  </conditionalFormatting>
  <conditionalFormatting sqref="L342">
    <cfRule type="expression" dxfId="3717" priority="5024">
      <formula>$H342="ETAPA"</formula>
    </cfRule>
    <cfRule type="expression" dxfId="3716" priority="5023">
      <formula>$H342="CÉLULA CONSTRUTIVA"</formula>
    </cfRule>
  </conditionalFormatting>
  <conditionalFormatting sqref="L344">
    <cfRule type="expression" dxfId="3715" priority="1019">
      <formula>$H344="ETAPA"</formula>
    </cfRule>
    <cfRule type="expression" dxfId="3714" priority="1018">
      <formula>$H344="CÉLULA CONSTRUTIVA"</formula>
    </cfRule>
    <cfRule type="expression" dxfId="3713" priority="1017">
      <formula>$H344="SUBETAPA"</formula>
    </cfRule>
  </conditionalFormatting>
  <conditionalFormatting sqref="L346">
    <cfRule type="expression" dxfId="3712" priority="59">
      <formula>$H346="CÉLULA CONSTRUTIVA"</formula>
    </cfRule>
    <cfRule type="expression" dxfId="3711" priority="58">
      <formula>$H346="SUBETAPA"</formula>
    </cfRule>
    <cfRule type="expression" dxfId="3710" priority="60">
      <formula>$H346="ETAPA"</formula>
    </cfRule>
  </conditionalFormatting>
  <conditionalFormatting sqref="L347">
    <cfRule type="expression" dxfId="3709" priority="61">
      <formula>$H347="SUBETAPA"</formula>
    </cfRule>
    <cfRule type="expression" dxfId="3708" priority="62">
      <formula>$H347="CÉLULA CONSTRUTIVA"</formula>
    </cfRule>
    <cfRule type="expression" dxfId="3707" priority="63">
      <formula>$H347="ETAPA"</formula>
    </cfRule>
  </conditionalFormatting>
  <conditionalFormatting sqref="L348">
    <cfRule type="expression" dxfId="3706" priority="1641">
      <formula>$H348="CÉLULA CONSTRUTIVA"</formula>
    </cfRule>
    <cfRule type="expression" dxfId="3705" priority="1642">
      <formula>$H348="ETAPA"</formula>
    </cfRule>
    <cfRule type="expression" dxfId="3704" priority="1640">
      <formula>$H348="SUBETAPA"</formula>
    </cfRule>
  </conditionalFormatting>
  <conditionalFormatting sqref="L349">
    <cfRule type="expression" dxfId="3703" priority="5215">
      <formula>$H349="CÉLULA CONSTRUTIVA"</formula>
    </cfRule>
  </conditionalFormatting>
  <conditionalFormatting sqref="L350">
    <cfRule type="expression" dxfId="3702" priority="5017">
      <formula>$H350="CÉLULA CONSTRUTIVA"</formula>
    </cfRule>
    <cfRule type="expression" dxfId="3701" priority="5018">
      <formula>$H350="ETAPA"</formula>
    </cfRule>
  </conditionalFormatting>
  <conditionalFormatting sqref="L351">
    <cfRule type="expression" dxfId="3700" priority="5015">
      <formula>$H351="ETAPA"</formula>
    </cfRule>
    <cfRule type="expression" dxfId="3699" priority="5014">
      <formula>$H351="CÉLULA CONSTRUTIVA"</formula>
    </cfRule>
  </conditionalFormatting>
  <conditionalFormatting sqref="L352">
    <cfRule type="expression" dxfId="3698" priority="5012">
      <formula>$H352="ETAPA"</formula>
    </cfRule>
    <cfRule type="expression" dxfId="3697" priority="5011">
      <formula>$H352="CÉLULA CONSTRUTIVA"</formula>
    </cfRule>
  </conditionalFormatting>
  <conditionalFormatting sqref="L353">
    <cfRule type="expression" dxfId="3696" priority="4654">
      <formula>$H353="ETAPA"</formula>
    </cfRule>
    <cfRule type="expression" dxfId="3695" priority="4653">
      <formula>$H353="CÉLULA CONSTRUTIVA"</formula>
    </cfRule>
  </conditionalFormatting>
  <conditionalFormatting sqref="L354:L357">
    <cfRule type="expression" dxfId="3694" priority="4651">
      <formula>$H354="ETAPA"</formula>
    </cfRule>
    <cfRule type="expression" dxfId="3693" priority="4650">
      <formula>$H354="CÉLULA CONSTRUTIVA"</formula>
    </cfRule>
  </conditionalFormatting>
  <conditionalFormatting sqref="L358">
    <cfRule type="expression" dxfId="3692" priority="5213">
      <formula>$H358="CÉLULA CONSTRUTIVA"</formula>
    </cfRule>
  </conditionalFormatting>
  <conditionalFormatting sqref="L359">
    <cfRule type="expression" dxfId="3691" priority="5009">
      <formula>$H359="ETAPA"</formula>
    </cfRule>
    <cfRule type="expression" dxfId="3690" priority="5008">
      <formula>$H359="CÉLULA CONSTRUTIVA"</formula>
    </cfRule>
  </conditionalFormatting>
  <conditionalFormatting sqref="L360">
    <cfRule type="expression" dxfId="3689" priority="4330">
      <formula>$H360="CÉLULA CONSTRUTIVA"</formula>
    </cfRule>
    <cfRule type="expression" dxfId="3688" priority="4331">
      <formula>$H360="ETAPA"</formula>
    </cfRule>
  </conditionalFormatting>
  <conditionalFormatting sqref="L361:L364">
    <cfRule type="expression" dxfId="3687" priority="5005">
      <formula>$H361="CÉLULA CONSTRUTIVA"</formula>
    </cfRule>
    <cfRule type="expression" dxfId="3686" priority="5006">
      <formula>$H361="ETAPA"</formula>
    </cfRule>
  </conditionalFormatting>
  <conditionalFormatting sqref="L383">
    <cfRule type="expression" dxfId="3685" priority="2390">
      <formula>$H383="SUBETAPA"</formula>
    </cfRule>
    <cfRule type="expression" dxfId="3684" priority="2391">
      <formula>$H383="CÉLULA CONSTRUTIVA"</formula>
    </cfRule>
    <cfRule type="expression" dxfId="3683" priority="2392">
      <formula>$H383="ETAPA"</formula>
    </cfRule>
  </conditionalFormatting>
  <conditionalFormatting sqref="L388">
    <cfRule type="expression" dxfId="3682" priority="4257">
      <formula>$H388="CÉLULA CONSTRUTIVA"</formula>
    </cfRule>
    <cfRule type="expression" dxfId="3681" priority="4258">
      <formula>$H388="ETAPA"</formula>
    </cfRule>
  </conditionalFormatting>
  <conditionalFormatting sqref="L246:M247">
    <cfRule type="expression" dxfId="3680" priority="313">
      <formula>$H246="ETAPA"</formula>
    </cfRule>
  </conditionalFormatting>
  <conditionalFormatting sqref="M8:M9 M12:M14">
    <cfRule type="expression" dxfId="3679" priority="521">
      <formula>$H8="ETAPA"</formula>
    </cfRule>
    <cfRule type="expression" dxfId="3678" priority="520">
      <formula>$H8="CÉLULA CONSTRUTIVA"</formula>
    </cfRule>
    <cfRule type="expression" dxfId="3677" priority="519">
      <formula>$H8="SUBETAPA"</formula>
    </cfRule>
  </conditionalFormatting>
  <conditionalFormatting sqref="M10:M11">
    <cfRule type="expression" dxfId="3676" priority="459">
      <formula>$H10="SUBETAPA"</formula>
    </cfRule>
    <cfRule type="expression" dxfId="3675" priority="460">
      <formula>$H10="CÉLULA CONSTRUTIVA"</formula>
    </cfRule>
    <cfRule type="expression" dxfId="3674" priority="461">
      <formula>$H10="ETAPA"</formula>
    </cfRule>
  </conditionalFormatting>
  <conditionalFormatting sqref="M15 M186:M189 M194:M196 M198:M199 M201 M206:M210 M222:M225 M227 M234:M236 M239 M251:M254 M256 M278 M280 M286 M288:M290 M308:M310 M335:M339 M343 M365:M368 M370 M376:M382 M384:M387 M389:M395">
    <cfRule type="expression" dxfId="3673" priority="508">
      <formula>$H15="ETAPA"</formula>
    </cfRule>
  </conditionalFormatting>
  <conditionalFormatting sqref="M16 M33:M37 M157:M160 M166:M167">
    <cfRule type="expression" dxfId="3672" priority="531">
      <formula>$H16="ETAPA"</formula>
    </cfRule>
  </conditionalFormatting>
  <conditionalFormatting sqref="M17:M22 M25:M26 M28:M30 M39 M41 M43 M46:M47 M49:M56 M112:M114 M116:M117 M152:M156 M168 M181:M182 M369 M202:M205 M213 M219 M249 M251 M253 M257:M258 M260:M277 M284 M291:M292 M295:M296 M299:M301 M303:M305 M307 M314:M316 M349 M358 M82">
    <cfRule type="expression" dxfId="3671" priority="541">
      <formula>$H17="ETAPA"</formula>
    </cfRule>
  </conditionalFormatting>
  <conditionalFormatting sqref="M23">
    <cfRule type="expression" dxfId="3670" priority="388">
      <formula>$H23="ETAPA"</formula>
    </cfRule>
    <cfRule type="expression" dxfId="3669" priority="387">
      <formula>$H23="CÉLULA CONSTRUTIVA"</formula>
    </cfRule>
    <cfRule type="expression" dxfId="3668" priority="386">
      <formula>$H23="SUBETAPA"</formula>
    </cfRule>
  </conditionalFormatting>
  <conditionalFormatting sqref="M24">
    <cfRule type="expression" dxfId="3667" priority="379">
      <formula>$H24="ETAPA"</formula>
    </cfRule>
    <cfRule type="expression" dxfId="3666" priority="378">
      <formula>$H24="CÉLULA CONSTRUTIVA"</formula>
    </cfRule>
    <cfRule type="expression" dxfId="3665" priority="377">
      <formula>$H24="SUBETAPA"</formula>
    </cfRule>
  </conditionalFormatting>
  <conditionalFormatting sqref="M25:M26 M39 M41 M43 M28:M30 M168 M369 M17:M22 M49:M56 M112:M117 M152:M156 M181:M182 M46:M47">
    <cfRule type="expression" dxfId="3664" priority="540">
      <formula>$H17="CÉLULA CONSTRUTIVA"</formula>
    </cfRule>
  </conditionalFormatting>
  <conditionalFormatting sqref="M27">
    <cfRule type="expression" dxfId="3663" priority="413">
      <formula>$H27="ETAPA"</formula>
    </cfRule>
    <cfRule type="expression" dxfId="3662" priority="412">
      <formula>$H27="CÉLULA CONSTRUTIVA"</formula>
    </cfRule>
    <cfRule type="expression" dxfId="3661" priority="411">
      <formula>$H27="SUBETAPA"</formula>
    </cfRule>
  </conditionalFormatting>
  <conditionalFormatting sqref="M31:M32">
    <cfRule type="expression" dxfId="3660" priority="420">
      <formula>$H31="SUBETAPA"</formula>
    </cfRule>
    <cfRule type="expression" dxfId="3659" priority="422">
      <formula>$H31="ETAPA"</formula>
    </cfRule>
    <cfRule type="expression" dxfId="3658" priority="421">
      <formula>$H31="CÉLULA CONSTRUTIVA"</formula>
    </cfRule>
  </conditionalFormatting>
  <conditionalFormatting sqref="M33:M37 M25:M26 M39 M41 M43 M180 M105:M107 M66 M28:M30 M103 M369 M49:M56 M109:M117 M166:M174 M152:M160 M162:M163 M16:M22 M46:M47">
    <cfRule type="expression" dxfId="3657" priority="522">
      <formula>$H16="SUBETAPA"</formula>
    </cfRule>
  </conditionalFormatting>
  <conditionalFormatting sqref="M33:M37 M166:M167 M157:M160 M16">
    <cfRule type="expression" dxfId="3656" priority="530">
      <formula>$H16="CÉLULA CONSTRUTIVA"</formula>
    </cfRule>
  </conditionalFormatting>
  <conditionalFormatting sqref="M38">
    <cfRule type="expression" dxfId="3655" priority="419">
      <formula>$H38="ETAPA"</formula>
    </cfRule>
    <cfRule type="expression" dxfId="3654" priority="418">
      <formula>$H38="CÉLULA CONSTRUTIVA"</formula>
    </cfRule>
    <cfRule type="expression" dxfId="3653" priority="417">
      <formula>$H38="SUBETAPA"</formula>
    </cfRule>
  </conditionalFormatting>
  <conditionalFormatting sqref="M40">
    <cfRule type="expression" dxfId="3652" priority="384">
      <formula>$H40="CÉLULA CONSTRUTIVA"</formula>
    </cfRule>
    <cfRule type="expression" dxfId="3651" priority="385">
      <formula>$H40="ETAPA"</formula>
    </cfRule>
    <cfRule type="expression" dxfId="3650" priority="383">
      <formula>$H40="SUBETAPA"</formula>
    </cfRule>
  </conditionalFormatting>
  <conditionalFormatting sqref="M42">
    <cfRule type="expression" dxfId="3649" priority="381">
      <formula>$H42="CÉLULA CONSTRUTIVA"</formula>
    </cfRule>
    <cfRule type="expression" dxfId="3648" priority="382">
      <formula>$H42="ETAPA"</formula>
    </cfRule>
    <cfRule type="expression" dxfId="3647" priority="380">
      <formula>$H42="SUBETAPA"</formula>
    </cfRule>
  </conditionalFormatting>
  <conditionalFormatting sqref="M44">
    <cfRule type="expression" dxfId="3646" priority="414">
      <formula>$H44="SUBETAPA"</formula>
    </cfRule>
    <cfRule type="expression" dxfId="3645" priority="416">
      <formula>$H44="ETAPA"</formula>
    </cfRule>
    <cfRule type="expression" dxfId="3644" priority="415">
      <formula>$H44="CÉLULA CONSTRUTIVA"</formula>
    </cfRule>
  </conditionalFormatting>
  <conditionalFormatting sqref="M45">
    <cfRule type="expression" dxfId="3643" priority="352">
      <formula>$H45="ETAPA"</formula>
    </cfRule>
    <cfRule type="expression" dxfId="3642" priority="350">
      <formula>$H45="SUBETAPA"</formula>
    </cfRule>
    <cfRule type="expression" dxfId="3641" priority="351">
      <formula>$H45="CÉLULA CONSTRUTIVA"</formula>
    </cfRule>
  </conditionalFormatting>
  <conditionalFormatting sqref="M48">
    <cfRule type="expression" dxfId="3640" priority="445">
      <formula>$H48="CÉLULA CONSTRUTIVA"</formula>
    </cfRule>
    <cfRule type="expression" dxfId="3639" priority="444">
      <formula>$H48="SUBETAPA"</formula>
    </cfRule>
    <cfRule type="expression" dxfId="3638" priority="446">
      <formula>$H48="ETAPA"</formula>
    </cfRule>
  </conditionalFormatting>
  <conditionalFormatting sqref="M57">
    <cfRule type="expression" dxfId="3637" priority="408">
      <formula>$H57="SUBETAPA"</formula>
    </cfRule>
    <cfRule type="expression" dxfId="3636" priority="407">
      <formula>$H57="ETAPA"</formula>
    </cfRule>
    <cfRule type="expression" dxfId="3635" priority="410">
      <formula>$H57="ETAPA"</formula>
    </cfRule>
    <cfRule type="expression" dxfId="3634" priority="409">
      <formula>$H57="CÉLULA CONSTRUTIVA"</formula>
    </cfRule>
  </conditionalFormatting>
  <conditionalFormatting sqref="M58">
    <cfRule type="expression" dxfId="3633" priority="518">
      <formula>$H58="ETAPA"</formula>
    </cfRule>
  </conditionalFormatting>
  <conditionalFormatting sqref="M60:M66">
    <cfRule type="expression" dxfId="3632" priority="524">
      <formula>$H60="ETAPA"</formula>
    </cfRule>
  </conditionalFormatting>
  <conditionalFormatting sqref="M66">
    <cfRule type="expression" dxfId="3631" priority="523">
      <formula>$H66="CÉLULA CONSTRUTIVA"</formula>
    </cfRule>
  </conditionalFormatting>
  <conditionalFormatting sqref="M67:M68">
    <cfRule type="expression" dxfId="3630" priority="404">
      <formula>$H67="ETAPA"</formula>
    </cfRule>
    <cfRule type="expression" dxfId="3629" priority="403">
      <formula>$H67="CÉLULA CONSTRUTIVA"</formula>
    </cfRule>
  </conditionalFormatting>
  <conditionalFormatting sqref="M67:M70">
    <cfRule type="expression" dxfId="3628" priority="402">
      <formula>$H67="SUBETAPA"</formula>
    </cfRule>
  </conditionalFormatting>
  <conditionalFormatting sqref="M69">
    <cfRule type="expression" dxfId="3627" priority="401">
      <formula>$H69="ETAPA"</formula>
    </cfRule>
    <cfRule type="expression" dxfId="3626" priority="400">
      <formula>$H69="CÉLULA CONSTRUTIVA"</formula>
    </cfRule>
  </conditionalFormatting>
  <conditionalFormatting sqref="M70">
    <cfRule type="expression" dxfId="3625" priority="405">
      <formula>$H70="CÉLULA CONSTRUTIVA"</formula>
    </cfRule>
  </conditionalFormatting>
  <conditionalFormatting sqref="M70:M72 M77 M85:M89 M93:M94">
    <cfRule type="expression" dxfId="3624" priority="406">
      <formula>$H70="ETAPA"</formula>
    </cfRule>
  </conditionalFormatting>
  <conditionalFormatting sqref="M73">
    <cfRule type="expression" dxfId="3623" priority="187">
      <formula>$H73="SUBETAPA"</formula>
    </cfRule>
    <cfRule type="expression" dxfId="3622" priority="189">
      <formula>$H73="ETAPA"</formula>
    </cfRule>
    <cfRule type="expression" dxfId="3621" priority="188">
      <formula>$H73="CÉLULA CONSTRUTIVA"</formula>
    </cfRule>
  </conditionalFormatting>
  <conditionalFormatting sqref="M74">
    <cfRule type="expression" dxfId="3620" priority="186">
      <formula>$H74="ETAPA"</formula>
    </cfRule>
    <cfRule type="expression" dxfId="3619" priority="185">
      <formula>$H74="CÉLULA CONSTRUTIVA"</formula>
    </cfRule>
    <cfRule type="expression" dxfId="3618" priority="184">
      <formula>$H74="SUBETAPA"</formula>
    </cfRule>
  </conditionalFormatting>
  <conditionalFormatting sqref="M75">
    <cfRule type="expression" dxfId="3617" priority="175">
      <formula>$H75="SUBETAPA"</formula>
    </cfRule>
    <cfRule type="expression" dxfId="3616" priority="176">
      <formula>$H75="CÉLULA CONSTRUTIVA"</formula>
    </cfRule>
    <cfRule type="expression" dxfId="3615" priority="177">
      <formula>$H75="ETAPA"</formula>
    </cfRule>
  </conditionalFormatting>
  <conditionalFormatting sqref="M76">
    <cfRule type="expression" dxfId="3614" priority="172">
      <formula>$H76="SUBETAPA"</formula>
    </cfRule>
    <cfRule type="expression" dxfId="3613" priority="173">
      <formula>$H76="CÉLULA CONSTRUTIVA"</formula>
    </cfRule>
    <cfRule type="expression" dxfId="3612" priority="174">
      <formula>$H76="ETAPA"</formula>
    </cfRule>
  </conditionalFormatting>
  <conditionalFormatting sqref="M78">
    <cfRule type="expression" dxfId="3611" priority="190">
      <formula>$H78="SUBETAPA"</formula>
    </cfRule>
    <cfRule type="expression" dxfId="3610" priority="191">
      <formula>$H78="CÉLULA CONSTRUTIVA"</formula>
    </cfRule>
    <cfRule type="expression" dxfId="3609" priority="192">
      <formula>$H78="ETAPA"</formula>
    </cfRule>
  </conditionalFormatting>
  <conditionalFormatting sqref="M79">
    <cfRule type="expression" dxfId="3608" priority="170">
      <formula>$H79="CÉLULA CONSTRUTIVA"</formula>
    </cfRule>
    <cfRule type="expression" dxfId="3607" priority="169">
      <formula>$H79="SUBETAPA"</formula>
    </cfRule>
    <cfRule type="expression" dxfId="3606" priority="171">
      <formula>$H79="ETAPA"</formula>
    </cfRule>
  </conditionalFormatting>
  <conditionalFormatting sqref="M80">
    <cfRule type="expression" dxfId="3605" priority="167">
      <formula>$H80="CÉLULA CONSTRUTIVA"</formula>
    </cfRule>
    <cfRule type="expression" dxfId="3604" priority="166">
      <formula>$H80="SUBETAPA"</formula>
    </cfRule>
    <cfRule type="expression" dxfId="3603" priority="168">
      <formula>$H80="ETAPA"</formula>
    </cfRule>
  </conditionalFormatting>
  <conditionalFormatting sqref="M81 M89:M91 M93">
    <cfRule type="expression" dxfId="3602" priority="395">
      <formula>$H81="SUBETAPA"</formula>
    </cfRule>
    <cfRule type="expression" dxfId="3601" priority="396">
      <formula>$H81="CÉLULA CONSTRUTIVA"</formula>
    </cfRule>
  </conditionalFormatting>
  <conditionalFormatting sqref="M81 M90:M91">
    <cfRule type="expression" dxfId="3600" priority="397">
      <formula>$H81="ETAPA"</formula>
    </cfRule>
  </conditionalFormatting>
  <conditionalFormatting sqref="M82 M77 M71:M72 M85:M88 M94">
    <cfRule type="expression" dxfId="3599" priority="398">
      <formula>$H71="SUBETAPA"</formula>
    </cfRule>
    <cfRule type="expression" dxfId="3598" priority="399">
      <formula>$H71="CÉLULA CONSTRUTIVA"</formula>
    </cfRule>
  </conditionalFormatting>
  <conditionalFormatting sqref="M83">
    <cfRule type="expression" dxfId="3597" priority="180">
      <formula>$H83="ETAPA"</formula>
    </cfRule>
    <cfRule type="expression" dxfId="3596" priority="179">
      <formula>$H83="CÉLULA CONSTRUTIVA"</formula>
    </cfRule>
    <cfRule type="expression" dxfId="3595" priority="178">
      <formula>$H83="SUBETAPA"</formula>
    </cfRule>
  </conditionalFormatting>
  <conditionalFormatting sqref="M84">
    <cfRule type="expression" dxfId="3594" priority="183">
      <formula>$H84="ETAPA"</formula>
    </cfRule>
    <cfRule type="expression" dxfId="3593" priority="182">
      <formula>$H84="CÉLULA CONSTRUTIVA"</formula>
    </cfRule>
    <cfRule type="expression" dxfId="3592" priority="181">
      <formula>$H84="SUBETAPA"</formula>
    </cfRule>
  </conditionalFormatting>
  <conditionalFormatting sqref="M92">
    <cfRule type="expression" dxfId="3591" priority="391">
      <formula>$H92="ETAPA"</formula>
    </cfRule>
    <cfRule type="expression" dxfId="3590" priority="390">
      <formula>$H92="CÉLULA CONSTRUTIVA"</formula>
    </cfRule>
    <cfRule type="expression" dxfId="3589" priority="389">
      <formula>$H92="SUBETAPA"</formula>
    </cfRule>
  </conditionalFormatting>
  <conditionalFormatting sqref="M95">
    <cfRule type="expression" dxfId="3588" priority="165">
      <formula>$H95="ETAPA"</formula>
    </cfRule>
    <cfRule type="expression" dxfId="3587" priority="163">
      <formula>$H95="SUBETAPA"</formula>
    </cfRule>
    <cfRule type="expression" dxfId="3586" priority="164">
      <formula>$H95="CÉLULA CONSTRUTIVA"</formula>
    </cfRule>
  </conditionalFormatting>
  <conditionalFormatting sqref="M96">
    <cfRule type="expression" dxfId="3585" priority="392">
      <formula>$H96="SUBETAPA"</formula>
    </cfRule>
    <cfRule type="expression" dxfId="3584" priority="393">
      <formula>$H96="CÉLULA CONSTRUTIVA"</formula>
    </cfRule>
    <cfRule type="expression" dxfId="3583" priority="394">
      <formula>$H96="ETAPA"</formula>
    </cfRule>
  </conditionalFormatting>
  <conditionalFormatting sqref="M97:M100 M102">
    <cfRule type="expression" dxfId="3582" priority="481">
      <formula>$H97="ETAPA"</formula>
    </cfRule>
  </conditionalFormatting>
  <conditionalFormatting sqref="M101">
    <cfRule type="expression" dxfId="3581" priority="210">
      <formula>$H101="ETAPA"</formula>
    </cfRule>
    <cfRule type="expression" dxfId="3580" priority="209">
      <formula>$H101="CÉLULA CONSTRUTIVA"</formula>
    </cfRule>
    <cfRule type="expression" dxfId="3579" priority="208">
      <formula>$H101="SUBETAPA"</formula>
    </cfRule>
  </conditionalFormatting>
  <conditionalFormatting sqref="M102 M97:M100">
    <cfRule type="expression" dxfId="3578" priority="479">
      <formula>$H97="SUBETAPA"</formula>
    </cfRule>
    <cfRule type="expression" dxfId="3577" priority="480">
      <formula>$H97="CÉLULA CONSTRUTIVA"</formula>
    </cfRule>
  </conditionalFormatting>
  <conditionalFormatting sqref="M103 M105:M107 M109:M111 M122:M130 M169:M174 M115">
    <cfRule type="expression" dxfId="3576" priority="533">
      <formula>$H103="ETAPA"</formula>
    </cfRule>
  </conditionalFormatting>
  <conditionalFormatting sqref="M104">
    <cfRule type="expression" dxfId="3575" priority="207">
      <formula>$H104="ETAPA"</formula>
    </cfRule>
    <cfRule type="expression" dxfId="3574" priority="205">
      <formula>$H104="SUBETAPA"</formula>
    </cfRule>
    <cfRule type="expression" dxfId="3573" priority="206">
      <formula>$H104="CÉLULA CONSTRUTIVA"</formula>
    </cfRule>
  </conditionalFormatting>
  <conditionalFormatting sqref="M108">
    <cfRule type="expression" dxfId="3572" priority="204">
      <formula>$H108="ETAPA"</formula>
    </cfRule>
    <cfRule type="expression" dxfId="3571" priority="202">
      <formula>$H108="SUBETAPA"</formula>
    </cfRule>
    <cfRule type="expression" dxfId="3570" priority="203">
      <formula>$H108="CÉLULA CONSTRUTIVA"</formula>
    </cfRule>
  </conditionalFormatting>
  <conditionalFormatting sqref="M118:M119 M109:M111 M103 M105:M107 M122:M128 M169:M174">
    <cfRule type="expression" dxfId="3569" priority="532">
      <formula>$H103="CÉLULA CONSTRUTIVA"</formula>
    </cfRule>
  </conditionalFormatting>
  <conditionalFormatting sqref="M118:M119">
    <cfRule type="expression" dxfId="3568" priority="535">
      <formula>$H118="ETAPA"</formula>
    </cfRule>
  </conditionalFormatting>
  <conditionalFormatting sqref="M118:M130">
    <cfRule type="expression" dxfId="3567" priority="496">
      <formula>$H118="SUBETAPA"</formula>
    </cfRule>
  </conditionalFormatting>
  <conditionalFormatting sqref="M120">
    <cfRule type="expression" dxfId="3566" priority="497">
      <formula>$H120="CÉLULA CONSTRUTIVA"</formula>
    </cfRule>
    <cfRule type="expression" dxfId="3565" priority="498">
      <formula>$H120="ETAPA"</formula>
    </cfRule>
  </conditionalFormatting>
  <conditionalFormatting sqref="M121">
    <cfRule type="expression" dxfId="3564" priority="499">
      <formula>$H121="CÉLULA CONSTRUTIVA"</formula>
    </cfRule>
    <cfRule type="expression" dxfId="3563" priority="500">
      <formula>$H121="ETAPA"</formula>
    </cfRule>
  </conditionalFormatting>
  <conditionalFormatting sqref="M129:M130">
    <cfRule type="expression" dxfId="3562" priority="501">
      <formula>$H129="CÉLULA CONSTRUTIVA"</formula>
    </cfRule>
  </conditionalFormatting>
  <conditionalFormatting sqref="M131">
    <cfRule type="expression" dxfId="3561" priority="219">
      <formula>$H131="ETAPA"</formula>
    </cfRule>
    <cfRule type="expression" dxfId="3560" priority="218">
      <formula>$H131="CÉLULA CONSTRUTIVA"</formula>
    </cfRule>
    <cfRule type="expression" dxfId="3559" priority="217">
      <formula>$H131="SUBETAPA"</formula>
    </cfRule>
  </conditionalFormatting>
  <conditionalFormatting sqref="M132">
    <cfRule type="expression" dxfId="3558" priority="236">
      <formula>$H132="CÉLULA CONSTRUTIVA"</formula>
    </cfRule>
    <cfRule type="expression" dxfId="3557" priority="235">
      <formula>$H132="SUBETAPA"</formula>
    </cfRule>
    <cfRule type="expression" dxfId="3556" priority="237">
      <formula>$H132="ETAPA"</formula>
    </cfRule>
  </conditionalFormatting>
  <conditionalFormatting sqref="M133">
    <cfRule type="expression" dxfId="3555" priority="234">
      <formula>$H133="ETAPA"</formula>
    </cfRule>
    <cfRule type="expression" dxfId="3554" priority="233">
      <formula>$H133="CÉLULA CONSTRUTIVA"</formula>
    </cfRule>
    <cfRule type="expression" dxfId="3553" priority="232">
      <formula>$H133="SUBETAPA"</formula>
    </cfRule>
  </conditionalFormatting>
  <conditionalFormatting sqref="M134">
    <cfRule type="expression" dxfId="3552" priority="231">
      <formula>$H134="ETAPA"</formula>
    </cfRule>
    <cfRule type="expression" dxfId="3551" priority="229">
      <formula>$H134="SUBETAPA"</formula>
    </cfRule>
    <cfRule type="expression" dxfId="3550" priority="230">
      <formula>$H134="CÉLULA CONSTRUTIVA"</formula>
    </cfRule>
  </conditionalFormatting>
  <conditionalFormatting sqref="M135">
    <cfRule type="expression" dxfId="3549" priority="450">
      <formula>$H135="SUBETAPA"</formula>
    </cfRule>
    <cfRule type="expression" dxfId="3548" priority="452">
      <formula>$H135="ETAPA"</formula>
    </cfRule>
    <cfRule type="expression" dxfId="3547" priority="451">
      <formula>$H135="CÉLULA CONSTRUTIVA"</formula>
    </cfRule>
  </conditionalFormatting>
  <conditionalFormatting sqref="M136:M137">
    <cfRule type="expression" dxfId="3546" priority="227">
      <formula>$H136="CÉLULA CONSTRUTIVA"</formula>
    </cfRule>
    <cfRule type="expression" dxfId="3545" priority="226">
      <formula>$H136="SUBETAPA"</formula>
    </cfRule>
    <cfRule type="expression" dxfId="3544" priority="228">
      <formula>$H136="ETAPA"</formula>
    </cfRule>
  </conditionalFormatting>
  <conditionalFormatting sqref="M138">
    <cfRule type="expression" dxfId="3543" priority="454">
      <formula>$H138="CÉLULA CONSTRUTIVA"</formula>
    </cfRule>
    <cfRule type="expression" dxfId="3542" priority="455">
      <formula>$H138="ETAPA"</formula>
    </cfRule>
    <cfRule type="expression" dxfId="3541" priority="453">
      <formula>$H138="SUBETAPA"</formula>
    </cfRule>
  </conditionalFormatting>
  <conditionalFormatting sqref="M139:M142">
    <cfRule type="expression" dxfId="3540" priority="223">
      <formula>$H139="SUBETAPA"</formula>
    </cfRule>
    <cfRule type="expression" dxfId="3539" priority="224">
      <formula>$H139="CÉLULA CONSTRUTIVA"</formula>
    </cfRule>
    <cfRule type="expression" dxfId="3538" priority="225">
      <formula>$H139="ETAPA"</formula>
    </cfRule>
  </conditionalFormatting>
  <conditionalFormatting sqref="M143:M144">
    <cfRule type="expression" dxfId="3537" priority="249">
      <formula>$H143="ETAPA"</formula>
    </cfRule>
    <cfRule type="expression" dxfId="3536" priority="248">
      <formula>$H143="CÉLULA CONSTRUTIVA"</formula>
    </cfRule>
    <cfRule type="expression" dxfId="3535" priority="247">
      <formula>$H143="SUBETAPA"</formula>
    </cfRule>
  </conditionalFormatting>
  <conditionalFormatting sqref="M145">
    <cfRule type="expression" dxfId="3534" priority="222">
      <formula>$H145="ETAPA"</formula>
    </cfRule>
    <cfRule type="expression" dxfId="3533" priority="221">
      <formula>$H145="CÉLULA CONSTRUTIVA"</formula>
    </cfRule>
    <cfRule type="expression" dxfId="3532" priority="220">
      <formula>$H145="SUBETAPA"</formula>
    </cfRule>
  </conditionalFormatting>
  <conditionalFormatting sqref="M146:M149">
    <cfRule type="expression" dxfId="3531" priority="243">
      <formula>$H146="ETAPA"</formula>
    </cfRule>
    <cfRule type="expression" dxfId="3530" priority="242">
      <formula>$H146="CÉLULA CONSTRUTIVA"</formula>
    </cfRule>
    <cfRule type="expression" dxfId="3529" priority="241">
      <formula>$H146="SUBETAPA"</formula>
    </cfRule>
  </conditionalFormatting>
  <conditionalFormatting sqref="M150">
    <cfRule type="expression" dxfId="3528" priority="244">
      <formula>$H150="SUBETAPA"</formula>
    </cfRule>
    <cfRule type="expression" dxfId="3527" priority="245">
      <formula>$H150="CÉLULA CONSTRUTIVA"</formula>
    </cfRule>
    <cfRule type="expression" dxfId="3526" priority="246">
      <formula>$H150="ETAPA"</formula>
    </cfRule>
  </conditionalFormatting>
  <conditionalFormatting sqref="M151">
    <cfRule type="expression" dxfId="3525" priority="238">
      <formula>$H151="SUBETAPA"</formula>
    </cfRule>
    <cfRule type="expression" dxfId="3524" priority="240">
      <formula>$H151="ETAPA"</formula>
    </cfRule>
    <cfRule type="expression" dxfId="3523" priority="239">
      <formula>$H151="CÉLULA CONSTRUTIVA"</formula>
    </cfRule>
  </conditionalFormatting>
  <conditionalFormatting sqref="M161">
    <cfRule type="expression" dxfId="3522" priority="375">
      <formula>$H161="CÉLULA CONSTRUTIVA"</formula>
    </cfRule>
    <cfRule type="expression" dxfId="3521" priority="374">
      <formula>$H161="SUBETAPA"</formula>
    </cfRule>
    <cfRule type="expression" dxfId="3520" priority="376">
      <formula>$H161="ETAPA"</formula>
    </cfRule>
  </conditionalFormatting>
  <conditionalFormatting sqref="M162:M163">
    <cfRule type="expression" dxfId="3519" priority="495">
      <formula>$H162="ETAPA"</formula>
    </cfRule>
    <cfRule type="expression" dxfId="3518" priority="494">
      <formula>$H162="CÉLULA CONSTRUTIVA"</formula>
    </cfRule>
  </conditionalFormatting>
  <conditionalFormatting sqref="M164">
    <cfRule type="expression" dxfId="3517" priority="265">
      <formula>$H164="SUBETAPA"</formula>
    </cfRule>
    <cfRule type="expression" dxfId="3516" priority="264">
      <formula>$H164="ETAPA"</formula>
    </cfRule>
    <cfRule type="expression" dxfId="3515" priority="263">
      <formula>$H164="CÉLULA CONSTRUTIVA"</formula>
    </cfRule>
  </conditionalFormatting>
  <conditionalFormatting sqref="M165">
    <cfRule type="expression" dxfId="3514" priority="260">
      <formula>$H165="CÉLULA CONSTRUTIVA"</formula>
    </cfRule>
    <cfRule type="expression" dxfId="3513" priority="261">
      <formula>$H165="ETAPA"</formula>
    </cfRule>
    <cfRule type="expression" dxfId="3512" priority="262">
      <formula>$H165="SUBETAPA"</formula>
    </cfRule>
  </conditionalFormatting>
  <conditionalFormatting sqref="M175">
    <cfRule type="expression" dxfId="3511" priority="213">
      <formula>$H175="ETAPA"</formula>
    </cfRule>
    <cfRule type="expression" dxfId="3510" priority="212">
      <formula>$H175="CÉLULA CONSTRUTIVA"</formula>
    </cfRule>
    <cfRule type="expression" dxfId="3509" priority="211">
      <formula>$H175="SUBETAPA"</formula>
    </cfRule>
  </conditionalFormatting>
  <conditionalFormatting sqref="M178:M179">
    <cfRule type="expression" dxfId="3508" priority="463">
      <formula>$H178="CÉLULA CONSTRUTIVA"</formula>
    </cfRule>
    <cfRule type="expression" dxfId="3507" priority="464">
      <formula>$H178="ETAPA"</formula>
    </cfRule>
    <cfRule type="expression" dxfId="3506" priority="462">
      <formula>$H178="SUBETAPA"</formula>
    </cfRule>
  </conditionalFormatting>
  <conditionalFormatting sqref="M180">
    <cfRule type="expression" dxfId="3505" priority="528">
      <formula>$H180="CÉLULA CONSTRUTIVA"</formula>
    </cfRule>
    <cfRule type="expression" dxfId="3504" priority="529">
      <formula>$H180="ETAPA"</formula>
    </cfRule>
  </conditionalFormatting>
  <conditionalFormatting sqref="M181:M182">
    <cfRule type="expression" dxfId="3503" priority="539">
      <formula>$H181="SUBETAPA"</formula>
    </cfRule>
  </conditionalFormatting>
  <conditionalFormatting sqref="M183">
    <cfRule type="expression" dxfId="3502" priority="449">
      <formula>$H183="ETAPA"</formula>
    </cfRule>
    <cfRule type="expression" dxfId="3501" priority="448">
      <formula>$H183="CÉLULA CONSTRUTIVA"</formula>
    </cfRule>
    <cfRule type="expression" dxfId="3500" priority="447">
      <formula>$H183="SUBETAPA"</formula>
    </cfRule>
  </conditionalFormatting>
  <conditionalFormatting sqref="M184:M185">
    <cfRule type="expression" dxfId="3499" priority="526">
      <formula>$H184="CÉLULA CONSTRUTIVA"</formula>
    </cfRule>
    <cfRule type="expression" dxfId="3498" priority="525">
      <formula>$H184="SUBETAPA"</formula>
    </cfRule>
    <cfRule type="expression" dxfId="3497" priority="527">
      <formula>$H184="ETAPA"</formula>
    </cfRule>
  </conditionalFormatting>
  <conditionalFormatting sqref="M190 M193">
    <cfRule type="expression" dxfId="3496" priority="373">
      <formula>$H190="ETAPA"</formula>
    </cfRule>
    <cfRule type="expression" dxfId="3495" priority="372">
      <formula>$H190="CÉLULA CONSTRUTIVA"</formula>
    </cfRule>
    <cfRule type="expression" dxfId="3494" priority="371">
      <formula>$H190="SUBETAPA"</formula>
    </cfRule>
  </conditionalFormatting>
  <conditionalFormatting sqref="M191">
    <cfRule type="expression" dxfId="3493" priority="368">
      <formula>$H191="SUBETAPA"</formula>
    </cfRule>
    <cfRule type="expression" dxfId="3492" priority="370">
      <formula>$H191="ETAPA"</formula>
    </cfRule>
    <cfRule type="expression" dxfId="3491" priority="369">
      <formula>$H191="CÉLULA CONSTRUTIVA"</formula>
    </cfRule>
  </conditionalFormatting>
  <conditionalFormatting sqref="M192">
    <cfRule type="expression" dxfId="3490" priority="344">
      <formula>$H192="SUBETAPA"</formula>
    </cfRule>
    <cfRule type="expression" dxfId="3489" priority="345">
      <formula>$H192="CÉLULA CONSTRUTIVA"</formula>
    </cfRule>
    <cfRule type="expression" dxfId="3488" priority="346">
      <formula>$H192="ETAPA"</formula>
    </cfRule>
  </conditionalFormatting>
  <conditionalFormatting sqref="M197">
    <cfRule type="expression" dxfId="3487" priority="46">
      <formula>$H197="SUBETAPA"</formula>
    </cfRule>
    <cfRule type="expression" dxfId="3486" priority="47">
      <formula>$H197="CÉLULA CONSTRUTIVA"</formula>
    </cfRule>
    <cfRule type="expression" dxfId="3485" priority="48">
      <formula>$H197="ETAPA"</formula>
    </cfRule>
  </conditionalFormatting>
  <conditionalFormatting sqref="M200">
    <cfRule type="expression" dxfId="3484" priority="335">
      <formula>$H200="SUBETAPA"</formula>
    </cfRule>
    <cfRule type="expression" dxfId="3483" priority="336">
      <formula>$H200="CÉLULA CONSTRUTIVA"</formula>
    </cfRule>
    <cfRule type="expression" dxfId="3482" priority="337">
      <formula>$H200="ETAPA"</formula>
    </cfRule>
  </conditionalFormatting>
  <conditionalFormatting sqref="M211">
    <cfRule type="expression" dxfId="3481" priority="488">
      <formula>$H211="SUBETAPA"</formula>
    </cfRule>
    <cfRule type="expression" dxfId="3480" priority="489">
      <formula>$H211="CÉLULA CONSTRUTIVA"</formula>
    </cfRule>
    <cfRule type="expression" dxfId="3479" priority="490">
      <formula>$H211="ETAPA"</formula>
    </cfRule>
  </conditionalFormatting>
  <conditionalFormatting sqref="M212">
    <cfRule type="expression" dxfId="3478" priority="491">
      <formula>$H212="SUBETAPA"</formula>
    </cfRule>
    <cfRule type="expression" dxfId="3477" priority="492">
      <formula>$H212="CÉLULA CONSTRUTIVA"</formula>
    </cfRule>
    <cfRule type="expression" dxfId="3476" priority="493">
      <formula>$H212="ETAPA"</formula>
    </cfRule>
  </conditionalFormatting>
  <conditionalFormatting sqref="M214">
    <cfRule type="expression" dxfId="3475" priority="483">
      <formula>$H214="CÉLULA CONSTRUTIVA"</formula>
    </cfRule>
    <cfRule type="expression" dxfId="3474" priority="482">
      <formula>$H214="SUBETAPA"</formula>
    </cfRule>
    <cfRule type="expression" dxfId="3473" priority="484">
      <formula>$H214="ETAPA"</formula>
    </cfRule>
  </conditionalFormatting>
  <conditionalFormatting sqref="M215">
    <cfRule type="expression" dxfId="3472" priority="475">
      <formula>$H215="CÉLULA CONSTRUTIVA"</formula>
    </cfRule>
    <cfRule type="expression" dxfId="3471" priority="476">
      <formula>$H215="ETAPA"</formula>
    </cfRule>
    <cfRule type="expression" dxfId="3470" priority="474">
      <formula>$H215="SUBETAPA"</formula>
    </cfRule>
  </conditionalFormatting>
  <conditionalFormatting sqref="M216:M218">
    <cfRule type="expression" dxfId="3469" priority="486">
      <formula>$H216="CÉLULA CONSTRUTIVA"</formula>
    </cfRule>
    <cfRule type="expression" dxfId="3468" priority="485">
      <formula>$H216="SUBETAPA"</formula>
    </cfRule>
    <cfRule type="expression" dxfId="3467" priority="487">
      <formula>$H216="ETAPA"</formula>
    </cfRule>
  </conditionalFormatting>
  <conditionalFormatting sqref="M220">
    <cfRule type="expression" dxfId="3466" priority="348">
      <formula>$H220="CÉLULA CONSTRUTIVA"</formula>
    </cfRule>
    <cfRule type="expression" dxfId="3465" priority="347">
      <formula>$H220="SUBETAPA"</formula>
    </cfRule>
    <cfRule type="expression" dxfId="3464" priority="349">
      <formula>$H220="ETAPA"</formula>
    </cfRule>
  </conditionalFormatting>
  <conditionalFormatting sqref="M221">
    <cfRule type="expression" dxfId="3463" priority="366">
      <formula>$H221="CÉLULA CONSTRUTIVA"</formula>
    </cfRule>
    <cfRule type="expression" dxfId="3462" priority="367">
      <formula>$H221="ETAPA"</formula>
    </cfRule>
    <cfRule type="expression" dxfId="3461" priority="365">
      <formula>$H221="SUBETAPA"</formula>
    </cfRule>
  </conditionalFormatting>
  <conditionalFormatting sqref="M226">
    <cfRule type="expression" dxfId="3460" priority="364">
      <formula>$H226="ETAPA"</formula>
    </cfRule>
    <cfRule type="expression" dxfId="3459" priority="363">
      <formula>$H226="CÉLULA CONSTRUTIVA"</formula>
    </cfRule>
    <cfRule type="expression" dxfId="3458" priority="362">
      <formula>$H226="SUBETAPA"</formula>
    </cfRule>
  </conditionalFormatting>
  <conditionalFormatting sqref="M227 M343 M280 M278 M256 M198:M199 M201 M239 M251:M254 M286 M308:M310 M234:M236 M288:M290 M222:M225 M370 M186:M189 M194:M196 M335:M339 M365:M368 M376:M382 M384:M387 M206:M210 M389:M395 M15">
    <cfRule type="expression" dxfId="3457" priority="507">
      <formula>$H15="CÉLULA CONSTRUTIVA"</formula>
    </cfRule>
    <cfRule type="expression" dxfId="3456" priority="506">
      <formula>$H15="SUBETAPA"</formula>
    </cfRule>
  </conditionalFormatting>
  <conditionalFormatting sqref="M228">
    <cfRule type="expression" dxfId="3455" priority="341">
      <formula>$H228="SUBETAPA"</formula>
    </cfRule>
    <cfRule type="expression" dxfId="3454" priority="343">
      <formula>$H228="ETAPA"</formula>
    </cfRule>
    <cfRule type="expression" dxfId="3453" priority="342">
      <formula>$H228="CÉLULA CONSTRUTIVA"</formula>
    </cfRule>
  </conditionalFormatting>
  <conditionalFormatting sqref="M229">
    <cfRule type="expression" dxfId="3452" priority="326">
      <formula>$H229="SUBETAPA"</formula>
    </cfRule>
    <cfRule type="expression" dxfId="3451" priority="327">
      <formula>$H229="CÉLULA CONSTRUTIVA"</formula>
    </cfRule>
    <cfRule type="expression" dxfId="3450" priority="328">
      <formula>$H229="ETAPA"</formula>
    </cfRule>
  </conditionalFormatting>
  <conditionalFormatting sqref="M230">
    <cfRule type="expression" dxfId="3449" priority="325">
      <formula>$H230="ETAPA"</formula>
    </cfRule>
    <cfRule type="expression" dxfId="3448" priority="323">
      <formula>$H230="SUBETAPA"</formula>
    </cfRule>
    <cfRule type="expression" dxfId="3447" priority="324">
      <formula>$H230="CÉLULA CONSTRUTIVA"</formula>
    </cfRule>
  </conditionalFormatting>
  <conditionalFormatting sqref="M231">
    <cfRule type="expression" dxfId="3446" priority="317">
      <formula>$H231="SUBETAPA"</formula>
    </cfRule>
    <cfRule type="expression" dxfId="3445" priority="318">
      <formula>$H231="CÉLULA CONSTRUTIVA"</formula>
    </cfRule>
    <cfRule type="expression" dxfId="3444" priority="319">
      <formula>$H231="ETAPA"</formula>
    </cfRule>
  </conditionalFormatting>
  <conditionalFormatting sqref="M232:M233">
    <cfRule type="expression" dxfId="3443" priority="361">
      <formula>$H232="ETAPA"</formula>
    </cfRule>
    <cfRule type="expression" dxfId="3442" priority="360">
      <formula>$H232="CÉLULA CONSTRUTIVA"</formula>
    </cfRule>
    <cfRule type="expression" dxfId="3441" priority="359">
      <formula>$H232="SUBETAPA"</formula>
    </cfRule>
  </conditionalFormatting>
  <conditionalFormatting sqref="M237">
    <cfRule type="expression" dxfId="3440" priority="329">
      <formula>$H237="SUBETAPA"</formula>
    </cfRule>
    <cfRule type="expression" dxfId="3439" priority="330">
      <formula>$H237="CÉLULA CONSTRUTIVA"</formula>
    </cfRule>
    <cfRule type="expression" dxfId="3438" priority="331">
      <formula>$H237="ETAPA"</formula>
    </cfRule>
  </conditionalFormatting>
  <conditionalFormatting sqref="M238">
    <cfRule type="expression" dxfId="3437" priority="334">
      <formula>$H238="ETAPA"</formula>
    </cfRule>
    <cfRule type="expression" dxfId="3436" priority="333">
      <formula>$H238="CÉLULA CONSTRUTIVA"</formula>
    </cfRule>
    <cfRule type="expression" dxfId="3435" priority="332">
      <formula>$H238="SUBETAPA"</formula>
    </cfRule>
  </conditionalFormatting>
  <conditionalFormatting sqref="M240">
    <cfRule type="expression" dxfId="3434" priority="514">
      <formula>$H240="SUBETAPA"</formula>
    </cfRule>
    <cfRule type="expression" dxfId="3433" priority="515">
      <formula>$H240="CÉLULA CONSTRUTIVA"</formula>
    </cfRule>
  </conditionalFormatting>
  <conditionalFormatting sqref="M240:M245">
    <cfRule type="expression" dxfId="3432" priority="516">
      <formula>$H240="ETAPA"</formula>
    </cfRule>
  </conditionalFormatting>
  <conditionalFormatting sqref="M246:M247">
    <cfRule type="expression" dxfId="3431" priority="311">
      <formula>$H246="SUBETAPA"</formula>
    </cfRule>
    <cfRule type="expression" dxfId="3430" priority="312">
      <formula>$H246="CÉLULA CONSTRUTIVA"</formula>
    </cfRule>
  </conditionalFormatting>
  <conditionalFormatting sqref="M248">
    <cfRule type="expression" dxfId="3429" priority="340">
      <formula>$H248="ETAPA"</formula>
    </cfRule>
    <cfRule type="expression" dxfId="3428" priority="338">
      <formula>$H248="SUBETAPA"</formula>
    </cfRule>
    <cfRule type="expression" dxfId="3427" priority="339">
      <formula>$H248="CÉLULA CONSTRUTIVA"</formula>
    </cfRule>
  </conditionalFormatting>
  <conditionalFormatting sqref="M250">
    <cfRule type="expression" dxfId="3426" priority="316">
      <formula>$H250="ETAPA"</formula>
    </cfRule>
    <cfRule type="expression" dxfId="3425" priority="315">
      <formula>$H250="CÉLULA CONSTRUTIVA"</formula>
    </cfRule>
    <cfRule type="expression" dxfId="3424" priority="314">
      <formula>$H250="SUBETAPA"</formula>
    </cfRule>
  </conditionalFormatting>
  <conditionalFormatting sqref="M252">
    <cfRule type="expression" dxfId="3423" priority="322">
      <formula>$H252="ETAPA"</formula>
    </cfRule>
    <cfRule type="expression" dxfId="3422" priority="321">
      <formula>$H252="CÉLULA CONSTRUTIVA"</formula>
    </cfRule>
    <cfRule type="expression" dxfId="3421" priority="320">
      <formula>$H252="SUBETAPA"</formula>
    </cfRule>
  </conditionalFormatting>
  <conditionalFormatting sqref="M255">
    <cfRule type="expression" dxfId="3420" priority="517">
      <formula>$H255="ETAPA"</formula>
    </cfRule>
  </conditionalFormatting>
  <conditionalFormatting sqref="M257">
    <cfRule type="expression" dxfId="3419" priority="472">
      <formula>$H257="SUBETAPA"</formula>
    </cfRule>
    <cfRule type="expression" dxfId="3418" priority="473">
      <formula>$H257="CÉLULA CONSTRUTIVA"</formula>
    </cfRule>
  </conditionalFormatting>
  <conditionalFormatting sqref="M258 M219 M255 M249 M253 M251 M266:M267 M284 M314:M316 M299:M301 M260:M263 M241:M245 M58:M65 M202:M205 M291:M292 M303:M307 M213 M295:M296 M269:M277">
    <cfRule type="expression" dxfId="3417" priority="513">
      <formula>$H58="CÉLULA CONSTRUTIVA"</formula>
    </cfRule>
    <cfRule type="expression" dxfId="3416" priority="512">
      <formula>$H58="SUBETAPA"</formula>
    </cfRule>
  </conditionalFormatting>
  <conditionalFormatting sqref="M259">
    <cfRule type="expression" dxfId="3415" priority="308">
      <formula>$H259="SUBETAPA"</formula>
    </cfRule>
    <cfRule type="expression" dxfId="3414" priority="309">
      <formula>$H259="CÉLULA CONSTRUTIVA"</formula>
    </cfRule>
    <cfRule type="expression" dxfId="3413" priority="310">
      <formula>$H259="ETAPA"</formula>
    </cfRule>
  </conditionalFormatting>
  <conditionalFormatting sqref="M264">
    <cfRule type="expression" dxfId="3412" priority="478">
      <formula>$H264="CÉLULA CONSTRUTIVA"</formula>
    </cfRule>
    <cfRule type="expression" dxfId="3411" priority="477">
      <formula>$H264="SUBETAPA"</formula>
    </cfRule>
  </conditionalFormatting>
  <conditionalFormatting sqref="M268 M265">
    <cfRule type="expression" dxfId="3410" priority="511">
      <formula>$H265="CÉLULA CONSTRUTIVA"</formula>
    </cfRule>
    <cfRule type="expression" dxfId="3409" priority="510">
      <formula>$H265="SUBETAPA"</formula>
    </cfRule>
  </conditionalFormatting>
  <conditionalFormatting sqref="M279">
    <cfRule type="expression" dxfId="3408" priority="441">
      <formula>$H279="SUBETAPA"</formula>
    </cfRule>
    <cfRule type="expression" dxfId="3407" priority="442">
      <formula>$H279="CÉLULA CONSTRUTIVA"</formula>
    </cfRule>
    <cfRule type="expression" dxfId="3406" priority="443">
      <formula>$H279="ETAPA"</formula>
    </cfRule>
  </conditionalFormatting>
  <conditionalFormatting sqref="M281">
    <cfRule type="expression" dxfId="3405" priority="432">
      <formula>$H281="SUBETAPA"</formula>
    </cfRule>
    <cfRule type="expression" dxfId="3404" priority="433">
      <formula>$H281="CÉLULA CONSTRUTIVA"</formula>
    </cfRule>
    <cfRule type="expression" dxfId="3403" priority="434">
      <formula>$H281="ETAPA"</formula>
    </cfRule>
  </conditionalFormatting>
  <conditionalFormatting sqref="M282">
    <cfRule type="expression" dxfId="3402" priority="259">
      <formula>$H282="ETAPA"</formula>
    </cfRule>
    <cfRule type="expression" dxfId="3401" priority="258">
      <formula>$H282="CÉLULA CONSTRUTIVA"</formula>
    </cfRule>
    <cfRule type="expression" dxfId="3400" priority="257">
      <formula>$H282="SUBETAPA"</formula>
    </cfRule>
  </conditionalFormatting>
  <conditionalFormatting sqref="M283">
    <cfRule type="expression" dxfId="3399" priority="255">
      <formula>$H283="CÉLULA CONSTRUTIVA"</formula>
    </cfRule>
    <cfRule type="expression" dxfId="3398" priority="256">
      <formula>$H283="ETAPA"</formula>
    </cfRule>
    <cfRule type="expression" dxfId="3397" priority="254">
      <formula>$H283="SUBETAPA"</formula>
    </cfRule>
  </conditionalFormatting>
  <conditionalFormatting sqref="M285">
    <cfRule type="expression" dxfId="3396" priority="193">
      <formula>$H285="SUBETAPA"</formula>
    </cfRule>
    <cfRule type="expression" dxfId="3395" priority="195">
      <formula>$H285="ETAPA"</formula>
    </cfRule>
    <cfRule type="expression" dxfId="3394" priority="194">
      <formula>$H285="CÉLULA CONSTRUTIVA"</formula>
    </cfRule>
  </conditionalFormatting>
  <conditionalFormatting sqref="M287">
    <cfRule type="expression" dxfId="3393" priority="198">
      <formula>$H287="ETAPA"</formula>
    </cfRule>
    <cfRule type="expression" dxfId="3392" priority="197">
      <formula>$H287="CÉLULA CONSTRUTIVA"</formula>
    </cfRule>
    <cfRule type="expression" dxfId="3391" priority="196">
      <formula>$H287="SUBETAPA"</formula>
    </cfRule>
  </conditionalFormatting>
  <conditionalFormatting sqref="M293:M294">
    <cfRule type="expression" dxfId="3390" priority="440">
      <formula>$H293="ETAPA"</formula>
    </cfRule>
    <cfRule type="expression" dxfId="3389" priority="439">
      <formula>$H293="CÉLULA CONSTRUTIVA"</formula>
    </cfRule>
    <cfRule type="expression" dxfId="3388" priority="438">
      <formula>$H293="SUBETAPA"</formula>
    </cfRule>
  </conditionalFormatting>
  <conditionalFormatting sqref="M297:M298">
    <cfRule type="expression" dxfId="3387" priority="306">
      <formula>$H297="CÉLULA CONSTRUTIVA"</formula>
    </cfRule>
    <cfRule type="expression" dxfId="3386" priority="305">
      <formula>$H297="SUBETAPA"</formula>
    </cfRule>
    <cfRule type="expression" dxfId="3385" priority="307">
      <formula>$H297="ETAPA"</formula>
    </cfRule>
  </conditionalFormatting>
  <conditionalFormatting sqref="M302">
    <cfRule type="expression" dxfId="3384" priority="458">
      <formula>$H302="ETAPA"</formula>
    </cfRule>
    <cfRule type="expression" dxfId="3383" priority="457">
      <formula>$H302="CÉLULA CONSTRUTIVA"</formula>
    </cfRule>
    <cfRule type="expression" dxfId="3382" priority="456">
      <formula>$H302="SUBETAPA"</formula>
    </cfRule>
  </conditionalFormatting>
  <conditionalFormatting sqref="M311">
    <cfRule type="expression" dxfId="3381" priority="436">
      <formula>$H311="CÉLULA CONSTRUTIVA"</formula>
    </cfRule>
    <cfRule type="expression" dxfId="3380" priority="435">
      <formula>$H311="SUBETAPA"</formula>
    </cfRule>
    <cfRule type="expression" dxfId="3379" priority="437">
      <formula>$H311="ETAPA"</formula>
    </cfRule>
  </conditionalFormatting>
  <conditionalFormatting sqref="M312:M313">
    <cfRule type="expression" dxfId="3378" priority="468">
      <formula>$H312="SUBETAPA"</formula>
    </cfRule>
    <cfRule type="expression" dxfId="3377" priority="469">
      <formula>$H312="CÉLULA CONSTRUTIVA"</formula>
    </cfRule>
    <cfRule type="expression" dxfId="3376" priority="470">
      <formula>$H312="ETAPA"</formula>
    </cfRule>
  </conditionalFormatting>
  <conditionalFormatting sqref="M317:M318">
    <cfRule type="expression" dxfId="3375" priority="465">
      <formula>$H317="SUBETAPA"</formula>
    </cfRule>
    <cfRule type="expression" dxfId="3374" priority="466">
      <formula>$H317="CÉLULA CONSTRUTIVA"</formula>
    </cfRule>
    <cfRule type="expression" dxfId="3373" priority="467">
      <formula>$H317="ETAPA"</formula>
    </cfRule>
  </conditionalFormatting>
  <conditionalFormatting sqref="M324">
    <cfRule type="expression" dxfId="3372" priority="301">
      <formula>$H324="ETAPA"</formula>
    </cfRule>
    <cfRule type="expression" dxfId="3371" priority="300">
      <formula>$H324="CÉLULA CONSTRUTIVA"</formula>
    </cfRule>
    <cfRule type="expression" dxfId="3370" priority="299">
      <formula>$H324="SUBETAPA"</formula>
    </cfRule>
  </conditionalFormatting>
  <conditionalFormatting sqref="M325:M326">
    <cfRule type="expression" dxfId="3369" priority="293">
      <formula>$H325="SUBETAPA"</formula>
    </cfRule>
    <cfRule type="expression" dxfId="3368" priority="294">
      <formula>$H325="CÉLULA CONSTRUTIVA"</formula>
    </cfRule>
    <cfRule type="expression" dxfId="3367" priority="295">
      <formula>$H325="ETAPA"</formula>
    </cfRule>
  </conditionalFormatting>
  <conditionalFormatting sqref="M327:M329 M333">
    <cfRule type="expression" dxfId="3366" priority="298">
      <formula>$H327="ETAPA"</formula>
    </cfRule>
  </conditionalFormatting>
  <conditionalFormatting sqref="M330 M332">
    <cfRule type="expression" dxfId="3365" priority="291">
      <formula>$H330="CÉLULA CONSTRUTIVA"</formula>
    </cfRule>
    <cfRule type="expression" dxfId="3364" priority="290">
      <formula>$H330="SUBETAPA"</formula>
    </cfRule>
    <cfRule type="expression" dxfId="3363" priority="292">
      <formula>$H330="ETAPA"</formula>
    </cfRule>
  </conditionalFormatting>
  <conditionalFormatting sqref="M331">
    <cfRule type="expression" dxfId="3362" priority="287">
      <formula>$H331="SUBETAPA"</formula>
    </cfRule>
    <cfRule type="expression" dxfId="3361" priority="289">
      <formula>$H331="ETAPA"</formula>
    </cfRule>
    <cfRule type="expression" dxfId="3360" priority="288">
      <formula>$H331="CÉLULA CONSTRUTIVA"</formula>
    </cfRule>
  </conditionalFormatting>
  <conditionalFormatting sqref="M333 M327:M329">
    <cfRule type="expression" dxfId="3359" priority="297">
      <formula>$H327="CÉLULA CONSTRUTIVA"</formula>
    </cfRule>
    <cfRule type="expression" dxfId="3358" priority="296">
      <formula>$H327="SUBETAPA"</formula>
    </cfRule>
  </conditionalFormatting>
  <conditionalFormatting sqref="M334">
    <cfRule type="expression" dxfId="3357" priority="283">
      <formula>$H334="ETAPA"</formula>
    </cfRule>
    <cfRule type="expression" dxfId="3356" priority="282">
      <formula>$H334="CÉLULA CONSTRUTIVA"</formula>
    </cfRule>
    <cfRule type="expression" dxfId="3355" priority="281">
      <formula>$H334="SUBETAPA"</formula>
    </cfRule>
  </conditionalFormatting>
  <conditionalFormatting sqref="M340">
    <cfRule type="expression" dxfId="3354" priority="277">
      <formula>$H340="ETAPA"</formula>
    </cfRule>
    <cfRule type="expression" dxfId="3353" priority="276">
      <formula>$H340="CÉLULA CONSTRUTIVA"</formula>
    </cfRule>
    <cfRule type="expression" dxfId="3352" priority="275">
      <formula>$H340="SUBETAPA"</formula>
    </cfRule>
  </conditionalFormatting>
  <conditionalFormatting sqref="M341">
    <cfRule type="expression" dxfId="3351" priority="279">
      <formula>$H341="CÉLULA CONSTRUTIVA"</formula>
    </cfRule>
    <cfRule type="expression" dxfId="3350" priority="280">
      <formula>$H341="ETAPA"</formula>
    </cfRule>
    <cfRule type="expression" dxfId="3349" priority="278">
      <formula>$H341="SUBETAPA"</formula>
    </cfRule>
  </conditionalFormatting>
  <conditionalFormatting sqref="M342">
    <cfRule type="expression" dxfId="3348" priority="266">
      <formula>$H342="SUBETAPA"</formula>
    </cfRule>
    <cfRule type="expression" dxfId="3347" priority="268">
      <formula>$H342="ETAPA"</formula>
    </cfRule>
    <cfRule type="expression" dxfId="3346" priority="267">
      <formula>$H342="CÉLULA CONSTRUTIVA"</formula>
    </cfRule>
  </conditionalFormatting>
  <conditionalFormatting sqref="M344">
    <cfRule type="expression" dxfId="3345" priority="201">
      <formula>$H344="ETAPA"</formula>
    </cfRule>
    <cfRule type="expression" dxfId="3344" priority="199">
      <formula>$H344="SUBETAPA"</formula>
    </cfRule>
    <cfRule type="expression" dxfId="3343" priority="200">
      <formula>$H344="CÉLULA CONSTRUTIVA"</formula>
    </cfRule>
  </conditionalFormatting>
  <conditionalFormatting sqref="M348">
    <cfRule type="expression" dxfId="3342" priority="49">
      <formula>$H348="SUBETAPA"</formula>
    </cfRule>
    <cfRule type="expression" dxfId="3341" priority="50">
      <formula>$H348="CÉLULA CONSTRUTIVA"</formula>
    </cfRule>
    <cfRule type="expression" dxfId="3340" priority="51">
      <formula>$H348="ETAPA"</formula>
    </cfRule>
  </conditionalFormatting>
  <conditionalFormatting sqref="M349">
    <cfRule type="expression" dxfId="3339" priority="505">
      <formula>$H349="CÉLULA CONSTRUTIVA"</formula>
    </cfRule>
    <cfRule type="expression" dxfId="3338" priority="504">
      <formula>$H349="SUBETAPA"</formula>
    </cfRule>
  </conditionalFormatting>
  <conditionalFormatting sqref="M350">
    <cfRule type="expression" dxfId="3337" priority="430">
      <formula>$H350="CÉLULA CONSTRUTIVA"</formula>
    </cfRule>
    <cfRule type="expression" dxfId="3336" priority="429">
      <formula>$H350="SUBETAPA"</formula>
    </cfRule>
    <cfRule type="expression" dxfId="3335" priority="431">
      <formula>$H350="ETAPA"</formula>
    </cfRule>
  </conditionalFormatting>
  <conditionalFormatting sqref="M351">
    <cfRule type="expression" dxfId="3334" priority="273">
      <formula>$H351="CÉLULA CONSTRUTIVA"</formula>
    </cfRule>
    <cfRule type="expression" dxfId="3333" priority="272">
      <formula>$H351="SUBETAPA"</formula>
    </cfRule>
    <cfRule type="expression" dxfId="3332" priority="274">
      <formula>$H351="ETAPA"</formula>
    </cfRule>
  </conditionalFormatting>
  <conditionalFormatting sqref="M352">
    <cfRule type="expression" dxfId="3331" priority="271">
      <formula>$H352="ETAPA"</formula>
    </cfRule>
    <cfRule type="expression" dxfId="3330" priority="269">
      <formula>$H352="SUBETAPA"</formula>
    </cfRule>
    <cfRule type="expression" dxfId="3329" priority="270">
      <formula>$H352="CÉLULA CONSTRUTIVA"</formula>
    </cfRule>
  </conditionalFormatting>
  <conditionalFormatting sqref="M353">
    <cfRule type="expression" dxfId="3328" priority="358">
      <formula>$H353="ETAPA"</formula>
    </cfRule>
    <cfRule type="expression" dxfId="3327" priority="357">
      <formula>$H353="CÉLULA CONSTRUTIVA"</formula>
    </cfRule>
    <cfRule type="expression" dxfId="3326" priority="356">
      <formula>$H353="SUBETAPA"</formula>
    </cfRule>
  </conditionalFormatting>
  <conditionalFormatting sqref="M354:M357">
    <cfRule type="expression" dxfId="3325" priority="355">
      <formula>$H354="ETAPA"</formula>
    </cfRule>
    <cfRule type="expression" dxfId="3324" priority="354">
      <formula>$H354="CÉLULA CONSTRUTIVA"</formula>
    </cfRule>
    <cfRule type="expression" dxfId="3323" priority="353">
      <formula>$H354="SUBETAPA"</formula>
    </cfRule>
  </conditionalFormatting>
  <conditionalFormatting sqref="M358">
    <cfRule type="expression" dxfId="3322" priority="503">
      <formula>$H358="CÉLULA CONSTRUTIVA"</formula>
    </cfRule>
    <cfRule type="expression" dxfId="3321" priority="502">
      <formula>$H358="SUBETAPA"</formula>
    </cfRule>
  </conditionalFormatting>
  <conditionalFormatting sqref="M359">
    <cfRule type="expression" dxfId="3320" priority="427">
      <formula>$H359="CÉLULA CONSTRUTIVA"</formula>
    </cfRule>
    <cfRule type="expression" dxfId="3319" priority="426">
      <formula>$H359="SUBETAPA"</formula>
    </cfRule>
    <cfRule type="expression" dxfId="3318" priority="428">
      <formula>$H359="ETAPA"</formula>
    </cfRule>
  </conditionalFormatting>
  <conditionalFormatting sqref="M360">
    <cfRule type="expression" dxfId="3317" priority="136">
      <formula>$H360="SUBETAPA"</formula>
    </cfRule>
    <cfRule type="expression" dxfId="3316" priority="138">
      <formula>$H360="ETAPA"</formula>
    </cfRule>
    <cfRule type="expression" dxfId="3315" priority="137">
      <formula>$H360="CÉLULA CONSTRUTIVA"</formula>
    </cfRule>
  </conditionalFormatting>
  <conditionalFormatting sqref="M361:M364">
    <cfRule type="expression" dxfId="3314" priority="423">
      <formula>$H361="SUBETAPA"</formula>
    </cfRule>
    <cfRule type="expression" dxfId="3313" priority="425">
      <formula>$H361="ETAPA"</formula>
    </cfRule>
    <cfRule type="expression" dxfId="3312" priority="424">
      <formula>$H361="CÉLULA CONSTRUTIVA"</formula>
    </cfRule>
  </conditionalFormatting>
  <conditionalFormatting sqref="M371:M375">
    <cfRule type="expression" dxfId="3311" priority="538">
      <formula>$H371="ETAPA"</formula>
    </cfRule>
    <cfRule type="expression" dxfId="3310" priority="536">
      <formula>$H371="SUBETAPA"</formula>
    </cfRule>
    <cfRule type="expression" dxfId="3309" priority="537">
      <formula>$H371="CÉLULA CONSTRUTIVA"</formula>
    </cfRule>
  </conditionalFormatting>
  <conditionalFormatting sqref="M383">
    <cfRule type="expression" dxfId="3308" priority="285">
      <formula>$H383="CÉLULA CONSTRUTIVA"</formula>
    </cfRule>
    <cfRule type="expression" dxfId="3307" priority="284">
      <formula>$H383="SUBETAPA"</formula>
    </cfRule>
    <cfRule type="expression" dxfId="3306" priority="286">
      <formula>$H383="ETAPA"</formula>
    </cfRule>
  </conditionalFormatting>
  <conditionalFormatting sqref="M388">
    <cfRule type="expression" dxfId="3305" priority="304">
      <formula>$H388="ETAPA"</formula>
    </cfRule>
    <cfRule type="expression" dxfId="3304" priority="302">
      <formula>$H388="SUBETAPA"</formula>
    </cfRule>
    <cfRule type="expression" dxfId="3303" priority="303">
      <formula>$H388="CÉLULA CONSTRUTIVA"</formula>
    </cfRule>
  </conditionalFormatting>
  <conditionalFormatting sqref="M401">
    <cfRule type="expression" dxfId="3302" priority="8246">
      <formula>$H398="ETAPA"</formula>
    </cfRule>
    <cfRule type="expression" dxfId="3301" priority="8244">
      <formula>$H398="SUBETAPA"</formula>
    </cfRule>
    <cfRule type="expression" dxfId="3300" priority="8245">
      <formula>$H398="CÉLULA CONSTRUTIVA"</formula>
    </cfRule>
  </conditionalFormatting>
  <conditionalFormatting sqref="M402">
    <cfRule type="expression" dxfId="3299" priority="811">
      <formula>$H402="ETAPA"</formula>
    </cfRule>
    <cfRule type="expression" dxfId="3298" priority="810">
      <formula>$H402="CÉLULA CONSTRUTIVA"</formula>
    </cfRule>
    <cfRule type="expression" dxfId="3297" priority="809">
      <formula>$H402="SUBETAPA"</formula>
    </cfRule>
  </conditionalFormatting>
  <conditionalFormatting sqref="M404">
    <cfRule type="expression" dxfId="3296" priority="156">
      <formula>$H404="ETAPA"</formula>
    </cfRule>
    <cfRule type="expression" dxfId="3295" priority="154">
      <formula>$H404="SUBETAPA"</formula>
    </cfRule>
    <cfRule type="expression" dxfId="3294" priority="155">
      <formula>$H404="CÉLULA CONSTRUTIVA"</formula>
    </cfRule>
  </conditionalFormatting>
  <conditionalFormatting sqref="M59:O59">
    <cfRule type="expression" dxfId="3293" priority="509">
      <formula>$H59="ETAPA"</formula>
    </cfRule>
  </conditionalFormatting>
  <conditionalFormatting sqref="N8 N12 N20 N49 N66 N97 N113 N129 N143 N152 N160 N171 N180 N203 N213 N256 N276 N316 N324 N337 N365 N392:N395">
    <cfRule type="expression" dxfId="3292" priority="1217">
      <formula>$H8="ETAPA"</formula>
    </cfRule>
    <cfRule type="expression" dxfId="3291" priority="1216">
      <formula>$H8="CÉLULA CONSTRUTIVA"</formula>
    </cfRule>
    <cfRule type="expression" dxfId="3290" priority="1215">
      <formula>$H8="SUBETAPA"</formula>
    </cfRule>
  </conditionalFormatting>
  <conditionalFormatting sqref="N9 N13 N21 N50 N67 N98 N114 N130 N144 N153 N161 N172 N181 N204 N214 N257 N277 N291 N305 N317 N325 N338 N366 N373">
    <cfRule type="expression" dxfId="3289" priority="1212">
      <formula>$H9="SUBETAPA"</formula>
    </cfRule>
    <cfRule type="expression" dxfId="3288" priority="1214">
      <formula>$H9="ETAPA"</formula>
    </cfRule>
    <cfRule type="expression" dxfId="3287" priority="1213">
      <formula>$H9="CÉLULA CONSTRUTIVA"</formula>
    </cfRule>
  </conditionalFormatting>
  <conditionalFormatting sqref="N10 N14 N18 N22 N30 N39 N43 N46 N51 N55 N58 N62 N68 N71 N77 N81 N85 N87 N89 N99 N102 N105 N109 N111 N115 N117 N119 N121 N123 N125 N127 N131 N138 N145 N150 N154 N158 N162 N169 N173 N176 N178 N182 N185 N188 N190 N194 N196 N205 N207 N209 N211 N215 N222 N225 N232 N234 N241 N243 N258 N262 N265 N268 N278 N280 N282 N284 N286 N292 N297 N299 N301 N303 N306 N308 N312 N314 N318 N320 N322 N326 N328 N330 N333 N335 N339 N343 N349 N353 N358 N367 N374 N376 N384 N386 N390">
    <cfRule type="expression" dxfId="3286" priority="1210">
      <formula>$H10="CÉLULA CONSTRUTIVA"</formula>
    </cfRule>
    <cfRule type="expression" dxfId="3285" priority="1211">
      <formula>$H10="ETAPA"</formula>
    </cfRule>
    <cfRule type="expression" dxfId="3284" priority="1209">
      <formula>$H10="SUBETAPA"</formula>
    </cfRule>
  </conditionalFormatting>
  <conditionalFormatting sqref="N23">
    <cfRule type="expression" dxfId="3283" priority="5338">
      <formula>$H23="CÉLULA CONSTRUTIVA"</formula>
    </cfRule>
    <cfRule type="expression" dxfId="3282" priority="5339">
      <formula>$H23="ETAPA"</formula>
    </cfRule>
  </conditionalFormatting>
  <conditionalFormatting sqref="N47:N48">
    <cfRule type="expression" dxfId="3281" priority="6623">
      <formula>$H47="SUBETAPA"</formula>
    </cfRule>
  </conditionalFormatting>
  <conditionalFormatting sqref="N73">
    <cfRule type="expression" dxfId="3280" priority="750">
      <formula>$H73="CÉLULA CONSTRUTIVA"</formula>
    </cfRule>
    <cfRule type="expression" dxfId="3279" priority="751">
      <formula>$H73="ETAPA"</formula>
    </cfRule>
    <cfRule type="expression" dxfId="3278" priority="749">
      <formula>$H73="SUBETAPA"</formula>
    </cfRule>
  </conditionalFormatting>
  <conditionalFormatting sqref="N75">
    <cfRule type="expression" dxfId="3277" priority="638">
      <formula>$H75="SUBETAPA"</formula>
    </cfRule>
    <cfRule type="expression" dxfId="3276" priority="640">
      <formula>$H75="ETAPA"</formula>
    </cfRule>
    <cfRule type="expression" dxfId="3275" priority="639">
      <formula>$H75="CÉLULA CONSTRUTIVA"</formula>
    </cfRule>
  </conditionalFormatting>
  <conditionalFormatting sqref="N79">
    <cfRule type="expression" dxfId="3274" priority="578">
      <formula>$H79="SUBETAPA"</formula>
    </cfRule>
    <cfRule type="expression" dxfId="3273" priority="580">
      <formula>$H79="ETAPA"</formula>
    </cfRule>
    <cfRule type="expression" dxfId="3272" priority="579">
      <formula>$H79="CÉLULA CONSTRUTIVA"</formula>
    </cfRule>
  </conditionalFormatting>
  <conditionalFormatting sqref="N83">
    <cfRule type="expression" dxfId="3271" priority="692">
      <formula>$H83="SUBETAPA"</formula>
    </cfRule>
    <cfRule type="expression" dxfId="3270" priority="694">
      <formula>$H83="ETAPA"</formula>
    </cfRule>
    <cfRule type="expression" dxfId="3269" priority="693">
      <formula>$H83="CÉLULA CONSTRUTIVA"</formula>
    </cfRule>
  </conditionalFormatting>
  <conditionalFormatting sqref="N96">
    <cfRule type="expression" dxfId="3268" priority="5768">
      <formula>$H96="SUBETAPA"</formula>
    </cfRule>
  </conditionalFormatting>
  <conditionalFormatting sqref="N139">
    <cfRule type="expression" dxfId="3267" priority="6918">
      <formula>$H139="SUBETAPA"</formula>
    </cfRule>
  </conditionalFormatting>
  <conditionalFormatting sqref="N141:N142">
    <cfRule type="expression" dxfId="3266" priority="7021">
      <formula>$H141="SUBETAPA"</formula>
    </cfRule>
  </conditionalFormatting>
  <conditionalFormatting sqref="N147:N149">
    <cfRule type="expression" dxfId="3265" priority="1272">
      <formula>$H147="ETAPA"</formula>
    </cfRule>
    <cfRule type="expression" dxfId="3264" priority="1271">
      <formula>$H147="CÉLULA CONSTRUTIVA"</formula>
    </cfRule>
    <cfRule type="expression" dxfId="3263" priority="1270">
      <formula>$H147="SUBETAPA"</formula>
    </cfRule>
  </conditionalFormatting>
  <conditionalFormatting sqref="N191:N192">
    <cfRule type="expression" dxfId="3262" priority="4576">
      <formula>$H191="SUBETAPA"</formula>
    </cfRule>
  </conditionalFormatting>
  <conditionalFormatting sqref="N197:N202">
    <cfRule type="expression" dxfId="3261" priority="4535">
      <formula>$H197="SUBETAPA"</formula>
    </cfRule>
  </conditionalFormatting>
  <conditionalFormatting sqref="N212">
    <cfRule type="expression" dxfId="3260" priority="7624">
      <formula>$H212="SUBETAPA"</formula>
    </cfRule>
  </conditionalFormatting>
  <conditionalFormatting sqref="N244:N255 G246:L254">
    <cfRule type="expression" dxfId="3259" priority="4382">
      <formula>$H244="SUBETAPA"</formula>
    </cfRule>
  </conditionalFormatting>
  <conditionalFormatting sqref="N246:N247">
    <cfRule type="expression" dxfId="3258" priority="4395">
      <formula>$H246="ETAPA"</formula>
    </cfRule>
  </conditionalFormatting>
  <conditionalFormatting sqref="N269:N275">
    <cfRule type="expression" dxfId="3257" priority="6526">
      <formula>$H269="SUBETAPA"</formula>
    </cfRule>
  </conditionalFormatting>
  <conditionalFormatting sqref="N350">
    <cfRule type="expression" dxfId="3256" priority="7451">
      <formula>$H350="ETAPA"</formula>
    </cfRule>
    <cfRule type="expression" dxfId="3255" priority="7450">
      <formula>$H350="CÉLULA CONSTRUTIVA"</formula>
    </cfRule>
  </conditionalFormatting>
  <conditionalFormatting sqref="N352">
    <cfRule type="expression" dxfId="3254" priority="7448">
      <formula>$H352="ETAPA"</formula>
    </cfRule>
    <cfRule type="expression" dxfId="3253" priority="7447">
      <formula>$H352="CÉLULA CONSTRUTIVA"</formula>
    </cfRule>
  </conditionalFormatting>
  <conditionalFormatting sqref="N359:N364">
    <cfRule type="expression" dxfId="3252" priority="4335">
      <formula>$H359="SUBETAPA"</formula>
    </cfRule>
  </conditionalFormatting>
  <conditionalFormatting sqref="N388:N389">
    <cfRule type="expression" dxfId="3251" priority="4272">
      <formula>$H388="SUBETAPA"</formula>
    </cfRule>
  </conditionalFormatting>
  <conditionalFormatting sqref="N23:O29 G24:K57">
    <cfRule type="expression" dxfId="3250" priority="4917">
      <formula>$H23="SUBETAPA"</formula>
    </cfRule>
  </conditionalFormatting>
  <conditionalFormatting sqref="N31:O38">
    <cfRule type="expression" dxfId="3249" priority="4891">
      <formula>$H31="SUBETAPA"</formula>
    </cfRule>
  </conditionalFormatting>
  <conditionalFormatting sqref="N40:O42">
    <cfRule type="expression" dxfId="3248" priority="4888">
      <formula>$H40="SUBETAPA"</formula>
    </cfRule>
  </conditionalFormatting>
  <conditionalFormatting sqref="N44:O45">
    <cfRule type="expression" dxfId="3247" priority="4885">
      <formula>$H44="SUBETAPA"</formula>
    </cfRule>
  </conditionalFormatting>
  <conditionalFormatting sqref="N56:O57">
    <cfRule type="expression" dxfId="3246" priority="7746">
      <formula>$H56="SUBETAPA"</formula>
    </cfRule>
  </conditionalFormatting>
  <conditionalFormatting sqref="N57:O57">
    <cfRule type="expression" dxfId="3245" priority="7747">
      <formula>$H57="CÉLULA CONSTRUTIVA"</formula>
    </cfRule>
  </conditionalFormatting>
  <conditionalFormatting sqref="N70:O70 O71:P71 N72:O72 K82 K85 N93:N94 K94 J93:K93 G93:H94">
    <cfRule type="expression" dxfId="3244" priority="5804">
      <formula>$H70="ETAPA"</formula>
    </cfRule>
  </conditionalFormatting>
  <conditionalFormatting sqref="N74:O74 G74:H74 K74">
    <cfRule type="expression" dxfId="3243" priority="783">
      <formula>$H74="CÉLULA CONSTRUTIVA"</formula>
    </cfRule>
    <cfRule type="expression" dxfId="3242" priority="782">
      <formula>$H74="SUBETAPA"</formula>
    </cfRule>
  </conditionalFormatting>
  <conditionalFormatting sqref="N76:O76 G76:H76 K76">
    <cfRule type="expression" dxfId="3241" priority="672">
      <formula>$H76="CÉLULA CONSTRUTIVA"</formula>
    </cfRule>
    <cfRule type="expression" dxfId="3240" priority="671">
      <formula>$H76="SUBETAPA"</formula>
    </cfRule>
  </conditionalFormatting>
  <conditionalFormatting sqref="N80:O80 G80:H80 K80">
    <cfRule type="expression" dxfId="3239" priority="611">
      <formula>$H80="SUBETAPA"</formula>
    </cfRule>
    <cfRule type="expression" dxfId="3238" priority="612">
      <formula>$H80="CÉLULA CONSTRUTIVA"</formula>
    </cfRule>
  </conditionalFormatting>
  <conditionalFormatting sqref="N103:O103 P105 N106:O107 P109 N110:O110 P111 P113 P119 P121 N122:O122 G122:K130 P123 N124:O124 P125 N126:O126 P127 N128 O169:P169 G169:K174 N170:O170 O171:P173 N174:O174 G115:K115">
    <cfRule type="expression" dxfId="3237" priority="8172">
      <formula>$H103="ETAPA"</formula>
    </cfRule>
  </conditionalFormatting>
  <conditionalFormatting sqref="N118:O118 P119 N120:O120 P121 N122:O122 P123 N124:O124 P125 N126:O126 P127 N128">
    <cfRule type="expression" dxfId="3236" priority="7653">
      <formula>$H118="SUBETAPA"</formula>
    </cfRule>
  </conditionalFormatting>
  <conditionalFormatting sqref="N118:O118">
    <cfRule type="expression" dxfId="3235" priority="8179">
      <formula>$H118="ETAPA"</formula>
    </cfRule>
  </conditionalFormatting>
  <conditionalFormatting sqref="N120:O120 G120:K130">
    <cfRule type="expression" dxfId="3234" priority="7654">
      <formula>$H120="CÉLULA CONSTRUTIVA"</formula>
    </cfRule>
  </conditionalFormatting>
  <conditionalFormatting sqref="N132:O132">
    <cfRule type="expression" dxfId="3233" priority="1378">
      <formula>$H132="SUBETAPA"</formula>
    </cfRule>
    <cfRule type="expression" dxfId="3232" priority="1380">
      <formula>$H132="ETAPA"</formula>
    </cfRule>
    <cfRule type="expression" dxfId="3231" priority="1379">
      <formula>$H132="CÉLULA CONSTRUTIVA"</formula>
    </cfRule>
  </conditionalFormatting>
  <conditionalFormatting sqref="N135:O135">
    <cfRule type="expression" dxfId="3230" priority="6930">
      <formula>$H135="CÉLULA CONSTRUTIVA"</formula>
    </cfRule>
    <cfRule type="expression" dxfId="3229" priority="6931">
      <formula>$H135="ETAPA"</formula>
    </cfRule>
  </conditionalFormatting>
  <conditionalFormatting sqref="N135:O137">
    <cfRule type="expression" dxfId="3228" priority="6929">
      <formula>$H135="SUBETAPA"</formula>
    </cfRule>
  </conditionalFormatting>
  <conditionalFormatting sqref="N146:O146 O147:O149">
    <cfRule type="expression" dxfId="3227" priority="1494">
      <formula>$H146="SUBETAPA"</formula>
    </cfRule>
    <cfRule type="expression" dxfId="3226" priority="1495">
      <formula>$H146="CÉLULA CONSTRUTIVA"</formula>
    </cfRule>
    <cfRule type="expression" dxfId="3225" priority="1496">
      <formula>$H146="ETAPA"</formula>
    </cfRule>
  </conditionalFormatting>
  <conditionalFormatting sqref="N155:O157">
    <cfRule type="expression" dxfId="3224" priority="6897">
      <formula>$H155="SUBETAPA"</formula>
    </cfRule>
  </conditionalFormatting>
  <conditionalFormatting sqref="N159:O159">
    <cfRule type="expression" dxfId="3223" priority="6900">
      <formula>$H159="SUBETAPA"</formula>
    </cfRule>
  </conditionalFormatting>
  <conditionalFormatting sqref="N175:O175 G175:K175">
    <cfRule type="expression" dxfId="3222" priority="1180">
      <formula>$H175="CÉLULA CONSTRUTIVA"</formula>
    </cfRule>
  </conditionalFormatting>
  <conditionalFormatting sqref="N183:O184 G183:K185 O185">
    <cfRule type="expression" dxfId="3221" priority="8096">
      <formula>$H183="CÉLULA CONSTRUTIVA"</formula>
    </cfRule>
    <cfRule type="expression" dxfId="3220" priority="8097">
      <formula>$H183="ETAPA"</formula>
    </cfRule>
  </conditionalFormatting>
  <conditionalFormatting sqref="N183:O184">
    <cfRule type="expression" dxfId="3219" priority="8095">
      <formula>$H183="SUBETAPA"</formula>
    </cfRule>
  </conditionalFormatting>
  <conditionalFormatting sqref="N193:O193">
    <cfRule type="expression" dxfId="3218" priority="4842">
      <formula>$H193="SUBETAPA"</formula>
    </cfRule>
  </conditionalFormatting>
  <conditionalFormatting sqref="N216:O221">
    <cfRule type="expression" dxfId="3217" priority="4595">
      <formula>$H216="SUBETAPA"</formula>
    </cfRule>
  </conditionalFormatting>
  <conditionalFormatting sqref="N226:O231">
    <cfRule type="expression" dxfId="3216" priority="4426">
      <formula>$H226="SUBETAPA"</formula>
    </cfRule>
  </conditionalFormatting>
  <conditionalFormatting sqref="N228:O228 G228:K228">
    <cfRule type="expression" dxfId="3215" priority="4563">
      <formula>$H228="CÉLULA CONSTRUTIVA"</formula>
    </cfRule>
  </conditionalFormatting>
  <conditionalFormatting sqref="N229:O229 G229:K229">
    <cfRule type="expression" dxfId="3214" priority="4500">
      <formula>$H229="CÉLULA CONSTRUTIVA"</formula>
    </cfRule>
  </conditionalFormatting>
  <conditionalFormatting sqref="N230:O230 G230:K230">
    <cfRule type="expression" dxfId="3213" priority="4484">
      <formula>$H230="CÉLULA CONSTRUTIVA"</formula>
    </cfRule>
  </conditionalFormatting>
  <conditionalFormatting sqref="N231:O231 G231:K231">
    <cfRule type="expression" dxfId="3212" priority="4427">
      <formula>$H231="CÉLULA CONSTRUTIVA"</formula>
    </cfRule>
  </conditionalFormatting>
  <conditionalFormatting sqref="N235:O240">
    <cfRule type="expression" dxfId="3211" priority="4508">
      <formula>$H235="SUBETAPA"</formula>
    </cfRule>
  </conditionalFormatting>
  <conditionalFormatting sqref="N237:O237 G237:K237">
    <cfRule type="expression" dxfId="3210" priority="4509">
      <formula>$H237="CÉLULA CONSTRUTIVA"</formula>
    </cfRule>
  </conditionalFormatting>
  <conditionalFormatting sqref="N240:O240 G240:K245">
    <cfRule type="expression" dxfId="3209" priority="7820">
      <formula>$H240="ETAPA"</formula>
    </cfRule>
  </conditionalFormatting>
  <conditionalFormatting sqref="N259:O261">
    <cfRule type="expression" dxfId="3208" priority="4366">
      <formula>$H259="SUBETAPA"</formula>
    </cfRule>
  </conditionalFormatting>
  <conditionalFormatting sqref="N263:O264">
    <cfRule type="expression" dxfId="3207" priority="7565">
      <formula>$H263="SUBETAPA"</formula>
    </cfRule>
  </conditionalFormatting>
  <conditionalFormatting sqref="N283:O283 L282 G282:K283 O282:P282">
    <cfRule type="expression" dxfId="3206" priority="1704">
      <formula>$H282="CÉLULA CONSTRUTIVA"</formula>
    </cfRule>
    <cfRule type="expression" dxfId="3205" priority="1703">
      <formula>$H282="SUBETAPA"</formula>
    </cfRule>
  </conditionalFormatting>
  <conditionalFormatting sqref="N309:O311">
    <cfRule type="expression" dxfId="3204" priority="7518">
      <formula>$H309="SUBETAPA"</formula>
    </cfRule>
  </conditionalFormatting>
  <conditionalFormatting sqref="N327:O327 G327:L329 O328:P328 N329:O329 G333:L333 O333:P333">
    <cfRule type="expression" dxfId="3203" priority="4242">
      <formula>$H327="ETAPA"</formula>
    </cfRule>
  </conditionalFormatting>
  <conditionalFormatting sqref="N327:O327 O328:P328 N329:O329 O333:P333">
    <cfRule type="expression" dxfId="3202" priority="4240">
      <formula>$H327="SUBETAPA"</formula>
    </cfRule>
  </conditionalFormatting>
  <conditionalFormatting sqref="N331:O332">
    <cfRule type="expression" dxfId="3201" priority="4118">
      <formula>$H331="SUBETAPA"</formula>
    </cfRule>
  </conditionalFormatting>
  <conditionalFormatting sqref="N344:O344 G344:J344">
    <cfRule type="expression" dxfId="3200" priority="1057">
      <formula>$H344="CÉLULA CONSTRUTIVA"</formula>
    </cfRule>
    <cfRule type="expression" dxfId="3199" priority="1056">
      <formula>$H344="SUBETAPA"</formula>
    </cfRule>
  </conditionalFormatting>
  <conditionalFormatting sqref="N348:O348 G348:K348">
    <cfRule type="expression" dxfId="3198" priority="1644">
      <formula>$H348="CÉLULA CONSTRUTIVA"</formula>
    </cfRule>
    <cfRule type="expression" dxfId="3197" priority="1643">
      <formula>$H348="SUBETAPA"</formula>
    </cfRule>
  </conditionalFormatting>
  <conditionalFormatting sqref="N100:P100">
    <cfRule type="expression" dxfId="3196" priority="7090">
      <formula>$H100="SUBETAPA"</formula>
    </cfRule>
  </conditionalFormatting>
  <conditionalFormatting sqref="N298:P298">
    <cfRule type="expression" dxfId="3195" priority="3624">
      <formula>$H298="SUBETAPA"</formula>
    </cfRule>
  </conditionalFormatting>
  <conditionalFormatting sqref="N300:P300">
    <cfRule type="expression" dxfId="3194" priority="3645">
      <formula>$H300="SUBETAPA"</formula>
    </cfRule>
  </conditionalFormatting>
  <conditionalFormatting sqref="N302:P302">
    <cfRule type="expression" dxfId="3193" priority="3666">
      <formula>$H302="SUBETAPA"</formula>
    </cfRule>
  </conditionalFormatting>
  <conditionalFormatting sqref="N307:P307">
    <cfRule type="expression" dxfId="3192" priority="3708">
      <formula>$H307="SUBETAPA"</formula>
    </cfRule>
  </conditionalFormatting>
  <conditionalFormatting sqref="N313:P313">
    <cfRule type="expression" dxfId="3191" priority="3792">
      <formula>$H313="SUBETAPA"</formula>
    </cfRule>
  </conditionalFormatting>
  <conditionalFormatting sqref="N319:P319">
    <cfRule type="expression" dxfId="3190" priority="3834">
      <formula>$H319="SUBETAPA"</formula>
    </cfRule>
  </conditionalFormatting>
  <conditionalFormatting sqref="N321:P321">
    <cfRule type="expression" dxfId="3189" priority="3855">
      <formula>$H321="SUBETAPA"</formula>
    </cfRule>
  </conditionalFormatting>
  <conditionalFormatting sqref="N323:P323">
    <cfRule type="expression" dxfId="3188" priority="3876">
      <formula>$H323="SUBETAPA"</formula>
    </cfRule>
  </conditionalFormatting>
  <conditionalFormatting sqref="N340:P342">
    <cfRule type="expression" dxfId="3187" priority="3918">
      <formula>$H340="SUBETAPA"</formula>
    </cfRule>
  </conditionalFormatting>
  <conditionalFormatting sqref="N350:P352">
    <cfRule type="expression" dxfId="3186" priority="3947">
      <formula>$H350="SUBETAPA"</formula>
    </cfRule>
  </conditionalFormatting>
  <conditionalFormatting sqref="N354:P357">
    <cfRule type="expression" dxfId="3185" priority="3981">
      <formula>$H354="SUBETAPA"</formula>
    </cfRule>
  </conditionalFormatting>
  <conditionalFormatting sqref="O11">
    <cfRule type="expression" dxfId="3184" priority="855">
      <formula>$H11="CÉLULA CONSTRUTIVA"</formula>
    </cfRule>
    <cfRule type="expression" dxfId="3183" priority="854">
      <formula>$H11="SUBETAPA"</formula>
    </cfRule>
    <cfRule type="expression" dxfId="3182" priority="856">
      <formula>$H11="ETAPA"</formula>
    </cfRule>
  </conditionalFormatting>
  <conditionalFormatting sqref="O16">
    <cfRule type="expression" dxfId="3181" priority="7751">
      <formula>$H16="ETAPA"</formula>
    </cfRule>
    <cfRule type="expression" dxfId="3180" priority="7750">
      <formula>$H16="CÉLULA CONSTRUTIVA"</formula>
    </cfRule>
    <cfRule type="expression" dxfId="3179" priority="7749">
      <formula>$H16="SUBETAPA"</formula>
    </cfRule>
  </conditionalFormatting>
  <conditionalFormatting sqref="O17">
    <cfRule type="expression" dxfId="3178" priority="7287">
      <formula>$H17="SUBETAPA"</formula>
    </cfRule>
    <cfRule type="expression" dxfId="3177" priority="7288">
      <formula>$H17="CÉLULA CONSTRUTIVA"</formula>
    </cfRule>
    <cfRule type="expression" dxfId="3176" priority="7289">
      <formula>$H17="ETAPA"</formula>
    </cfRule>
  </conditionalFormatting>
  <conditionalFormatting sqref="O19">
    <cfRule type="expression" dxfId="3175" priority="111">
      <formula>$H19="ETAPA"</formula>
    </cfRule>
    <cfRule type="expression" dxfId="3174" priority="110">
      <formula>$H19="CÉLULA CONSTRUTIVA"</formula>
    </cfRule>
    <cfRule type="expression" dxfId="3173" priority="109">
      <formula>$H19="SUBETAPA"</formula>
    </cfRule>
  </conditionalFormatting>
  <conditionalFormatting sqref="O23">
    <cfRule type="expression" dxfId="3172" priority="5336">
      <formula>$H23="ETAPA"</formula>
    </cfRule>
    <cfRule type="expression" dxfId="3171" priority="5335">
      <formula>$H23="CÉLULA CONSTRUTIVA"</formula>
    </cfRule>
  </conditionalFormatting>
  <conditionalFormatting sqref="O31:O38">
    <cfRule type="expression" dxfId="3170" priority="4892">
      <formula>$H31="CÉLULA CONSTRUTIVA"</formula>
    </cfRule>
    <cfRule type="expression" dxfId="3169" priority="4893">
      <formula>$H31="ETAPA"</formula>
    </cfRule>
  </conditionalFormatting>
  <conditionalFormatting sqref="O40:O42">
    <cfRule type="expression" dxfId="3168" priority="4890">
      <formula>$H40="ETAPA"</formula>
    </cfRule>
    <cfRule type="expression" dxfId="3167" priority="4889">
      <formula>$H40="CÉLULA CONSTRUTIVA"</formula>
    </cfRule>
  </conditionalFormatting>
  <conditionalFormatting sqref="O44:O45">
    <cfRule type="expression" dxfId="3166" priority="4887">
      <formula>$H44="ETAPA"</formula>
    </cfRule>
    <cfRule type="expression" dxfId="3165" priority="4886">
      <formula>$H44="CÉLULA CONSTRUTIVA"</formula>
    </cfRule>
  </conditionalFormatting>
  <conditionalFormatting sqref="O47:O48">
    <cfRule type="expression" dxfId="3164" priority="113">
      <formula>$H47="CÉLULA CONSTRUTIVA"</formula>
    </cfRule>
    <cfRule type="expression" dxfId="3163" priority="114">
      <formula>$H47="ETAPA"</formula>
    </cfRule>
    <cfRule type="expression" dxfId="3162" priority="112">
      <formula>$H47="SUBETAPA"</formula>
    </cfRule>
  </conditionalFormatting>
  <conditionalFormatting sqref="O65">
    <cfRule type="expression" dxfId="3161" priority="117">
      <formula>$H65="ETAPA"</formula>
    </cfRule>
    <cfRule type="expression" dxfId="3160" priority="115">
      <formula>$H65="SUBETAPA"</formula>
    </cfRule>
    <cfRule type="expression" dxfId="3159" priority="116">
      <formula>$H65="CÉLULA CONSTRUTIVA"</formula>
    </cfRule>
  </conditionalFormatting>
  <conditionalFormatting sqref="O66">
    <cfRule type="expression" dxfId="3158" priority="7575">
      <formula>$H66="SUBETAPA"</formula>
    </cfRule>
    <cfRule type="expression" dxfId="3157" priority="7576">
      <formula>$H66="CÉLULA CONSTRUTIVA"</formula>
    </cfRule>
    <cfRule type="expression" dxfId="3156" priority="7577">
      <formula>$H66="ETAPA"</formula>
    </cfRule>
  </conditionalFormatting>
  <conditionalFormatting sqref="O90:O91">
    <cfRule type="expression" dxfId="3155" priority="160">
      <formula>$H90="SUBETAPA"</formula>
    </cfRule>
    <cfRule type="expression" dxfId="3154" priority="162">
      <formula>$H90="ETAPA"</formula>
    </cfRule>
    <cfRule type="expression" dxfId="3153" priority="161">
      <formula>$H90="CÉLULA CONSTRUTIVA"</formula>
    </cfRule>
  </conditionalFormatting>
  <conditionalFormatting sqref="O92:O96">
    <cfRule type="expression" dxfId="3152" priority="120">
      <formula>$H92="ETAPA"</formula>
    </cfRule>
    <cfRule type="expression" dxfId="3151" priority="119">
      <formula>$H92="CÉLULA CONSTRUTIVA"</formula>
    </cfRule>
    <cfRule type="expression" dxfId="3150" priority="118">
      <formula>$H92="SUBETAPA"</formula>
    </cfRule>
  </conditionalFormatting>
  <conditionalFormatting sqref="O112">
    <cfRule type="expression" dxfId="3149" priority="845">
      <formula>$H112="SUBETAPA"</formula>
    </cfRule>
    <cfRule type="expression" dxfId="3148" priority="847">
      <formula>$H112="ETAPA"</formula>
    </cfRule>
    <cfRule type="expression" dxfId="3147" priority="846">
      <formula>$H112="CÉLULA CONSTRUTIVA"</formula>
    </cfRule>
  </conditionalFormatting>
  <conditionalFormatting sqref="O113">
    <cfRule type="expression" dxfId="3146" priority="7098">
      <formula>$H113="CÉLULA CONSTRUTIVA"</formula>
    </cfRule>
    <cfRule type="expression" dxfId="3145" priority="7099">
      <formula>$H113="ETAPA"</formula>
    </cfRule>
  </conditionalFormatting>
  <conditionalFormatting sqref="O128">
    <cfRule type="expression" dxfId="3143" priority="158">
      <formula>$H128="CÉLULA CONSTRUTIVA"</formula>
    </cfRule>
    <cfRule type="expression" dxfId="3142" priority="159">
      <formula>$H128="ETAPA"</formula>
    </cfRule>
    <cfRule type="expression" dxfId="3141" priority="157">
      <formula>$H128="SUBETAPA"</formula>
    </cfRule>
  </conditionalFormatting>
  <conditionalFormatting sqref="O129">
    <cfRule type="expression" dxfId="3140" priority="7096">
      <formula>$H129="ETAPA"</formula>
    </cfRule>
    <cfRule type="expression" dxfId="3139" priority="7095">
      <formula>$H129="CÉLULA CONSTRUTIVA"</formula>
    </cfRule>
  </conditionalFormatting>
  <conditionalFormatting sqref="O129:O130">
    <cfRule type="expression" dxfId="3138" priority="7094">
      <formula>$H129="SUBETAPA"</formula>
    </cfRule>
  </conditionalFormatting>
  <conditionalFormatting sqref="O139:O142">
    <cfRule type="expression" dxfId="3137" priority="95">
      <formula>$H139="CÉLULA CONSTRUTIVA"</formula>
    </cfRule>
    <cfRule type="expression" dxfId="3136" priority="94">
      <formula>$H139="SUBETAPA"</formula>
    </cfRule>
    <cfRule type="expression" dxfId="3135" priority="96">
      <formula>$H139="ETAPA"</formula>
    </cfRule>
  </conditionalFormatting>
  <conditionalFormatting sqref="O143">
    <cfRule type="expression" dxfId="3134" priority="1516">
      <formula>$H143="SUBETAPA"</formula>
    </cfRule>
    <cfRule type="expression" dxfId="3133" priority="1518">
      <formula>$H143="ETAPA"</formula>
    </cfRule>
    <cfRule type="expression" dxfId="3132" priority="1517">
      <formula>$H143="CÉLULA CONSTRUTIVA"</formula>
    </cfRule>
  </conditionalFormatting>
  <conditionalFormatting sqref="O151">
    <cfRule type="expression" dxfId="3131" priority="99">
      <formula>$H151="ETAPA"</formula>
    </cfRule>
    <cfRule type="expression" dxfId="3130" priority="98">
      <formula>$H151="CÉLULA CONSTRUTIVA"</formula>
    </cfRule>
    <cfRule type="expression" dxfId="3129" priority="97">
      <formula>$H151="SUBETAPA"</formula>
    </cfRule>
  </conditionalFormatting>
  <conditionalFormatting sqref="O152">
    <cfRule type="expression" dxfId="3128" priority="7093">
      <formula>$H152="ETAPA"</formula>
    </cfRule>
    <cfRule type="expression" dxfId="3127" priority="7092">
      <formula>$H152="CÉLULA CONSTRUTIVA"</formula>
    </cfRule>
    <cfRule type="expression" dxfId="3126" priority="7091">
      <formula>$H152="SUBETAPA"</formula>
    </cfRule>
  </conditionalFormatting>
  <conditionalFormatting sqref="O155">
    <cfRule type="expression" dxfId="3125" priority="6898">
      <formula>$H155="CÉLULA CONSTRUTIVA"</formula>
    </cfRule>
    <cfRule type="expression" dxfId="3124" priority="6899">
      <formula>$H155="ETAPA"</formula>
    </cfRule>
  </conditionalFormatting>
  <conditionalFormatting sqref="O157">
    <cfRule type="expression" dxfId="3123" priority="6904">
      <formula>$H157="CÉLULA CONSTRUTIVA"</formula>
    </cfRule>
    <cfRule type="expression" dxfId="3122" priority="6905">
      <formula>$H157="ETAPA"</formula>
    </cfRule>
  </conditionalFormatting>
  <conditionalFormatting sqref="O159">
    <cfRule type="expression" dxfId="3121" priority="6902">
      <formula>$H159="ETAPA"</formula>
    </cfRule>
    <cfRule type="expression" dxfId="3120" priority="6901">
      <formula>$H159="CÉLULA CONSTRUTIVA"</formula>
    </cfRule>
  </conditionalFormatting>
  <conditionalFormatting sqref="O163">
    <cfRule type="expression" dxfId="3119" priority="7635">
      <formula>$H163="SUBETAPA"</formula>
    </cfRule>
  </conditionalFormatting>
  <conditionalFormatting sqref="O164">
    <cfRule type="expression" dxfId="3118" priority="1766">
      <formula>$H164="SUBETAPA"</formula>
    </cfRule>
  </conditionalFormatting>
  <conditionalFormatting sqref="O165">
    <cfRule type="expression" dxfId="3117" priority="1739">
      <formula>$H165="SUBETAPA"</formula>
    </cfRule>
  </conditionalFormatting>
  <conditionalFormatting sqref="O185:O192">
    <cfRule type="expression" dxfId="3116" priority="4579">
      <formula>$H185="SUBETAPA"</formula>
    </cfRule>
  </conditionalFormatting>
  <conditionalFormatting sqref="O186:O189 O194">
    <cfRule type="expression" dxfId="3115" priority="7990">
      <formula>$H186="ETAPA"</formula>
    </cfRule>
    <cfRule type="expression" dxfId="3114" priority="7989">
      <formula>$H186="CÉLULA CONSTRUTIVA"</formula>
    </cfRule>
  </conditionalFormatting>
  <conditionalFormatting sqref="O190 O193">
    <cfRule type="expression" dxfId="3113" priority="4846">
      <formula>$H190="CÉLULA CONSTRUTIVA"</formula>
    </cfRule>
    <cfRule type="expression" dxfId="3112" priority="4847">
      <formula>$H190="ETAPA"</formula>
    </cfRule>
  </conditionalFormatting>
  <conditionalFormatting sqref="O191">
    <cfRule type="expression" dxfId="3111" priority="4815">
      <formula>$H191="CÉLULA CONSTRUTIVA"</formula>
    </cfRule>
    <cfRule type="expression" dxfId="3110" priority="4816">
      <formula>$H191="ETAPA"</formula>
    </cfRule>
  </conditionalFormatting>
  <conditionalFormatting sqref="O192">
    <cfRule type="expression" dxfId="3109" priority="4580">
      <formula>$H192="CÉLULA CONSTRUTIVA"</formula>
    </cfRule>
    <cfRule type="expression" dxfId="3108" priority="4581">
      <formula>$H192="ETAPA"</formula>
    </cfRule>
  </conditionalFormatting>
  <conditionalFormatting sqref="O197:O202">
    <cfRule type="expression" dxfId="3107" priority="122">
      <formula>$H197="CÉLULA CONSTRUTIVA"</formula>
    </cfRule>
    <cfRule type="expression" dxfId="3106" priority="123">
      <formula>$H197="ETAPA"</formula>
    </cfRule>
    <cfRule type="expression" dxfId="3105" priority="121">
      <formula>$H197="SUBETAPA"</formula>
    </cfRule>
  </conditionalFormatting>
  <conditionalFormatting sqref="O212">
    <cfRule type="expression" dxfId="3104" priority="126">
      <formula>$H212="ETAPA"</formula>
    </cfRule>
    <cfRule type="expression" dxfId="3103" priority="125">
      <formula>$H212="CÉLULA CONSTRUTIVA"</formula>
    </cfRule>
    <cfRule type="expression" dxfId="3102" priority="124">
      <formula>$H212="SUBETAPA"</formula>
    </cfRule>
  </conditionalFormatting>
  <conditionalFormatting sqref="O214:O215">
    <cfRule type="expression" dxfId="3101" priority="7556">
      <formula>$H214="SUBETAPA"</formula>
    </cfRule>
  </conditionalFormatting>
  <conditionalFormatting sqref="O232 G232:K233 N233:O233">
    <cfRule type="expression" dxfId="3100" priority="4715">
      <formula>$H232="ETAPA"</formula>
    </cfRule>
  </conditionalFormatting>
  <conditionalFormatting sqref="O232 N233:O233">
    <cfRule type="expression" dxfId="3099" priority="4713">
      <formula>$H232="SUBETAPA"</formula>
    </cfRule>
  </conditionalFormatting>
  <conditionalFormatting sqref="O244:O250 O252 O254:O255">
    <cfRule type="expression" dxfId="3098" priority="151">
      <formula>$H244="SUBETAPA"</formula>
    </cfRule>
    <cfRule type="expression" dxfId="3097" priority="152">
      <formula>$H244="CÉLULA CONSTRUTIVA"</formula>
    </cfRule>
    <cfRule type="expression" dxfId="3096" priority="153">
      <formula>$H244="ETAPA"</formula>
    </cfRule>
  </conditionalFormatting>
  <conditionalFormatting sqref="O251">
    <cfRule type="expression" dxfId="3095" priority="148">
      <formula>$H251="SUBETAPA"</formula>
    </cfRule>
    <cfRule type="expression" dxfId="3094" priority="150">
      <formula>$H251="ETAPA"</formula>
    </cfRule>
    <cfRule type="expression" dxfId="3093" priority="149">
      <formula>$H251="CÉLULA CONSTRUTIVA"</formula>
    </cfRule>
  </conditionalFormatting>
  <conditionalFormatting sqref="O253">
    <cfRule type="expression" dxfId="3092" priority="147">
      <formula>$H253="ETAPA"</formula>
    </cfRule>
    <cfRule type="expression" dxfId="3091" priority="145">
      <formula>$H253="SUBETAPA"</formula>
    </cfRule>
    <cfRule type="expression" dxfId="3090" priority="146">
      <formula>$H253="CÉLULA CONSTRUTIVA"</formula>
    </cfRule>
  </conditionalFormatting>
  <conditionalFormatting sqref="O269:O275">
    <cfRule type="expression" dxfId="3089" priority="143">
      <formula>$H269="CÉLULA CONSTRUTIVA"</formula>
    </cfRule>
    <cfRule type="expression" dxfId="3088" priority="142">
      <formula>$H269="SUBETAPA"</formula>
    </cfRule>
    <cfRule type="expression" dxfId="3087" priority="144">
      <formula>$H269="ETAPA"</formula>
    </cfRule>
  </conditionalFormatting>
  <conditionalFormatting sqref="O294">
    <cfRule type="expression" dxfId="3086" priority="863">
      <formula>$H294="SUBETAPA"</formula>
    </cfRule>
    <cfRule type="expression" dxfId="3085" priority="864">
      <formula>$H294="CÉLULA CONSTRUTIVA"</formula>
    </cfRule>
    <cfRule type="expression" dxfId="3084" priority="865">
      <formula>$H294="ETAPA"</formula>
    </cfRule>
  </conditionalFormatting>
  <conditionalFormatting sqref="O304">
    <cfRule type="expression" dxfId="3083" priority="102">
      <formula>$H304="ETAPA"</formula>
    </cfRule>
    <cfRule type="expression" dxfId="3082" priority="100">
      <formula>$H304="SUBETAPA"</formula>
    </cfRule>
    <cfRule type="expression" dxfId="3081" priority="101">
      <formula>$H304="CÉLULA CONSTRUTIVA"</formula>
    </cfRule>
  </conditionalFormatting>
  <conditionalFormatting sqref="O315">
    <cfRule type="expression" dxfId="3080" priority="107">
      <formula>$H315="CÉLULA CONSTRUTIVA"</formula>
    </cfRule>
    <cfRule type="expression" dxfId="3079" priority="108">
      <formula>$H315="ETAPA"</formula>
    </cfRule>
    <cfRule type="expression" dxfId="3078" priority="106">
      <formula>$H315="SUBETAPA"</formula>
    </cfRule>
  </conditionalFormatting>
  <conditionalFormatting sqref="O360:O361">
    <cfRule type="expression" dxfId="3077" priority="139">
      <formula>$H360="SUBETAPA"</formula>
    </cfRule>
    <cfRule type="expression" dxfId="3076" priority="140">
      <formula>$H360="CÉLULA CONSTRUTIVA"</formula>
    </cfRule>
    <cfRule type="expression" dxfId="3075" priority="141">
      <formula>$H360="ETAPA"</formula>
    </cfRule>
  </conditionalFormatting>
  <conditionalFormatting sqref="O371:O372">
    <cfRule type="expression" dxfId="3074" priority="131">
      <formula>$H371="CÉLULA CONSTRUTIVA"</formula>
    </cfRule>
    <cfRule type="expression" dxfId="3073" priority="132">
      <formula>$H371="ETAPA"</formula>
    </cfRule>
    <cfRule type="expression" dxfId="3072" priority="130">
      <formula>$H371="SUBETAPA"</formula>
    </cfRule>
  </conditionalFormatting>
  <conditionalFormatting sqref="O383">
    <cfRule type="expression" dxfId="3071" priority="127">
      <formula>$H383="SUBETAPA"</formula>
    </cfRule>
    <cfRule type="expression" dxfId="3070" priority="129">
      <formula>$H383="ETAPA"</formula>
    </cfRule>
    <cfRule type="expression" dxfId="3069" priority="128">
      <formula>$H383="CÉLULA CONSTRUTIVA"</formula>
    </cfRule>
  </conditionalFormatting>
  <conditionalFormatting sqref="O8:P10 N11">
    <cfRule type="expression" dxfId="3068" priority="7346">
      <formula>$H8="SUBETAPA"</formula>
    </cfRule>
  </conditionalFormatting>
  <conditionalFormatting sqref="O12:P14">
    <cfRule type="expression" dxfId="3067" priority="8021">
      <formula>$H12="SUBETAPA"</formula>
    </cfRule>
  </conditionalFormatting>
  <conditionalFormatting sqref="P58 N57:O57">
    <cfRule type="expression" dxfId="3066" priority="8001">
      <formula>$H57="ETAPA"</formula>
    </cfRule>
  </conditionalFormatting>
  <conditionalFormatting sqref="O73:P73">
    <cfRule type="expression" dxfId="3065" priority="790">
      <formula>$H73="ETAPA"</formula>
    </cfRule>
    <cfRule type="expression" dxfId="3064" priority="788">
      <formula>$H73="SUBETAPA"</formula>
    </cfRule>
    <cfRule type="expression" dxfId="3063" priority="789">
      <formula>$H73="CÉLULA CONSTRUTIVA"</formula>
    </cfRule>
  </conditionalFormatting>
  <conditionalFormatting sqref="O75:P75">
    <cfRule type="expression" dxfId="3062" priority="679">
      <formula>$H75="ETAPA"</formula>
    </cfRule>
    <cfRule type="expression" dxfId="3061" priority="678">
      <formula>$H75="CÉLULA CONSTRUTIVA"</formula>
    </cfRule>
    <cfRule type="expression" dxfId="3060" priority="677">
      <formula>$H75="SUBETAPA"</formula>
    </cfRule>
  </conditionalFormatting>
  <conditionalFormatting sqref="O77:P77 O85:P85 O87:P87 O89:P89 P81 O71:P71 N72:O72 N82:O82 N86:O86 N88:O88">
    <cfRule type="expression" dxfId="3059" priority="5777">
      <formula>$H71="SUBETAPA"</formula>
    </cfRule>
  </conditionalFormatting>
  <conditionalFormatting sqref="O77:P77 P81 O85:P85 O87:P87 O89:P89">
    <cfRule type="expression" dxfId="3058" priority="5779">
      <formula>$H77="ETAPA"</formula>
    </cfRule>
  </conditionalFormatting>
  <conditionalFormatting sqref="O79:P79">
    <cfRule type="expression" dxfId="3057" priority="617">
      <formula>$H79="SUBETAPA"</formula>
    </cfRule>
    <cfRule type="expression" dxfId="3056" priority="618">
      <formula>$H79="CÉLULA CONSTRUTIVA"</formula>
    </cfRule>
    <cfRule type="expression" dxfId="3055" priority="619">
      <formula>$H79="ETAPA"</formula>
    </cfRule>
  </conditionalFormatting>
  <conditionalFormatting sqref="O97:P99 G97:K100 N100:O100 G102:K102 O102:P102">
    <cfRule type="expression" dxfId="3054" priority="7569">
      <formula>$H97="ETAPA"</formula>
    </cfRule>
  </conditionalFormatting>
  <conditionalFormatting sqref="O97:P99 O102:P102">
    <cfRule type="expression" dxfId="3053" priority="7567">
      <formula>$H97="SUBETAPA"</formula>
    </cfRule>
  </conditionalFormatting>
  <conditionalFormatting sqref="P111 P113 P119 P121 P123 P125 P127 O171:P173 O169:P169 N103:O103 P105 N106:O107 P109 N110:O110 G169:K174 N170:O170 N174:O174 N118:O118 N122:O122 N124:O124 N126:O126 N128">
    <cfRule type="expression" dxfId="3052" priority="8171">
      <formula>$H103="CÉLULA CONSTRUTIVA"</formula>
    </cfRule>
  </conditionalFormatting>
  <conditionalFormatting sqref="O113:P114 P115">
    <cfRule type="expression" dxfId="3051" priority="7097">
      <formula>$H113="SUBETAPA"</formula>
    </cfRule>
  </conditionalFormatting>
  <conditionalFormatting sqref="O130:P130">
    <cfRule type="expression" dxfId="3050" priority="8178">
      <formula>$H130="ETAPA"</formula>
    </cfRule>
  </conditionalFormatting>
  <conditionalFormatting sqref="P138">
    <cfRule type="expression" dxfId="3049" priority="7027">
      <formula>$H138="SUBETAPA"</formula>
    </cfRule>
  </conditionalFormatting>
  <conditionalFormatting sqref="O144:P144 G143:K144">
    <cfRule type="expression" dxfId="3048" priority="1559">
      <formula>$H143="ETAPA"</formula>
    </cfRule>
  </conditionalFormatting>
  <conditionalFormatting sqref="O158:P158">
    <cfRule type="expression" dxfId="3047" priority="8160">
      <formula>$H158="ETAPA"</formula>
    </cfRule>
    <cfRule type="expression" dxfId="3046" priority="8159">
      <formula>$H158="CÉLULA CONSTRUTIVA"</formula>
    </cfRule>
    <cfRule type="expression" dxfId="3045" priority="8158">
      <formula>$H158="SUBETAPA"</formula>
    </cfRule>
  </conditionalFormatting>
  <conditionalFormatting sqref="O160:P160">
    <cfRule type="expression" dxfId="3044" priority="8132">
      <formula>$H160="ETAPA"</formula>
    </cfRule>
    <cfRule type="expression" dxfId="3043" priority="8131">
      <formula>$H160="CÉLULA CONSTRUTIVA"</formula>
    </cfRule>
    <cfRule type="expression" dxfId="3042" priority="8130">
      <formula>$H160="SUBETAPA"</formula>
    </cfRule>
  </conditionalFormatting>
  <conditionalFormatting sqref="O161:P161">
    <cfRule type="expression" dxfId="3041" priority="4858">
      <formula>$H161="CÉLULA CONSTRUTIVA"</formula>
    </cfRule>
    <cfRule type="expression" dxfId="3040" priority="4859">
      <formula>$H161="ETAPA"</formula>
    </cfRule>
  </conditionalFormatting>
  <conditionalFormatting sqref="O161:P162">
    <cfRule type="expression" dxfId="3039" priority="4857">
      <formula>$H161="SUBETAPA"</formula>
    </cfRule>
  </conditionalFormatting>
  <conditionalFormatting sqref="O162:P162 G162:K163 N163:O163">
    <cfRule type="expression" dxfId="3038" priority="7637">
      <formula>$H162="ETAPA"</formula>
    </cfRule>
  </conditionalFormatting>
  <conditionalFormatting sqref="O178:P178 G178:K179 N179:O179">
    <cfRule type="expression" dxfId="3037" priority="7376">
      <formula>$H178="ETAPA"</formula>
    </cfRule>
  </conditionalFormatting>
  <conditionalFormatting sqref="O178:P178 N179:O179">
    <cfRule type="expression" dxfId="3036" priority="7374">
      <formula>$H178="SUBETAPA"</formula>
    </cfRule>
  </conditionalFormatting>
  <conditionalFormatting sqref="O181:P182">
    <cfRule type="expression" dxfId="3035" priority="8230">
      <formula>$H181="SUBETAPA"</formula>
    </cfRule>
  </conditionalFormatting>
  <conditionalFormatting sqref="O196:P196">
    <cfRule type="expression" dxfId="3034" priority="6793">
      <formula>$H196="SUBETAPA"</formula>
    </cfRule>
  </conditionalFormatting>
  <conditionalFormatting sqref="O209:P209 G16:L17 N16:N17 P66 G152:L160 N157 N159 G166:L168 N166:O168 O208 N369:P369">
    <cfRule type="expression" dxfId="3033" priority="8166">
      <formula>$H16="CÉLULA CONSTRUTIVA"</formula>
    </cfRule>
  </conditionalFormatting>
  <conditionalFormatting sqref="O211:P211">
    <cfRule type="expression" dxfId="3032" priority="7621">
      <formula>$H211="SUBETAPA"</formula>
    </cfRule>
  </conditionalFormatting>
  <conditionalFormatting sqref="O256:P258">
    <cfRule type="expression" dxfId="3031" priority="7549">
      <formula>$H256="SUBETAPA"</formula>
    </cfRule>
  </conditionalFormatting>
  <conditionalFormatting sqref="O265:P265 O268:P268">
    <cfRule type="expression" dxfId="3030" priority="7761">
      <formula>$H265="SUBETAPA"</formula>
    </cfRule>
  </conditionalFormatting>
  <conditionalFormatting sqref="O265:P265 O291:P292 O305:P305">
    <cfRule type="expression" dxfId="3029" priority="7874">
      <formula>$H265="ETAPA"</formula>
    </cfRule>
  </conditionalFormatting>
  <conditionalFormatting sqref="O282:P282 L282 G282:K283 N283:O283">
    <cfRule type="expression" dxfId="3028" priority="1715">
      <formula>$H282="ETAPA"</formula>
    </cfRule>
  </conditionalFormatting>
  <conditionalFormatting sqref="O297:P297 G297:L298 N298:O298">
    <cfRule type="expression" dxfId="3027" priority="4287">
      <formula>$H297="ETAPA"</formula>
    </cfRule>
  </conditionalFormatting>
  <conditionalFormatting sqref="O303:P303 P15:P17 P90:P94 P151:P152 N166:P168 P206 P212 P345:P347 P368:P375 P377:P383 O316:P316 O305:P306 O314:P314 G241:L245 G255:L255 G303:L307 G58:L65 P58 N59:O61 O62:P62 N63:N65 O203:P205 O213:P213 O241:P241 N242:O242 O243:P243 O262:P262 N266:O267 N281:O281 O284:P284 N285:O285 O291:P292 N293:O293 N295:O296 O299:P299 O301:P301 N304 N315">
    <cfRule type="expression" dxfId="3026" priority="7778">
      <formula>$H15="SUBETAPA"</formula>
    </cfRule>
  </conditionalFormatting>
  <conditionalFormatting sqref="O306:P306 G311:K311 N311:O311">
    <cfRule type="expression" dxfId="3025" priority="7533">
      <formula>$H306="ETAPA"</formula>
    </cfRule>
  </conditionalFormatting>
  <conditionalFormatting sqref="O312:P312 G308:K316">
    <cfRule type="expression" dxfId="3024" priority="7496">
      <formula>$H308="SUBETAPA"</formula>
    </cfRule>
  </conditionalFormatting>
  <conditionalFormatting sqref="O312:P312 G312:K313 N313:O313">
    <cfRule type="expression" dxfId="3023" priority="7507">
      <formula>$H312="ETAPA"</formula>
    </cfRule>
  </conditionalFormatting>
  <conditionalFormatting sqref="O317:P318 G317:K318">
    <cfRule type="expression" dxfId="3022" priority="7425">
      <formula>$H317="SUBETAPA"</formula>
    </cfRule>
  </conditionalFormatting>
  <conditionalFormatting sqref="O317:P318">
    <cfRule type="expression" dxfId="3021" priority="7429">
      <formula>$H317="ETAPA"</formula>
    </cfRule>
  </conditionalFormatting>
  <conditionalFormatting sqref="O324:P324 G324:K324">
    <cfRule type="expression" dxfId="3020" priority="4255">
      <formula>$H324="ETAPA"</formula>
    </cfRule>
  </conditionalFormatting>
  <conditionalFormatting sqref="O324:P324">
    <cfRule type="expression" dxfId="3019" priority="4243">
      <formula>$H324="SUBETAPA"</formula>
    </cfRule>
  </conditionalFormatting>
  <conditionalFormatting sqref="O325:P326">
    <cfRule type="expression" dxfId="3018" priority="4227">
      <formula>$H325="ETAPA"</formula>
    </cfRule>
    <cfRule type="expression" dxfId="3017" priority="4223">
      <formula>$H325="SUBETAPA"</formula>
    </cfRule>
  </conditionalFormatting>
  <conditionalFormatting sqref="O330:P330">
    <cfRule type="expression" dxfId="3016" priority="4147">
      <formula>$H330="SUBETAPA"</formula>
    </cfRule>
  </conditionalFormatting>
  <conditionalFormatting sqref="O343:P343 O308:P308 O337:P339 O15:O17 N375:P375 N385:P385 P389 N368:P368 P369:P372 G345:P345 M346:P347 N15:P15 H16:H17 P16:P17 P20:P22 P151 P166:P168 N186:N187 N189 N195:O195 N206:P206 O207:P207 N208:O208 N210:O210 P212 O222:P222 N223:O224 O225:P225 O234:P234 O276:P278 N279:O279 O286:P286 N288:O290 N294 G319:M323 O320:P320 O322:P322 O335:P335 N336 G346:K347 O365:P367 N370:O370 O376:P376 N377:P382 P383 O384:P384 O386:P386 N387:O387 O390:P390 N391:O391 O392:P396 G396 G397:K397 M397:P397 G398:P401 O280:P280">
    <cfRule type="expression" dxfId="3015" priority="7734">
      <formula>$H15="SUBETAPA"</formula>
    </cfRule>
  </conditionalFormatting>
  <conditionalFormatting sqref="O349:P349">
    <cfRule type="expression" dxfId="3014" priority="7706">
      <formula>$H349="ETAPA"</formula>
    </cfRule>
    <cfRule type="expression" dxfId="3013" priority="7704">
      <formula>$H349="SUBETAPA"</formula>
    </cfRule>
  </conditionalFormatting>
  <conditionalFormatting sqref="O353:P353">
    <cfRule type="expression" dxfId="3012" priority="4683">
      <formula>$H353="SUBETAPA"</formula>
    </cfRule>
  </conditionalFormatting>
  <conditionalFormatting sqref="O358:P358">
    <cfRule type="expression" dxfId="3011" priority="7698">
      <formula>$H358="SUBETAPA"</formula>
    </cfRule>
  </conditionalFormatting>
  <conditionalFormatting sqref="O373:P374 N371:N372">
    <cfRule type="expression" dxfId="3010" priority="8188">
      <formula>$H371="SUBETAPA"</formula>
    </cfRule>
  </conditionalFormatting>
  <conditionalFormatting sqref="P1:P5 P7:P9 P12:P14 P17:P18 P20:P22 P30 P39 P43 P46 P49:P51 P55 P105 P109 P111 P113:P115 P117 P119 P121 P123 P125 P127 P129:P130 P152:P154 P176 P181:P182 P211 P222 P225 P234 P241 P243 P257:P258 P262 P268 P299 P301 P338:P339 P358 P365:P367 P376 P384:P386 P389:P390 P392:P401">
    <cfRule type="containsText" dxfId="3009" priority="8240" operator="containsText" text="em andamento">
      <formula>NOT(ISERROR(SEARCH("em andamento",P1)))</formula>
    </cfRule>
  </conditionalFormatting>
  <conditionalFormatting sqref="P1:P5 P17:P18 P20:P22 P30 P39 P43 P46 P49:P51 P55 P105 P109 P111 P113:P115 P117 P119 P121 P123 P125 P127 P129:P130 P152:P154 P176 P181:P182 P211 P241 P243 P257:P258 P268 P299 P301 P358 P365:P367 P262 P376 P7:P9 P12:P14 P222 P225 P234 P389:P390 P392:P401">
    <cfRule type="containsText" dxfId="3008" priority="8239" operator="containsText" text="Finalizado">
      <formula>NOT(ISERROR(SEARCH("Finalizado",P1)))</formula>
    </cfRule>
  </conditionalFormatting>
  <conditionalFormatting sqref="P1:P5 P18 P20:P22 P30 P39 P43 P46 P49:P51 P55 P105 P109 P111 P113:P115 P117 P119 P121 P123 P125 P127 P129:P130 P152:P154 P176 P181:P182 P211 P241 P243 P257:P258 P268 P299 P301 P305 P358 P365:P367">
    <cfRule type="containsText" dxfId="3007" priority="8238" operator="containsText" text="Pendente">
      <formula>NOT(ISERROR(SEARCH("Pendente",P1)))</formula>
    </cfRule>
  </conditionalFormatting>
  <conditionalFormatting sqref="P7:P9 P12:P14 P62 P225 P234 P17 P377:P386 P222 P322 P335 P337 P389:P390 P392:P401">
    <cfRule type="containsText" dxfId="3006" priority="8045" operator="containsText" text="Lançado">
      <formula>NOT(ISERROR(SEARCH("Lançado",P7)))</formula>
    </cfRule>
    <cfRule type="containsText" dxfId="3005" priority="8046" operator="containsText" text="N/A">
      <formula>NOT(ISERROR(SEARCH("N/A",P7)))</formula>
    </cfRule>
  </conditionalFormatting>
  <conditionalFormatting sqref="P10">
    <cfRule type="containsText" dxfId="3004" priority="7352" operator="containsText" text="Finalizado">
      <formula>NOT(ISERROR(SEARCH("Finalizado",P10)))</formula>
    </cfRule>
    <cfRule type="containsText" dxfId="3003" priority="7349" operator="containsText" text="Lançado">
      <formula>NOT(ISERROR(SEARCH("Lançado",P10)))</formula>
    </cfRule>
    <cfRule type="containsText" dxfId="3002" priority="7350" operator="containsText" text="N/A">
      <formula>NOT(ISERROR(SEARCH("N/A",P10)))</formula>
    </cfRule>
    <cfRule type="containsText" dxfId="3001" priority="7353" operator="containsText" text="em andamento">
      <formula>NOT(ISERROR(SEARCH("em andamento",P10)))</formula>
    </cfRule>
    <cfRule type="containsText" dxfId="3000" priority="7351" operator="containsText" text="Pendente">
      <formula>NOT(ISERROR(SEARCH("Pendente",P10)))</formula>
    </cfRule>
  </conditionalFormatting>
  <conditionalFormatting sqref="P11">
    <cfRule type="expression" dxfId="2999" priority="2491">
      <formula>$H11="CÉLULA CONSTRUTIVA"</formula>
    </cfRule>
    <cfRule type="expression" dxfId="2998" priority="2492">
      <formula>$H11="ETAPA"</formula>
    </cfRule>
    <cfRule type="containsText" dxfId="2997" priority="2487" operator="containsText" text="Pendente">
      <formula>NOT(ISERROR(SEARCH("Pendente",P11)))</formula>
    </cfRule>
    <cfRule type="containsText" dxfId="2996" priority="2481" operator="containsText" text="N/A">
      <formula>NOT(ISERROR(SEARCH("N/A",P11)))</formula>
    </cfRule>
    <cfRule type="containsText" dxfId="2995" priority="2493" operator="containsText" text="Lançado">
      <formula>NOT(ISERROR(SEARCH("Lançado",P11)))</formula>
    </cfRule>
    <cfRule type="containsText" dxfId="2994" priority="2496" operator="containsText" text="Finalizado">
      <formula>NOT(ISERROR(SEARCH("Finalizado",P11)))</formula>
    </cfRule>
    <cfRule type="containsText" dxfId="2993" priority="2497" operator="containsText" text="em andamento">
      <formula>NOT(ISERROR(SEARCH("em andamento",P11)))</formula>
    </cfRule>
    <cfRule type="expression" dxfId="2992" priority="2490">
      <formula>$H11="SUBETAPA"</formula>
    </cfRule>
    <cfRule type="expression" dxfId="2991" priority="2479">
      <formula>$H11="ETAPA"</formula>
    </cfRule>
    <cfRule type="expression" dxfId="2990" priority="2478">
      <formula>$H11="CÉLULA CONSTRUTIVA"</formula>
    </cfRule>
    <cfRule type="expression" dxfId="2989" priority="2477">
      <formula>$H11="SUBETAPA"</formula>
    </cfRule>
    <cfRule type="containsText" dxfId="2988" priority="2480" operator="containsText" text="Lançado">
      <formula>NOT(ISERROR(SEARCH("Lançado",P11)))</formula>
    </cfRule>
    <cfRule type="containsText" dxfId="2987" priority="2482" operator="containsText" text="Pendente">
      <formula>NOT(ISERROR(SEARCH("Pendente",P11)))</formula>
    </cfRule>
    <cfRule type="containsText" dxfId="2986" priority="2483" operator="containsText" text="Finalizado">
      <formula>NOT(ISERROR(SEARCH("Finalizado",P11)))</formula>
    </cfRule>
    <cfRule type="containsText" dxfId="2985" priority="2488" operator="containsText" text="Finalizado">
      <formula>NOT(ISERROR(SEARCH("Finalizado",P11)))</formula>
    </cfRule>
    <cfRule type="containsText" dxfId="2984" priority="2484" operator="containsText" text="em andamento">
      <formula>NOT(ISERROR(SEARCH("em andamento",P11)))</formula>
    </cfRule>
    <cfRule type="containsText" dxfId="2983" priority="2485" operator="containsText" text="Lançado">
      <formula>NOT(ISERROR(SEARCH("Lançado",P11)))</formula>
    </cfRule>
    <cfRule type="containsText" dxfId="2982" priority="2486" operator="containsText" text="N/A">
      <formula>NOT(ISERROR(SEARCH("N/A",P11)))</formula>
    </cfRule>
    <cfRule type="containsText" dxfId="2981" priority="2489" operator="containsText" text="em andamento">
      <formula>NOT(ISERROR(SEARCH("em andamento",P11)))</formula>
    </cfRule>
    <cfRule type="containsText" dxfId="2980" priority="2494" operator="containsText" text="N/A">
      <formula>NOT(ISERROR(SEARCH("N/A",P11)))</formula>
    </cfRule>
    <cfRule type="containsText" dxfId="2979" priority="2495" operator="containsText" text="Pendente">
      <formula>NOT(ISERROR(SEARCH("Pendente",P11)))</formula>
    </cfRule>
  </conditionalFormatting>
  <conditionalFormatting sqref="P15">
    <cfRule type="containsText" dxfId="2978" priority="2629" operator="containsText" text="Pendente">
      <formula>NOT(ISERROR(SEARCH("Pendente",P15)))</formula>
    </cfRule>
    <cfRule type="containsText" dxfId="2977" priority="2630" operator="containsText" text="Finalizado">
      <formula>NOT(ISERROR(SEARCH("Finalizado",P15)))</formula>
    </cfRule>
    <cfRule type="containsText" dxfId="2976" priority="2631" operator="containsText" text="em andamento">
      <formula>NOT(ISERROR(SEARCH("em andamento",P15)))</formula>
    </cfRule>
    <cfRule type="containsText" dxfId="2975" priority="2635" operator="containsText" text="Finalizado">
      <formula>NOT(ISERROR(SEARCH("Finalizado",P15)))</formula>
    </cfRule>
    <cfRule type="containsText" dxfId="2974" priority="2633" operator="containsText" text="N/A">
      <formula>NOT(ISERROR(SEARCH("N/A",P15)))</formula>
    </cfRule>
    <cfRule type="containsText" dxfId="2973" priority="2632" operator="containsText" text="Lançado">
      <formula>NOT(ISERROR(SEARCH("Lançado",P15)))</formula>
    </cfRule>
    <cfRule type="containsText" dxfId="2972" priority="2634" operator="containsText" text="Pendente">
      <formula>NOT(ISERROR(SEARCH("Pendente",P15)))</formula>
    </cfRule>
    <cfRule type="containsText" dxfId="2971" priority="2636" operator="containsText" text="em andamento">
      <formula>NOT(ISERROR(SEARCH("em andamento",P15)))</formula>
    </cfRule>
    <cfRule type="containsText" dxfId="2970" priority="2640" operator="containsText" text="Lançado">
      <formula>NOT(ISERROR(SEARCH("Lançado",P15)))</formula>
    </cfRule>
    <cfRule type="containsText" dxfId="2969" priority="2641" operator="containsText" text="N/A">
      <formula>NOT(ISERROR(SEARCH("N/A",P15)))</formula>
    </cfRule>
    <cfRule type="containsText" dxfId="2968" priority="2642" operator="containsText" text="Pendente">
      <formula>NOT(ISERROR(SEARCH("Pendente",P15)))</formula>
    </cfRule>
    <cfRule type="containsText" dxfId="2967" priority="2643" operator="containsText" text="Finalizado">
      <formula>NOT(ISERROR(SEARCH("Finalizado",P15)))</formula>
    </cfRule>
    <cfRule type="containsText" dxfId="2966" priority="2644" operator="containsText" text="em andamento">
      <formula>NOT(ISERROR(SEARCH("em andamento",P15)))</formula>
    </cfRule>
  </conditionalFormatting>
  <conditionalFormatting sqref="P15:P16">
    <cfRule type="containsText" dxfId="2965" priority="2556" operator="containsText" text="Lançado">
      <formula>NOT(ISERROR(SEARCH("Lançado",P15)))</formula>
    </cfRule>
    <cfRule type="containsText" dxfId="2964" priority="2557" operator="containsText" text="N/A">
      <formula>NOT(ISERROR(SEARCH("N/A",P15)))</formula>
    </cfRule>
  </conditionalFormatting>
  <conditionalFormatting sqref="P15:P17 G57:K57 P58 G58:L65 N59:O61 O62:P62 N63:N65 G71:H72 J71:K72 G77:H77 K77 G82:H82 G85:H88 J86:K88 P90:P94 P151 P166:P168 G197:K197 N197 G202:L202 N202 G203:K205 O203:P205 P206 J211:J212 P212 G213:L213 O213:P213 J216:J218 G219:K219 N219:O219 O241:P241 G241:L245 N242:O242 O243:P243 N244:N245 G249:L249 N249 J250 G251:L251 N251 L253 G255:L255 N255 G258:K258 O258:P258 N260:O261 G260:L263 O262:P262 N263:O263 G266:L267 N266:O267 G269:K269 N269 G271:K275 N271:N275 L276 O276:P277 G277:K277 G281:J281 N281:O281 L284 O284:P284 K284:K285 G284:J286 N285:O285 G288:J290 G291:L292 O291:P292 G293:K293 N293:O293 G295:L296 N295:O296 O299:P299 G299:L301 N300:O300 O301:P301 O303:P303 G303:L307 N304 O305:P306 N307:O307 O314:P314 G314:K316 N315 O316:P316 I317 P345:P347 J359 P368:P372 P375 P377:P383">
    <cfRule type="expression" dxfId="2963" priority="7779">
      <formula>$H15="CÉLULA CONSTRUTIVA"</formula>
    </cfRule>
  </conditionalFormatting>
  <conditionalFormatting sqref="P16">
    <cfRule type="containsText" dxfId="2962" priority="2551" operator="containsText" text="Finalizado">
      <formula>NOT(ISERROR(SEARCH("Finalizado",P16)))</formula>
    </cfRule>
    <cfRule type="containsText" dxfId="2961" priority="2560" operator="containsText" text="em andamento">
      <formula>NOT(ISERROR(SEARCH("em andamento",P16)))</formula>
    </cfRule>
    <cfRule type="containsText" dxfId="2960" priority="2559" operator="containsText" text="Finalizado">
      <formula>NOT(ISERROR(SEARCH("Finalizado",P16)))</formula>
    </cfRule>
    <cfRule type="containsText" dxfId="2959" priority="2550" operator="containsText" text="Pendente">
      <formula>NOT(ISERROR(SEARCH("Pendente",P16)))</formula>
    </cfRule>
    <cfRule type="containsText" dxfId="2958" priority="2558" operator="containsText" text="Pendente">
      <formula>NOT(ISERROR(SEARCH("Pendente",P16)))</formula>
    </cfRule>
    <cfRule type="containsText" dxfId="2957" priority="2552" operator="containsText" text="em andamento">
      <formula>NOT(ISERROR(SEARCH("em andamento",P16)))</formula>
    </cfRule>
    <cfRule type="containsText" dxfId="2956" priority="2549" operator="containsText" text="N/A">
      <formula>NOT(ISERROR(SEARCH("N/A",P16)))</formula>
    </cfRule>
    <cfRule type="containsText" dxfId="2955" priority="2548" operator="containsText" text="Lançado">
      <formula>NOT(ISERROR(SEARCH("Lançado",P16)))</formula>
    </cfRule>
    <cfRule type="containsText" dxfId="2954" priority="2547" operator="containsText" text="em andamento">
      <formula>NOT(ISERROR(SEARCH("em andamento",P16)))</formula>
    </cfRule>
    <cfRule type="containsText" dxfId="2953" priority="2546" operator="containsText" text="Finalizado">
      <formula>NOT(ISERROR(SEARCH("Finalizado",P16)))</formula>
    </cfRule>
    <cfRule type="containsText" dxfId="2952" priority="2545" operator="containsText" text="Pendente">
      <formula>NOT(ISERROR(SEARCH("Pendente",P16)))</formula>
    </cfRule>
    <cfRule type="containsText" dxfId="2951" priority="2544" operator="containsText" text="N/A">
      <formula>NOT(ISERROR(SEARCH("N/A",P16)))</formula>
    </cfRule>
    <cfRule type="containsText" dxfId="2950" priority="2543" operator="containsText" text="Lançado">
      <formula>NOT(ISERROR(SEARCH("Lançado",P16)))</formula>
    </cfRule>
  </conditionalFormatting>
  <conditionalFormatting sqref="P17 P204 P209 P211 P213 P276:P278 P280 P284 P286 P291:P292 P299 P301 P303 P305:P306 P308 P312 P314 P316:P318 P320 P322 P335 P337:P339 P377:P386">
    <cfRule type="containsText" dxfId="2949" priority="8116" operator="containsText" text="Finalizado">
      <formula>NOT(ISERROR(SEARCH("Finalizado",P17)))</formula>
    </cfRule>
  </conditionalFormatting>
  <conditionalFormatting sqref="P17 P322 P335 P337 P377:P383 P305">
    <cfRule type="containsText" dxfId="2948" priority="8048" operator="containsText" text="Finalizado">
      <formula>NOT(ISERROR(SEARCH("Finalizado",P17)))</formula>
    </cfRule>
  </conditionalFormatting>
  <conditionalFormatting sqref="P18 P20:P22 P30 P39 P43 P46 P49:P51 P55 P113:P115 P117 P152:P154 P176 P181:P182 P241 P243 P256:P258 P268 P299 P301 P358 P129:P130 P111 P119 P121 P123 P125 P127 P105 P109 P211 P305 P58 P365:P367 P1:P5">
    <cfRule type="containsText" dxfId="2947" priority="8236" operator="containsText" text="Lançado">
      <formula>NOT(ISERROR(SEARCH("Lançado",P1)))</formula>
    </cfRule>
    <cfRule type="containsText" dxfId="2946" priority="8237" operator="containsText" text="N/A">
      <formula>NOT(ISERROR(SEARCH("N/A",P1)))</formula>
    </cfRule>
  </conditionalFormatting>
  <conditionalFormatting sqref="P19">
    <cfRule type="containsText" dxfId="2945" priority="2518" operator="containsText" text="em andamento">
      <formula>NOT(ISERROR(SEARCH("em andamento",P19)))</formula>
    </cfRule>
    <cfRule type="containsText" dxfId="2944" priority="2510" operator="containsText" text="em andamento">
      <formula>NOT(ISERROR(SEARCH("em andamento",P19)))</formula>
    </cfRule>
    <cfRule type="containsText" dxfId="2943" priority="2509" operator="containsText" text="Finalizado">
      <formula>NOT(ISERROR(SEARCH("Finalizado",P19)))</formula>
    </cfRule>
    <cfRule type="containsText" dxfId="2942" priority="2508" operator="containsText" text="Pendente">
      <formula>NOT(ISERROR(SEARCH("Pendente",P19)))</formula>
    </cfRule>
    <cfRule type="containsText" dxfId="2941" priority="2507" operator="containsText" text="N/A">
      <formula>NOT(ISERROR(SEARCH("N/A",P19)))</formula>
    </cfRule>
    <cfRule type="containsText" dxfId="2940" priority="2505" operator="containsText" text="em andamento">
      <formula>NOT(ISERROR(SEARCH("em andamento",P19)))</formula>
    </cfRule>
    <cfRule type="containsText" dxfId="2939" priority="2514" operator="containsText" text="Lançado">
      <formula>NOT(ISERROR(SEARCH("Lançado",P19)))</formula>
    </cfRule>
    <cfRule type="containsText" dxfId="2938" priority="2504" operator="containsText" text="Finalizado">
      <formula>NOT(ISERROR(SEARCH("Finalizado",P19)))</formula>
    </cfRule>
    <cfRule type="containsText" dxfId="2937" priority="2503" operator="containsText" text="Pendente">
      <formula>NOT(ISERROR(SEARCH("Pendente",P19)))</formula>
    </cfRule>
    <cfRule type="containsText" dxfId="2936" priority="2502" operator="containsText" text="N/A">
      <formula>NOT(ISERROR(SEARCH("N/A",P19)))</formula>
    </cfRule>
    <cfRule type="containsText" dxfId="2935" priority="2501" operator="containsText" text="Lançado">
      <formula>NOT(ISERROR(SEARCH("Lançado",P19)))</formula>
    </cfRule>
    <cfRule type="expression" dxfId="2934" priority="2512">
      <formula>$H19="CÉLULA CONSTRUTIVA"</formula>
    </cfRule>
    <cfRule type="containsText" dxfId="2933" priority="2515" operator="containsText" text="N/A">
      <formula>NOT(ISERROR(SEARCH("N/A",P19)))</formula>
    </cfRule>
    <cfRule type="containsText" dxfId="2932" priority="2506" operator="containsText" text="Lançado">
      <formula>NOT(ISERROR(SEARCH("Lançado",P19)))</formula>
    </cfRule>
    <cfRule type="expression" dxfId="2931" priority="2500">
      <formula>$H19="ETAPA"</formula>
    </cfRule>
    <cfRule type="expression" dxfId="2930" priority="2499">
      <formula>$H19="CÉLULA CONSTRUTIVA"</formula>
    </cfRule>
    <cfRule type="expression" dxfId="2929" priority="2498">
      <formula>$H19="SUBETAPA"</formula>
    </cfRule>
    <cfRule type="expression" dxfId="2928" priority="2511">
      <formula>$H19="SUBETAPA"</formula>
    </cfRule>
    <cfRule type="containsText" dxfId="2927" priority="2516" operator="containsText" text="Pendente">
      <formula>NOT(ISERROR(SEARCH("Pendente",P19)))</formula>
    </cfRule>
    <cfRule type="containsText" dxfId="2926" priority="2517" operator="containsText" text="Finalizado">
      <formula>NOT(ISERROR(SEARCH("Finalizado",P19)))</formula>
    </cfRule>
    <cfRule type="expression" dxfId="2925" priority="2513">
      <formula>$H19="ETAPA"</formula>
    </cfRule>
  </conditionalFormatting>
  <conditionalFormatting sqref="P23:P29">
    <cfRule type="containsText" dxfId="2924" priority="2749" operator="containsText" text="em andamento">
      <formula>NOT(ISERROR(SEARCH("em andamento",P23)))</formula>
    </cfRule>
    <cfRule type="expression" dxfId="2923" priority="2743">
      <formula>$H23="CÉLULA CONSTRUTIVA"</formula>
    </cfRule>
    <cfRule type="expression" dxfId="2922" priority="2742">
      <formula>$H23="SUBETAPA"</formula>
    </cfRule>
    <cfRule type="containsText" dxfId="2921" priority="2741" operator="containsText" text="em andamento">
      <formula>NOT(ISERROR(SEARCH("em andamento",P23)))</formula>
    </cfRule>
    <cfRule type="expression" dxfId="2920" priority="2729">
      <formula>$H23="SUBETAPA"</formula>
    </cfRule>
    <cfRule type="containsText" dxfId="2919" priority="2740" operator="containsText" text="Finalizado">
      <formula>NOT(ISERROR(SEARCH("Finalizado",P23)))</formula>
    </cfRule>
    <cfRule type="containsText" dxfId="2918" priority="2739" operator="containsText" text="Pendente">
      <formula>NOT(ISERROR(SEARCH("Pendente",P23)))</formula>
    </cfRule>
    <cfRule type="containsText" dxfId="2917" priority="2738" operator="containsText" text="N/A">
      <formula>NOT(ISERROR(SEARCH("N/A",P23)))</formula>
    </cfRule>
    <cfRule type="containsText" dxfId="2916" priority="2737" operator="containsText" text="Lançado">
      <formula>NOT(ISERROR(SEARCH("Lançado",P23)))</formula>
    </cfRule>
    <cfRule type="containsText" dxfId="2915" priority="2736" operator="containsText" text="em andamento">
      <formula>NOT(ISERROR(SEARCH("em andamento",P23)))</formula>
    </cfRule>
    <cfRule type="containsText" dxfId="2914" priority="2735" operator="containsText" text="Finalizado">
      <formula>NOT(ISERROR(SEARCH("Finalizado",P23)))</formula>
    </cfRule>
    <cfRule type="containsText" dxfId="2913" priority="2734" operator="containsText" text="Pendente">
      <formula>NOT(ISERROR(SEARCH("Pendente",P23)))</formula>
    </cfRule>
    <cfRule type="containsText" dxfId="2912" priority="2748" operator="containsText" text="Finalizado">
      <formula>NOT(ISERROR(SEARCH("Finalizado",P23)))</formula>
    </cfRule>
    <cfRule type="containsText" dxfId="2911" priority="2733" operator="containsText" text="N/A">
      <formula>NOT(ISERROR(SEARCH("N/A",P23)))</formula>
    </cfRule>
    <cfRule type="containsText" dxfId="2910" priority="2732" operator="containsText" text="Lançado">
      <formula>NOT(ISERROR(SEARCH("Lançado",P23)))</formula>
    </cfRule>
    <cfRule type="expression" dxfId="2909" priority="2731">
      <formula>$H23="ETAPA"</formula>
    </cfRule>
    <cfRule type="expression" dxfId="2908" priority="2730">
      <formula>$H23="CÉLULA CONSTRUTIVA"</formula>
    </cfRule>
    <cfRule type="expression" dxfId="2907" priority="2744">
      <formula>$H23="ETAPA"</formula>
    </cfRule>
    <cfRule type="containsText" dxfId="2906" priority="2745" operator="containsText" text="Lançado">
      <formula>NOT(ISERROR(SEARCH("Lançado",P23)))</formula>
    </cfRule>
    <cfRule type="containsText" dxfId="2905" priority="2746" operator="containsText" text="N/A">
      <formula>NOT(ISERROR(SEARCH("N/A",P23)))</formula>
    </cfRule>
    <cfRule type="containsText" dxfId="2904" priority="2747" operator="containsText" text="Pendente">
      <formula>NOT(ISERROR(SEARCH("Pendente",P23)))</formula>
    </cfRule>
  </conditionalFormatting>
  <conditionalFormatting sqref="P30">
    <cfRule type="expression" dxfId="2903" priority="8226">
      <formula>$H30="ETAPA"</formula>
    </cfRule>
    <cfRule type="expression" dxfId="2902" priority="8225">
      <formula>$H30="CÉLULA CONSTRUTIVA"</formula>
    </cfRule>
  </conditionalFormatting>
  <conditionalFormatting sqref="P31:P38">
    <cfRule type="expression" dxfId="2901" priority="2709">
      <formula>$H31="CÉLULA CONSTRUTIVA"</formula>
    </cfRule>
    <cfRule type="expression" dxfId="2900" priority="2710">
      <formula>$H31="ETAPA"</formula>
    </cfRule>
    <cfRule type="containsText" dxfId="2899" priority="2711" operator="containsText" text="Lançado">
      <formula>NOT(ISERROR(SEARCH("Lançado",P31)))</formula>
    </cfRule>
    <cfRule type="containsText" dxfId="2898" priority="2713" operator="containsText" text="Pendente">
      <formula>NOT(ISERROR(SEARCH("Pendente",P31)))</formula>
    </cfRule>
    <cfRule type="containsText" dxfId="2897" priority="2715" operator="containsText" text="em andamento">
      <formula>NOT(ISERROR(SEARCH("em andamento",P31)))</formula>
    </cfRule>
    <cfRule type="containsText" dxfId="2896" priority="2716" operator="containsText" text="Lançado">
      <formula>NOT(ISERROR(SEARCH("Lançado",P31)))</formula>
    </cfRule>
    <cfRule type="containsText" dxfId="2895" priority="2717" operator="containsText" text="N/A">
      <formula>NOT(ISERROR(SEARCH("N/A",P31)))</formula>
    </cfRule>
    <cfRule type="containsText" dxfId="2894" priority="2718" operator="containsText" text="Pendente">
      <formula>NOT(ISERROR(SEARCH("Pendente",P31)))</formula>
    </cfRule>
    <cfRule type="containsText" dxfId="2893" priority="2719" operator="containsText" text="Finalizado">
      <formula>NOT(ISERROR(SEARCH("Finalizado",P31)))</formula>
    </cfRule>
    <cfRule type="containsText" dxfId="2892" priority="2720" operator="containsText" text="em andamento">
      <formula>NOT(ISERROR(SEARCH("em andamento",P31)))</formula>
    </cfRule>
    <cfRule type="expression" dxfId="2891" priority="2721">
      <formula>$H31="SUBETAPA"</formula>
    </cfRule>
    <cfRule type="expression" dxfId="2890" priority="2722">
      <formula>$H31="CÉLULA CONSTRUTIVA"</formula>
    </cfRule>
    <cfRule type="expression" dxfId="2889" priority="2723">
      <formula>$H31="ETAPA"</formula>
    </cfRule>
    <cfRule type="containsText" dxfId="2888" priority="2724" operator="containsText" text="Lançado">
      <formula>NOT(ISERROR(SEARCH("Lançado",P31)))</formula>
    </cfRule>
    <cfRule type="containsText" dxfId="2887" priority="2725" operator="containsText" text="N/A">
      <formula>NOT(ISERROR(SEARCH("N/A",P31)))</formula>
    </cfRule>
    <cfRule type="containsText" dxfId="2886" priority="2727" operator="containsText" text="Finalizado">
      <formula>NOT(ISERROR(SEARCH("Finalizado",P31)))</formula>
    </cfRule>
    <cfRule type="containsText" dxfId="2885" priority="2728" operator="containsText" text="em andamento">
      <formula>NOT(ISERROR(SEARCH("em andamento",P31)))</formula>
    </cfRule>
    <cfRule type="containsText" dxfId="2884" priority="2712" operator="containsText" text="N/A">
      <formula>NOT(ISERROR(SEARCH("N/A",P31)))</formula>
    </cfRule>
    <cfRule type="containsText" dxfId="2883" priority="2714" operator="containsText" text="Finalizado">
      <formula>NOT(ISERROR(SEARCH("Finalizado",P31)))</formula>
    </cfRule>
    <cfRule type="containsText" dxfId="2882" priority="2726" operator="containsText" text="Pendente">
      <formula>NOT(ISERROR(SEARCH("Pendente",P31)))</formula>
    </cfRule>
    <cfRule type="expression" dxfId="2881" priority="2708">
      <formula>$H31="SUBETAPA"</formula>
    </cfRule>
  </conditionalFormatting>
  <conditionalFormatting sqref="P39 P43">
    <cfRule type="expression" dxfId="2880" priority="8223">
      <formula>$H39="ETAPA"</formula>
    </cfRule>
    <cfRule type="expression" dxfId="2879" priority="8222">
      <formula>$H39="CÉLULA CONSTRUTIVA"</formula>
    </cfRule>
  </conditionalFormatting>
  <conditionalFormatting sqref="P40:P42">
    <cfRule type="expression" dxfId="2878" priority="2700">
      <formula>$H40="SUBETAPA"</formula>
    </cfRule>
    <cfRule type="expression" dxfId="2877" priority="2701">
      <formula>$H40="CÉLULA CONSTRUTIVA"</formula>
    </cfRule>
    <cfRule type="containsText" dxfId="2876" priority="2703" operator="containsText" text="Lançado">
      <formula>NOT(ISERROR(SEARCH("Lançado",P40)))</formula>
    </cfRule>
    <cfRule type="containsText" dxfId="2875" priority="2699" operator="containsText" text="em andamento">
      <formula>NOT(ISERROR(SEARCH("em andamento",P40)))</formula>
    </cfRule>
    <cfRule type="containsText" dxfId="2874" priority="2698" operator="containsText" text="Finalizado">
      <formula>NOT(ISERROR(SEARCH("Finalizado",P40)))</formula>
    </cfRule>
    <cfRule type="containsText" dxfId="2873" priority="2697" operator="containsText" text="Pendente">
      <formula>NOT(ISERROR(SEARCH("Pendente",P40)))</formula>
    </cfRule>
    <cfRule type="containsText" dxfId="2872" priority="2696" operator="containsText" text="N/A">
      <formula>NOT(ISERROR(SEARCH("N/A",P40)))</formula>
    </cfRule>
    <cfRule type="containsText" dxfId="2871" priority="2695" operator="containsText" text="Lançado">
      <formula>NOT(ISERROR(SEARCH("Lançado",P40)))</formula>
    </cfRule>
    <cfRule type="containsText" dxfId="2870" priority="2693" operator="containsText" text="Finalizado">
      <formula>NOT(ISERROR(SEARCH("Finalizado",P40)))</formula>
    </cfRule>
    <cfRule type="containsText" dxfId="2869" priority="2692" operator="containsText" text="Pendente">
      <formula>NOT(ISERROR(SEARCH("Pendente",P40)))</formula>
    </cfRule>
    <cfRule type="containsText" dxfId="2868" priority="2691" operator="containsText" text="N/A">
      <formula>NOT(ISERROR(SEARCH("N/A",P40)))</formula>
    </cfRule>
    <cfRule type="containsText" dxfId="2867" priority="2690" operator="containsText" text="Lançado">
      <formula>NOT(ISERROR(SEARCH("Lançado",P40)))</formula>
    </cfRule>
    <cfRule type="expression" dxfId="2866" priority="2689">
      <formula>$H40="ETAPA"</formula>
    </cfRule>
    <cfRule type="expression" dxfId="2865" priority="2688">
      <formula>$H40="CÉLULA CONSTRUTIVA"</formula>
    </cfRule>
    <cfRule type="expression" dxfId="2864" priority="2687">
      <formula>$H40="SUBETAPA"</formula>
    </cfRule>
    <cfRule type="expression" dxfId="2863" priority="2702">
      <formula>$H40="ETAPA"</formula>
    </cfRule>
    <cfRule type="containsText" dxfId="2862" priority="2704" operator="containsText" text="N/A">
      <formula>NOT(ISERROR(SEARCH("N/A",P40)))</formula>
    </cfRule>
    <cfRule type="containsText" dxfId="2861" priority="2705" operator="containsText" text="Pendente">
      <formula>NOT(ISERROR(SEARCH("Pendente",P40)))</formula>
    </cfRule>
    <cfRule type="containsText" dxfId="2860" priority="2706" operator="containsText" text="Finalizado">
      <formula>NOT(ISERROR(SEARCH("Finalizado",P40)))</formula>
    </cfRule>
    <cfRule type="containsText" dxfId="2859" priority="2707" operator="containsText" text="em andamento">
      <formula>NOT(ISERROR(SEARCH("em andamento",P40)))</formula>
    </cfRule>
    <cfRule type="containsText" dxfId="2858" priority="2694" operator="containsText" text="em andamento">
      <formula>NOT(ISERROR(SEARCH("em andamento",P40)))</formula>
    </cfRule>
  </conditionalFormatting>
  <conditionalFormatting sqref="P44:P45">
    <cfRule type="containsText" dxfId="2857" priority="2684" operator="containsText" text="Pendente">
      <formula>NOT(ISERROR(SEARCH("Pendente",P44)))</formula>
    </cfRule>
    <cfRule type="containsText" dxfId="2856" priority="2685" operator="containsText" text="Finalizado">
      <formula>NOT(ISERROR(SEARCH("Finalizado",P44)))</formula>
    </cfRule>
    <cfRule type="containsText" dxfId="2855" priority="2686" operator="containsText" text="em andamento">
      <formula>NOT(ISERROR(SEARCH("em andamento",P44)))</formula>
    </cfRule>
    <cfRule type="containsText" dxfId="2854" priority="2669" operator="containsText" text="Lançado">
      <formula>NOT(ISERROR(SEARCH("Lançado",P44)))</formula>
    </cfRule>
    <cfRule type="containsText" dxfId="2853" priority="2674" operator="containsText" text="Lançado">
      <formula>NOT(ISERROR(SEARCH("Lançado",P44)))</formula>
    </cfRule>
    <cfRule type="containsText" dxfId="2852" priority="2673" operator="containsText" text="em andamento">
      <formula>NOT(ISERROR(SEARCH("em andamento",P44)))</formula>
    </cfRule>
    <cfRule type="containsText" dxfId="2851" priority="2672" operator="containsText" text="Finalizado">
      <formula>NOT(ISERROR(SEARCH("Finalizado",P44)))</formula>
    </cfRule>
    <cfRule type="containsText" dxfId="2850" priority="2671" operator="containsText" text="Pendente">
      <formula>NOT(ISERROR(SEARCH("Pendente",P44)))</formula>
    </cfRule>
    <cfRule type="containsText" dxfId="2849" priority="2670" operator="containsText" text="N/A">
      <formula>NOT(ISERROR(SEARCH("N/A",P44)))</formula>
    </cfRule>
    <cfRule type="expression" dxfId="2848" priority="2668">
      <formula>$H44="ETAPA"</formula>
    </cfRule>
    <cfRule type="expression" dxfId="2847" priority="2667">
      <formula>$H44="CÉLULA CONSTRUTIVA"</formula>
    </cfRule>
    <cfRule type="expression" dxfId="2846" priority="2666">
      <formula>$H44="SUBETAPA"</formula>
    </cfRule>
    <cfRule type="containsText" dxfId="2845" priority="2675" operator="containsText" text="N/A">
      <formula>NOT(ISERROR(SEARCH("N/A",P44)))</formula>
    </cfRule>
    <cfRule type="containsText" dxfId="2844" priority="2676" operator="containsText" text="Pendente">
      <formula>NOT(ISERROR(SEARCH("Pendente",P44)))</formula>
    </cfRule>
    <cfRule type="containsText" dxfId="2843" priority="2677" operator="containsText" text="Finalizado">
      <formula>NOT(ISERROR(SEARCH("Finalizado",P44)))</formula>
    </cfRule>
    <cfRule type="containsText" dxfId="2842" priority="2678" operator="containsText" text="em andamento">
      <formula>NOT(ISERROR(SEARCH("em andamento",P44)))</formula>
    </cfRule>
    <cfRule type="expression" dxfId="2841" priority="2679">
      <formula>$H44="SUBETAPA"</formula>
    </cfRule>
    <cfRule type="expression" dxfId="2840" priority="2680">
      <formula>$H44="CÉLULA CONSTRUTIVA"</formula>
    </cfRule>
    <cfRule type="expression" dxfId="2839" priority="2681">
      <formula>$H44="ETAPA"</formula>
    </cfRule>
    <cfRule type="containsText" dxfId="2838" priority="2682" operator="containsText" text="Lançado">
      <formula>NOT(ISERROR(SEARCH("Lançado",P44)))</formula>
    </cfRule>
    <cfRule type="containsText" dxfId="2837" priority="2683" operator="containsText" text="N/A">
      <formula>NOT(ISERROR(SEARCH("N/A",P44)))</formula>
    </cfRule>
  </conditionalFormatting>
  <conditionalFormatting sqref="P47:P48">
    <cfRule type="containsText" dxfId="2836" priority="2649" operator="containsText" text="N/A">
      <formula>NOT(ISERROR(SEARCH("N/A",P47)))</formula>
    </cfRule>
    <cfRule type="expression" dxfId="2835" priority="2647">
      <formula>$H47="ETAPA"</formula>
    </cfRule>
    <cfRule type="expression" dxfId="2834" priority="2645">
      <formula>$H47="SUBETAPA"</formula>
    </cfRule>
    <cfRule type="containsText" dxfId="2833" priority="2651" operator="containsText" text="Finalizado">
      <formula>NOT(ISERROR(SEARCH("Finalizado",P47)))</formula>
    </cfRule>
    <cfRule type="containsText" dxfId="2832" priority="2652" operator="containsText" text="em andamento">
      <formula>NOT(ISERROR(SEARCH("em andamento",P47)))</formula>
    </cfRule>
    <cfRule type="containsText" dxfId="2831" priority="2657" operator="containsText" text="em andamento">
      <formula>NOT(ISERROR(SEARCH("em andamento",P47)))</formula>
    </cfRule>
    <cfRule type="expression" dxfId="2830" priority="2646">
      <formula>$H47="CÉLULA CONSTRUTIVA"</formula>
    </cfRule>
    <cfRule type="expression" dxfId="2829" priority="2659">
      <formula>$H47="CÉLULA CONSTRUTIVA"</formula>
    </cfRule>
    <cfRule type="containsText" dxfId="2828" priority="2663" operator="containsText" text="Pendente">
      <formula>NOT(ISERROR(SEARCH("Pendente",P47)))</formula>
    </cfRule>
    <cfRule type="expression" dxfId="2827" priority="2660">
      <formula>$H47="ETAPA"</formula>
    </cfRule>
    <cfRule type="expression" dxfId="2826" priority="2658">
      <formula>$H47="SUBETAPA"</formula>
    </cfRule>
    <cfRule type="containsText" dxfId="2825" priority="2648" operator="containsText" text="Lançado">
      <formula>NOT(ISERROR(SEARCH("Lançado",P47)))</formula>
    </cfRule>
    <cfRule type="containsText" dxfId="2824" priority="2656" operator="containsText" text="Finalizado">
      <formula>NOT(ISERROR(SEARCH("Finalizado",P47)))</formula>
    </cfRule>
    <cfRule type="containsText" dxfId="2823" priority="2655" operator="containsText" text="Pendente">
      <formula>NOT(ISERROR(SEARCH("Pendente",P47)))</formula>
    </cfRule>
    <cfRule type="containsText" dxfId="2822" priority="2654" operator="containsText" text="N/A">
      <formula>NOT(ISERROR(SEARCH("N/A",P47)))</formula>
    </cfRule>
    <cfRule type="containsText" dxfId="2821" priority="2662" operator="containsText" text="N/A">
      <formula>NOT(ISERROR(SEARCH("N/A",P47)))</formula>
    </cfRule>
    <cfRule type="containsText" dxfId="2820" priority="2661" operator="containsText" text="Lançado">
      <formula>NOT(ISERROR(SEARCH("Lançado",P47)))</formula>
    </cfRule>
    <cfRule type="containsText" dxfId="2819" priority="2653" operator="containsText" text="Lançado">
      <formula>NOT(ISERROR(SEARCH("Lançado",P47)))</formula>
    </cfRule>
    <cfRule type="containsText" dxfId="2818" priority="2664" operator="containsText" text="Finalizado">
      <formula>NOT(ISERROR(SEARCH("Finalizado",P47)))</formula>
    </cfRule>
    <cfRule type="containsText" dxfId="2817" priority="2650" operator="containsText" text="Pendente">
      <formula>NOT(ISERROR(SEARCH("Pendente",P47)))</formula>
    </cfRule>
    <cfRule type="containsText" dxfId="2816" priority="2665" operator="containsText" text="em andamento">
      <formula>NOT(ISERROR(SEARCH("em andamento",P47)))</formula>
    </cfRule>
  </conditionalFormatting>
  <conditionalFormatting sqref="P49:P50">
    <cfRule type="expression" dxfId="2815" priority="8219">
      <formula>$H49="CÉLULA CONSTRUTIVA"</formula>
    </cfRule>
    <cfRule type="expression" dxfId="2814" priority="8218">
      <formula>$H49="SUBETAPA"</formula>
    </cfRule>
    <cfRule type="expression" dxfId="2813" priority="8220">
      <formula>$H49="ETAPA"</formula>
    </cfRule>
  </conditionalFormatting>
  <conditionalFormatting sqref="P52:P54">
    <cfRule type="containsText" dxfId="2812" priority="2832" operator="containsText" text="Finalizado">
      <formula>NOT(ISERROR(SEARCH("Finalizado",P52)))</formula>
    </cfRule>
    <cfRule type="expression" dxfId="2811" priority="2827">
      <formula>$H52="CÉLULA CONSTRUTIVA"</formula>
    </cfRule>
    <cfRule type="containsText" dxfId="2810" priority="2833" operator="containsText" text="em andamento">
      <formula>NOT(ISERROR(SEARCH("em andamento",P52)))</formula>
    </cfRule>
    <cfRule type="containsText" dxfId="2809" priority="2831" operator="containsText" text="Pendente">
      <formula>NOT(ISERROR(SEARCH("Pendente",P52)))</formula>
    </cfRule>
    <cfRule type="containsText" dxfId="2808" priority="2817" operator="containsText" text="N/A">
      <formula>NOT(ISERROR(SEARCH("N/A",P52)))</formula>
    </cfRule>
    <cfRule type="expression" dxfId="2807" priority="2813">
      <formula>$H52="SUBETAPA"</formula>
    </cfRule>
    <cfRule type="containsText" dxfId="2806" priority="2829" operator="containsText" text="Lançado">
      <formula>NOT(ISERROR(SEARCH("Lançado",P52)))</formula>
    </cfRule>
    <cfRule type="expression" dxfId="2805" priority="2828">
      <formula>$H52="ETAPA"</formula>
    </cfRule>
    <cfRule type="expression" dxfId="2804" priority="2814">
      <formula>$H52="CÉLULA CONSTRUTIVA"</formula>
    </cfRule>
    <cfRule type="expression" dxfId="2803" priority="2826">
      <formula>$H52="SUBETAPA"</formula>
    </cfRule>
    <cfRule type="containsText" dxfId="2802" priority="2825" operator="containsText" text="em andamento">
      <formula>NOT(ISERROR(SEARCH("em andamento",P52)))</formula>
    </cfRule>
    <cfRule type="containsText" dxfId="2801" priority="2824" operator="containsText" text="Finalizado">
      <formula>NOT(ISERROR(SEARCH("Finalizado",P52)))</formula>
    </cfRule>
    <cfRule type="containsText" dxfId="2800" priority="2823" operator="containsText" text="Pendente">
      <formula>NOT(ISERROR(SEARCH("Pendente",P52)))</formula>
    </cfRule>
    <cfRule type="expression" dxfId="2799" priority="2815">
      <formula>$H52="ETAPA"</formula>
    </cfRule>
    <cfRule type="containsText" dxfId="2798" priority="2816" operator="containsText" text="Lançado">
      <formula>NOT(ISERROR(SEARCH("Lançado",P52)))</formula>
    </cfRule>
    <cfRule type="containsText" dxfId="2797" priority="2822" operator="containsText" text="N/A">
      <formula>NOT(ISERROR(SEARCH("N/A",P52)))</formula>
    </cfRule>
    <cfRule type="containsText" dxfId="2796" priority="2821" operator="containsText" text="Lançado">
      <formula>NOT(ISERROR(SEARCH("Lançado",P52)))</formula>
    </cfRule>
    <cfRule type="containsText" dxfId="2795" priority="2820" operator="containsText" text="em andamento">
      <formula>NOT(ISERROR(SEARCH("em andamento",P52)))</formula>
    </cfRule>
    <cfRule type="containsText" dxfId="2794" priority="2819" operator="containsText" text="Finalizado">
      <formula>NOT(ISERROR(SEARCH("Finalizado",P52)))</formula>
    </cfRule>
    <cfRule type="containsText" dxfId="2793" priority="2830" operator="containsText" text="N/A">
      <formula>NOT(ISERROR(SEARCH("N/A",P52)))</formula>
    </cfRule>
    <cfRule type="containsText" dxfId="2792" priority="2818" operator="containsText" text="Pendente">
      <formula>NOT(ISERROR(SEARCH("Pendente",P52)))</formula>
    </cfRule>
  </conditionalFormatting>
  <conditionalFormatting sqref="P56:P57">
    <cfRule type="expression" dxfId="2791" priority="2792">
      <formula>$H56="SUBETAPA"</formula>
    </cfRule>
    <cfRule type="containsText" dxfId="2790" priority="2808" operator="containsText" text="Lançado">
      <formula>NOT(ISERROR(SEARCH("Lançado",P56)))</formula>
    </cfRule>
    <cfRule type="containsText" dxfId="2789" priority="2811" operator="containsText" text="Finalizado">
      <formula>NOT(ISERROR(SEARCH("Finalizado",P56)))</formula>
    </cfRule>
    <cfRule type="containsText" dxfId="2788" priority="2810" operator="containsText" text="Pendente">
      <formula>NOT(ISERROR(SEARCH("Pendente",P56)))</formula>
    </cfRule>
    <cfRule type="expression" dxfId="2787" priority="2807">
      <formula>$H56="ETAPA"</formula>
    </cfRule>
    <cfRule type="containsText" dxfId="2786" priority="2804" operator="containsText" text="em andamento">
      <formula>NOT(ISERROR(SEARCH("em andamento",P56)))</formula>
    </cfRule>
    <cfRule type="containsText" dxfId="2785" priority="2803" operator="containsText" text="Finalizado">
      <formula>NOT(ISERROR(SEARCH("Finalizado",P56)))</formula>
    </cfRule>
    <cfRule type="containsText" dxfId="2784" priority="2809" operator="containsText" text="N/A">
      <formula>NOT(ISERROR(SEARCH("N/A",P56)))</formula>
    </cfRule>
    <cfRule type="containsText" dxfId="2783" priority="2812" operator="containsText" text="em andamento">
      <formula>NOT(ISERROR(SEARCH("em andamento",P56)))</formula>
    </cfRule>
    <cfRule type="containsText" dxfId="2782" priority="2802" operator="containsText" text="Pendente">
      <formula>NOT(ISERROR(SEARCH("Pendente",P56)))</formula>
    </cfRule>
    <cfRule type="containsText" dxfId="2781" priority="2801" operator="containsText" text="N/A">
      <formula>NOT(ISERROR(SEARCH("N/A",P56)))</formula>
    </cfRule>
    <cfRule type="containsText" dxfId="2780" priority="2800" operator="containsText" text="Lançado">
      <formula>NOT(ISERROR(SEARCH("Lançado",P56)))</formula>
    </cfRule>
    <cfRule type="expression" dxfId="2779" priority="2805">
      <formula>$H56="SUBETAPA"</formula>
    </cfRule>
    <cfRule type="containsText" dxfId="2778" priority="2799" operator="containsText" text="em andamento">
      <formula>NOT(ISERROR(SEARCH("em andamento",P56)))</formula>
    </cfRule>
    <cfRule type="containsText" dxfId="2777" priority="2798" operator="containsText" text="Finalizado">
      <formula>NOT(ISERROR(SEARCH("Finalizado",P56)))</formula>
    </cfRule>
    <cfRule type="containsText" dxfId="2776" priority="2797" operator="containsText" text="Pendente">
      <formula>NOT(ISERROR(SEARCH("Pendente",P56)))</formula>
    </cfRule>
    <cfRule type="containsText" dxfId="2775" priority="2796" operator="containsText" text="N/A">
      <formula>NOT(ISERROR(SEARCH("N/A",P56)))</formula>
    </cfRule>
    <cfRule type="containsText" dxfId="2774" priority="2795" operator="containsText" text="Lançado">
      <formula>NOT(ISERROR(SEARCH("Lançado",P56)))</formula>
    </cfRule>
    <cfRule type="expression" dxfId="2773" priority="2794">
      <formula>$H56="ETAPA"</formula>
    </cfRule>
    <cfRule type="expression" dxfId="2772" priority="2793">
      <formula>$H56="CÉLULA CONSTRUTIVA"</formula>
    </cfRule>
    <cfRule type="expression" dxfId="2771" priority="2806">
      <formula>$H56="CÉLULA CONSTRUTIVA"</formula>
    </cfRule>
  </conditionalFormatting>
  <conditionalFormatting sqref="P58 P256">
    <cfRule type="containsText" dxfId="2770" priority="8006" operator="containsText" text="em andamento">
      <formula>NOT(ISERROR(SEARCH("em andamento",P58)))</formula>
    </cfRule>
    <cfRule type="containsText" dxfId="2769" priority="8004" operator="containsText" text="Pendente">
      <formula>NOT(ISERROR(SEARCH("Pendente",P58)))</formula>
    </cfRule>
    <cfRule type="containsText" dxfId="2768" priority="8005" operator="containsText" text="Finalizado">
      <formula>NOT(ISERROR(SEARCH("Finalizado",P58)))</formula>
    </cfRule>
  </conditionalFormatting>
  <conditionalFormatting sqref="P59:P61">
    <cfRule type="expression" dxfId="2767" priority="2785">
      <formula>$H59="CÉLULA CONSTRUTIVA"</formula>
    </cfRule>
    <cfRule type="expression" dxfId="2766" priority="2784">
      <formula>$H59="SUBETAPA"</formula>
    </cfRule>
    <cfRule type="containsText" dxfId="2765" priority="2783" operator="containsText" text="em andamento">
      <formula>NOT(ISERROR(SEARCH("em andamento",P59)))</formula>
    </cfRule>
    <cfRule type="expression" dxfId="2764" priority="2786">
      <formula>$H59="ETAPA"</formula>
    </cfRule>
    <cfRule type="containsText" dxfId="2763" priority="2787" operator="containsText" text="Lançado">
      <formula>NOT(ISERROR(SEARCH("Lançado",P59)))</formula>
    </cfRule>
    <cfRule type="containsText" dxfId="2762" priority="2788" operator="containsText" text="N/A">
      <formula>NOT(ISERROR(SEARCH("N/A",P59)))</formula>
    </cfRule>
    <cfRule type="containsText" dxfId="2761" priority="2789" operator="containsText" text="Pendente">
      <formula>NOT(ISERROR(SEARCH("Pendente",P59)))</formula>
    </cfRule>
    <cfRule type="containsText" dxfId="2760" priority="2790" operator="containsText" text="Finalizado">
      <formula>NOT(ISERROR(SEARCH("Finalizado",P59)))</formula>
    </cfRule>
    <cfRule type="containsText" dxfId="2759" priority="2791" operator="containsText" text="em andamento">
      <formula>NOT(ISERROR(SEARCH("em andamento",P59)))</formula>
    </cfRule>
    <cfRule type="expression" dxfId="2758" priority="2771">
      <formula>$H59="SUBETAPA"</formula>
    </cfRule>
    <cfRule type="expression" dxfId="2757" priority="2772">
      <formula>$H59="CÉLULA CONSTRUTIVA"</formula>
    </cfRule>
    <cfRule type="expression" dxfId="2756" priority="2773">
      <formula>$H59="ETAPA"</formula>
    </cfRule>
    <cfRule type="containsText" dxfId="2755" priority="2774" operator="containsText" text="Lançado">
      <formula>NOT(ISERROR(SEARCH("Lançado",P59)))</formula>
    </cfRule>
    <cfRule type="containsText" dxfId="2754" priority="2775" operator="containsText" text="N/A">
      <formula>NOT(ISERROR(SEARCH("N/A",P59)))</formula>
    </cfRule>
    <cfRule type="containsText" dxfId="2753" priority="2776" operator="containsText" text="Pendente">
      <formula>NOT(ISERROR(SEARCH("Pendente",P59)))</formula>
    </cfRule>
    <cfRule type="containsText" dxfId="2752" priority="2777" operator="containsText" text="Finalizado">
      <formula>NOT(ISERROR(SEARCH("Finalizado",P59)))</formula>
    </cfRule>
    <cfRule type="containsText" dxfId="2751" priority="2778" operator="containsText" text="em andamento">
      <formula>NOT(ISERROR(SEARCH("em andamento",P59)))</formula>
    </cfRule>
    <cfRule type="containsText" dxfId="2750" priority="2779" operator="containsText" text="Lançado">
      <formula>NOT(ISERROR(SEARCH("Lançado",P59)))</formula>
    </cfRule>
    <cfRule type="containsText" dxfId="2749" priority="2780" operator="containsText" text="N/A">
      <formula>NOT(ISERROR(SEARCH("N/A",P59)))</formula>
    </cfRule>
    <cfRule type="containsText" dxfId="2748" priority="2781" operator="containsText" text="Pendente">
      <formula>NOT(ISERROR(SEARCH("Pendente",P59)))</formula>
    </cfRule>
    <cfRule type="containsText" dxfId="2747" priority="2782" operator="containsText" text="Finalizado">
      <formula>NOT(ISERROR(SEARCH("Finalizado",P59)))</formula>
    </cfRule>
  </conditionalFormatting>
  <conditionalFormatting sqref="P62">
    <cfRule type="containsText" dxfId="2746" priority="8000" operator="containsText" text="em andamento">
      <formula>NOT(ISERROR(SEARCH("em andamento",P62)))</formula>
    </cfRule>
    <cfRule type="containsText" dxfId="2745" priority="7999" operator="containsText" text="Finalizado">
      <formula>NOT(ISERROR(SEARCH("Finalizado",P62)))</formula>
    </cfRule>
  </conditionalFormatting>
  <conditionalFormatting sqref="P63:P65">
    <cfRule type="containsText" dxfId="2744" priority="2753" operator="containsText" text="Lançado">
      <formula>NOT(ISERROR(SEARCH("Lançado",P63)))</formula>
    </cfRule>
    <cfRule type="expression" dxfId="2743" priority="2751">
      <formula>$H63="CÉLULA CONSTRUTIVA"</formula>
    </cfRule>
    <cfRule type="expression" dxfId="2742" priority="2750">
      <formula>$H63="SUBETAPA"</formula>
    </cfRule>
    <cfRule type="expression" dxfId="2741" priority="2765">
      <formula>$H63="ETAPA"</formula>
    </cfRule>
    <cfRule type="containsText" dxfId="2740" priority="2761" operator="containsText" text="Finalizado">
      <formula>NOT(ISERROR(SEARCH("Finalizado",P63)))</formula>
    </cfRule>
    <cfRule type="containsText" dxfId="2739" priority="2762" operator="containsText" text="em andamento">
      <formula>NOT(ISERROR(SEARCH("em andamento",P63)))</formula>
    </cfRule>
    <cfRule type="expression" dxfId="2738" priority="2763">
      <formula>$H63="SUBETAPA"</formula>
    </cfRule>
    <cfRule type="expression" dxfId="2737" priority="2752">
      <formula>$H63="ETAPA"</formula>
    </cfRule>
    <cfRule type="expression" dxfId="2736" priority="2764">
      <formula>$H63="CÉLULA CONSTRUTIVA"</formula>
    </cfRule>
    <cfRule type="containsText" dxfId="2735" priority="2770" operator="containsText" text="em andamento">
      <formula>NOT(ISERROR(SEARCH("em andamento",P63)))</formula>
    </cfRule>
    <cfRule type="containsText" dxfId="2734" priority="2766" operator="containsText" text="Lançado">
      <formula>NOT(ISERROR(SEARCH("Lançado",P63)))</formula>
    </cfRule>
    <cfRule type="containsText" dxfId="2733" priority="2767" operator="containsText" text="N/A">
      <formula>NOT(ISERROR(SEARCH("N/A",P63)))</formula>
    </cfRule>
    <cfRule type="containsText" dxfId="2732" priority="2758" operator="containsText" text="Lançado">
      <formula>NOT(ISERROR(SEARCH("Lançado",P63)))</formula>
    </cfRule>
    <cfRule type="containsText" dxfId="2731" priority="2768" operator="containsText" text="Pendente">
      <formula>NOT(ISERROR(SEARCH("Pendente",P63)))</formula>
    </cfRule>
    <cfRule type="containsText" dxfId="2730" priority="2769" operator="containsText" text="Finalizado">
      <formula>NOT(ISERROR(SEARCH("Finalizado",P63)))</formula>
    </cfRule>
    <cfRule type="containsText" dxfId="2729" priority="2754" operator="containsText" text="N/A">
      <formula>NOT(ISERROR(SEARCH("N/A",P63)))</formula>
    </cfRule>
    <cfRule type="containsText" dxfId="2728" priority="2755" operator="containsText" text="Pendente">
      <formula>NOT(ISERROR(SEARCH("Pendente",P63)))</formula>
    </cfRule>
    <cfRule type="containsText" dxfId="2727" priority="2756" operator="containsText" text="Finalizado">
      <formula>NOT(ISERROR(SEARCH("Finalizado",P63)))</formula>
    </cfRule>
    <cfRule type="containsText" dxfId="2726" priority="2757" operator="containsText" text="em andamento">
      <formula>NOT(ISERROR(SEARCH("em andamento",P63)))</formula>
    </cfRule>
    <cfRule type="containsText" dxfId="2725" priority="2759" operator="containsText" text="N/A">
      <formula>NOT(ISERROR(SEARCH("N/A",P63)))</formula>
    </cfRule>
    <cfRule type="containsText" dxfId="2724" priority="2760" operator="containsText" text="Pendente">
      <formula>NOT(ISERROR(SEARCH("Pendente",P63)))</formula>
    </cfRule>
  </conditionalFormatting>
  <conditionalFormatting sqref="P66">
    <cfRule type="containsText" dxfId="2723" priority="8018" operator="containsText" text="em andamento">
      <formula>NOT(ISERROR(SEARCH("em andamento",P66)))</formula>
    </cfRule>
    <cfRule type="containsText" dxfId="2722" priority="8016" operator="containsText" text="Pendente">
      <formula>NOT(ISERROR(SEARCH("Pendente",P66)))</formula>
    </cfRule>
    <cfRule type="containsText" dxfId="2721" priority="8017" operator="containsText" text="Finalizado">
      <formula>NOT(ISERROR(SEARCH("Finalizado",P66)))</formula>
    </cfRule>
  </conditionalFormatting>
  <conditionalFormatting sqref="P66:P68">
    <cfRule type="containsText" dxfId="2720" priority="5787" operator="containsText" text="Lançado">
      <formula>NOT(ISERROR(SEARCH("Lançado",P66)))</formula>
    </cfRule>
    <cfRule type="containsText" dxfId="2719" priority="5788" operator="containsText" text="N/A">
      <formula>NOT(ISERROR(SEARCH("N/A",P66)))</formula>
    </cfRule>
  </conditionalFormatting>
  <conditionalFormatting sqref="P67:P68">
    <cfRule type="expression" dxfId="2718" priority="5786">
      <formula>$H67="ETAPA"</formula>
    </cfRule>
    <cfRule type="containsText" dxfId="2717" priority="5789" operator="containsText" text="Pendente">
      <formula>NOT(ISERROR(SEARCH("Pendente",P67)))</formula>
    </cfRule>
    <cfRule type="containsText" dxfId="2716" priority="5790" operator="containsText" text="Finalizado">
      <formula>NOT(ISERROR(SEARCH("Finalizado",P67)))</formula>
    </cfRule>
    <cfRule type="containsText" dxfId="2715" priority="5791" operator="containsText" text="em andamento">
      <formula>NOT(ISERROR(SEARCH("em andamento",P67)))</formula>
    </cfRule>
    <cfRule type="expression" dxfId="2714" priority="5785">
      <formula>$H67="CÉLULA CONSTRUTIVA"</formula>
    </cfRule>
  </conditionalFormatting>
  <conditionalFormatting sqref="P69:P70">
    <cfRule type="containsText" dxfId="2713" priority="3068" operator="containsText" text="Lançado">
      <formula>NOT(ISERROR(SEARCH("Lançado",P69)))</formula>
    </cfRule>
    <cfRule type="expression" dxfId="2712" priority="3067">
      <formula>$H69="ETAPA"</formula>
    </cfRule>
    <cfRule type="expression" dxfId="2711" priority="3066">
      <formula>$H69="CÉLULA CONSTRUTIVA"</formula>
    </cfRule>
    <cfRule type="containsText" dxfId="2710" priority="3069" operator="containsText" text="N/A">
      <formula>NOT(ISERROR(SEARCH("N/A",P69)))</formula>
    </cfRule>
    <cfRule type="expression" dxfId="2709" priority="3065">
      <formula>$H69="SUBETAPA"</formula>
    </cfRule>
    <cfRule type="containsText" dxfId="2708" priority="3070" operator="containsText" text="Pendente">
      <formula>NOT(ISERROR(SEARCH("Pendente",P69)))</formula>
    </cfRule>
    <cfRule type="containsText" dxfId="2707" priority="3071" operator="containsText" text="Finalizado">
      <formula>NOT(ISERROR(SEARCH("Finalizado",P69)))</formula>
    </cfRule>
    <cfRule type="containsText" dxfId="2706" priority="3074" operator="containsText" text="N/A">
      <formula>NOT(ISERROR(SEARCH("N/A",P69)))</formula>
    </cfRule>
    <cfRule type="containsText" dxfId="2705" priority="3075" operator="containsText" text="Pendente">
      <formula>NOT(ISERROR(SEARCH("Pendente",P69)))</formula>
    </cfRule>
    <cfRule type="containsText" dxfId="2704" priority="3076" operator="containsText" text="Finalizado">
      <formula>NOT(ISERROR(SEARCH("Finalizado",P69)))</formula>
    </cfRule>
    <cfRule type="containsText" dxfId="2703" priority="3077" operator="containsText" text="em andamento">
      <formula>NOT(ISERROR(SEARCH("em andamento",P69)))</formula>
    </cfRule>
    <cfRule type="expression" dxfId="2702" priority="3078">
      <formula>$H69="SUBETAPA"</formula>
    </cfRule>
    <cfRule type="expression" dxfId="2701" priority="3080">
      <formula>$H69="ETAPA"</formula>
    </cfRule>
    <cfRule type="containsText" dxfId="2700" priority="3081" operator="containsText" text="Lançado">
      <formula>NOT(ISERROR(SEARCH("Lançado",P69)))</formula>
    </cfRule>
    <cfRule type="expression" dxfId="2699" priority="3079">
      <formula>$H69="CÉLULA CONSTRUTIVA"</formula>
    </cfRule>
    <cfRule type="containsText" dxfId="2698" priority="3073" operator="containsText" text="Lançado">
      <formula>NOT(ISERROR(SEARCH("Lançado",P69)))</formula>
    </cfRule>
    <cfRule type="containsText" dxfId="2697" priority="3082" operator="containsText" text="N/A">
      <formula>NOT(ISERROR(SEARCH("N/A",P69)))</formula>
    </cfRule>
    <cfRule type="containsText" dxfId="2696" priority="3083" operator="containsText" text="Pendente">
      <formula>NOT(ISERROR(SEARCH("Pendente",P69)))</formula>
    </cfRule>
    <cfRule type="containsText" dxfId="2695" priority="3084" operator="containsText" text="Finalizado">
      <formula>NOT(ISERROR(SEARCH("Finalizado",P69)))</formula>
    </cfRule>
    <cfRule type="containsText" dxfId="2694" priority="3085" operator="containsText" text="em andamento">
      <formula>NOT(ISERROR(SEARCH("em andamento",P69)))</formula>
    </cfRule>
    <cfRule type="containsText" dxfId="2693" priority="3072" operator="containsText" text="em andamento">
      <formula>NOT(ISERROR(SEARCH("em andamento",P69)))</formula>
    </cfRule>
  </conditionalFormatting>
  <conditionalFormatting sqref="P71">
    <cfRule type="containsText" dxfId="2692" priority="5808" operator="containsText" text="Finalizado">
      <formula>NOT(ISERROR(SEARCH("Finalizado",P71)))</formula>
    </cfRule>
    <cfRule type="containsText" dxfId="2691" priority="5805" operator="containsText" text="Lançado">
      <formula>NOT(ISERROR(SEARCH("Lançado",P71)))</formula>
    </cfRule>
    <cfRule type="containsText" dxfId="2690" priority="5806" operator="containsText" text="N/A">
      <formula>NOT(ISERROR(SEARCH("N/A",P71)))</formula>
    </cfRule>
    <cfRule type="containsText" dxfId="2689" priority="5807" operator="containsText" text="Pendente">
      <formula>NOT(ISERROR(SEARCH("Pendente",P71)))</formula>
    </cfRule>
    <cfRule type="containsText" dxfId="2688" priority="5809" operator="containsText" text="em andamento">
      <formula>NOT(ISERROR(SEARCH("em andamento",P71)))</formula>
    </cfRule>
  </conditionalFormatting>
  <conditionalFormatting sqref="P72">
    <cfRule type="containsText" dxfId="2687" priority="3028" operator="containsText" text="Pendente">
      <formula>NOT(ISERROR(SEARCH("Pendente",P72)))</formula>
    </cfRule>
    <cfRule type="containsText" dxfId="2686" priority="3027" operator="containsText" text="N/A">
      <formula>NOT(ISERROR(SEARCH("N/A",P72)))</formula>
    </cfRule>
    <cfRule type="containsText" dxfId="2685" priority="3026" operator="containsText" text="Lançado">
      <formula>NOT(ISERROR(SEARCH("Lançado",P72)))</formula>
    </cfRule>
    <cfRule type="expression" dxfId="2684" priority="3025">
      <formula>$H72="ETAPA"</formula>
    </cfRule>
    <cfRule type="expression" dxfId="2683" priority="3024">
      <formula>$H72="CÉLULA CONSTRUTIVA"</formula>
    </cfRule>
    <cfRule type="containsText" dxfId="2682" priority="3042" operator="containsText" text="Finalizado">
      <formula>NOT(ISERROR(SEARCH("Finalizado",P72)))</formula>
    </cfRule>
    <cfRule type="containsText" dxfId="2681" priority="3041" operator="containsText" text="Pendente">
      <formula>NOT(ISERROR(SEARCH("Pendente",P72)))</formula>
    </cfRule>
    <cfRule type="containsText" dxfId="2680" priority="3040" operator="containsText" text="N/A">
      <formula>NOT(ISERROR(SEARCH("N/A",P72)))</formula>
    </cfRule>
    <cfRule type="containsText" dxfId="2679" priority="3039" operator="containsText" text="Lançado">
      <formula>NOT(ISERROR(SEARCH("Lançado",P72)))</formula>
    </cfRule>
    <cfRule type="containsText" dxfId="2678" priority="3043" operator="containsText" text="em andamento">
      <formula>NOT(ISERROR(SEARCH("em andamento",P72)))</formula>
    </cfRule>
    <cfRule type="expression" dxfId="2677" priority="3038">
      <formula>$H72="ETAPA"</formula>
    </cfRule>
    <cfRule type="expression" dxfId="2676" priority="3037">
      <formula>$H72="CÉLULA CONSTRUTIVA"</formula>
    </cfRule>
    <cfRule type="expression" dxfId="2675" priority="3036">
      <formula>$H72="SUBETAPA"</formula>
    </cfRule>
    <cfRule type="containsText" dxfId="2674" priority="3035" operator="containsText" text="em andamento">
      <formula>NOT(ISERROR(SEARCH("em andamento",P72)))</formula>
    </cfRule>
    <cfRule type="containsText" dxfId="2673" priority="3034" operator="containsText" text="Finalizado">
      <formula>NOT(ISERROR(SEARCH("Finalizado",P72)))</formula>
    </cfRule>
    <cfRule type="containsText" dxfId="2672" priority="3033" operator="containsText" text="Pendente">
      <formula>NOT(ISERROR(SEARCH("Pendente",P72)))</formula>
    </cfRule>
    <cfRule type="containsText" dxfId="2671" priority="3032" operator="containsText" text="N/A">
      <formula>NOT(ISERROR(SEARCH("N/A",P72)))</formula>
    </cfRule>
    <cfRule type="containsText" dxfId="2670" priority="3031" operator="containsText" text="Lançado">
      <formula>NOT(ISERROR(SEARCH("Lançado",P72)))</formula>
    </cfRule>
    <cfRule type="containsText" dxfId="2669" priority="3030" operator="containsText" text="em andamento">
      <formula>NOT(ISERROR(SEARCH("em andamento",P72)))</formula>
    </cfRule>
    <cfRule type="containsText" dxfId="2668" priority="3029" operator="containsText" text="Finalizado">
      <formula>NOT(ISERROR(SEARCH("Finalizado",P72)))</formula>
    </cfRule>
    <cfRule type="expression" dxfId="2667" priority="3023">
      <formula>$H72="SUBETAPA"</formula>
    </cfRule>
  </conditionalFormatting>
  <conditionalFormatting sqref="P73">
    <cfRule type="containsText" dxfId="2666" priority="793" operator="containsText" text="Pendente">
      <formula>NOT(ISERROR(SEARCH("Pendente",P73)))</formula>
    </cfRule>
    <cfRule type="containsText" dxfId="2665" priority="792" operator="containsText" text="N/A">
      <formula>NOT(ISERROR(SEARCH("N/A",P73)))</formula>
    </cfRule>
    <cfRule type="containsText" dxfId="2664" priority="791" operator="containsText" text="Lançado">
      <formula>NOT(ISERROR(SEARCH("Lançado",P73)))</formula>
    </cfRule>
    <cfRule type="containsText" dxfId="2663" priority="795" operator="containsText" text="em andamento">
      <formula>NOT(ISERROR(SEARCH("em andamento",P73)))</formula>
    </cfRule>
    <cfRule type="expression" dxfId="2662" priority="787">
      <formula>$H73="ETAPA"</formula>
    </cfRule>
    <cfRule type="expression" dxfId="2661" priority="786">
      <formula>$H73="CÉLULA CONSTRUTIVA"</formula>
    </cfRule>
    <cfRule type="expression" dxfId="2660" priority="785">
      <formula>$H73="SUBETAPA"</formula>
    </cfRule>
    <cfRule type="containsText" dxfId="2659" priority="794" operator="containsText" text="Finalizado">
      <formula>NOT(ISERROR(SEARCH("Finalizado",P73)))</formula>
    </cfRule>
  </conditionalFormatting>
  <conditionalFormatting sqref="P74">
    <cfRule type="containsText" dxfId="2658" priority="760" operator="containsText" text="Pendente">
      <formula>NOT(ISERROR(SEARCH("Pendente",P74)))</formula>
    </cfRule>
    <cfRule type="expression" dxfId="2657" priority="756">
      <formula>$H74="CÉLULA CONSTRUTIVA"</formula>
    </cfRule>
    <cfRule type="expression" dxfId="2656" priority="755">
      <formula>$H74="SUBETAPA"</formula>
    </cfRule>
    <cfRule type="containsText" dxfId="2655" priority="774" operator="containsText" text="Finalizado">
      <formula>NOT(ISERROR(SEARCH("Finalizado",P74)))</formula>
    </cfRule>
    <cfRule type="containsText" dxfId="2654" priority="759" operator="containsText" text="N/A">
      <formula>NOT(ISERROR(SEARCH("N/A",P74)))</formula>
    </cfRule>
    <cfRule type="containsText" dxfId="2653" priority="775" operator="containsText" text="em andamento">
      <formula>NOT(ISERROR(SEARCH("em andamento",P74)))</formula>
    </cfRule>
    <cfRule type="containsText" dxfId="2652" priority="773" operator="containsText" text="Pendente">
      <formula>NOT(ISERROR(SEARCH("Pendente",P74)))</formula>
    </cfRule>
    <cfRule type="containsText" dxfId="2651" priority="772" operator="containsText" text="N/A">
      <formula>NOT(ISERROR(SEARCH("N/A",P74)))</formula>
    </cfRule>
    <cfRule type="containsText" dxfId="2650" priority="771" operator="containsText" text="Lançado">
      <formula>NOT(ISERROR(SEARCH("Lançado",P74)))</formula>
    </cfRule>
    <cfRule type="expression" dxfId="2649" priority="770">
      <formula>$H74="ETAPA"</formula>
    </cfRule>
    <cfRule type="expression" dxfId="2648" priority="769">
      <formula>$H74="CÉLULA CONSTRUTIVA"</formula>
    </cfRule>
    <cfRule type="expression" dxfId="2647" priority="768">
      <formula>$H74="SUBETAPA"</formula>
    </cfRule>
    <cfRule type="containsText" dxfId="2646" priority="767" operator="containsText" text="em andamento">
      <formula>NOT(ISERROR(SEARCH("em andamento",P74)))</formula>
    </cfRule>
    <cfRule type="containsText" dxfId="2645" priority="766" operator="containsText" text="Finalizado">
      <formula>NOT(ISERROR(SEARCH("Finalizado",P74)))</formula>
    </cfRule>
    <cfRule type="containsText" dxfId="2644" priority="765" operator="containsText" text="Pendente">
      <formula>NOT(ISERROR(SEARCH("Pendente",P74)))</formula>
    </cfRule>
    <cfRule type="containsText" dxfId="2643" priority="764" operator="containsText" text="N/A">
      <formula>NOT(ISERROR(SEARCH("N/A",P74)))</formula>
    </cfRule>
    <cfRule type="containsText" dxfId="2642" priority="763" operator="containsText" text="Lançado">
      <formula>NOT(ISERROR(SEARCH("Lançado",P74)))</formula>
    </cfRule>
    <cfRule type="containsText" dxfId="2641" priority="762" operator="containsText" text="em andamento">
      <formula>NOT(ISERROR(SEARCH("em andamento",P74)))</formula>
    </cfRule>
    <cfRule type="containsText" dxfId="2640" priority="761" operator="containsText" text="Finalizado">
      <formula>NOT(ISERROR(SEARCH("Finalizado",P74)))</formula>
    </cfRule>
    <cfRule type="containsText" dxfId="2639" priority="758" operator="containsText" text="Lançado">
      <formula>NOT(ISERROR(SEARCH("Lançado",P74)))</formula>
    </cfRule>
    <cfRule type="expression" dxfId="2638" priority="757">
      <formula>$H74="ETAPA"</formula>
    </cfRule>
  </conditionalFormatting>
  <conditionalFormatting sqref="P75">
    <cfRule type="containsText" dxfId="2637" priority="682" operator="containsText" text="Pendente">
      <formula>NOT(ISERROR(SEARCH("Pendente",P75)))</formula>
    </cfRule>
    <cfRule type="expression" dxfId="2636" priority="676">
      <formula>$H75="ETAPA"</formula>
    </cfRule>
    <cfRule type="containsText" dxfId="2635" priority="680" operator="containsText" text="Lançado">
      <formula>NOT(ISERROR(SEARCH("Lançado",P75)))</formula>
    </cfRule>
    <cfRule type="expression" dxfId="2634" priority="674">
      <formula>$H75="SUBETAPA"</formula>
    </cfRule>
    <cfRule type="expression" dxfId="2633" priority="675">
      <formula>$H75="CÉLULA CONSTRUTIVA"</formula>
    </cfRule>
    <cfRule type="containsText" dxfId="2632" priority="681" operator="containsText" text="N/A">
      <formula>NOT(ISERROR(SEARCH("N/A",P75)))</formula>
    </cfRule>
    <cfRule type="containsText" dxfId="2631" priority="684" operator="containsText" text="em andamento">
      <formula>NOT(ISERROR(SEARCH("em andamento",P75)))</formula>
    </cfRule>
    <cfRule type="containsText" dxfId="2630" priority="683" operator="containsText" text="Finalizado">
      <formula>NOT(ISERROR(SEARCH("Finalizado",P75)))</formula>
    </cfRule>
  </conditionalFormatting>
  <conditionalFormatting sqref="P76">
    <cfRule type="containsText" dxfId="2629" priority="648" operator="containsText" text="N/A">
      <formula>NOT(ISERROR(SEARCH("N/A",P76)))</formula>
    </cfRule>
    <cfRule type="containsText" dxfId="2628" priority="649" operator="containsText" text="Pendente">
      <formula>NOT(ISERROR(SEARCH("Pendente",P76)))</formula>
    </cfRule>
    <cfRule type="containsText" dxfId="2627" priority="662" operator="containsText" text="Pendente">
      <formula>NOT(ISERROR(SEARCH("Pendente",P76)))</formula>
    </cfRule>
    <cfRule type="containsText" dxfId="2626" priority="661" operator="containsText" text="N/A">
      <formula>NOT(ISERROR(SEARCH("N/A",P76)))</formula>
    </cfRule>
    <cfRule type="containsText" dxfId="2625" priority="664" operator="containsText" text="em andamento">
      <formula>NOT(ISERROR(SEARCH("em andamento",P76)))</formula>
    </cfRule>
    <cfRule type="expression" dxfId="2624" priority="657">
      <formula>$H76="SUBETAPA"</formula>
    </cfRule>
    <cfRule type="expression" dxfId="2623" priority="658">
      <formula>$H76="CÉLULA CONSTRUTIVA"</formula>
    </cfRule>
    <cfRule type="expression" dxfId="2622" priority="659">
      <formula>$H76="ETAPA"</formula>
    </cfRule>
    <cfRule type="expression" dxfId="2621" priority="646">
      <formula>$H76="ETAPA"</formula>
    </cfRule>
    <cfRule type="containsText" dxfId="2620" priority="660" operator="containsText" text="Lançado">
      <formula>NOT(ISERROR(SEARCH("Lançado",P76)))</formula>
    </cfRule>
    <cfRule type="containsText" dxfId="2619" priority="663" operator="containsText" text="Finalizado">
      <formula>NOT(ISERROR(SEARCH("Finalizado",P76)))</formula>
    </cfRule>
    <cfRule type="expression" dxfId="2618" priority="644">
      <formula>$H76="SUBETAPA"</formula>
    </cfRule>
    <cfRule type="expression" dxfId="2617" priority="645">
      <formula>$H76="CÉLULA CONSTRUTIVA"</formula>
    </cfRule>
    <cfRule type="containsText" dxfId="2616" priority="650" operator="containsText" text="Finalizado">
      <formula>NOT(ISERROR(SEARCH("Finalizado",P76)))</formula>
    </cfRule>
    <cfRule type="containsText" dxfId="2615" priority="651" operator="containsText" text="em andamento">
      <formula>NOT(ISERROR(SEARCH("em andamento",P76)))</formula>
    </cfRule>
    <cfRule type="containsText" dxfId="2614" priority="652" operator="containsText" text="Lançado">
      <formula>NOT(ISERROR(SEARCH("Lançado",P76)))</formula>
    </cfRule>
    <cfRule type="containsText" dxfId="2613" priority="647" operator="containsText" text="Lançado">
      <formula>NOT(ISERROR(SEARCH("Lançado",P76)))</formula>
    </cfRule>
    <cfRule type="containsText" dxfId="2612" priority="653" operator="containsText" text="N/A">
      <formula>NOT(ISERROR(SEARCH("N/A",P76)))</formula>
    </cfRule>
    <cfRule type="containsText" dxfId="2611" priority="654" operator="containsText" text="Pendente">
      <formula>NOT(ISERROR(SEARCH("Pendente",P76)))</formula>
    </cfRule>
    <cfRule type="containsText" dxfId="2610" priority="655" operator="containsText" text="Finalizado">
      <formula>NOT(ISERROR(SEARCH("Finalizado",P76)))</formula>
    </cfRule>
    <cfRule type="containsText" dxfId="2609" priority="656" operator="containsText" text="em andamento">
      <formula>NOT(ISERROR(SEARCH("em andamento",P76)))</formula>
    </cfRule>
  </conditionalFormatting>
  <conditionalFormatting sqref="P77 P81 P85 P87 P89">
    <cfRule type="containsText" dxfId="2608" priority="5780" operator="containsText" text="Lançado">
      <formula>NOT(ISERROR(SEARCH("Lançado",P77)))</formula>
    </cfRule>
    <cfRule type="containsText" dxfId="2607" priority="5781" operator="containsText" text="N/A">
      <formula>NOT(ISERROR(SEARCH("N/A",P77)))</formula>
    </cfRule>
    <cfRule type="containsText" dxfId="2606" priority="5784" operator="containsText" text="em andamento">
      <formula>NOT(ISERROR(SEARCH("em andamento",P77)))</formula>
    </cfRule>
  </conditionalFormatting>
  <conditionalFormatting sqref="P77 P85 P87 P89 P81">
    <cfRule type="containsText" dxfId="2605" priority="5782" operator="containsText" text="Pendente">
      <formula>NOT(ISERROR(SEARCH("Pendente",P77)))</formula>
    </cfRule>
    <cfRule type="containsText" dxfId="2604" priority="5783" operator="containsText" text="Finalizado">
      <formula>NOT(ISERROR(SEARCH("Finalizado",P77)))</formula>
    </cfRule>
  </conditionalFormatting>
  <conditionalFormatting sqref="P77 P85 P87 P89">
    <cfRule type="expression" dxfId="2603" priority="5776">
      <formula>$H77="ETAPA"</formula>
    </cfRule>
    <cfRule type="expression" dxfId="2602" priority="5775">
      <formula>$H77="CÉLULA CONSTRUTIVA"</formula>
    </cfRule>
  </conditionalFormatting>
  <conditionalFormatting sqref="P77 P85 P87 P89:P94">
    <cfRule type="expression" dxfId="2601" priority="5774">
      <formula>$H77="SUBETAPA"</formula>
    </cfRule>
  </conditionalFormatting>
  <conditionalFormatting sqref="P78">
    <cfRule type="containsText" dxfId="2600" priority="3019" operator="containsText" text="N/A">
      <formula>NOT(ISERROR(SEARCH("N/A",P78)))</formula>
    </cfRule>
    <cfRule type="containsText" dxfId="2599" priority="3018" operator="containsText" text="Lançado">
      <formula>NOT(ISERROR(SEARCH("Lançado",P78)))</formula>
    </cfRule>
    <cfRule type="expression" dxfId="2598" priority="3017">
      <formula>$H78="ETAPA"</formula>
    </cfRule>
    <cfRule type="expression" dxfId="2597" priority="3016">
      <formula>$H78="CÉLULA CONSTRUTIVA"</formula>
    </cfRule>
    <cfRule type="expression" dxfId="2596" priority="3015">
      <formula>$H78="SUBETAPA"</formula>
    </cfRule>
    <cfRule type="containsText" dxfId="2595" priority="3014" operator="containsText" text="em andamento">
      <formula>NOT(ISERROR(SEARCH("em andamento",P78)))</formula>
    </cfRule>
    <cfRule type="containsText" dxfId="2594" priority="3013" operator="containsText" text="Finalizado">
      <formula>NOT(ISERROR(SEARCH("Finalizado",P78)))</formula>
    </cfRule>
    <cfRule type="containsText" dxfId="2593" priority="3012" operator="containsText" text="Pendente">
      <formula>NOT(ISERROR(SEARCH("Pendente",P78)))</formula>
    </cfRule>
    <cfRule type="containsText" dxfId="2592" priority="3011" operator="containsText" text="N/A">
      <formula>NOT(ISERROR(SEARCH("N/A",P78)))</formula>
    </cfRule>
    <cfRule type="containsText" dxfId="2591" priority="3010" operator="containsText" text="Lançado">
      <formula>NOT(ISERROR(SEARCH("Lançado",P78)))</formula>
    </cfRule>
    <cfRule type="containsText" dxfId="2590" priority="3009" operator="containsText" text="em andamento">
      <formula>NOT(ISERROR(SEARCH("em andamento",P78)))</formula>
    </cfRule>
    <cfRule type="containsText" dxfId="2589" priority="3008" operator="containsText" text="Finalizado">
      <formula>NOT(ISERROR(SEARCH("Finalizado",P78)))</formula>
    </cfRule>
    <cfRule type="containsText" dxfId="2588" priority="3007" operator="containsText" text="Pendente">
      <formula>NOT(ISERROR(SEARCH("Pendente",P78)))</formula>
    </cfRule>
    <cfRule type="containsText" dxfId="2587" priority="3006" operator="containsText" text="N/A">
      <formula>NOT(ISERROR(SEARCH("N/A",P78)))</formula>
    </cfRule>
    <cfRule type="expression" dxfId="2586" priority="3004">
      <formula>$H78="ETAPA"</formula>
    </cfRule>
    <cfRule type="expression" dxfId="2585" priority="3003">
      <formula>$H78="CÉLULA CONSTRUTIVA"</formula>
    </cfRule>
    <cfRule type="expression" dxfId="2584" priority="3002">
      <formula>$H78="SUBETAPA"</formula>
    </cfRule>
    <cfRule type="containsText" dxfId="2583" priority="3005" operator="containsText" text="Lançado">
      <formula>NOT(ISERROR(SEARCH("Lançado",P78)))</formula>
    </cfRule>
    <cfRule type="containsText" dxfId="2582" priority="3022" operator="containsText" text="em andamento">
      <formula>NOT(ISERROR(SEARCH("em andamento",P78)))</formula>
    </cfRule>
    <cfRule type="containsText" dxfId="2581" priority="3021" operator="containsText" text="Finalizado">
      <formula>NOT(ISERROR(SEARCH("Finalizado",P78)))</formula>
    </cfRule>
    <cfRule type="containsText" dxfId="2580" priority="3020" operator="containsText" text="Pendente">
      <formula>NOT(ISERROR(SEARCH("Pendente",P78)))</formula>
    </cfRule>
  </conditionalFormatting>
  <conditionalFormatting sqref="P79">
    <cfRule type="containsText" dxfId="2579" priority="623" operator="containsText" text="Finalizado">
      <formula>NOT(ISERROR(SEARCH("Finalizado",P79)))</formula>
    </cfRule>
    <cfRule type="expression" dxfId="2578" priority="614">
      <formula>$H79="SUBETAPA"</formula>
    </cfRule>
    <cfRule type="expression" dxfId="2577" priority="615">
      <formula>$H79="CÉLULA CONSTRUTIVA"</formula>
    </cfRule>
    <cfRule type="expression" dxfId="2576" priority="616">
      <formula>$H79="ETAPA"</formula>
    </cfRule>
    <cfRule type="containsText" dxfId="2575" priority="620" operator="containsText" text="Lançado">
      <formula>NOT(ISERROR(SEARCH("Lançado",P79)))</formula>
    </cfRule>
    <cfRule type="containsText" dxfId="2574" priority="621" operator="containsText" text="N/A">
      <formula>NOT(ISERROR(SEARCH("N/A",P79)))</formula>
    </cfRule>
    <cfRule type="containsText" dxfId="2573" priority="622" operator="containsText" text="Pendente">
      <formula>NOT(ISERROR(SEARCH("Pendente",P79)))</formula>
    </cfRule>
    <cfRule type="containsText" dxfId="2572" priority="624" operator="containsText" text="em andamento">
      <formula>NOT(ISERROR(SEARCH("em andamento",P79)))</formula>
    </cfRule>
  </conditionalFormatting>
  <conditionalFormatting sqref="P80">
    <cfRule type="containsText" dxfId="2571" priority="595" operator="containsText" text="Finalizado">
      <formula>NOT(ISERROR(SEARCH("Finalizado",P80)))</formula>
    </cfRule>
    <cfRule type="expression" dxfId="2570" priority="598">
      <formula>$H80="CÉLULA CONSTRUTIVA"</formula>
    </cfRule>
    <cfRule type="containsText" dxfId="2569" priority="603" operator="containsText" text="Finalizado">
      <formula>NOT(ISERROR(SEARCH("Finalizado",P80)))</formula>
    </cfRule>
    <cfRule type="expression" dxfId="2568" priority="586">
      <formula>$H80="ETAPA"</formula>
    </cfRule>
    <cfRule type="containsText" dxfId="2567" priority="587" operator="containsText" text="Lançado">
      <formula>NOT(ISERROR(SEARCH("Lançado",P80)))</formula>
    </cfRule>
    <cfRule type="containsText" dxfId="2566" priority="588" operator="containsText" text="N/A">
      <formula>NOT(ISERROR(SEARCH("N/A",P80)))</formula>
    </cfRule>
    <cfRule type="expression" dxfId="2565" priority="599">
      <formula>$H80="ETAPA"</formula>
    </cfRule>
    <cfRule type="containsText" dxfId="2564" priority="600" operator="containsText" text="Lançado">
      <formula>NOT(ISERROR(SEARCH("Lançado",P80)))</formula>
    </cfRule>
    <cfRule type="containsText" dxfId="2563" priority="601" operator="containsText" text="N/A">
      <formula>NOT(ISERROR(SEARCH("N/A",P80)))</formula>
    </cfRule>
    <cfRule type="containsText" dxfId="2562" priority="602" operator="containsText" text="Pendente">
      <formula>NOT(ISERROR(SEARCH("Pendente",P80)))</formula>
    </cfRule>
    <cfRule type="expression" dxfId="2561" priority="585">
      <formula>$H80="CÉLULA CONSTRUTIVA"</formula>
    </cfRule>
    <cfRule type="containsText" dxfId="2560" priority="604" operator="containsText" text="em andamento">
      <formula>NOT(ISERROR(SEARCH("em andamento",P80)))</formula>
    </cfRule>
    <cfRule type="containsText" dxfId="2559" priority="589" operator="containsText" text="Pendente">
      <formula>NOT(ISERROR(SEARCH("Pendente",P80)))</formula>
    </cfRule>
    <cfRule type="containsText" dxfId="2558" priority="590" operator="containsText" text="Finalizado">
      <formula>NOT(ISERROR(SEARCH("Finalizado",P80)))</formula>
    </cfRule>
    <cfRule type="containsText" dxfId="2557" priority="591" operator="containsText" text="em andamento">
      <formula>NOT(ISERROR(SEARCH("em andamento",P80)))</formula>
    </cfRule>
    <cfRule type="containsText" dxfId="2556" priority="592" operator="containsText" text="Lançado">
      <formula>NOT(ISERROR(SEARCH("Lançado",P80)))</formula>
    </cfRule>
    <cfRule type="containsText" dxfId="2555" priority="593" operator="containsText" text="N/A">
      <formula>NOT(ISERROR(SEARCH("N/A",P80)))</formula>
    </cfRule>
    <cfRule type="containsText" dxfId="2554" priority="594" operator="containsText" text="Pendente">
      <formula>NOT(ISERROR(SEARCH("Pendente",P80)))</formula>
    </cfRule>
    <cfRule type="containsText" dxfId="2553" priority="596" operator="containsText" text="em andamento">
      <formula>NOT(ISERROR(SEARCH("em andamento",P80)))</formula>
    </cfRule>
    <cfRule type="expression" dxfId="2552" priority="584">
      <formula>$H80="SUBETAPA"</formula>
    </cfRule>
    <cfRule type="expression" dxfId="2551" priority="597">
      <formula>$H80="SUBETAPA"</formula>
    </cfRule>
  </conditionalFormatting>
  <conditionalFormatting sqref="P81 K94 O89:P89 N88:O88 N86:O86 N82:O82 N72:O72 N94 K82 O71:P71 O77:P77 O85:P85 O87:P87 K85">
    <cfRule type="expression" dxfId="2550" priority="5778">
      <formula>$H71="CÉLULA CONSTRUTIVA"</formula>
    </cfRule>
  </conditionalFormatting>
  <conditionalFormatting sqref="P82">
    <cfRule type="containsText" dxfId="2549" priority="2984" operator="containsText" text="Lançado">
      <formula>NOT(ISERROR(SEARCH("Lançado",P82)))</formula>
    </cfRule>
    <cfRule type="expression" dxfId="2548" priority="2983">
      <formula>$H82="ETAPA"</formula>
    </cfRule>
    <cfRule type="expression" dxfId="2547" priority="2982">
      <formula>$H82="CÉLULA CONSTRUTIVA"</formula>
    </cfRule>
    <cfRule type="containsText" dxfId="2546" priority="2998" operator="containsText" text="N/A">
      <formula>NOT(ISERROR(SEARCH("N/A",P82)))</formula>
    </cfRule>
    <cfRule type="containsText" dxfId="2545" priority="2997" operator="containsText" text="Lançado">
      <formula>NOT(ISERROR(SEARCH("Lançado",P82)))</formula>
    </cfRule>
    <cfRule type="expression" dxfId="2544" priority="2995">
      <formula>$H82="CÉLULA CONSTRUTIVA"</formula>
    </cfRule>
    <cfRule type="expression" dxfId="2543" priority="2994">
      <formula>$H82="SUBETAPA"</formula>
    </cfRule>
    <cfRule type="expression" dxfId="2542" priority="2996">
      <formula>$H82="ETAPA"</formula>
    </cfRule>
    <cfRule type="containsText" dxfId="2541" priority="2990" operator="containsText" text="N/A">
      <formula>NOT(ISERROR(SEARCH("N/A",P82)))</formula>
    </cfRule>
    <cfRule type="expression" dxfId="2540" priority="2981">
      <formula>$H82="SUBETAPA"</formula>
    </cfRule>
    <cfRule type="containsText" dxfId="2539" priority="2999" operator="containsText" text="Pendente">
      <formula>NOT(ISERROR(SEARCH("Pendente",P82)))</formula>
    </cfRule>
    <cfRule type="containsText" dxfId="2538" priority="2993" operator="containsText" text="em andamento">
      <formula>NOT(ISERROR(SEARCH("em andamento",P82)))</formula>
    </cfRule>
    <cfRule type="containsText" dxfId="2537" priority="3001" operator="containsText" text="em andamento">
      <formula>NOT(ISERROR(SEARCH("em andamento",P82)))</formula>
    </cfRule>
    <cfRule type="containsText" dxfId="2536" priority="3000" operator="containsText" text="Finalizado">
      <formula>NOT(ISERROR(SEARCH("Finalizado",P82)))</formula>
    </cfRule>
    <cfRule type="containsText" dxfId="2535" priority="2992" operator="containsText" text="Finalizado">
      <formula>NOT(ISERROR(SEARCH("Finalizado",P82)))</formula>
    </cfRule>
    <cfRule type="containsText" dxfId="2534" priority="2991" operator="containsText" text="Pendente">
      <formula>NOT(ISERROR(SEARCH("Pendente",P82)))</formula>
    </cfRule>
    <cfRule type="containsText" dxfId="2533" priority="2989" operator="containsText" text="Lançado">
      <formula>NOT(ISERROR(SEARCH("Lançado",P82)))</formula>
    </cfRule>
    <cfRule type="containsText" dxfId="2532" priority="2988" operator="containsText" text="em andamento">
      <formula>NOT(ISERROR(SEARCH("em andamento",P82)))</formula>
    </cfRule>
    <cfRule type="containsText" dxfId="2531" priority="2987" operator="containsText" text="Finalizado">
      <formula>NOT(ISERROR(SEARCH("Finalizado",P82)))</formula>
    </cfRule>
    <cfRule type="containsText" dxfId="2530" priority="2986" operator="containsText" text="Pendente">
      <formula>NOT(ISERROR(SEARCH("Pendente",P82)))</formula>
    </cfRule>
    <cfRule type="containsText" dxfId="2529" priority="2985" operator="containsText" text="N/A">
      <formula>NOT(ISERROR(SEARCH("N/A",P82)))</formula>
    </cfRule>
  </conditionalFormatting>
  <conditionalFormatting sqref="P83 N84:O84 K84">
    <cfRule type="expression" dxfId="2528" priority="729">
      <formula>$H83="CÉLULA CONSTRUTIVA"</formula>
    </cfRule>
    <cfRule type="expression" dxfId="2527" priority="728">
      <formula>$H83="SUBETAPA"</formula>
    </cfRule>
  </conditionalFormatting>
  <conditionalFormatting sqref="P83">
    <cfRule type="containsText" dxfId="2526" priority="733" operator="containsText" text="Pendente">
      <formula>NOT(ISERROR(SEARCH("Pendente",P83)))</formula>
    </cfRule>
    <cfRule type="containsText" dxfId="2525" priority="735" operator="containsText" text="em andamento">
      <formula>NOT(ISERROR(SEARCH("em andamento",P83)))</formula>
    </cfRule>
    <cfRule type="containsText" dxfId="2524" priority="731" operator="containsText" text="Lançado">
      <formula>NOT(ISERROR(SEARCH("Lançado",P83)))</formula>
    </cfRule>
    <cfRule type="expression" dxfId="2523" priority="730">
      <formula>$H83="ETAPA"</formula>
    </cfRule>
    <cfRule type="containsText" dxfId="2522" priority="734" operator="containsText" text="Finalizado">
      <formula>NOT(ISERROR(SEARCH("Finalizado",P83)))</formula>
    </cfRule>
    <cfRule type="containsText" dxfId="2521" priority="732" operator="containsText" text="N/A">
      <formula>NOT(ISERROR(SEARCH("N/A",P83)))</formula>
    </cfRule>
  </conditionalFormatting>
  <conditionalFormatting sqref="P84">
    <cfRule type="containsText" dxfId="2520" priority="701" operator="containsText" text="Lançado">
      <formula>NOT(ISERROR(SEARCH("Lançado",P84)))</formula>
    </cfRule>
    <cfRule type="containsText" dxfId="2519" priority="702" operator="containsText" text="N/A">
      <formula>NOT(ISERROR(SEARCH("N/A",P84)))</formula>
    </cfRule>
    <cfRule type="containsText" dxfId="2518" priority="704" operator="containsText" text="Finalizado">
      <formula>NOT(ISERROR(SEARCH("Finalizado",P84)))</formula>
    </cfRule>
    <cfRule type="containsText" dxfId="2517" priority="709" operator="containsText" text="Finalizado">
      <formula>NOT(ISERROR(SEARCH("Finalizado",P84)))</formula>
    </cfRule>
    <cfRule type="containsText" dxfId="2516" priority="715" operator="containsText" text="N/A">
      <formula>NOT(ISERROR(SEARCH("N/A",P84)))</formula>
    </cfRule>
    <cfRule type="containsText" dxfId="2515" priority="703" operator="containsText" text="Pendente">
      <formula>NOT(ISERROR(SEARCH("Pendente",P84)))</formula>
    </cfRule>
    <cfRule type="containsText" dxfId="2514" priority="718" operator="containsText" text="em andamento">
      <formula>NOT(ISERROR(SEARCH("em andamento",P84)))</formula>
    </cfRule>
    <cfRule type="containsText" dxfId="2513" priority="717" operator="containsText" text="Finalizado">
      <formula>NOT(ISERROR(SEARCH("Finalizado",P84)))</formula>
    </cfRule>
    <cfRule type="containsText" dxfId="2512" priority="716" operator="containsText" text="Pendente">
      <formula>NOT(ISERROR(SEARCH("Pendente",P84)))</formula>
    </cfRule>
    <cfRule type="containsText" dxfId="2511" priority="714" operator="containsText" text="Lançado">
      <formula>NOT(ISERROR(SEARCH("Lançado",P84)))</formula>
    </cfRule>
    <cfRule type="containsText" dxfId="2510" priority="708" operator="containsText" text="Pendente">
      <formula>NOT(ISERROR(SEARCH("Pendente",P84)))</formula>
    </cfRule>
    <cfRule type="containsText" dxfId="2509" priority="707" operator="containsText" text="N/A">
      <formula>NOT(ISERROR(SEARCH("N/A",P84)))</formula>
    </cfRule>
    <cfRule type="containsText" dxfId="2508" priority="706" operator="containsText" text="Lançado">
      <formula>NOT(ISERROR(SEARCH("Lançado",P84)))</formula>
    </cfRule>
    <cfRule type="expression" dxfId="2507" priority="713">
      <formula>$H84="ETAPA"</formula>
    </cfRule>
    <cfRule type="expression" dxfId="2506" priority="712">
      <formula>$H84="CÉLULA CONSTRUTIVA"</formula>
    </cfRule>
    <cfRule type="expression" dxfId="2505" priority="711">
      <formula>$H84="SUBETAPA"</formula>
    </cfRule>
    <cfRule type="containsText" dxfId="2504" priority="705" operator="containsText" text="em andamento">
      <formula>NOT(ISERROR(SEARCH("em andamento",P84)))</formula>
    </cfRule>
    <cfRule type="expression" dxfId="2503" priority="700">
      <formula>$H84="ETAPA"</formula>
    </cfRule>
    <cfRule type="expression" dxfId="2502" priority="699">
      <formula>$H84="CÉLULA CONSTRUTIVA"</formula>
    </cfRule>
    <cfRule type="expression" dxfId="2501" priority="698">
      <formula>$H84="SUBETAPA"</formula>
    </cfRule>
    <cfRule type="containsText" dxfId="2500" priority="710" operator="containsText" text="em andamento">
      <formula>NOT(ISERROR(SEARCH("em andamento",P84)))</formula>
    </cfRule>
  </conditionalFormatting>
  <conditionalFormatting sqref="P86">
    <cfRule type="containsText" dxfId="2499" priority="2979" operator="containsText" text="Finalizado">
      <formula>NOT(ISERROR(SEARCH("Finalizado",P86)))</formula>
    </cfRule>
    <cfRule type="containsText" dxfId="2498" priority="2980" operator="containsText" text="em andamento">
      <formula>NOT(ISERROR(SEARCH("em andamento",P86)))</formula>
    </cfRule>
    <cfRule type="containsText" dxfId="2497" priority="2969" operator="containsText" text="N/A">
      <formula>NOT(ISERROR(SEARCH("N/A",P86)))</formula>
    </cfRule>
    <cfRule type="expression" dxfId="2496" priority="2960">
      <formula>$H86="SUBETAPA"</formula>
    </cfRule>
    <cfRule type="expression" dxfId="2495" priority="2961">
      <formula>$H86="CÉLULA CONSTRUTIVA"</formula>
    </cfRule>
    <cfRule type="expression" dxfId="2494" priority="2962">
      <formula>$H86="ETAPA"</formula>
    </cfRule>
    <cfRule type="containsText" dxfId="2493" priority="2963" operator="containsText" text="Lançado">
      <formula>NOT(ISERROR(SEARCH("Lançado",P86)))</formula>
    </cfRule>
    <cfRule type="containsText" dxfId="2492" priority="2964" operator="containsText" text="N/A">
      <formula>NOT(ISERROR(SEARCH("N/A",P86)))</formula>
    </cfRule>
    <cfRule type="containsText" dxfId="2491" priority="2965" operator="containsText" text="Pendente">
      <formula>NOT(ISERROR(SEARCH("Pendente",P86)))</formula>
    </cfRule>
    <cfRule type="containsText" dxfId="2490" priority="2966" operator="containsText" text="Finalizado">
      <formula>NOT(ISERROR(SEARCH("Finalizado",P86)))</formula>
    </cfRule>
    <cfRule type="containsText" dxfId="2489" priority="2967" operator="containsText" text="em andamento">
      <formula>NOT(ISERROR(SEARCH("em andamento",P86)))</formula>
    </cfRule>
    <cfRule type="containsText" dxfId="2488" priority="2968" operator="containsText" text="Lançado">
      <formula>NOT(ISERROR(SEARCH("Lançado",P86)))</formula>
    </cfRule>
    <cfRule type="containsText" dxfId="2487" priority="2970" operator="containsText" text="Pendente">
      <formula>NOT(ISERROR(SEARCH("Pendente",P86)))</formula>
    </cfRule>
    <cfRule type="containsText" dxfId="2486" priority="2971" operator="containsText" text="Finalizado">
      <formula>NOT(ISERROR(SEARCH("Finalizado",P86)))</formula>
    </cfRule>
    <cfRule type="containsText" dxfId="2485" priority="2972" operator="containsText" text="em andamento">
      <formula>NOT(ISERROR(SEARCH("em andamento",P86)))</formula>
    </cfRule>
    <cfRule type="expression" dxfId="2484" priority="2973">
      <formula>$H86="SUBETAPA"</formula>
    </cfRule>
    <cfRule type="expression" dxfId="2483" priority="2974">
      <formula>$H86="CÉLULA CONSTRUTIVA"</formula>
    </cfRule>
    <cfRule type="expression" dxfId="2482" priority="2975">
      <formula>$H86="ETAPA"</formula>
    </cfRule>
    <cfRule type="containsText" dxfId="2481" priority="2976" operator="containsText" text="Lançado">
      <formula>NOT(ISERROR(SEARCH("Lançado",P86)))</formula>
    </cfRule>
    <cfRule type="containsText" dxfId="2480" priority="2977" operator="containsText" text="N/A">
      <formula>NOT(ISERROR(SEARCH("N/A",P86)))</formula>
    </cfRule>
    <cfRule type="containsText" dxfId="2479" priority="2978" operator="containsText" text="Pendente">
      <formula>NOT(ISERROR(SEARCH("Pendente",P86)))</formula>
    </cfRule>
  </conditionalFormatting>
  <conditionalFormatting sqref="P88">
    <cfRule type="containsText" dxfId="2478" priority="2935" operator="containsText" text="N/A">
      <formula>NOT(ISERROR(SEARCH("N/A",P88)))</formula>
    </cfRule>
    <cfRule type="containsText" dxfId="2477" priority="2930" operator="containsText" text="em andamento">
      <formula>NOT(ISERROR(SEARCH("em andamento",P88)))</formula>
    </cfRule>
    <cfRule type="expression" dxfId="2476" priority="2931">
      <formula>$H88="SUBETAPA"</formula>
    </cfRule>
    <cfRule type="expression" dxfId="2475" priority="2932">
      <formula>$H88="CÉLULA CONSTRUTIVA"</formula>
    </cfRule>
    <cfRule type="containsText" dxfId="2474" priority="2925" operator="containsText" text="em andamento">
      <formula>NOT(ISERROR(SEARCH("em andamento",P88)))</formula>
    </cfRule>
    <cfRule type="containsText" dxfId="2473" priority="2934" operator="containsText" text="Lançado">
      <formula>NOT(ISERROR(SEARCH("Lançado",P88)))</formula>
    </cfRule>
    <cfRule type="containsText" dxfId="2472" priority="2922" operator="containsText" text="N/A">
      <formula>NOT(ISERROR(SEARCH("N/A",P88)))</formula>
    </cfRule>
    <cfRule type="containsText" dxfId="2471" priority="2929" operator="containsText" text="Finalizado">
      <formula>NOT(ISERROR(SEARCH("Finalizado",P88)))</formula>
    </cfRule>
    <cfRule type="containsText" dxfId="2470" priority="2937" operator="containsText" text="Finalizado">
      <formula>NOT(ISERROR(SEARCH("Finalizado",P88)))</formula>
    </cfRule>
    <cfRule type="containsText" dxfId="2469" priority="2938" operator="containsText" text="em andamento">
      <formula>NOT(ISERROR(SEARCH("em andamento",P88)))</formula>
    </cfRule>
    <cfRule type="containsText" dxfId="2468" priority="2923" operator="containsText" text="Pendente">
      <formula>NOT(ISERROR(SEARCH("Pendente",P88)))</formula>
    </cfRule>
    <cfRule type="containsText" dxfId="2467" priority="2928" operator="containsText" text="Pendente">
      <formula>NOT(ISERROR(SEARCH("Pendente",P88)))</formula>
    </cfRule>
    <cfRule type="containsText" dxfId="2466" priority="2936" operator="containsText" text="Pendente">
      <formula>NOT(ISERROR(SEARCH("Pendente",P88)))</formula>
    </cfRule>
    <cfRule type="expression" dxfId="2465" priority="2933">
      <formula>$H88="ETAPA"</formula>
    </cfRule>
    <cfRule type="containsText" dxfId="2464" priority="2924" operator="containsText" text="Finalizado">
      <formula>NOT(ISERROR(SEARCH("Finalizado",P88)))</formula>
    </cfRule>
    <cfRule type="expression" dxfId="2463" priority="2918">
      <formula>$H88="SUBETAPA"</formula>
    </cfRule>
    <cfRule type="expression" dxfId="2462" priority="2919">
      <formula>$H88="CÉLULA CONSTRUTIVA"</formula>
    </cfRule>
    <cfRule type="containsText" dxfId="2461" priority="2927" operator="containsText" text="N/A">
      <formula>NOT(ISERROR(SEARCH("N/A",P88)))</formula>
    </cfRule>
    <cfRule type="containsText" dxfId="2460" priority="2926" operator="containsText" text="Lançado">
      <formula>NOT(ISERROR(SEARCH("Lançado",P88)))</formula>
    </cfRule>
    <cfRule type="expression" dxfId="2459" priority="2920">
      <formula>$H88="ETAPA"</formula>
    </cfRule>
    <cfRule type="containsText" dxfId="2458" priority="2921" operator="containsText" text="Lançado">
      <formula>NOT(ISERROR(SEARCH("Lançado",P88)))</formula>
    </cfRule>
  </conditionalFormatting>
  <conditionalFormatting sqref="P90:P94">
    <cfRule type="containsText" dxfId="2457" priority="2865" operator="containsText" text="Pendente">
      <formula>NOT(ISERROR(SEARCH("Pendente",P90)))</formula>
    </cfRule>
    <cfRule type="containsText" dxfId="2456" priority="2863" operator="containsText" text="Lançado">
      <formula>NOT(ISERROR(SEARCH("Lançado",P90)))</formula>
    </cfRule>
    <cfRule type="containsText" dxfId="2455" priority="2862" operator="containsText" text="em andamento">
      <formula>NOT(ISERROR(SEARCH("em andamento",P90)))</formula>
    </cfRule>
    <cfRule type="containsText" dxfId="2454" priority="2861" operator="containsText" text="Finalizado">
      <formula>NOT(ISERROR(SEARCH("Finalizado",P90)))</formula>
    </cfRule>
    <cfRule type="containsText" dxfId="2453" priority="2860" operator="containsText" text="Pendente">
      <formula>NOT(ISERROR(SEARCH("Pendente",P90)))</formula>
    </cfRule>
    <cfRule type="containsText" dxfId="2452" priority="2864" operator="containsText" text="N/A">
      <formula>NOT(ISERROR(SEARCH("N/A",P90)))</formula>
    </cfRule>
    <cfRule type="containsText" dxfId="2451" priority="2872" operator="containsText" text="N/A">
      <formula>NOT(ISERROR(SEARCH("N/A",P90)))</formula>
    </cfRule>
    <cfRule type="containsText" dxfId="2450" priority="2875" operator="containsText" text="em andamento">
      <formula>NOT(ISERROR(SEARCH("em andamento",P90)))</formula>
    </cfRule>
    <cfRule type="containsText" dxfId="2449" priority="2874" operator="containsText" text="Finalizado">
      <formula>NOT(ISERROR(SEARCH("Finalizado",P90)))</formula>
    </cfRule>
    <cfRule type="containsText" dxfId="2448" priority="2873" operator="containsText" text="Pendente">
      <formula>NOT(ISERROR(SEARCH("Pendente",P90)))</formula>
    </cfRule>
    <cfRule type="containsText" dxfId="2447" priority="2871" operator="containsText" text="Lançado">
      <formula>NOT(ISERROR(SEARCH("Lançado",P90)))</formula>
    </cfRule>
    <cfRule type="containsText" dxfId="2446" priority="2867" operator="containsText" text="em andamento">
      <formula>NOT(ISERROR(SEARCH("em andamento",P90)))</formula>
    </cfRule>
    <cfRule type="containsText" dxfId="2445" priority="2866" operator="containsText" text="Finalizado">
      <formula>NOT(ISERROR(SEARCH("Finalizado",P90)))</formula>
    </cfRule>
  </conditionalFormatting>
  <conditionalFormatting sqref="P90:P95">
    <cfRule type="containsText" dxfId="2444" priority="558" operator="containsText" text="Lançado">
      <formula>NOT(ISERROR(SEARCH("Lançado",P90)))</formula>
    </cfRule>
    <cfRule type="containsText" dxfId="2443" priority="559" operator="containsText" text="N/A">
      <formula>NOT(ISERROR(SEARCH("N/A",P90)))</formula>
    </cfRule>
  </conditionalFormatting>
  <conditionalFormatting sqref="P95">
    <cfRule type="containsText" dxfId="2442" priority="546" operator="containsText" text="N/A">
      <formula>NOT(ISERROR(SEARCH("N/A",P95)))</formula>
    </cfRule>
    <cfRule type="expression" dxfId="2441" priority="542">
      <formula>$H95="SUBETAPA"</formula>
    </cfRule>
    <cfRule type="containsText" dxfId="2440" priority="553" operator="containsText" text="Finalizado">
      <formula>NOT(ISERROR(SEARCH("Finalizado",P95)))</formula>
    </cfRule>
    <cfRule type="containsText" dxfId="2439" priority="552" operator="containsText" text="Pendente">
      <formula>NOT(ISERROR(SEARCH("Pendente",P95)))</formula>
    </cfRule>
    <cfRule type="containsText" dxfId="2438" priority="551" operator="containsText" text="N/A">
      <formula>NOT(ISERROR(SEARCH("N/A",P95)))</formula>
    </cfRule>
    <cfRule type="containsText" dxfId="2437" priority="550" operator="containsText" text="Lançado">
      <formula>NOT(ISERROR(SEARCH("Lançado",P95)))</formula>
    </cfRule>
    <cfRule type="containsText" dxfId="2436" priority="548" operator="containsText" text="Finalizado">
      <formula>NOT(ISERROR(SEARCH("Finalizado",P95)))</formula>
    </cfRule>
    <cfRule type="expression" dxfId="2435" priority="557">
      <formula>$H95="ETAPA"</formula>
    </cfRule>
    <cfRule type="containsText" dxfId="2434" priority="547" operator="containsText" text="Pendente">
      <formula>NOT(ISERROR(SEARCH("Pendente",P95)))</formula>
    </cfRule>
    <cfRule type="containsText" dxfId="2433" priority="545" operator="containsText" text="Lançado">
      <formula>NOT(ISERROR(SEARCH("Lançado",P95)))</formula>
    </cfRule>
    <cfRule type="expression" dxfId="2432" priority="544">
      <formula>$H95="ETAPA"</formula>
    </cfRule>
    <cfRule type="expression" dxfId="2431" priority="555">
      <formula>$H95="SUBETAPA"</formula>
    </cfRule>
    <cfRule type="expression" dxfId="2430" priority="556">
      <formula>$H95="CÉLULA CONSTRUTIVA"</formula>
    </cfRule>
    <cfRule type="containsText" dxfId="2429" priority="549" operator="containsText" text="em andamento">
      <formula>NOT(ISERROR(SEARCH("em andamento",P95)))</formula>
    </cfRule>
    <cfRule type="containsText" dxfId="2428" priority="560" operator="containsText" text="Pendente">
      <formula>NOT(ISERROR(SEARCH("Pendente",P95)))</formula>
    </cfRule>
    <cfRule type="expression" dxfId="2427" priority="543">
      <formula>$H95="CÉLULA CONSTRUTIVA"</formula>
    </cfRule>
    <cfRule type="containsText" dxfId="2426" priority="561" operator="containsText" text="Finalizado">
      <formula>NOT(ISERROR(SEARCH("Finalizado",P95)))</formula>
    </cfRule>
    <cfRule type="containsText" dxfId="2425" priority="562" operator="containsText" text="em andamento">
      <formula>NOT(ISERROR(SEARCH("em andamento",P95)))</formula>
    </cfRule>
    <cfRule type="containsText" dxfId="2424" priority="554" operator="containsText" text="em andamento">
      <formula>NOT(ISERROR(SEARCH("em andamento",P95)))</formula>
    </cfRule>
  </conditionalFormatting>
  <conditionalFormatting sqref="P96">
    <cfRule type="expression" dxfId="2423" priority="2847">
      <formula>$H96="SUBETAPA"</formula>
    </cfRule>
    <cfRule type="expression" dxfId="2422" priority="2848">
      <formula>$H96="CÉLULA CONSTRUTIVA"</formula>
    </cfRule>
    <cfRule type="expression" dxfId="2421" priority="2849">
      <formula>$H96="ETAPA"</formula>
    </cfRule>
    <cfRule type="containsText" dxfId="2420" priority="2850" operator="containsText" text="Lançado">
      <formula>NOT(ISERROR(SEARCH("Lançado",P96)))</formula>
    </cfRule>
    <cfRule type="containsText" dxfId="2419" priority="2851" operator="containsText" text="N/A">
      <formula>NOT(ISERROR(SEARCH("N/A",P96)))</formula>
    </cfRule>
    <cfRule type="containsText" dxfId="2418" priority="2852" operator="containsText" text="Pendente">
      <formula>NOT(ISERROR(SEARCH("Pendente",P96)))</formula>
    </cfRule>
    <cfRule type="containsText" dxfId="2417" priority="2853" operator="containsText" text="Finalizado">
      <formula>NOT(ISERROR(SEARCH("Finalizado",P96)))</formula>
    </cfRule>
    <cfRule type="containsText" dxfId="2416" priority="2854" operator="containsText" text="em andamento">
      <formula>NOT(ISERROR(SEARCH("em andamento",P96)))</formula>
    </cfRule>
    <cfRule type="containsText" dxfId="2415" priority="2839" operator="containsText" text="Pendente">
      <formula>NOT(ISERROR(SEARCH("Pendente",P96)))</formula>
    </cfRule>
    <cfRule type="containsText" dxfId="2414" priority="2845" operator="containsText" text="Finalizado">
      <formula>NOT(ISERROR(SEARCH("Finalizado",P96)))</formula>
    </cfRule>
    <cfRule type="expression" dxfId="2413" priority="2834">
      <formula>$H96="SUBETAPA"</formula>
    </cfRule>
    <cfRule type="expression" dxfId="2412" priority="2835">
      <formula>$H96="CÉLULA CONSTRUTIVA"</formula>
    </cfRule>
    <cfRule type="expression" dxfId="2411" priority="2836">
      <formula>$H96="ETAPA"</formula>
    </cfRule>
    <cfRule type="containsText" dxfId="2410" priority="2837" operator="containsText" text="Lançado">
      <formula>NOT(ISERROR(SEARCH("Lançado",P96)))</formula>
    </cfRule>
    <cfRule type="containsText" dxfId="2409" priority="2838" operator="containsText" text="N/A">
      <formula>NOT(ISERROR(SEARCH("N/A",P96)))</formula>
    </cfRule>
    <cfRule type="containsText" dxfId="2408" priority="2840" operator="containsText" text="Finalizado">
      <formula>NOT(ISERROR(SEARCH("Finalizado",P96)))</formula>
    </cfRule>
    <cfRule type="containsText" dxfId="2407" priority="2841" operator="containsText" text="em andamento">
      <formula>NOT(ISERROR(SEARCH("em andamento",P96)))</formula>
    </cfRule>
    <cfRule type="containsText" dxfId="2406" priority="2842" operator="containsText" text="Lançado">
      <formula>NOT(ISERROR(SEARCH("Lançado",P96)))</formula>
    </cfRule>
    <cfRule type="containsText" dxfId="2405" priority="2843" operator="containsText" text="N/A">
      <formula>NOT(ISERROR(SEARCH("N/A",P96)))</formula>
    </cfRule>
    <cfRule type="containsText" dxfId="2404" priority="2844" operator="containsText" text="Pendente">
      <formula>NOT(ISERROR(SEARCH("Pendente",P96)))</formula>
    </cfRule>
    <cfRule type="containsText" dxfId="2403" priority="2846" operator="containsText" text="em andamento">
      <formula>NOT(ISERROR(SEARCH("em andamento",P96)))</formula>
    </cfRule>
  </conditionalFormatting>
  <conditionalFormatting sqref="P97:P99 P102">
    <cfRule type="containsText" dxfId="2402" priority="7573" operator="containsText" text="Finalizado">
      <formula>NOT(ISERROR(SEARCH("Finalizado",P97)))</formula>
    </cfRule>
    <cfRule type="containsText" dxfId="2401" priority="7572" operator="containsText" text="Pendente">
      <formula>NOT(ISERROR(SEARCH("Pendente",P97)))</formula>
    </cfRule>
    <cfRule type="containsText" dxfId="2400" priority="7571" operator="containsText" text="N/A">
      <formula>NOT(ISERROR(SEARCH("N/A",P97)))</formula>
    </cfRule>
    <cfRule type="containsText" dxfId="2399" priority="7570" operator="containsText" text="Lançado">
      <formula>NOT(ISERROR(SEARCH("Lançado",P97)))</formula>
    </cfRule>
    <cfRule type="containsText" dxfId="2398" priority="7574" operator="containsText" text="em andamento">
      <formula>NOT(ISERROR(SEARCH("em andamento",P97)))</formula>
    </cfRule>
  </conditionalFormatting>
  <conditionalFormatting sqref="P100">
    <cfRule type="containsText" dxfId="2397" priority="7089" operator="containsText" text="em andamento">
      <formula>NOT(ISERROR(SEARCH("em andamento",P100)))</formula>
    </cfRule>
    <cfRule type="containsText" dxfId="2396" priority="7088" operator="containsText" text="Finalizado">
      <formula>NOT(ISERROR(SEARCH("Finalizado",P100)))</formula>
    </cfRule>
    <cfRule type="containsText" dxfId="2395" priority="7086" operator="containsText" text="N/A">
      <formula>NOT(ISERROR(SEARCH("N/A",P100)))</formula>
    </cfRule>
    <cfRule type="containsText" dxfId="2394" priority="7085" operator="containsText" text="Lançado">
      <formula>NOT(ISERROR(SEARCH("Lançado",P100)))</formula>
    </cfRule>
    <cfRule type="expression" dxfId="2393" priority="7084">
      <formula>$H100="ETAPA"</formula>
    </cfRule>
    <cfRule type="expression" dxfId="2392" priority="7083">
      <formula>$H100="CÉLULA CONSTRUTIVA"</formula>
    </cfRule>
    <cfRule type="containsText" dxfId="2391" priority="7087" operator="containsText" text="Pendente">
      <formula>NOT(ISERROR(SEARCH("Pendente",P100)))</formula>
    </cfRule>
  </conditionalFormatting>
  <conditionalFormatting sqref="P101">
    <cfRule type="containsText" dxfId="2390" priority="1106" operator="containsText" text="Lançado">
      <formula>NOT(ISERROR(SEARCH("Lançado",P101)))</formula>
    </cfRule>
    <cfRule type="containsText" dxfId="2389" priority="1107" operator="containsText" text="N/A">
      <formula>NOT(ISERROR(SEARCH("N/A",P101)))</formula>
    </cfRule>
    <cfRule type="containsText" dxfId="2388" priority="1108" operator="containsText" text="Pendente">
      <formula>NOT(ISERROR(SEARCH("Pendente",P101)))</formula>
    </cfRule>
    <cfRule type="containsText" dxfId="2387" priority="1109" operator="containsText" text="Finalizado">
      <formula>NOT(ISERROR(SEARCH("Finalizado",P101)))</formula>
    </cfRule>
    <cfRule type="containsText" dxfId="2386" priority="1110" operator="containsText" text="em andamento">
      <formula>NOT(ISERROR(SEARCH("em andamento",P101)))</formula>
    </cfRule>
    <cfRule type="expression" dxfId="2385" priority="1111">
      <formula>$H101="SUBETAPA"</formula>
    </cfRule>
    <cfRule type="expression" dxfId="2384" priority="1104">
      <formula>$H101="CÉLULA CONSTRUTIVA"</formula>
    </cfRule>
    <cfRule type="expression" dxfId="2383" priority="1105">
      <formula>$H101="ETAPA"</formula>
    </cfRule>
  </conditionalFormatting>
  <conditionalFormatting sqref="P103:P104">
    <cfRule type="expression" dxfId="2382" priority="1096">
      <formula>$H103="CÉLULA CONSTRUTIVA"</formula>
    </cfRule>
    <cfRule type="expression" dxfId="2381" priority="1097">
      <formula>$H103="ETAPA"</formula>
    </cfRule>
    <cfRule type="containsText" dxfId="2380" priority="1101" operator="containsText" text="Finalizado">
      <formula>NOT(ISERROR(SEARCH("Finalizado",P103)))</formula>
    </cfRule>
    <cfRule type="containsText" dxfId="2379" priority="1102" operator="containsText" text="em andamento">
      <formula>NOT(ISERROR(SEARCH("em andamento",P103)))</formula>
    </cfRule>
    <cfRule type="expression" dxfId="2378" priority="1103">
      <formula>$H103="SUBETAPA"</formula>
    </cfRule>
    <cfRule type="containsText" dxfId="2377" priority="1098" operator="containsText" text="Lançado">
      <formula>NOT(ISERROR(SEARCH("Lançado",P103)))</formula>
    </cfRule>
    <cfRule type="containsText" dxfId="2376" priority="1100" operator="containsText" text="Pendente">
      <formula>NOT(ISERROR(SEARCH("Pendente",P103)))</formula>
    </cfRule>
    <cfRule type="containsText" dxfId="2375" priority="1099" operator="containsText" text="N/A">
      <formula>NOT(ISERROR(SEARCH("N/A",P103)))</formula>
    </cfRule>
  </conditionalFormatting>
  <conditionalFormatting sqref="P106:P108">
    <cfRule type="containsText" dxfId="2374" priority="1092" operator="containsText" text="Pendente">
      <formula>NOT(ISERROR(SEARCH("Pendente",P106)))</formula>
    </cfRule>
    <cfRule type="containsText" dxfId="2373" priority="1094" operator="containsText" text="em andamento">
      <formula>NOT(ISERROR(SEARCH("em andamento",P106)))</formula>
    </cfRule>
    <cfRule type="expression" dxfId="2372" priority="1095">
      <formula>$H106="SUBETAPA"</formula>
    </cfRule>
    <cfRule type="expression" dxfId="2371" priority="1088">
      <formula>$H106="CÉLULA CONSTRUTIVA"</formula>
    </cfRule>
    <cfRule type="containsText" dxfId="2370" priority="1090" operator="containsText" text="Lançado">
      <formula>NOT(ISERROR(SEARCH("Lançado",P106)))</formula>
    </cfRule>
    <cfRule type="expression" dxfId="2369" priority="1089">
      <formula>$H106="ETAPA"</formula>
    </cfRule>
    <cfRule type="containsText" dxfId="2368" priority="1091" operator="containsText" text="N/A">
      <formula>NOT(ISERROR(SEARCH("N/A",P106)))</formula>
    </cfRule>
    <cfRule type="containsText" dxfId="2367" priority="1093" operator="containsText" text="Finalizado">
      <formula>NOT(ISERROR(SEARCH("Finalizado",P106)))</formula>
    </cfRule>
  </conditionalFormatting>
  <conditionalFormatting sqref="P110">
    <cfRule type="expression" dxfId="2366" priority="1087">
      <formula>$H110="SUBETAPA"</formula>
    </cfRule>
    <cfRule type="containsText" dxfId="2365" priority="1086" operator="containsText" text="em andamento">
      <formula>NOT(ISERROR(SEARCH("em andamento",P110)))</formula>
    </cfRule>
    <cfRule type="containsText" dxfId="2364" priority="1085" operator="containsText" text="Finalizado">
      <formula>NOT(ISERROR(SEARCH("Finalizado",P110)))</formula>
    </cfRule>
    <cfRule type="containsText" dxfId="2363" priority="1082" operator="containsText" text="Lançado">
      <formula>NOT(ISERROR(SEARCH("Lançado",P110)))</formula>
    </cfRule>
    <cfRule type="expression" dxfId="2362" priority="1081">
      <formula>$H110="ETAPA"</formula>
    </cfRule>
    <cfRule type="containsText" dxfId="2361" priority="1083" operator="containsText" text="N/A">
      <formula>NOT(ISERROR(SEARCH("N/A",P110)))</formula>
    </cfRule>
    <cfRule type="expression" dxfId="2360" priority="1080">
      <formula>$H110="CÉLULA CONSTRUTIVA"</formula>
    </cfRule>
    <cfRule type="containsText" dxfId="2359" priority="1084" operator="containsText" text="Pendente">
      <formula>NOT(ISERROR(SEARCH("Pendente",P110)))</formula>
    </cfRule>
  </conditionalFormatting>
  <conditionalFormatting sqref="P111 P113 P115 P119 P121 P123 P125 P127 P172">
    <cfRule type="expression" dxfId="2358" priority="8170">
      <formula>$H111="ETAPA"</formula>
    </cfRule>
  </conditionalFormatting>
  <conditionalFormatting sqref="P111 P113 P115 P119 P121 P123 P125 P127 P172">
    <cfRule type="containsText" dxfId="2357" priority="8173" operator="containsText" text="Lançado">
      <formula>NOT(ISERROR(SEARCH("Lançado",P111)))</formula>
    </cfRule>
    <cfRule type="containsText" dxfId="2356" priority="8174" operator="containsText" text="N/A">
      <formula>NOT(ISERROR(SEARCH("N/A",P111)))</formula>
    </cfRule>
    <cfRule type="containsText" dxfId="2355" priority="8175" operator="containsText" text="Pendente">
      <formula>NOT(ISERROR(SEARCH("Pendente",P111)))</formula>
    </cfRule>
    <cfRule type="containsText" dxfId="2354" priority="8176" operator="containsText" text="Finalizado">
      <formula>NOT(ISERROR(SEARCH("Finalizado",P111)))</formula>
    </cfRule>
    <cfRule type="containsText" dxfId="2353" priority="8177" operator="containsText" text="em andamento">
      <formula>NOT(ISERROR(SEARCH("em andamento",P111)))</formula>
    </cfRule>
  </conditionalFormatting>
  <conditionalFormatting sqref="P111 P113 P115 P172 P119 P121 P123 P125 P127">
    <cfRule type="expression" dxfId="2352" priority="8169">
      <formula>$H111="CÉLULA CONSTRUTIVA"</formula>
    </cfRule>
  </conditionalFormatting>
  <conditionalFormatting sqref="P112">
    <cfRule type="containsText" dxfId="2351" priority="7041" operator="containsText" text="em andamento">
      <formula>NOT(ISERROR(SEARCH("em andamento",P112)))</formula>
    </cfRule>
    <cfRule type="expression" dxfId="2350" priority="7042">
      <formula>$H112="SUBETAPA"</formula>
    </cfRule>
    <cfRule type="expression" dxfId="2349" priority="7036">
      <formula>$H112="ETAPA"</formula>
    </cfRule>
    <cfRule type="containsText" dxfId="2348" priority="7037" operator="containsText" text="Lançado">
      <formula>NOT(ISERROR(SEARCH("Lançado",P112)))</formula>
    </cfRule>
    <cfRule type="expression" dxfId="2347" priority="7035">
      <formula>$H112="CÉLULA CONSTRUTIVA"</formula>
    </cfRule>
    <cfRule type="containsText" dxfId="2346" priority="7038" operator="containsText" text="N/A">
      <formula>NOT(ISERROR(SEARCH("N/A",P112)))</formula>
    </cfRule>
    <cfRule type="containsText" dxfId="2345" priority="7039" operator="containsText" text="Pendente">
      <formula>NOT(ISERROR(SEARCH("Pendente",P112)))</formula>
    </cfRule>
    <cfRule type="containsText" dxfId="2344" priority="7040" operator="containsText" text="Finalizado">
      <formula>NOT(ISERROR(SEARCH("Finalizado",P112)))</formula>
    </cfRule>
  </conditionalFormatting>
  <conditionalFormatting sqref="P113 P115 P172">
    <cfRule type="expression" dxfId="2343" priority="8168">
      <formula>$H113="SUBETAPA"</formula>
    </cfRule>
  </conditionalFormatting>
  <conditionalFormatting sqref="P113">
    <cfRule type="containsText" dxfId="2342" priority="8121" operator="containsText" text="Lançado">
      <formula>NOT(ISERROR(SEARCH("Lançado",P113)))</formula>
    </cfRule>
    <cfRule type="expression" dxfId="2341" priority="8120">
      <formula>$H113="ETAPA"</formula>
    </cfRule>
    <cfRule type="expression" dxfId="2340" priority="8119">
      <formula>$H113="CÉLULA CONSTRUTIVA"</formula>
    </cfRule>
    <cfRule type="containsText" dxfId="2339" priority="8124" operator="containsText" text="Finalizado">
      <formula>NOT(ISERROR(SEARCH("Finalizado",P113)))</formula>
    </cfRule>
    <cfRule type="containsText" dxfId="2338" priority="8122" operator="containsText" text="N/A">
      <formula>NOT(ISERROR(SEARCH("N/A",P113)))</formula>
    </cfRule>
    <cfRule type="containsText" dxfId="2337" priority="8125" operator="containsText" text="em andamento">
      <formula>NOT(ISERROR(SEARCH("em andamento",P113)))</formula>
    </cfRule>
    <cfRule type="containsText" dxfId="2336" priority="8123" operator="containsText" text="Pendente">
      <formula>NOT(ISERROR(SEARCH("Pendente",P113)))</formula>
    </cfRule>
  </conditionalFormatting>
  <conditionalFormatting sqref="P116">
    <cfRule type="containsText" dxfId="2335" priority="1866" operator="containsText" text="Lançado">
      <formula>NOT(ISERROR(SEARCH("Lançado",P116)))</formula>
    </cfRule>
    <cfRule type="containsText" dxfId="2334" priority="1868" operator="containsText" text="Pendente">
      <formula>NOT(ISERROR(SEARCH("Pendente",P116)))</formula>
    </cfRule>
    <cfRule type="containsText" dxfId="2333" priority="1869" operator="containsText" text="Finalizado">
      <formula>NOT(ISERROR(SEARCH("Finalizado",P116)))</formula>
    </cfRule>
    <cfRule type="containsText" dxfId="2332" priority="1870" operator="containsText" text="em andamento">
      <formula>NOT(ISERROR(SEARCH("em andamento",P116)))</formula>
    </cfRule>
    <cfRule type="containsText" dxfId="2331" priority="1871" operator="containsText" text="Lançado">
      <formula>NOT(ISERROR(SEARCH("Lançado",P116)))</formula>
    </cfRule>
    <cfRule type="containsText" dxfId="2330" priority="1872" operator="containsText" text="N/A">
      <formula>NOT(ISERROR(SEARCH("N/A",P116)))</formula>
    </cfRule>
    <cfRule type="containsText" dxfId="2329" priority="1874" operator="containsText" text="Finalizado">
      <formula>NOT(ISERROR(SEARCH("Finalizado",P116)))</formula>
    </cfRule>
    <cfRule type="containsText" dxfId="2328" priority="1875" operator="containsText" text="em andamento">
      <formula>NOT(ISERROR(SEARCH("em andamento",P116)))</formula>
    </cfRule>
    <cfRule type="expression" dxfId="2327" priority="1876">
      <formula>$H116="SUBETAPA"</formula>
    </cfRule>
    <cfRule type="expression" dxfId="2326" priority="1877">
      <formula>$H116="CÉLULA CONSTRUTIVA"</formula>
    </cfRule>
    <cfRule type="expression" dxfId="2325" priority="1878">
      <formula>$H116="ETAPA"</formula>
    </cfRule>
    <cfRule type="containsText" dxfId="2324" priority="1879" operator="containsText" text="Lançado">
      <formula>NOT(ISERROR(SEARCH("Lançado",P116)))</formula>
    </cfRule>
    <cfRule type="containsText" dxfId="2323" priority="1880" operator="containsText" text="N/A">
      <formula>NOT(ISERROR(SEARCH("N/A",P116)))</formula>
    </cfRule>
    <cfRule type="containsText" dxfId="2322" priority="1881" operator="containsText" text="Pendente">
      <formula>NOT(ISERROR(SEARCH("Pendente",P116)))</formula>
    </cfRule>
    <cfRule type="containsText" dxfId="2321" priority="1882" operator="containsText" text="Finalizado">
      <formula>NOT(ISERROR(SEARCH("Finalizado",P116)))</formula>
    </cfRule>
    <cfRule type="containsText" dxfId="2320" priority="1883" operator="containsText" text="em andamento">
      <formula>NOT(ISERROR(SEARCH("em andamento",P116)))</formula>
    </cfRule>
    <cfRule type="containsText" dxfId="2319" priority="1873" operator="containsText" text="Pendente">
      <formula>NOT(ISERROR(SEARCH("Pendente",P116)))</formula>
    </cfRule>
    <cfRule type="containsText" dxfId="2318" priority="1867" operator="containsText" text="N/A">
      <formula>NOT(ISERROR(SEARCH("N/A",P116)))</formula>
    </cfRule>
    <cfRule type="expression" dxfId="2317" priority="1863">
      <formula>$H116="SUBETAPA"</formula>
    </cfRule>
    <cfRule type="expression" dxfId="2316" priority="1864">
      <formula>$H116="CÉLULA CONSTRUTIVA"</formula>
    </cfRule>
    <cfRule type="expression" dxfId="2315" priority="1865">
      <formula>$H116="ETAPA"</formula>
    </cfRule>
  </conditionalFormatting>
  <conditionalFormatting sqref="P118">
    <cfRule type="containsText" dxfId="2314" priority="1904" operator="containsText" text="em andamento">
      <formula>NOT(ISERROR(SEARCH("em andamento",P118)))</formula>
    </cfRule>
    <cfRule type="containsText" dxfId="2313" priority="1903" operator="containsText" text="Finalizado">
      <formula>NOT(ISERROR(SEARCH("Finalizado",P118)))</formula>
    </cfRule>
    <cfRule type="containsText" dxfId="2312" priority="1902" operator="containsText" text="Pendente">
      <formula>NOT(ISERROR(SEARCH("Pendente",P118)))</formula>
    </cfRule>
    <cfRule type="containsText" dxfId="2311" priority="1901" operator="containsText" text="N/A">
      <formula>NOT(ISERROR(SEARCH("N/A",P118)))</formula>
    </cfRule>
    <cfRule type="expression" dxfId="2310" priority="1898">
      <formula>$H118="CÉLULA CONSTRUTIVA"</formula>
    </cfRule>
    <cfRule type="containsText" dxfId="2309" priority="1900" operator="containsText" text="Lançado">
      <formula>NOT(ISERROR(SEARCH("Lançado",P118)))</formula>
    </cfRule>
    <cfRule type="expression" dxfId="2308" priority="1899">
      <formula>$H118="ETAPA"</formula>
    </cfRule>
    <cfRule type="expression" dxfId="2307" priority="1897">
      <formula>$H118="SUBETAPA"</formula>
    </cfRule>
    <cfRule type="containsText" dxfId="2306" priority="1896" operator="containsText" text="em andamento">
      <formula>NOT(ISERROR(SEARCH("em andamento",P118)))</formula>
    </cfRule>
    <cfRule type="containsText" dxfId="2305" priority="1895" operator="containsText" text="Finalizado">
      <formula>NOT(ISERROR(SEARCH("Finalizado",P118)))</formula>
    </cfRule>
    <cfRule type="expression" dxfId="2304" priority="1886">
      <formula>$H118="ETAPA"</formula>
    </cfRule>
    <cfRule type="containsText" dxfId="2303" priority="1894" operator="containsText" text="Pendente">
      <formula>NOT(ISERROR(SEARCH("Pendente",P118)))</formula>
    </cfRule>
    <cfRule type="containsText" dxfId="2302" priority="1893" operator="containsText" text="N/A">
      <formula>NOT(ISERROR(SEARCH("N/A",P118)))</formula>
    </cfRule>
    <cfRule type="containsText" dxfId="2301" priority="1892" operator="containsText" text="Lançado">
      <formula>NOT(ISERROR(SEARCH("Lançado",P118)))</formula>
    </cfRule>
    <cfRule type="containsText" dxfId="2300" priority="1891" operator="containsText" text="em andamento">
      <formula>NOT(ISERROR(SEARCH("em andamento",P118)))</formula>
    </cfRule>
    <cfRule type="containsText" dxfId="2299" priority="1889" operator="containsText" text="Pendente">
      <formula>NOT(ISERROR(SEARCH("Pendente",P118)))</formula>
    </cfRule>
    <cfRule type="containsText" dxfId="2298" priority="1888" operator="containsText" text="N/A">
      <formula>NOT(ISERROR(SEARCH("N/A",P118)))</formula>
    </cfRule>
    <cfRule type="containsText" dxfId="2297" priority="1887" operator="containsText" text="Lançado">
      <formula>NOT(ISERROR(SEARCH("Lançado",P118)))</formula>
    </cfRule>
    <cfRule type="expression" dxfId="2296" priority="1884">
      <formula>$H118="SUBETAPA"</formula>
    </cfRule>
    <cfRule type="expression" dxfId="2295" priority="1885">
      <formula>$H118="CÉLULA CONSTRUTIVA"</formula>
    </cfRule>
    <cfRule type="containsText" dxfId="2294" priority="1890" operator="containsText" text="Finalizado">
      <formula>NOT(ISERROR(SEARCH("Finalizado",P118)))</formula>
    </cfRule>
  </conditionalFormatting>
  <conditionalFormatting sqref="P120">
    <cfRule type="containsText" dxfId="2293" priority="1910" operator="containsText" text="Pendente">
      <formula>NOT(ISERROR(SEARCH("Pendente",P120)))</formula>
    </cfRule>
    <cfRule type="containsText" dxfId="2292" priority="1909" operator="containsText" text="N/A">
      <formula>NOT(ISERROR(SEARCH("N/A",P120)))</formula>
    </cfRule>
    <cfRule type="containsText" dxfId="2291" priority="1908" operator="containsText" text="Lançado">
      <formula>NOT(ISERROR(SEARCH("Lançado",P120)))</formula>
    </cfRule>
    <cfRule type="expression" dxfId="2290" priority="1907">
      <formula>$H120="ETAPA"</formula>
    </cfRule>
    <cfRule type="expression" dxfId="2289" priority="1905">
      <formula>$H120="SUBETAPA"</formula>
    </cfRule>
    <cfRule type="expression" dxfId="2288" priority="1906">
      <formula>$H120="CÉLULA CONSTRUTIVA"</formula>
    </cfRule>
    <cfRule type="containsText" dxfId="2287" priority="1925" operator="containsText" text="em andamento">
      <formula>NOT(ISERROR(SEARCH("em andamento",P120)))</formula>
    </cfRule>
    <cfRule type="containsText" dxfId="2286" priority="1924" operator="containsText" text="Finalizado">
      <formula>NOT(ISERROR(SEARCH("Finalizado",P120)))</formula>
    </cfRule>
    <cfRule type="containsText" dxfId="2285" priority="1923" operator="containsText" text="Pendente">
      <formula>NOT(ISERROR(SEARCH("Pendente",P120)))</formula>
    </cfRule>
    <cfRule type="containsText" dxfId="2284" priority="1922" operator="containsText" text="N/A">
      <formula>NOT(ISERROR(SEARCH("N/A",P120)))</formula>
    </cfRule>
    <cfRule type="containsText" dxfId="2283" priority="1921" operator="containsText" text="Lançado">
      <formula>NOT(ISERROR(SEARCH("Lançado",P120)))</formula>
    </cfRule>
    <cfRule type="expression" dxfId="2282" priority="1920">
      <formula>$H120="ETAPA"</formula>
    </cfRule>
    <cfRule type="expression" dxfId="2281" priority="1919">
      <formula>$H120="CÉLULA CONSTRUTIVA"</formula>
    </cfRule>
    <cfRule type="expression" dxfId="2280" priority="1918">
      <formula>$H120="SUBETAPA"</formula>
    </cfRule>
    <cfRule type="containsText" dxfId="2279" priority="1917" operator="containsText" text="em andamento">
      <formula>NOT(ISERROR(SEARCH("em andamento",P120)))</formula>
    </cfRule>
    <cfRule type="containsText" dxfId="2278" priority="1916" operator="containsText" text="Finalizado">
      <formula>NOT(ISERROR(SEARCH("Finalizado",P120)))</formula>
    </cfRule>
    <cfRule type="containsText" dxfId="2277" priority="1915" operator="containsText" text="Pendente">
      <formula>NOT(ISERROR(SEARCH("Pendente",P120)))</formula>
    </cfRule>
    <cfRule type="containsText" dxfId="2276" priority="1914" operator="containsText" text="N/A">
      <formula>NOT(ISERROR(SEARCH("N/A",P120)))</formula>
    </cfRule>
    <cfRule type="containsText" dxfId="2275" priority="1913" operator="containsText" text="Lançado">
      <formula>NOT(ISERROR(SEARCH("Lançado",P120)))</formula>
    </cfRule>
    <cfRule type="containsText" dxfId="2274" priority="1912" operator="containsText" text="em andamento">
      <formula>NOT(ISERROR(SEARCH("em andamento",P120)))</formula>
    </cfRule>
    <cfRule type="containsText" dxfId="2273" priority="1911" operator="containsText" text="Finalizado">
      <formula>NOT(ISERROR(SEARCH("Finalizado",P120)))</formula>
    </cfRule>
  </conditionalFormatting>
  <conditionalFormatting sqref="P122">
    <cfRule type="containsText" dxfId="2272" priority="1932" operator="containsText" text="Finalizado">
      <formula>NOT(ISERROR(SEARCH("Finalizado",P122)))</formula>
    </cfRule>
    <cfRule type="containsText" dxfId="2271" priority="1945" operator="containsText" text="Finalizado">
      <formula>NOT(ISERROR(SEARCH("Finalizado",P122)))</formula>
    </cfRule>
    <cfRule type="containsText" dxfId="2270" priority="1946" operator="containsText" text="em andamento">
      <formula>NOT(ISERROR(SEARCH("em andamento",P122)))</formula>
    </cfRule>
    <cfRule type="containsText" dxfId="2269" priority="1937" operator="containsText" text="Finalizado">
      <formula>NOT(ISERROR(SEARCH("Finalizado",P122)))</formula>
    </cfRule>
    <cfRule type="containsText" dxfId="2268" priority="1942" operator="containsText" text="Lançado">
      <formula>NOT(ISERROR(SEARCH("Lançado",P122)))</formula>
    </cfRule>
    <cfRule type="containsText" dxfId="2267" priority="1936" operator="containsText" text="Pendente">
      <formula>NOT(ISERROR(SEARCH("Pendente",P122)))</formula>
    </cfRule>
    <cfRule type="containsText" dxfId="2266" priority="1944" operator="containsText" text="Pendente">
      <formula>NOT(ISERROR(SEARCH("Pendente",P122)))</formula>
    </cfRule>
    <cfRule type="expression" dxfId="2265" priority="1926">
      <formula>$H122="SUBETAPA"</formula>
    </cfRule>
    <cfRule type="expression" dxfId="2264" priority="1927">
      <formula>$H122="CÉLULA CONSTRUTIVA"</formula>
    </cfRule>
    <cfRule type="expression" dxfId="2263" priority="1928">
      <formula>$H122="ETAPA"</formula>
    </cfRule>
    <cfRule type="containsText" dxfId="2262" priority="1929" operator="containsText" text="Lançado">
      <formula>NOT(ISERROR(SEARCH("Lançado",P122)))</formula>
    </cfRule>
    <cfRule type="containsText" dxfId="2261" priority="1930" operator="containsText" text="N/A">
      <formula>NOT(ISERROR(SEARCH("N/A",P122)))</formula>
    </cfRule>
    <cfRule type="containsText" dxfId="2260" priority="1931" operator="containsText" text="Pendente">
      <formula>NOT(ISERROR(SEARCH("Pendente",P122)))</formula>
    </cfRule>
    <cfRule type="containsText" dxfId="2259" priority="1943" operator="containsText" text="N/A">
      <formula>NOT(ISERROR(SEARCH("N/A",P122)))</formula>
    </cfRule>
    <cfRule type="containsText" dxfId="2258" priority="1933" operator="containsText" text="em andamento">
      <formula>NOT(ISERROR(SEARCH("em andamento",P122)))</formula>
    </cfRule>
    <cfRule type="containsText" dxfId="2257" priority="1934" operator="containsText" text="Lançado">
      <formula>NOT(ISERROR(SEARCH("Lançado",P122)))</formula>
    </cfRule>
    <cfRule type="containsText" dxfId="2256" priority="1935" operator="containsText" text="N/A">
      <formula>NOT(ISERROR(SEARCH("N/A",P122)))</formula>
    </cfRule>
    <cfRule type="expression" dxfId="2255" priority="1941">
      <formula>$H122="ETAPA"</formula>
    </cfRule>
    <cfRule type="expression" dxfId="2254" priority="1940">
      <formula>$H122="CÉLULA CONSTRUTIVA"</formula>
    </cfRule>
    <cfRule type="expression" dxfId="2253" priority="1939">
      <formula>$H122="SUBETAPA"</formula>
    </cfRule>
    <cfRule type="containsText" dxfId="2252" priority="1938" operator="containsText" text="em andamento">
      <formula>NOT(ISERROR(SEARCH("em andamento",P122)))</formula>
    </cfRule>
  </conditionalFormatting>
  <conditionalFormatting sqref="P124">
    <cfRule type="expression" dxfId="2251" priority="1947">
      <formula>$H124="SUBETAPA"</formula>
    </cfRule>
    <cfRule type="expression" dxfId="2250" priority="1948">
      <formula>$H124="CÉLULA CONSTRUTIVA"</formula>
    </cfRule>
    <cfRule type="expression" dxfId="2249" priority="1949">
      <formula>$H124="ETAPA"</formula>
    </cfRule>
    <cfRule type="expression" dxfId="2248" priority="1962">
      <formula>$H124="ETAPA"</formula>
    </cfRule>
    <cfRule type="containsText" dxfId="2247" priority="1950" operator="containsText" text="Lançado">
      <formula>NOT(ISERROR(SEARCH("Lançado",P124)))</formula>
    </cfRule>
    <cfRule type="containsText" dxfId="2246" priority="1951" operator="containsText" text="N/A">
      <formula>NOT(ISERROR(SEARCH("N/A",P124)))</formula>
    </cfRule>
    <cfRule type="containsText" dxfId="2245" priority="1952" operator="containsText" text="Pendente">
      <formula>NOT(ISERROR(SEARCH("Pendente",P124)))</formula>
    </cfRule>
    <cfRule type="containsText" dxfId="2244" priority="1953" operator="containsText" text="Finalizado">
      <formula>NOT(ISERROR(SEARCH("Finalizado",P124)))</formula>
    </cfRule>
    <cfRule type="containsText" dxfId="2243" priority="1966" operator="containsText" text="Finalizado">
      <formula>NOT(ISERROR(SEARCH("Finalizado",P124)))</formula>
    </cfRule>
    <cfRule type="containsText" dxfId="2242" priority="1965" operator="containsText" text="Pendente">
      <formula>NOT(ISERROR(SEARCH("Pendente",P124)))</formula>
    </cfRule>
    <cfRule type="containsText" dxfId="2241" priority="1955" operator="containsText" text="Lançado">
      <formula>NOT(ISERROR(SEARCH("Lançado",P124)))</formula>
    </cfRule>
    <cfRule type="containsText" dxfId="2240" priority="1959" operator="containsText" text="em andamento">
      <formula>NOT(ISERROR(SEARCH("em andamento",P124)))</formula>
    </cfRule>
    <cfRule type="containsText" dxfId="2239" priority="1963" operator="containsText" text="Lançado">
      <formula>NOT(ISERROR(SEARCH("Lançado",P124)))</formula>
    </cfRule>
    <cfRule type="containsText" dxfId="2238" priority="1956" operator="containsText" text="N/A">
      <formula>NOT(ISERROR(SEARCH("N/A",P124)))</formula>
    </cfRule>
    <cfRule type="containsText" dxfId="2237" priority="1957" operator="containsText" text="Pendente">
      <formula>NOT(ISERROR(SEARCH("Pendente",P124)))</formula>
    </cfRule>
    <cfRule type="containsText" dxfId="2236" priority="1954" operator="containsText" text="em andamento">
      <formula>NOT(ISERROR(SEARCH("em andamento",P124)))</formula>
    </cfRule>
    <cfRule type="expression" dxfId="2235" priority="1961">
      <formula>$H124="CÉLULA CONSTRUTIVA"</formula>
    </cfRule>
    <cfRule type="containsText" dxfId="2234" priority="1958" operator="containsText" text="Finalizado">
      <formula>NOT(ISERROR(SEARCH("Finalizado",P124)))</formula>
    </cfRule>
    <cfRule type="expression" dxfId="2233" priority="1960">
      <formula>$H124="SUBETAPA"</formula>
    </cfRule>
    <cfRule type="containsText" dxfId="2232" priority="1967" operator="containsText" text="em andamento">
      <formula>NOT(ISERROR(SEARCH("em andamento",P124)))</formula>
    </cfRule>
    <cfRule type="containsText" dxfId="2231" priority="1964" operator="containsText" text="N/A">
      <formula>NOT(ISERROR(SEARCH("N/A",P124)))</formula>
    </cfRule>
  </conditionalFormatting>
  <conditionalFormatting sqref="P126">
    <cfRule type="containsText" dxfId="2230" priority="1980" operator="containsText" text="em andamento">
      <formula>NOT(ISERROR(SEARCH("em andamento",P126)))</formula>
    </cfRule>
    <cfRule type="containsText" dxfId="2229" priority="1979" operator="containsText" text="Finalizado">
      <formula>NOT(ISERROR(SEARCH("Finalizado",P126)))</formula>
    </cfRule>
    <cfRule type="containsText" dxfId="2228" priority="1978" operator="containsText" text="Pendente">
      <formula>NOT(ISERROR(SEARCH("Pendente",P126)))</formula>
    </cfRule>
    <cfRule type="containsText" dxfId="2227" priority="1977" operator="containsText" text="N/A">
      <formula>NOT(ISERROR(SEARCH("N/A",P126)))</formula>
    </cfRule>
    <cfRule type="containsText" dxfId="2226" priority="1976" operator="containsText" text="Lançado">
      <formula>NOT(ISERROR(SEARCH("Lançado",P126)))</formula>
    </cfRule>
    <cfRule type="containsText" dxfId="2225" priority="1975" operator="containsText" text="em andamento">
      <formula>NOT(ISERROR(SEARCH("em andamento",P126)))</formula>
    </cfRule>
    <cfRule type="containsText" dxfId="2224" priority="1974" operator="containsText" text="Finalizado">
      <formula>NOT(ISERROR(SEARCH("Finalizado",P126)))</formula>
    </cfRule>
    <cfRule type="containsText" dxfId="2223" priority="1973" operator="containsText" text="Pendente">
      <formula>NOT(ISERROR(SEARCH("Pendente",P126)))</formula>
    </cfRule>
    <cfRule type="containsText" dxfId="2222" priority="1971" operator="containsText" text="Lançado">
      <formula>NOT(ISERROR(SEARCH("Lançado",P126)))</formula>
    </cfRule>
    <cfRule type="expression" dxfId="2221" priority="1970">
      <formula>$H126="ETAPA"</formula>
    </cfRule>
    <cfRule type="expression" dxfId="2220" priority="1969">
      <formula>$H126="CÉLULA CONSTRUTIVA"</formula>
    </cfRule>
    <cfRule type="expression" dxfId="2219" priority="1968">
      <formula>$H126="SUBETAPA"</formula>
    </cfRule>
    <cfRule type="containsText" dxfId="2218" priority="1972" operator="containsText" text="N/A">
      <formula>NOT(ISERROR(SEARCH("N/A",P126)))</formula>
    </cfRule>
    <cfRule type="containsText" dxfId="2217" priority="1987" operator="containsText" text="Finalizado">
      <formula>NOT(ISERROR(SEARCH("Finalizado",P126)))</formula>
    </cfRule>
    <cfRule type="containsText" dxfId="2216" priority="1988" operator="containsText" text="em andamento">
      <formula>NOT(ISERROR(SEARCH("em andamento",P126)))</formula>
    </cfRule>
    <cfRule type="containsText" dxfId="2215" priority="1986" operator="containsText" text="Pendente">
      <formula>NOT(ISERROR(SEARCH("Pendente",P126)))</formula>
    </cfRule>
    <cfRule type="containsText" dxfId="2214" priority="1985" operator="containsText" text="N/A">
      <formula>NOT(ISERROR(SEARCH("N/A",P126)))</formula>
    </cfRule>
    <cfRule type="containsText" dxfId="2213" priority="1984" operator="containsText" text="Lançado">
      <formula>NOT(ISERROR(SEARCH("Lançado",P126)))</formula>
    </cfRule>
    <cfRule type="expression" dxfId="2212" priority="1983">
      <formula>$H126="ETAPA"</formula>
    </cfRule>
    <cfRule type="expression" dxfId="2211" priority="1982">
      <formula>$H126="CÉLULA CONSTRUTIVA"</formula>
    </cfRule>
    <cfRule type="expression" dxfId="2210" priority="1981">
      <formula>$H126="SUBETAPA"</formula>
    </cfRule>
  </conditionalFormatting>
  <conditionalFormatting sqref="P128">
    <cfRule type="containsText" dxfId="2209" priority="1995" operator="containsText" text="Finalizado">
      <formula>NOT(ISERROR(SEARCH("Finalizado",P128)))</formula>
    </cfRule>
    <cfRule type="expression" dxfId="2208" priority="2003">
      <formula>$H128="CÉLULA CONSTRUTIVA"</formula>
    </cfRule>
    <cfRule type="containsText" dxfId="2207" priority="1997" operator="containsText" text="Lançado">
      <formula>NOT(ISERROR(SEARCH("Lançado",P128)))</formula>
    </cfRule>
    <cfRule type="containsText" dxfId="2206" priority="2005" operator="containsText" text="Lançado">
      <formula>NOT(ISERROR(SEARCH("Lançado",P128)))</formula>
    </cfRule>
    <cfRule type="containsText" dxfId="2205" priority="2009" operator="containsText" text="em andamento">
      <formula>NOT(ISERROR(SEARCH("em andamento",P128)))</formula>
    </cfRule>
    <cfRule type="containsText" dxfId="2204" priority="2000" operator="containsText" text="Finalizado">
      <formula>NOT(ISERROR(SEARCH("Finalizado",P128)))</formula>
    </cfRule>
    <cfRule type="containsText" dxfId="2203" priority="1996" operator="containsText" text="em andamento">
      <formula>NOT(ISERROR(SEARCH("em andamento",P128)))</formula>
    </cfRule>
    <cfRule type="containsText" dxfId="2202" priority="2008" operator="containsText" text="Finalizado">
      <formula>NOT(ISERROR(SEARCH("Finalizado",P128)))</formula>
    </cfRule>
    <cfRule type="containsText" dxfId="2201" priority="1998" operator="containsText" text="N/A">
      <formula>NOT(ISERROR(SEARCH("N/A",P128)))</formula>
    </cfRule>
    <cfRule type="containsText" dxfId="2200" priority="1999" operator="containsText" text="Pendente">
      <formula>NOT(ISERROR(SEARCH("Pendente",P128)))</formula>
    </cfRule>
    <cfRule type="containsText" dxfId="2199" priority="2006" operator="containsText" text="N/A">
      <formula>NOT(ISERROR(SEARCH("N/A",P128)))</formula>
    </cfRule>
    <cfRule type="containsText" dxfId="2198" priority="2001" operator="containsText" text="em andamento">
      <formula>NOT(ISERROR(SEARCH("em andamento",P128)))</formula>
    </cfRule>
    <cfRule type="expression" dxfId="2197" priority="2002">
      <formula>$H128="SUBETAPA"</formula>
    </cfRule>
    <cfRule type="expression" dxfId="2196" priority="1989">
      <formula>$H128="SUBETAPA"</formula>
    </cfRule>
    <cfRule type="containsText" dxfId="2195" priority="1993" operator="containsText" text="N/A">
      <formula>NOT(ISERROR(SEARCH("N/A",P128)))</formula>
    </cfRule>
    <cfRule type="containsText" dxfId="2194" priority="2007" operator="containsText" text="Pendente">
      <formula>NOT(ISERROR(SEARCH("Pendente",P128)))</formula>
    </cfRule>
    <cfRule type="containsText" dxfId="2193" priority="1994" operator="containsText" text="Pendente">
      <formula>NOT(ISERROR(SEARCH("Pendente",P128)))</formula>
    </cfRule>
    <cfRule type="expression" dxfId="2192" priority="1990">
      <formula>$H128="CÉLULA CONSTRUTIVA"</formula>
    </cfRule>
    <cfRule type="expression" dxfId="2191" priority="1991">
      <formula>$H128="ETAPA"</formula>
    </cfRule>
    <cfRule type="containsText" dxfId="2190" priority="1992" operator="containsText" text="Lançado">
      <formula>NOT(ISERROR(SEARCH("Lançado",P128)))</formula>
    </cfRule>
    <cfRule type="expression" dxfId="2189" priority="2004">
      <formula>$H128="ETAPA"</formula>
    </cfRule>
  </conditionalFormatting>
  <conditionalFormatting sqref="P129 O130:P130">
    <cfRule type="expression" dxfId="2188" priority="7689">
      <formula>$H129="CÉLULA CONSTRUTIVA"</formula>
    </cfRule>
  </conditionalFormatting>
  <conditionalFormatting sqref="P129">
    <cfRule type="containsText" dxfId="2187" priority="7693" operator="containsText" text="Pendente">
      <formula>NOT(ISERROR(SEARCH("Pendente",P129)))</formula>
    </cfRule>
    <cfRule type="containsText" dxfId="2186" priority="7692" operator="containsText" text="N/A">
      <formula>NOT(ISERROR(SEARCH("N/A",P129)))</formula>
    </cfRule>
    <cfRule type="containsText" dxfId="2185" priority="7691" operator="containsText" text="Lançado">
      <formula>NOT(ISERROR(SEARCH("Lançado",P129)))</formula>
    </cfRule>
    <cfRule type="expression" dxfId="2184" priority="7690">
      <formula>$H129="ETAPA"</formula>
    </cfRule>
    <cfRule type="containsText" dxfId="2183" priority="7695" operator="containsText" text="em andamento">
      <formula>NOT(ISERROR(SEARCH("em andamento",P129)))</formula>
    </cfRule>
    <cfRule type="expression" dxfId="2182" priority="7688">
      <formula>$H129="ETAPA"</formula>
    </cfRule>
    <cfRule type="expression" dxfId="2181" priority="7687">
      <formula>$H129="CÉLULA CONSTRUTIVA"</formula>
    </cfRule>
    <cfRule type="containsText" dxfId="2180" priority="7677" operator="containsText" text="em andamento">
      <formula>NOT(ISERROR(SEARCH("em andamento",P129)))</formula>
    </cfRule>
    <cfRule type="containsText" dxfId="2179" priority="7676" operator="containsText" text="Finalizado">
      <formula>NOT(ISERROR(SEARCH("Finalizado",P129)))</formula>
    </cfRule>
    <cfRule type="containsText" dxfId="2178" priority="7675" operator="containsText" text="Pendente">
      <formula>NOT(ISERROR(SEARCH("Pendente",P129)))</formula>
    </cfRule>
    <cfRule type="expression" dxfId="2177" priority="7671">
      <formula>$H129="CÉLULA CONSTRUTIVA"</formula>
    </cfRule>
    <cfRule type="expression" dxfId="2176" priority="7670">
      <formula>$H129="ETAPA"</formula>
    </cfRule>
    <cfRule type="containsText" dxfId="2175" priority="7694" operator="containsText" text="Finalizado">
      <formula>NOT(ISERROR(SEARCH("Finalizado",P129)))</formula>
    </cfRule>
    <cfRule type="expression" dxfId="2174" priority="7669">
      <formula>$H129="CÉLULA CONSTRUTIVA"</formula>
    </cfRule>
    <cfRule type="containsText" dxfId="2173" priority="7674" operator="containsText" text="N/A">
      <formula>NOT(ISERROR(SEARCH("N/A",P129)))</formula>
    </cfRule>
    <cfRule type="expression" dxfId="2172" priority="7668">
      <formula>$H129="SUBETAPA"</formula>
    </cfRule>
    <cfRule type="containsText" dxfId="2171" priority="7673" operator="containsText" text="Lançado">
      <formula>NOT(ISERROR(SEARCH("Lançado",P129)))</formula>
    </cfRule>
    <cfRule type="expression" dxfId="2170" priority="7672">
      <formula>$H129="ETAPA"</formula>
    </cfRule>
  </conditionalFormatting>
  <conditionalFormatting sqref="P131">
    <cfRule type="containsText" dxfId="2169" priority="1233" operator="containsText" text="Lançado">
      <formula>NOT(ISERROR(SEARCH("Lançado",P131)))</formula>
    </cfRule>
    <cfRule type="containsText" dxfId="2168" priority="1234" operator="containsText" text="N/A">
      <formula>NOT(ISERROR(SEARCH("N/A",P131)))</formula>
    </cfRule>
    <cfRule type="containsText" dxfId="2167" priority="1235" operator="containsText" text="Pendente">
      <formula>NOT(ISERROR(SEARCH("Pendente",P131)))</formula>
    </cfRule>
    <cfRule type="containsText" dxfId="2166" priority="1237" operator="containsText" text="em andamento">
      <formula>NOT(ISERROR(SEARCH("em andamento",P131)))</formula>
    </cfRule>
    <cfRule type="containsText" dxfId="2165" priority="1236" operator="containsText" text="Finalizado">
      <formula>NOT(ISERROR(SEARCH("Finalizado",P131)))</formula>
    </cfRule>
  </conditionalFormatting>
  <conditionalFormatting sqref="P132">
    <cfRule type="expression" dxfId="2164" priority="1328">
      <formula>$H132="SUBETAPA"</formula>
    </cfRule>
    <cfRule type="expression" dxfId="2163" priority="1329">
      <formula>$H132="CÉLULA CONSTRUTIVA"</formula>
    </cfRule>
    <cfRule type="expression" dxfId="2162" priority="1330">
      <formula>$H132="ETAPA"</formula>
    </cfRule>
    <cfRule type="containsText" dxfId="2161" priority="1331" operator="containsText" text="Lançado">
      <formula>NOT(ISERROR(SEARCH("Lançado",P132)))</formula>
    </cfRule>
    <cfRule type="containsText" dxfId="2160" priority="1332" operator="containsText" text="N/A">
      <formula>NOT(ISERROR(SEARCH("N/A",P132)))</formula>
    </cfRule>
    <cfRule type="containsText" dxfId="2159" priority="1333" operator="containsText" text="Pendente">
      <formula>NOT(ISERROR(SEARCH("Pendente",P132)))</formula>
    </cfRule>
    <cfRule type="containsText" dxfId="2158" priority="1334" operator="containsText" text="Finalizado">
      <formula>NOT(ISERROR(SEARCH("Finalizado",P132)))</formula>
    </cfRule>
    <cfRule type="containsText" dxfId="2157" priority="1335" operator="containsText" text="em andamento">
      <formula>NOT(ISERROR(SEARCH("em andamento",P132)))</formula>
    </cfRule>
    <cfRule type="expression" dxfId="2156" priority="1315">
      <formula>$H132="SUBETAPA"</formula>
    </cfRule>
    <cfRule type="expression" dxfId="2155" priority="1316">
      <formula>$H132="CÉLULA CONSTRUTIVA"</formula>
    </cfRule>
    <cfRule type="expression" dxfId="2154" priority="1317">
      <formula>$H132="ETAPA"</formula>
    </cfRule>
    <cfRule type="containsText" dxfId="2153" priority="1318" operator="containsText" text="Lançado">
      <formula>NOT(ISERROR(SEARCH("Lançado",P132)))</formula>
    </cfRule>
    <cfRule type="containsText" dxfId="2152" priority="1319" operator="containsText" text="N/A">
      <formula>NOT(ISERROR(SEARCH("N/A",P132)))</formula>
    </cfRule>
    <cfRule type="containsText" dxfId="2151" priority="1320" operator="containsText" text="Pendente">
      <formula>NOT(ISERROR(SEARCH("Pendente",P132)))</formula>
    </cfRule>
    <cfRule type="containsText" dxfId="2150" priority="1321" operator="containsText" text="Finalizado">
      <formula>NOT(ISERROR(SEARCH("Finalizado",P132)))</formula>
    </cfRule>
    <cfRule type="containsText" dxfId="2149" priority="1322" operator="containsText" text="em andamento">
      <formula>NOT(ISERROR(SEARCH("em andamento",P132)))</formula>
    </cfRule>
    <cfRule type="containsText" dxfId="2148" priority="1323" operator="containsText" text="Lançado">
      <formula>NOT(ISERROR(SEARCH("Lançado",P132)))</formula>
    </cfRule>
    <cfRule type="containsText" dxfId="2147" priority="1324" operator="containsText" text="N/A">
      <formula>NOT(ISERROR(SEARCH("N/A",P132)))</formula>
    </cfRule>
    <cfRule type="containsText" dxfId="2146" priority="1325" operator="containsText" text="Pendente">
      <formula>NOT(ISERROR(SEARCH("Pendente",P132)))</formula>
    </cfRule>
    <cfRule type="containsText" dxfId="2145" priority="1326" operator="containsText" text="Finalizado">
      <formula>NOT(ISERROR(SEARCH("Finalizado",P132)))</formula>
    </cfRule>
    <cfRule type="containsText" dxfId="2144" priority="1327" operator="containsText" text="em andamento">
      <formula>NOT(ISERROR(SEARCH("em andamento",P132)))</formula>
    </cfRule>
  </conditionalFormatting>
  <conditionalFormatting sqref="P133">
    <cfRule type="expression" dxfId="2143" priority="1336">
      <formula>$H133="SUBETAPA"</formula>
    </cfRule>
    <cfRule type="containsText" dxfId="2142" priority="1347" operator="containsText" text="Finalizado">
      <formula>NOT(ISERROR(SEARCH("Finalizado",P133)))</formula>
    </cfRule>
    <cfRule type="containsText" dxfId="2141" priority="1346" operator="containsText" text="Pendente">
      <formula>NOT(ISERROR(SEARCH("Pendente",P133)))</formula>
    </cfRule>
    <cfRule type="containsText" dxfId="2140" priority="1345" operator="containsText" text="N/A">
      <formula>NOT(ISERROR(SEARCH("N/A",P133)))</formula>
    </cfRule>
    <cfRule type="containsText" dxfId="2139" priority="1344" operator="containsText" text="Lançado">
      <formula>NOT(ISERROR(SEARCH("Lançado",P133)))</formula>
    </cfRule>
    <cfRule type="expression" dxfId="2138" priority="1337">
      <formula>$H133="CÉLULA CONSTRUTIVA"</formula>
    </cfRule>
    <cfRule type="containsText" dxfId="2137" priority="1343" operator="containsText" text="em andamento">
      <formula>NOT(ISERROR(SEARCH("em andamento",P133)))</formula>
    </cfRule>
    <cfRule type="containsText" dxfId="2136" priority="1342" operator="containsText" text="Finalizado">
      <formula>NOT(ISERROR(SEARCH("Finalizado",P133)))</formula>
    </cfRule>
    <cfRule type="containsText" dxfId="2135" priority="1341" operator="containsText" text="Pendente">
      <formula>NOT(ISERROR(SEARCH("Pendente",P133)))</formula>
    </cfRule>
    <cfRule type="containsText" dxfId="2134" priority="1340" operator="containsText" text="N/A">
      <formula>NOT(ISERROR(SEARCH("N/A",P133)))</formula>
    </cfRule>
    <cfRule type="containsText" dxfId="2133" priority="1339" operator="containsText" text="Lançado">
      <formula>NOT(ISERROR(SEARCH("Lançado",P133)))</formula>
    </cfRule>
    <cfRule type="containsText" dxfId="2132" priority="1356" operator="containsText" text="em andamento">
      <formula>NOT(ISERROR(SEARCH("em andamento",P133)))</formula>
    </cfRule>
    <cfRule type="containsText" dxfId="2131" priority="1355" operator="containsText" text="Finalizado">
      <formula>NOT(ISERROR(SEARCH("Finalizado",P133)))</formula>
    </cfRule>
    <cfRule type="containsText" dxfId="2130" priority="1354" operator="containsText" text="Pendente">
      <formula>NOT(ISERROR(SEARCH("Pendente",P133)))</formula>
    </cfRule>
    <cfRule type="containsText" dxfId="2129" priority="1353" operator="containsText" text="N/A">
      <formula>NOT(ISERROR(SEARCH("N/A",P133)))</formula>
    </cfRule>
    <cfRule type="containsText" dxfId="2128" priority="1352" operator="containsText" text="Lançado">
      <formula>NOT(ISERROR(SEARCH("Lançado",P133)))</formula>
    </cfRule>
    <cfRule type="expression" dxfId="2127" priority="1351">
      <formula>$H133="ETAPA"</formula>
    </cfRule>
    <cfRule type="expression" dxfId="2126" priority="1338">
      <formula>$H133="ETAPA"</formula>
    </cfRule>
    <cfRule type="expression" dxfId="2125" priority="1350">
      <formula>$H133="CÉLULA CONSTRUTIVA"</formula>
    </cfRule>
    <cfRule type="expression" dxfId="2124" priority="1349">
      <formula>$H133="SUBETAPA"</formula>
    </cfRule>
    <cfRule type="containsText" dxfId="2123" priority="1348" operator="containsText" text="em andamento">
      <formula>NOT(ISERROR(SEARCH("em andamento",P133)))</formula>
    </cfRule>
  </conditionalFormatting>
  <conditionalFormatting sqref="P134">
    <cfRule type="expression" dxfId="2122" priority="1358">
      <formula>$H134="CÉLULA CONSTRUTIVA"</formula>
    </cfRule>
    <cfRule type="expression" dxfId="2121" priority="1372">
      <formula>$H134="ETAPA"</formula>
    </cfRule>
    <cfRule type="containsText" dxfId="2120" priority="1374" operator="containsText" text="N/A">
      <formula>NOT(ISERROR(SEARCH("N/A",P134)))</formula>
    </cfRule>
    <cfRule type="containsText" dxfId="2119" priority="1373" operator="containsText" text="Lançado">
      <formula>NOT(ISERROR(SEARCH("Lançado",P134)))</formula>
    </cfRule>
    <cfRule type="containsText" dxfId="2118" priority="1360" operator="containsText" text="Lançado">
      <formula>NOT(ISERROR(SEARCH("Lançado",P134)))</formula>
    </cfRule>
    <cfRule type="containsText" dxfId="2117" priority="1361" operator="containsText" text="N/A">
      <formula>NOT(ISERROR(SEARCH("N/A",P134)))</formula>
    </cfRule>
    <cfRule type="containsText" dxfId="2116" priority="1369" operator="containsText" text="em andamento">
      <formula>NOT(ISERROR(SEARCH("em andamento",P134)))</formula>
    </cfRule>
    <cfRule type="containsText" dxfId="2115" priority="1363" operator="containsText" text="Finalizado">
      <formula>NOT(ISERROR(SEARCH("Finalizado",P134)))</formula>
    </cfRule>
    <cfRule type="containsText" dxfId="2114" priority="1364" operator="containsText" text="em andamento">
      <formula>NOT(ISERROR(SEARCH("em andamento",P134)))</formula>
    </cfRule>
    <cfRule type="containsText" dxfId="2113" priority="1365" operator="containsText" text="Lançado">
      <formula>NOT(ISERROR(SEARCH("Lançado",P134)))</formula>
    </cfRule>
    <cfRule type="containsText" dxfId="2112" priority="1367" operator="containsText" text="Pendente">
      <formula>NOT(ISERROR(SEARCH("Pendente",P134)))</formula>
    </cfRule>
    <cfRule type="expression" dxfId="2111" priority="1357">
      <formula>$H134="SUBETAPA"</formula>
    </cfRule>
    <cfRule type="expression" dxfId="2110" priority="1371">
      <formula>$H134="CÉLULA CONSTRUTIVA"</formula>
    </cfRule>
    <cfRule type="containsText" dxfId="2109" priority="1362" operator="containsText" text="Pendente">
      <formula>NOT(ISERROR(SEARCH("Pendente",P134)))</formula>
    </cfRule>
    <cfRule type="expression" dxfId="2108" priority="1370">
      <formula>$H134="SUBETAPA"</formula>
    </cfRule>
    <cfRule type="containsText" dxfId="2107" priority="1368" operator="containsText" text="Finalizado">
      <formula>NOT(ISERROR(SEARCH("Finalizado",P134)))</formula>
    </cfRule>
    <cfRule type="containsText" dxfId="2106" priority="1366" operator="containsText" text="N/A">
      <formula>NOT(ISERROR(SEARCH("N/A",P134)))</formula>
    </cfRule>
    <cfRule type="expression" dxfId="2105" priority="1359">
      <formula>$H134="ETAPA"</formula>
    </cfRule>
    <cfRule type="containsText" dxfId="2104" priority="1377" operator="containsText" text="em andamento">
      <formula>NOT(ISERROR(SEARCH("em andamento",P134)))</formula>
    </cfRule>
    <cfRule type="containsText" dxfId="2103" priority="1376" operator="containsText" text="Finalizado">
      <formula>NOT(ISERROR(SEARCH("Finalizado",P134)))</formula>
    </cfRule>
    <cfRule type="containsText" dxfId="2102" priority="1375" operator="containsText" text="Pendente">
      <formula>NOT(ISERROR(SEARCH("Pendente",P134)))</formula>
    </cfRule>
  </conditionalFormatting>
  <conditionalFormatting sqref="P135">
    <cfRule type="containsText" dxfId="2101" priority="2027" operator="containsText" text="N/A">
      <formula>NOT(ISERROR(SEARCH("N/A",P135)))</formula>
    </cfRule>
    <cfRule type="containsText" dxfId="2100" priority="2028" operator="containsText" text="Pendente">
      <formula>NOT(ISERROR(SEARCH("Pendente",P135)))</formula>
    </cfRule>
    <cfRule type="containsText" dxfId="2099" priority="2029" operator="containsText" text="Finalizado">
      <formula>NOT(ISERROR(SEARCH("Finalizado",P135)))</formula>
    </cfRule>
    <cfRule type="containsText" dxfId="2098" priority="2030" operator="containsText" text="em andamento">
      <formula>NOT(ISERROR(SEARCH("em andamento",P135)))</formula>
    </cfRule>
    <cfRule type="expression" dxfId="2097" priority="2012">
      <formula>$H135="ETAPA"</formula>
    </cfRule>
    <cfRule type="containsText" dxfId="2096" priority="2020" operator="containsText" text="Pendente">
      <formula>NOT(ISERROR(SEARCH("Pendente",P135)))</formula>
    </cfRule>
    <cfRule type="expression" dxfId="2095" priority="2023">
      <formula>$H135="SUBETAPA"</formula>
    </cfRule>
    <cfRule type="expression" dxfId="2094" priority="2011">
      <formula>$H135="CÉLULA CONSTRUTIVA"</formula>
    </cfRule>
    <cfRule type="containsText" dxfId="2093" priority="2013" operator="containsText" text="Lançado">
      <formula>NOT(ISERROR(SEARCH("Lançado",P135)))</formula>
    </cfRule>
    <cfRule type="expression" dxfId="2092" priority="2010">
      <formula>$H135="SUBETAPA"</formula>
    </cfRule>
    <cfRule type="containsText" dxfId="2091" priority="2026" operator="containsText" text="Lançado">
      <formula>NOT(ISERROR(SEARCH("Lançado",P135)))</formula>
    </cfRule>
    <cfRule type="containsText" dxfId="2090" priority="2021" operator="containsText" text="Finalizado">
      <formula>NOT(ISERROR(SEARCH("Finalizado",P135)))</formula>
    </cfRule>
    <cfRule type="containsText" dxfId="2089" priority="2022" operator="containsText" text="em andamento">
      <formula>NOT(ISERROR(SEARCH("em andamento",P135)))</formula>
    </cfRule>
    <cfRule type="expression" dxfId="2088" priority="2024">
      <formula>$H135="CÉLULA CONSTRUTIVA"</formula>
    </cfRule>
    <cfRule type="expression" dxfId="2087" priority="2025">
      <formula>$H135="ETAPA"</formula>
    </cfRule>
    <cfRule type="containsText" dxfId="2086" priority="2019" operator="containsText" text="N/A">
      <formula>NOT(ISERROR(SEARCH("N/A",P135)))</formula>
    </cfRule>
    <cfRule type="containsText" dxfId="2085" priority="2018" operator="containsText" text="Lançado">
      <formula>NOT(ISERROR(SEARCH("Lançado",P135)))</formula>
    </cfRule>
    <cfRule type="containsText" dxfId="2084" priority="2017" operator="containsText" text="em andamento">
      <formula>NOT(ISERROR(SEARCH("em andamento",P135)))</formula>
    </cfRule>
    <cfRule type="containsText" dxfId="2083" priority="2016" operator="containsText" text="Finalizado">
      <formula>NOT(ISERROR(SEARCH("Finalizado",P135)))</formula>
    </cfRule>
    <cfRule type="containsText" dxfId="2082" priority="2015" operator="containsText" text="Pendente">
      <formula>NOT(ISERROR(SEARCH("Pendente",P135)))</formula>
    </cfRule>
    <cfRule type="containsText" dxfId="2081" priority="2014" operator="containsText" text="N/A">
      <formula>NOT(ISERROR(SEARCH("N/A",P135)))</formula>
    </cfRule>
  </conditionalFormatting>
  <conditionalFormatting sqref="P136">
    <cfRule type="containsText" dxfId="2080" priority="2039" operator="containsText" text="Lançado">
      <formula>NOT(ISERROR(SEARCH("Lançado",P136)))</formula>
    </cfRule>
    <cfRule type="containsText" dxfId="2079" priority="2041" operator="containsText" text="Pendente">
      <formula>NOT(ISERROR(SEARCH("Pendente",P136)))</formula>
    </cfRule>
    <cfRule type="containsText" dxfId="2078" priority="2042" operator="containsText" text="Finalizado">
      <formula>NOT(ISERROR(SEARCH("Finalizado",P136)))</formula>
    </cfRule>
    <cfRule type="containsText" dxfId="2077" priority="2043" operator="containsText" text="em andamento">
      <formula>NOT(ISERROR(SEARCH("em andamento",P136)))</formula>
    </cfRule>
    <cfRule type="containsText" dxfId="2076" priority="2040" operator="containsText" text="N/A">
      <formula>NOT(ISERROR(SEARCH("N/A",P136)))</formula>
    </cfRule>
    <cfRule type="containsText" dxfId="2075" priority="2048" operator="containsText" text="N/A">
      <formula>NOT(ISERROR(SEARCH("N/A",P136)))</formula>
    </cfRule>
    <cfRule type="containsText" dxfId="2074" priority="2047" operator="containsText" text="Lançado">
      <formula>NOT(ISERROR(SEARCH("Lançado",P136)))</formula>
    </cfRule>
    <cfRule type="expression" dxfId="2073" priority="2046">
      <formula>$H136="ETAPA"</formula>
    </cfRule>
    <cfRule type="containsText" dxfId="2072" priority="2038" operator="containsText" text="em andamento">
      <formula>NOT(ISERROR(SEARCH("em andamento",P136)))</formula>
    </cfRule>
    <cfRule type="containsText" dxfId="2071" priority="2049" operator="containsText" text="Pendente">
      <formula>NOT(ISERROR(SEARCH("Pendente",P136)))</formula>
    </cfRule>
    <cfRule type="expression" dxfId="2070" priority="2044">
      <formula>$H136="SUBETAPA"</formula>
    </cfRule>
    <cfRule type="containsText" dxfId="2069" priority="2050" operator="containsText" text="Finalizado">
      <formula>NOT(ISERROR(SEARCH("Finalizado",P136)))</formula>
    </cfRule>
    <cfRule type="containsText" dxfId="2068" priority="2051" operator="containsText" text="em andamento">
      <formula>NOT(ISERROR(SEARCH("em andamento",P136)))</formula>
    </cfRule>
    <cfRule type="containsText" dxfId="2067" priority="2035" operator="containsText" text="N/A">
      <formula>NOT(ISERROR(SEARCH("N/A",P136)))</formula>
    </cfRule>
    <cfRule type="expression" dxfId="2066" priority="2045">
      <formula>$H136="CÉLULA CONSTRUTIVA"</formula>
    </cfRule>
    <cfRule type="expression" dxfId="2065" priority="2031">
      <formula>$H136="SUBETAPA"</formula>
    </cfRule>
    <cfRule type="expression" dxfId="2064" priority="2032">
      <formula>$H136="CÉLULA CONSTRUTIVA"</formula>
    </cfRule>
    <cfRule type="expression" dxfId="2063" priority="2033">
      <formula>$H136="ETAPA"</formula>
    </cfRule>
    <cfRule type="containsText" dxfId="2062" priority="2034" operator="containsText" text="Lançado">
      <formula>NOT(ISERROR(SEARCH("Lançado",P136)))</formula>
    </cfRule>
    <cfRule type="containsText" dxfId="2061" priority="2036" operator="containsText" text="Pendente">
      <formula>NOT(ISERROR(SEARCH("Pendente",P136)))</formula>
    </cfRule>
    <cfRule type="containsText" dxfId="2060" priority="2037" operator="containsText" text="Finalizado">
      <formula>NOT(ISERROR(SEARCH("Finalizado",P136)))</formula>
    </cfRule>
  </conditionalFormatting>
  <conditionalFormatting sqref="P137">
    <cfRule type="expression" dxfId="2059" priority="2065">
      <formula>$H137="SUBETAPA"</formula>
    </cfRule>
    <cfRule type="expression" dxfId="2058" priority="2066">
      <formula>$H137="CÉLULA CONSTRUTIVA"</formula>
    </cfRule>
    <cfRule type="expression" dxfId="2057" priority="2067">
      <formula>$H137="ETAPA"</formula>
    </cfRule>
    <cfRule type="containsText" dxfId="2056" priority="2068" operator="containsText" text="Lançado">
      <formula>NOT(ISERROR(SEARCH("Lançado",P137)))</formula>
    </cfRule>
    <cfRule type="containsText" dxfId="2055" priority="2056" operator="containsText" text="N/A">
      <formula>NOT(ISERROR(SEARCH("N/A",P137)))</formula>
    </cfRule>
    <cfRule type="containsText" dxfId="2054" priority="2070" operator="containsText" text="Pendente">
      <formula>NOT(ISERROR(SEARCH("Pendente",P137)))</formula>
    </cfRule>
    <cfRule type="containsText" dxfId="2053" priority="2057" operator="containsText" text="Pendente">
      <formula>NOT(ISERROR(SEARCH("Pendente",P137)))</formula>
    </cfRule>
    <cfRule type="containsText" dxfId="2052" priority="2055" operator="containsText" text="Lançado">
      <formula>NOT(ISERROR(SEARCH("Lançado",P137)))</formula>
    </cfRule>
    <cfRule type="expression" dxfId="2051" priority="2054">
      <formula>$H137="ETAPA"</formula>
    </cfRule>
    <cfRule type="expression" dxfId="2050" priority="2053">
      <formula>$H137="CÉLULA CONSTRUTIVA"</formula>
    </cfRule>
    <cfRule type="expression" dxfId="2049" priority="2052">
      <formula>$H137="SUBETAPA"</formula>
    </cfRule>
    <cfRule type="containsText" dxfId="2048" priority="2071" operator="containsText" text="Finalizado">
      <formula>NOT(ISERROR(SEARCH("Finalizado",P137)))</formula>
    </cfRule>
    <cfRule type="containsText" dxfId="2047" priority="2061" operator="containsText" text="N/A">
      <formula>NOT(ISERROR(SEARCH("N/A",P137)))</formula>
    </cfRule>
    <cfRule type="containsText" dxfId="2046" priority="2072" operator="containsText" text="em andamento">
      <formula>NOT(ISERROR(SEARCH("em andamento",P137)))</formula>
    </cfRule>
    <cfRule type="containsText" dxfId="2045" priority="2058" operator="containsText" text="Finalizado">
      <formula>NOT(ISERROR(SEARCH("Finalizado",P137)))</formula>
    </cfRule>
    <cfRule type="containsText" dxfId="2044" priority="2059" operator="containsText" text="em andamento">
      <formula>NOT(ISERROR(SEARCH("em andamento",P137)))</formula>
    </cfRule>
    <cfRule type="containsText" dxfId="2043" priority="2060" operator="containsText" text="Lançado">
      <formula>NOT(ISERROR(SEARCH("Lançado",P137)))</formula>
    </cfRule>
    <cfRule type="containsText" dxfId="2042" priority="2062" operator="containsText" text="Pendente">
      <formula>NOT(ISERROR(SEARCH("Pendente",P137)))</formula>
    </cfRule>
    <cfRule type="containsText" dxfId="2041" priority="2063" operator="containsText" text="Finalizado">
      <formula>NOT(ISERROR(SEARCH("Finalizado",P137)))</formula>
    </cfRule>
    <cfRule type="containsText" dxfId="2040" priority="2064" operator="containsText" text="em andamento">
      <formula>NOT(ISERROR(SEARCH("em andamento",P137)))</formula>
    </cfRule>
    <cfRule type="containsText" dxfId="2039" priority="2069" operator="containsText" text="N/A">
      <formula>NOT(ISERROR(SEARCH("N/A",P137)))</formula>
    </cfRule>
  </conditionalFormatting>
  <conditionalFormatting sqref="P138">
    <cfRule type="containsText" dxfId="2038" priority="7034" operator="containsText" text="em andamento">
      <formula>NOT(ISERROR(SEARCH("em andamento",P138)))</formula>
    </cfRule>
    <cfRule type="containsText" dxfId="2037" priority="7033" operator="containsText" text="Finalizado">
      <formula>NOT(ISERROR(SEARCH("Finalizado",P138)))</formula>
    </cfRule>
    <cfRule type="containsText" dxfId="2036" priority="7031" operator="containsText" text="N/A">
      <formula>NOT(ISERROR(SEARCH("N/A",P138)))</formula>
    </cfRule>
    <cfRule type="containsText" dxfId="2035" priority="7032" operator="containsText" text="Pendente">
      <formula>NOT(ISERROR(SEARCH("Pendente",P138)))</formula>
    </cfRule>
    <cfRule type="containsText" dxfId="2034" priority="7030" operator="containsText" text="Lançado">
      <formula>NOT(ISERROR(SEARCH("Lançado",P138)))</formula>
    </cfRule>
  </conditionalFormatting>
  <conditionalFormatting sqref="P139 P141:P142">
    <cfRule type="containsText" dxfId="2033" priority="2092" operator="containsText" text="Finalizado">
      <formula>NOT(ISERROR(SEARCH("Finalizado",P139)))</formula>
    </cfRule>
    <cfRule type="containsText" dxfId="2032" priority="2093" operator="containsText" text="em andamento">
      <formula>NOT(ISERROR(SEARCH("em andamento",P139)))</formula>
    </cfRule>
    <cfRule type="expression" dxfId="2031" priority="2086">
      <formula>$H139="SUBETAPA"</formula>
    </cfRule>
    <cfRule type="containsText" dxfId="2030" priority="2085" operator="containsText" text="em andamento">
      <formula>NOT(ISERROR(SEARCH("em andamento",P139)))</formula>
    </cfRule>
    <cfRule type="expression" dxfId="2029" priority="2087">
      <formula>$H139="CÉLULA CONSTRUTIVA"</formula>
    </cfRule>
    <cfRule type="containsText" dxfId="2028" priority="2091" operator="containsText" text="Pendente">
      <formula>NOT(ISERROR(SEARCH("Pendente",P139)))</formula>
    </cfRule>
    <cfRule type="containsText" dxfId="2027" priority="2084" operator="containsText" text="Finalizado">
      <formula>NOT(ISERROR(SEARCH("Finalizado",P139)))</formula>
    </cfRule>
    <cfRule type="containsText" dxfId="2026" priority="2083" operator="containsText" text="Pendente">
      <formula>NOT(ISERROR(SEARCH("Pendente",P139)))</formula>
    </cfRule>
    <cfRule type="containsText" dxfId="2025" priority="2082" operator="containsText" text="N/A">
      <formula>NOT(ISERROR(SEARCH("N/A",P139)))</formula>
    </cfRule>
    <cfRule type="containsText" dxfId="2024" priority="2081" operator="containsText" text="Lançado">
      <formula>NOT(ISERROR(SEARCH("Lançado",P139)))</formula>
    </cfRule>
    <cfRule type="containsText" dxfId="2023" priority="2080" operator="containsText" text="em andamento">
      <formula>NOT(ISERROR(SEARCH("em andamento",P139)))</formula>
    </cfRule>
    <cfRule type="containsText" dxfId="2022" priority="2079" operator="containsText" text="Finalizado">
      <formula>NOT(ISERROR(SEARCH("Finalizado",P139)))</formula>
    </cfRule>
    <cfRule type="containsText" dxfId="2021" priority="2078" operator="containsText" text="Pendente">
      <formula>NOT(ISERROR(SEARCH("Pendente",P139)))</formula>
    </cfRule>
    <cfRule type="containsText" dxfId="2020" priority="2077" operator="containsText" text="N/A">
      <formula>NOT(ISERROR(SEARCH("N/A",P139)))</formula>
    </cfRule>
    <cfRule type="containsText" dxfId="2019" priority="2076" operator="containsText" text="Lançado">
      <formula>NOT(ISERROR(SEARCH("Lançado",P139)))</formula>
    </cfRule>
    <cfRule type="expression" dxfId="2018" priority="2075">
      <formula>$H139="ETAPA"</formula>
    </cfRule>
    <cfRule type="expression" dxfId="2017" priority="2074">
      <formula>$H139="CÉLULA CONSTRUTIVA"</formula>
    </cfRule>
    <cfRule type="expression" dxfId="2016" priority="2073">
      <formula>$H139="SUBETAPA"</formula>
    </cfRule>
    <cfRule type="containsText" dxfId="2015" priority="2090" operator="containsText" text="N/A">
      <formula>NOT(ISERROR(SEARCH("N/A",P139)))</formula>
    </cfRule>
    <cfRule type="containsText" dxfId="2014" priority="2089" operator="containsText" text="Lançado">
      <formula>NOT(ISERROR(SEARCH("Lançado",P139)))</formula>
    </cfRule>
    <cfRule type="expression" dxfId="2013" priority="2088">
      <formula>$H139="ETAPA"</formula>
    </cfRule>
  </conditionalFormatting>
  <conditionalFormatting sqref="P140">
    <cfRule type="containsText" dxfId="2012" priority="1297" operator="containsText" text="N/A">
      <formula>NOT(ISERROR(SEARCH("N/A",P140)))</formula>
    </cfRule>
    <cfRule type="containsText" dxfId="2011" priority="1296" operator="containsText" text="Lançado">
      <formula>NOT(ISERROR(SEARCH("Lançado",P140)))</formula>
    </cfRule>
    <cfRule type="containsText" dxfId="2010" priority="1298" operator="containsText" text="Pendente">
      <formula>NOT(ISERROR(SEARCH("Pendente",P140)))</formula>
    </cfRule>
    <cfRule type="expression" dxfId="2009" priority="1301">
      <formula>$H140="SUBETAPA"</formula>
    </cfRule>
    <cfRule type="expression" dxfId="2008" priority="1288">
      <formula>$H140="SUBETAPA"</formula>
    </cfRule>
    <cfRule type="expression" dxfId="2007" priority="1289">
      <formula>$H140="CÉLULA CONSTRUTIVA"</formula>
    </cfRule>
    <cfRule type="containsText" dxfId="2006" priority="1295" operator="containsText" text="em andamento">
      <formula>NOT(ISERROR(SEARCH("em andamento",P140)))</formula>
    </cfRule>
    <cfRule type="containsText" dxfId="2005" priority="1294" operator="containsText" text="Finalizado">
      <formula>NOT(ISERROR(SEARCH("Finalizado",P140)))</formula>
    </cfRule>
    <cfRule type="containsText" dxfId="2004" priority="1293" operator="containsText" text="Pendente">
      <formula>NOT(ISERROR(SEARCH("Pendente",P140)))</formula>
    </cfRule>
    <cfRule type="containsText" dxfId="2003" priority="1308" operator="containsText" text="em andamento">
      <formula>NOT(ISERROR(SEARCH("em andamento",P140)))</formula>
    </cfRule>
    <cfRule type="containsText" dxfId="2002" priority="1307" operator="containsText" text="Finalizado">
      <formula>NOT(ISERROR(SEARCH("Finalizado",P140)))</formula>
    </cfRule>
    <cfRule type="containsText" dxfId="2001" priority="1306" operator="containsText" text="Pendente">
      <formula>NOT(ISERROR(SEARCH("Pendente",P140)))</formula>
    </cfRule>
    <cfRule type="expression" dxfId="2000" priority="1290">
      <formula>$H140="ETAPA"</formula>
    </cfRule>
    <cfRule type="containsText" dxfId="1999" priority="1305" operator="containsText" text="N/A">
      <formula>NOT(ISERROR(SEARCH("N/A",P140)))</formula>
    </cfRule>
    <cfRule type="containsText" dxfId="1998" priority="1304" operator="containsText" text="Lançado">
      <formula>NOT(ISERROR(SEARCH("Lançado",P140)))</formula>
    </cfRule>
    <cfRule type="expression" dxfId="1997" priority="1303">
      <formula>$H140="ETAPA"</formula>
    </cfRule>
    <cfRule type="expression" dxfId="1996" priority="1302">
      <formula>$H140="CÉLULA CONSTRUTIVA"</formula>
    </cfRule>
    <cfRule type="containsText" dxfId="1995" priority="1292" operator="containsText" text="N/A">
      <formula>NOT(ISERROR(SEARCH("N/A",P140)))</formula>
    </cfRule>
    <cfRule type="containsText" dxfId="1994" priority="1300" operator="containsText" text="em andamento">
      <formula>NOT(ISERROR(SEARCH("em andamento",P140)))</formula>
    </cfRule>
    <cfRule type="containsText" dxfId="1993" priority="1299" operator="containsText" text="Finalizado">
      <formula>NOT(ISERROR(SEARCH("Finalizado",P140)))</formula>
    </cfRule>
    <cfRule type="containsText" dxfId="1992" priority="1291" operator="containsText" text="Lançado">
      <formula>NOT(ISERROR(SEARCH("Lançado",P140)))</formula>
    </cfRule>
  </conditionalFormatting>
  <conditionalFormatting sqref="P143">
    <cfRule type="expression" dxfId="1991" priority="1550">
      <formula>$H143="ETAPA"</formula>
    </cfRule>
    <cfRule type="expression" dxfId="1990" priority="1549">
      <formula>$H143="CÉLULA CONSTRUTIVA"</formula>
    </cfRule>
    <cfRule type="containsText" dxfId="1989" priority="1539" operator="containsText" text="em andamento">
      <formula>NOT(ISERROR(SEARCH("em andamento",P143)))</formula>
    </cfRule>
    <cfRule type="containsText" dxfId="1988" priority="1538" operator="containsText" text="Finalizado">
      <formula>NOT(ISERROR(SEARCH("Finalizado",P143)))</formula>
    </cfRule>
    <cfRule type="expression" dxfId="1987" priority="1530">
      <formula>$H143="SUBETAPA"</formula>
    </cfRule>
    <cfRule type="expression" dxfId="1986" priority="1531">
      <formula>$H143="CÉLULA CONSTRUTIVA"</formula>
    </cfRule>
    <cfRule type="expression" dxfId="1985" priority="1532">
      <formula>$H143="ETAPA"</formula>
    </cfRule>
    <cfRule type="expression" dxfId="1984" priority="1533">
      <formula>$H143="CÉLULA CONSTRUTIVA"</formula>
    </cfRule>
    <cfRule type="expression" dxfId="1983" priority="1534">
      <formula>$H143="ETAPA"</formula>
    </cfRule>
    <cfRule type="containsText" dxfId="1982" priority="1555" operator="containsText" text="Pendente">
      <formula>NOT(ISERROR(SEARCH("Pendente",P143)))</formula>
    </cfRule>
    <cfRule type="containsText" dxfId="1981" priority="1535" operator="containsText" text="Lançado">
      <formula>NOT(ISERROR(SEARCH("Lançado",P143)))</formula>
    </cfRule>
    <cfRule type="containsText" dxfId="1980" priority="1536" operator="containsText" text="N/A">
      <formula>NOT(ISERROR(SEARCH("N/A",P143)))</formula>
    </cfRule>
    <cfRule type="containsText" dxfId="1979" priority="1537" operator="containsText" text="Pendente">
      <formula>NOT(ISERROR(SEARCH("Pendente",P143)))</formula>
    </cfRule>
    <cfRule type="containsText" dxfId="1978" priority="1557" operator="containsText" text="em andamento">
      <formula>NOT(ISERROR(SEARCH("em andamento",P143)))</formula>
    </cfRule>
    <cfRule type="containsText" dxfId="1977" priority="1556" operator="containsText" text="Finalizado">
      <formula>NOT(ISERROR(SEARCH("Finalizado",P143)))</formula>
    </cfRule>
    <cfRule type="containsText" dxfId="1976" priority="1554" operator="containsText" text="N/A">
      <formula>NOT(ISERROR(SEARCH("N/A",P143)))</formula>
    </cfRule>
    <cfRule type="containsText" dxfId="1975" priority="1553" operator="containsText" text="Lançado">
      <formula>NOT(ISERROR(SEARCH("Lançado",P143)))</formula>
    </cfRule>
    <cfRule type="expression" dxfId="1974" priority="1552">
      <formula>$H143="ETAPA"</formula>
    </cfRule>
  </conditionalFormatting>
  <conditionalFormatting sqref="P143:P144">
    <cfRule type="containsText" dxfId="1973" priority="1567" operator="containsText" text="em andamento">
      <formula>NOT(ISERROR(SEARCH("em andamento",P143)))</formula>
    </cfRule>
    <cfRule type="containsText" dxfId="1972" priority="1566" operator="containsText" text="Finalizado">
      <formula>NOT(ISERROR(SEARCH("Finalizado",P143)))</formula>
    </cfRule>
    <cfRule type="containsText" dxfId="1971" priority="1565" operator="containsText" text="Pendente">
      <formula>NOT(ISERROR(SEARCH("Pendente",P143)))</formula>
    </cfRule>
    <cfRule type="containsText" dxfId="1970" priority="1564" operator="containsText" text="N/A">
      <formula>NOT(ISERROR(SEARCH("N/A",P143)))</formula>
    </cfRule>
    <cfRule type="containsText" dxfId="1969" priority="1563" operator="containsText" text="Lançado">
      <formula>NOT(ISERROR(SEARCH("Lançado",P143)))</formula>
    </cfRule>
    <cfRule type="expression" dxfId="1968" priority="1558">
      <formula>$H143="SUBETAPA"</formula>
    </cfRule>
  </conditionalFormatting>
  <conditionalFormatting sqref="P145">
    <cfRule type="containsText" dxfId="1967" priority="1244" operator="containsText" text="Lançado">
      <formula>NOT(ISERROR(SEARCH("Lançado",P145)))</formula>
    </cfRule>
    <cfRule type="containsText" dxfId="1966" priority="1248" operator="containsText" text="em andamento">
      <formula>NOT(ISERROR(SEARCH("em andamento",P145)))</formula>
    </cfRule>
    <cfRule type="containsText" dxfId="1965" priority="1246" operator="containsText" text="Pendente">
      <formula>NOT(ISERROR(SEARCH("Pendente",P145)))</formula>
    </cfRule>
    <cfRule type="containsText" dxfId="1964" priority="1245" operator="containsText" text="N/A">
      <formula>NOT(ISERROR(SEARCH("N/A",P145)))</formula>
    </cfRule>
    <cfRule type="containsText" dxfId="1963" priority="1247" operator="containsText" text="Finalizado">
      <formula>NOT(ISERROR(SEARCH("Finalizado",P145)))</formula>
    </cfRule>
  </conditionalFormatting>
  <conditionalFormatting sqref="P146">
    <cfRule type="expression" dxfId="1962" priority="1385">
      <formula>$H146="CÉLULA CONSTRUTIVA"</formula>
    </cfRule>
    <cfRule type="expression" dxfId="1961" priority="1386">
      <formula>$H146="ETAPA"</formula>
    </cfRule>
    <cfRule type="containsText" dxfId="1960" priority="1387" operator="containsText" text="Lançado">
      <formula>NOT(ISERROR(SEARCH("Lançado",P146)))</formula>
    </cfRule>
    <cfRule type="containsText" dxfId="1959" priority="1388" operator="containsText" text="N/A">
      <formula>NOT(ISERROR(SEARCH("N/A",P146)))</formula>
    </cfRule>
    <cfRule type="containsText" dxfId="1958" priority="1389" operator="containsText" text="Pendente">
      <formula>NOT(ISERROR(SEARCH("Pendente",P146)))</formula>
    </cfRule>
    <cfRule type="containsText" dxfId="1957" priority="1391" operator="containsText" text="em andamento">
      <formula>NOT(ISERROR(SEARCH("em andamento",P146)))</formula>
    </cfRule>
    <cfRule type="containsText" dxfId="1956" priority="1392" operator="containsText" text="Lançado">
      <formula>NOT(ISERROR(SEARCH("Lançado",P146)))</formula>
    </cfRule>
    <cfRule type="containsText" dxfId="1955" priority="1393" operator="containsText" text="N/A">
      <formula>NOT(ISERROR(SEARCH("N/A",P146)))</formula>
    </cfRule>
    <cfRule type="containsText" dxfId="1954" priority="1396" operator="containsText" text="em andamento">
      <formula>NOT(ISERROR(SEARCH("em andamento",P146)))</formula>
    </cfRule>
    <cfRule type="expression" dxfId="1953" priority="1397">
      <formula>$H146="SUBETAPA"</formula>
    </cfRule>
    <cfRule type="expression" dxfId="1952" priority="1398">
      <formula>$H146="CÉLULA CONSTRUTIVA"</formula>
    </cfRule>
    <cfRule type="expression" dxfId="1951" priority="1399">
      <formula>$H146="ETAPA"</formula>
    </cfRule>
    <cfRule type="containsText" dxfId="1950" priority="1400" operator="containsText" text="Lançado">
      <formula>NOT(ISERROR(SEARCH("Lançado",P146)))</formula>
    </cfRule>
    <cfRule type="containsText" dxfId="1949" priority="1401" operator="containsText" text="N/A">
      <formula>NOT(ISERROR(SEARCH("N/A",P146)))</formula>
    </cfRule>
    <cfRule type="containsText" dxfId="1948" priority="1402" operator="containsText" text="Pendente">
      <formula>NOT(ISERROR(SEARCH("Pendente",P146)))</formula>
    </cfRule>
    <cfRule type="containsText" dxfId="1947" priority="1403" operator="containsText" text="Finalizado">
      <formula>NOT(ISERROR(SEARCH("Finalizado",P146)))</formula>
    </cfRule>
    <cfRule type="containsText" dxfId="1946" priority="1404" operator="containsText" text="em andamento">
      <formula>NOT(ISERROR(SEARCH("em andamento",P146)))</formula>
    </cfRule>
    <cfRule type="containsText" dxfId="1945" priority="1395" operator="containsText" text="Finalizado">
      <formula>NOT(ISERROR(SEARCH("Finalizado",P146)))</formula>
    </cfRule>
    <cfRule type="containsText" dxfId="1944" priority="1390" operator="containsText" text="Finalizado">
      <formula>NOT(ISERROR(SEARCH("Finalizado",P146)))</formula>
    </cfRule>
    <cfRule type="containsText" dxfId="1943" priority="1394" operator="containsText" text="Pendente">
      <formula>NOT(ISERROR(SEARCH("Pendente",P146)))</formula>
    </cfRule>
    <cfRule type="expression" dxfId="1942" priority="1384">
      <formula>$H146="SUBETAPA"</formula>
    </cfRule>
  </conditionalFormatting>
  <conditionalFormatting sqref="P147:P149">
    <cfRule type="containsText" dxfId="1941" priority="1267" operator="containsText" text="Pendente">
      <formula>NOT(ISERROR(SEARCH("Pendente",P147)))</formula>
    </cfRule>
    <cfRule type="containsText" dxfId="1940" priority="1266" operator="containsText" text="N/A">
      <formula>NOT(ISERROR(SEARCH("N/A",P147)))</formula>
    </cfRule>
    <cfRule type="containsText" dxfId="1939" priority="1265" operator="containsText" text="Lançado">
      <formula>NOT(ISERROR(SEARCH("Lançado",P147)))</formula>
    </cfRule>
    <cfRule type="expression" dxfId="1938" priority="1263">
      <formula>$H147="CÉLULA CONSTRUTIVA"</formula>
    </cfRule>
    <cfRule type="expression" dxfId="1937" priority="1262">
      <formula>$H147="SUBETAPA"</formula>
    </cfRule>
    <cfRule type="containsText" dxfId="1936" priority="1259" operator="containsText" text="Pendente">
      <formula>NOT(ISERROR(SEARCH("Pendente",P147)))</formula>
    </cfRule>
    <cfRule type="expression" dxfId="1935" priority="1264">
      <formula>$H147="ETAPA"</formula>
    </cfRule>
    <cfRule type="containsText" dxfId="1934" priority="1258" operator="containsText" text="N/A">
      <formula>NOT(ISERROR(SEARCH("N/A",P147)))</formula>
    </cfRule>
    <cfRule type="expression" dxfId="1933" priority="1249">
      <formula>$H147="SUBETAPA"</formula>
    </cfRule>
    <cfRule type="containsText" dxfId="1932" priority="1260" operator="containsText" text="Finalizado">
      <formula>NOT(ISERROR(SEARCH("Finalizado",P147)))</formula>
    </cfRule>
    <cfRule type="containsText" dxfId="1931" priority="1268" operator="containsText" text="Finalizado">
      <formula>NOT(ISERROR(SEARCH("Finalizado",P147)))</formula>
    </cfRule>
    <cfRule type="containsText" dxfId="1930" priority="1261" operator="containsText" text="em andamento">
      <formula>NOT(ISERROR(SEARCH("em andamento",P147)))</formula>
    </cfRule>
    <cfRule type="containsText" dxfId="1929" priority="1257" operator="containsText" text="Lançado">
      <formula>NOT(ISERROR(SEARCH("Lançado",P147)))</formula>
    </cfRule>
    <cfRule type="containsText" dxfId="1928" priority="1269" operator="containsText" text="em andamento">
      <formula>NOT(ISERROR(SEARCH("em andamento",P147)))</formula>
    </cfRule>
    <cfRule type="containsText" dxfId="1927" priority="1255" operator="containsText" text="Finalizado">
      <formula>NOT(ISERROR(SEARCH("Finalizado",P147)))</formula>
    </cfRule>
    <cfRule type="containsText" dxfId="1926" priority="1254" operator="containsText" text="Pendente">
      <formula>NOT(ISERROR(SEARCH("Pendente",P147)))</formula>
    </cfRule>
    <cfRule type="containsText" dxfId="1925" priority="1253" operator="containsText" text="N/A">
      <formula>NOT(ISERROR(SEARCH("N/A",P147)))</formula>
    </cfRule>
    <cfRule type="containsText" dxfId="1924" priority="1252" operator="containsText" text="Lançado">
      <formula>NOT(ISERROR(SEARCH("Lançado",P147)))</formula>
    </cfRule>
    <cfRule type="expression" dxfId="1923" priority="1251">
      <formula>$H147="ETAPA"</formula>
    </cfRule>
    <cfRule type="expression" dxfId="1922" priority="1250">
      <formula>$H147="CÉLULA CONSTRUTIVA"</formula>
    </cfRule>
    <cfRule type="containsText" dxfId="1921" priority="1256" operator="containsText" text="em andamento">
      <formula>NOT(ISERROR(SEARCH("em andamento",P147)))</formula>
    </cfRule>
  </conditionalFormatting>
  <conditionalFormatting sqref="P150">
    <cfRule type="containsText" dxfId="1920" priority="1512" operator="containsText" text="N/A">
      <formula>NOT(ISERROR(SEARCH("N/A",P150)))</formula>
    </cfRule>
    <cfRule type="containsText" dxfId="1919" priority="1511" operator="containsText" text="Lançado">
      <formula>NOT(ISERROR(SEARCH("Lançado",P150)))</formula>
    </cfRule>
    <cfRule type="containsText" dxfId="1918" priority="1515" operator="containsText" text="em andamento">
      <formula>NOT(ISERROR(SEARCH("em andamento",P150)))</formula>
    </cfRule>
    <cfRule type="containsText" dxfId="1917" priority="1514" operator="containsText" text="Finalizado">
      <formula>NOT(ISERROR(SEARCH("Finalizado",P150)))</formula>
    </cfRule>
    <cfRule type="containsText" dxfId="1916" priority="1513" operator="containsText" text="Pendente">
      <formula>NOT(ISERROR(SEARCH("Pendente",P150)))</formula>
    </cfRule>
  </conditionalFormatting>
  <conditionalFormatting sqref="P151">
    <cfRule type="containsText" dxfId="1915" priority="1453" operator="containsText" text="Finalizado">
      <formula>NOT(ISERROR(SEARCH("Finalizado",P151)))</formula>
    </cfRule>
    <cfRule type="containsText" dxfId="1914" priority="1454" operator="containsText" text="em andamento">
      <formula>NOT(ISERROR(SEARCH("em andamento",P151)))</formula>
    </cfRule>
    <cfRule type="containsText" dxfId="1913" priority="1455" operator="containsText" text="Lançado">
      <formula>NOT(ISERROR(SEARCH("Lançado",P151)))</formula>
    </cfRule>
    <cfRule type="containsText" dxfId="1912" priority="1456" operator="containsText" text="N/A">
      <formula>NOT(ISERROR(SEARCH("N/A",P151)))</formula>
    </cfRule>
    <cfRule type="containsText" dxfId="1911" priority="1457" operator="containsText" text="Pendente">
      <formula>NOT(ISERROR(SEARCH("Pendente",P151)))</formula>
    </cfRule>
    <cfRule type="containsText" dxfId="1910" priority="1459" operator="containsText" text="em andamento">
      <formula>NOT(ISERROR(SEARCH("em andamento",P151)))</formula>
    </cfRule>
    <cfRule type="containsText" dxfId="1909" priority="1463" operator="containsText" text="Lançado">
      <formula>NOT(ISERROR(SEARCH("Lançado",P151)))</formula>
    </cfRule>
    <cfRule type="containsText" dxfId="1908" priority="1464" operator="containsText" text="N/A">
      <formula>NOT(ISERROR(SEARCH("N/A",P151)))</formula>
    </cfRule>
    <cfRule type="containsText" dxfId="1907" priority="1465" operator="containsText" text="Pendente">
      <formula>NOT(ISERROR(SEARCH("Pendente",P151)))</formula>
    </cfRule>
    <cfRule type="containsText" dxfId="1906" priority="1466" operator="containsText" text="Finalizado">
      <formula>NOT(ISERROR(SEARCH("Finalizado",P151)))</formula>
    </cfRule>
    <cfRule type="containsText" dxfId="1905" priority="1467" operator="containsText" text="em andamento">
      <formula>NOT(ISERROR(SEARCH("em andamento",P151)))</formula>
    </cfRule>
    <cfRule type="containsText" dxfId="1904" priority="1458" operator="containsText" text="Finalizado">
      <formula>NOT(ISERROR(SEARCH("Finalizado",P151)))</formula>
    </cfRule>
    <cfRule type="containsText" dxfId="1903" priority="1450" operator="containsText" text="Lançado">
      <formula>NOT(ISERROR(SEARCH("Lançado",P151)))</formula>
    </cfRule>
    <cfRule type="containsText" dxfId="1902" priority="1451" operator="containsText" text="N/A">
      <formula>NOT(ISERROR(SEARCH("N/A",P151)))</formula>
    </cfRule>
    <cfRule type="containsText" dxfId="1901" priority="1452" operator="containsText" text="Pendente">
      <formula>NOT(ISERROR(SEARCH("Pendente",P151)))</formula>
    </cfRule>
  </conditionalFormatting>
  <conditionalFormatting sqref="P154">
    <cfRule type="expression" dxfId="1900" priority="8026">
      <formula>$H154="ETAPA"</formula>
    </cfRule>
    <cfRule type="expression" dxfId="1899" priority="8228">
      <formula>$H154="CÉLULA CONSTRUTIVA"</formula>
    </cfRule>
    <cfRule type="expression" dxfId="1898" priority="8227">
      <formula>$H154="SUBETAPA"</formula>
    </cfRule>
    <cfRule type="expression" dxfId="1897" priority="8025">
      <formula>$H154="CÉLULA CONSTRUTIVA"</formula>
    </cfRule>
    <cfRule type="expression" dxfId="1896" priority="8024">
      <formula>$H154="SUBETAPA"</formula>
    </cfRule>
    <cfRule type="expression" dxfId="1895" priority="8229">
      <formula>$H154="ETAPA"</formula>
    </cfRule>
  </conditionalFormatting>
  <conditionalFormatting sqref="P155">
    <cfRule type="containsText" dxfId="1894" priority="2100" operator="containsText" text="Finalizado">
      <formula>NOT(ISERROR(SEARCH("Finalizado",P155)))</formula>
    </cfRule>
    <cfRule type="containsText" dxfId="1893" priority="2101" operator="containsText" text="em andamento">
      <formula>NOT(ISERROR(SEARCH("em andamento",P155)))</formula>
    </cfRule>
    <cfRule type="containsText" dxfId="1892" priority="2102" operator="containsText" text="Lançado">
      <formula>NOT(ISERROR(SEARCH("Lançado",P155)))</formula>
    </cfRule>
    <cfRule type="containsText" dxfId="1891" priority="2103" operator="containsText" text="N/A">
      <formula>NOT(ISERROR(SEARCH("N/A",P155)))</formula>
    </cfRule>
    <cfRule type="containsText" dxfId="1890" priority="2104" operator="containsText" text="Pendente">
      <formula>NOT(ISERROR(SEARCH("Pendente",P155)))</formula>
    </cfRule>
    <cfRule type="containsText" dxfId="1889" priority="2105" operator="containsText" text="Finalizado">
      <formula>NOT(ISERROR(SEARCH("Finalizado",P155)))</formula>
    </cfRule>
    <cfRule type="containsText" dxfId="1888" priority="2106" operator="containsText" text="em andamento">
      <formula>NOT(ISERROR(SEARCH("em andamento",P155)))</formula>
    </cfRule>
    <cfRule type="expression" dxfId="1887" priority="2107">
      <formula>$H155="SUBETAPA"</formula>
    </cfRule>
    <cfRule type="expression" dxfId="1886" priority="2094">
      <formula>$H155="SUBETAPA"</formula>
    </cfRule>
    <cfRule type="expression" dxfId="1885" priority="2095">
      <formula>$H155="CÉLULA CONSTRUTIVA"</formula>
    </cfRule>
    <cfRule type="expression" dxfId="1884" priority="2096">
      <formula>$H155="ETAPA"</formula>
    </cfRule>
    <cfRule type="containsText" dxfId="1883" priority="2097" operator="containsText" text="Lançado">
      <formula>NOT(ISERROR(SEARCH("Lançado",P155)))</formula>
    </cfRule>
    <cfRule type="containsText" dxfId="1882" priority="2098" operator="containsText" text="N/A">
      <formula>NOT(ISERROR(SEARCH("N/A",P155)))</formula>
    </cfRule>
    <cfRule type="containsText" dxfId="1881" priority="2099" operator="containsText" text="Pendente">
      <formula>NOT(ISERROR(SEARCH("Pendente",P155)))</formula>
    </cfRule>
    <cfRule type="expression" dxfId="1880" priority="2108">
      <formula>$H155="CÉLULA CONSTRUTIVA"</formula>
    </cfRule>
    <cfRule type="expression" dxfId="1879" priority="2109">
      <formula>$H155="ETAPA"</formula>
    </cfRule>
    <cfRule type="containsText" dxfId="1878" priority="2110" operator="containsText" text="Lançado">
      <formula>NOT(ISERROR(SEARCH("Lançado",P155)))</formula>
    </cfRule>
    <cfRule type="containsText" dxfId="1877" priority="2111" operator="containsText" text="N/A">
      <formula>NOT(ISERROR(SEARCH("N/A",P155)))</formula>
    </cfRule>
    <cfRule type="containsText" dxfId="1876" priority="2113" operator="containsText" text="Finalizado">
      <formula>NOT(ISERROR(SEARCH("Finalizado",P155)))</formula>
    </cfRule>
    <cfRule type="containsText" dxfId="1875" priority="2114" operator="containsText" text="em andamento">
      <formula>NOT(ISERROR(SEARCH("em andamento",P155)))</formula>
    </cfRule>
    <cfRule type="containsText" dxfId="1874" priority="2112" operator="containsText" text="Pendente">
      <formula>NOT(ISERROR(SEARCH("Pendente",P155)))</formula>
    </cfRule>
  </conditionalFormatting>
  <conditionalFormatting sqref="P156">
    <cfRule type="containsText" dxfId="1873" priority="2132" operator="containsText" text="N/A">
      <formula>NOT(ISERROR(SEARCH("N/A",P156)))</formula>
    </cfRule>
    <cfRule type="containsText" dxfId="1872" priority="2131" operator="containsText" text="Lançado">
      <formula>NOT(ISERROR(SEARCH("Lançado",P156)))</formula>
    </cfRule>
    <cfRule type="expression" dxfId="1871" priority="2130">
      <formula>$H156="ETAPA"</formula>
    </cfRule>
    <cfRule type="expression" dxfId="1870" priority="2129">
      <formula>$H156="CÉLULA CONSTRUTIVA"</formula>
    </cfRule>
    <cfRule type="containsText" dxfId="1869" priority="2123" operator="containsText" text="Lançado">
      <formula>NOT(ISERROR(SEARCH("Lançado",P156)))</formula>
    </cfRule>
    <cfRule type="expression" dxfId="1868" priority="2116">
      <formula>$H156="CÉLULA CONSTRUTIVA"</formula>
    </cfRule>
    <cfRule type="containsText" dxfId="1867" priority="2125" operator="containsText" text="Pendente">
      <formula>NOT(ISERROR(SEARCH("Pendente",P156)))</formula>
    </cfRule>
    <cfRule type="containsText" dxfId="1866" priority="2135" operator="containsText" text="em andamento">
      <formula>NOT(ISERROR(SEARCH("em andamento",P156)))</formula>
    </cfRule>
    <cfRule type="containsText" dxfId="1865" priority="2134" operator="containsText" text="Finalizado">
      <formula>NOT(ISERROR(SEARCH("Finalizado",P156)))</formula>
    </cfRule>
    <cfRule type="containsText" dxfId="1864" priority="2124" operator="containsText" text="N/A">
      <formula>NOT(ISERROR(SEARCH("N/A",P156)))</formula>
    </cfRule>
    <cfRule type="expression" dxfId="1863" priority="2115">
      <formula>$H156="SUBETAPA"</formula>
    </cfRule>
    <cfRule type="containsText" dxfId="1862" priority="2133" operator="containsText" text="Pendente">
      <formula>NOT(ISERROR(SEARCH("Pendente",P156)))</formula>
    </cfRule>
    <cfRule type="expression" dxfId="1861" priority="2117">
      <formula>$H156="ETAPA"</formula>
    </cfRule>
    <cfRule type="containsText" dxfId="1860" priority="2118" operator="containsText" text="Lançado">
      <formula>NOT(ISERROR(SEARCH("Lançado",P156)))</formula>
    </cfRule>
    <cfRule type="containsText" dxfId="1859" priority="2119" operator="containsText" text="N/A">
      <formula>NOT(ISERROR(SEARCH("N/A",P156)))</formula>
    </cfRule>
    <cfRule type="containsText" dxfId="1858" priority="2120" operator="containsText" text="Pendente">
      <formula>NOT(ISERROR(SEARCH("Pendente",P156)))</formula>
    </cfRule>
    <cfRule type="containsText" dxfId="1857" priority="2121" operator="containsText" text="Finalizado">
      <formula>NOT(ISERROR(SEARCH("Finalizado",P156)))</formula>
    </cfRule>
    <cfRule type="expression" dxfId="1856" priority="2128">
      <formula>$H156="SUBETAPA"</formula>
    </cfRule>
    <cfRule type="containsText" dxfId="1855" priority="2127" operator="containsText" text="em andamento">
      <formula>NOT(ISERROR(SEARCH("em andamento",P156)))</formula>
    </cfRule>
    <cfRule type="containsText" dxfId="1854" priority="2126" operator="containsText" text="Finalizado">
      <formula>NOT(ISERROR(SEARCH("Finalizado",P156)))</formula>
    </cfRule>
    <cfRule type="containsText" dxfId="1853" priority="2122" operator="containsText" text="em andamento">
      <formula>NOT(ISERROR(SEARCH("em andamento",P156)))</formula>
    </cfRule>
  </conditionalFormatting>
  <conditionalFormatting sqref="P157">
    <cfRule type="containsText" dxfId="1852" priority="2156" operator="containsText" text="em andamento">
      <formula>NOT(ISERROR(SEARCH("em andamento",P157)))</formula>
    </cfRule>
    <cfRule type="expression" dxfId="1851" priority="2137">
      <formula>$H157="CÉLULA CONSTRUTIVA"</formula>
    </cfRule>
    <cfRule type="expression" dxfId="1850" priority="2150">
      <formula>$H157="CÉLULA CONSTRUTIVA"</formula>
    </cfRule>
    <cfRule type="expression" dxfId="1849" priority="2136">
      <formula>$H157="SUBETAPA"</formula>
    </cfRule>
    <cfRule type="expression" dxfId="1848" priority="2138">
      <formula>$H157="ETAPA"</formula>
    </cfRule>
    <cfRule type="containsText" dxfId="1847" priority="2139" operator="containsText" text="Lançado">
      <formula>NOT(ISERROR(SEARCH("Lançado",P157)))</formula>
    </cfRule>
    <cfRule type="containsText" dxfId="1846" priority="2140" operator="containsText" text="N/A">
      <formula>NOT(ISERROR(SEARCH("N/A",P157)))</formula>
    </cfRule>
    <cfRule type="containsText" dxfId="1845" priority="2141" operator="containsText" text="Pendente">
      <formula>NOT(ISERROR(SEARCH("Pendente",P157)))</formula>
    </cfRule>
    <cfRule type="containsText" dxfId="1844" priority="2142" operator="containsText" text="Finalizado">
      <formula>NOT(ISERROR(SEARCH("Finalizado",P157)))</formula>
    </cfRule>
    <cfRule type="containsText" dxfId="1843" priority="2143" operator="containsText" text="em andamento">
      <formula>NOT(ISERROR(SEARCH("em andamento",P157)))</formula>
    </cfRule>
    <cfRule type="containsText" dxfId="1842" priority="2144" operator="containsText" text="Lançado">
      <formula>NOT(ISERROR(SEARCH("Lançado",P157)))</formula>
    </cfRule>
    <cfRule type="containsText" dxfId="1841" priority="2145" operator="containsText" text="N/A">
      <formula>NOT(ISERROR(SEARCH("N/A",P157)))</formula>
    </cfRule>
    <cfRule type="containsText" dxfId="1840" priority="2146" operator="containsText" text="Pendente">
      <formula>NOT(ISERROR(SEARCH("Pendente",P157)))</formula>
    </cfRule>
    <cfRule type="containsText" dxfId="1839" priority="2147" operator="containsText" text="Finalizado">
      <formula>NOT(ISERROR(SEARCH("Finalizado",P157)))</formula>
    </cfRule>
    <cfRule type="containsText" dxfId="1838" priority="2148" operator="containsText" text="em andamento">
      <formula>NOT(ISERROR(SEARCH("em andamento",P157)))</formula>
    </cfRule>
    <cfRule type="expression" dxfId="1837" priority="2149">
      <formula>$H157="SUBETAPA"</formula>
    </cfRule>
    <cfRule type="expression" dxfId="1836" priority="2151">
      <formula>$H157="ETAPA"</formula>
    </cfRule>
    <cfRule type="containsText" dxfId="1835" priority="2152" operator="containsText" text="Lançado">
      <formula>NOT(ISERROR(SEARCH("Lançado",P157)))</formula>
    </cfRule>
    <cfRule type="containsText" dxfId="1834" priority="2153" operator="containsText" text="N/A">
      <formula>NOT(ISERROR(SEARCH("N/A",P157)))</formula>
    </cfRule>
    <cfRule type="containsText" dxfId="1833" priority="2154" operator="containsText" text="Pendente">
      <formula>NOT(ISERROR(SEARCH("Pendente",P157)))</formula>
    </cfRule>
    <cfRule type="containsText" dxfId="1832" priority="2155" operator="containsText" text="Finalizado">
      <formula>NOT(ISERROR(SEARCH("Finalizado",P157)))</formula>
    </cfRule>
  </conditionalFormatting>
  <conditionalFormatting sqref="P158">
    <cfRule type="containsText" dxfId="1831" priority="8165" operator="containsText" text="em andamento">
      <formula>NOT(ISERROR(SEARCH("em andamento",P158)))</formula>
    </cfRule>
    <cfRule type="expression" dxfId="1830" priority="8153">
      <formula>$H158="CÉLULA CONSTRUTIVA"</formula>
    </cfRule>
    <cfRule type="expression" dxfId="1829" priority="8152">
      <formula>$H158="SUBETAPA"</formula>
    </cfRule>
    <cfRule type="expression" dxfId="1828" priority="8154">
      <formula>$H158="ETAPA"</formula>
    </cfRule>
    <cfRule type="containsText" dxfId="1827" priority="8164" operator="containsText" text="Finalizado">
      <formula>NOT(ISERROR(SEARCH("Finalizado",P158)))</formula>
    </cfRule>
    <cfRule type="expression" dxfId="1826" priority="8155">
      <formula>$H158="SUBETAPA"</formula>
    </cfRule>
    <cfRule type="expression" dxfId="1825" priority="8156">
      <formula>$H158="CÉLULA CONSTRUTIVA"</formula>
    </cfRule>
    <cfRule type="expression" dxfId="1824" priority="8157">
      <formula>$H158="ETAPA"</formula>
    </cfRule>
    <cfRule type="containsText" dxfId="1823" priority="8161" operator="containsText" text="Lançado">
      <formula>NOT(ISERROR(SEARCH("Lançado",P158)))</formula>
    </cfRule>
    <cfRule type="containsText" dxfId="1822" priority="8162" operator="containsText" text="N/A">
      <formula>NOT(ISERROR(SEARCH("N/A",P158)))</formula>
    </cfRule>
    <cfRule type="containsText" dxfId="1821" priority="8163" operator="containsText" text="Pendente">
      <formula>NOT(ISERROR(SEARCH("Pendente",P158)))</formula>
    </cfRule>
  </conditionalFormatting>
  <conditionalFormatting sqref="P159">
    <cfRule type="expression" dxfId="1820" priority="2170">
      <formula>$H159="SUBETAPA"</formula>
    </cfRule>
    <cfRule type="containsText" dxfId="1819" priority="2169" operator="containsText" text="em andamento">
      <formula>NOT(ISERROR(SEARCH("em andamento",P159)))</formula>
    </cfRule>
    <cfRule type="containsText" dxfId="1818" priority="2168" operator="containsText" text="Finalizado">
      <formula>NOT(ISERROR(SEARCH("Finalizado",P159)))</formula>
    </cfRule>
    <cfRule type="containsText" dxfId="1817" priority="2175" operator="containsText" text="Pendente">
      <formula>NOT(ISERROR(SEARCH("Pendente",P159)))</formula>
    </cfRule>
    <cfRule type="containsText" dxfId="1816" priority="2167" operator="containsText" text="Pendente">
      <formula>NOT(ISERROR(SEARCH("Pendente",P159)))</formula>
    </cfRule>
    <cfRule type="containsText" dxfId="1815" priority="2176" operator="containsText" text="Finalizado">
      <formula>NOT(ISERROR(SEARCH("Finalizado",P159)))</formula>
    </cfRule>
    <cfRule type="containsText" dxfId="1814" priority="2164" operator="containsText" text="em andamento">
      <formula>NOT(ISERROR(SEARCH("em andamento",P159)))</formula>
    </cfRule>
    <cfRule type="containsText" dxfId="1813" priority="2177" operator="containsText" text="em andamento">
      <formula>NOT(ISERROR(SEARCH("em andamento",P159)))</formula>
    </cfRule>
    <cfRule type="containsText" dxfId="1812" priority="2174" operator="containsText" text="N/A">
      <formula>NOT(ISERROR(SEARCH("N/A",P159)))</formula>
    </cfRule>
    <cfRule type="containsText" dxfId="1811" priority="2173" operator="containsText" text="Lançado">
      <formula>NOT(ISERROR(SEARCH("Lançado",P159)))</formula>
    </cfRule>
    <cfRule type="containsText" dxfId="1810" priority="2161" operator="containsText" text="N/A">
      <formula>NOT(ISERROR(SEARCH("N/A",P159)))</formula>
    </cfRule>
    <cfRule type="expression" dxfId="1809" priority="2172">
      <formula>$H159="ETAPA"</formula>
    </cfRule>
    <cfRule type="expression" dxfId="1808" priority="2171">
      <formula>$H159="CÉLULA CONSTRUTIVA"</formula>
    </cfRule>
    <cfRule type="expression" dxfId="1807" priority="2157">
      <formula>$H159="SUBETAPA"</formula>
    </cfRule>
    <cfRule type="expression" dxfId="1806" priority="2158">
      <formula>$H159="CÉLULA CONSTRUTIVA"</formula>
    </cfRule>
    <cfRule type="containsText" dxfId="1805" priority="2160" operator="containsText" text="Lançado">
      <formula>NOT(ISERROR(SEARCH("Lançado",P159)))</formula>
    </cfRule>
    <cfRule type="containsText" dxfId="1804" priority="2162" operator="containsText" text="Pendente">
      <formula>NOT(ISERROR(SEARCH("Pendente",P159)))</formula>
    </cfRule>
    <cfRule type="containsText" dxfId="1803" priority="2163" operator="containsText" text="Finalizado">
      <formula>NOT(ISERROR(SEARCH("Finalizado",P159)))</formula>
    </cfRule>
    <cfRule type="containsText" dxfId="1802" priority="2165" operator="containsText" text="Lançado">
      <formula>NOT(ISERROR(SEARCH("Lançado",P159)))</formula>
    </cfRule>
    <cfRule type="containsText" dxfId="1801" priority="2166" operator="containsText" text="N/A">
      <formula>NOT(ISERROR(SEARCH("N/A",P159)))</formula>
    </cfRule>
    <cfRule type="expression" dxfId="1800" priority="2159">
      <formula>$H159="ETAPA"</formula>
    </cfRule>
  </conditionalFormatting>
  <conditionalFormatting sqref="P160">
    <cfRule type="expression" dxfId="1799" priority="8126">
      <formula>$H160="ETAPA"</formula>
    </cfRule>
    <cfRule type="containsText" dxfId="1798" priority="8134" operator="containsText" text="N/A">
      <formula>NOT(ISERROR(SEARCH("N/A",P160)))</formula>
    </cfRule>
    <cfRule type="containsText" dxfId="1797" priority="8137" operator="containsText" text="em andamento">
      <formula>NOT(ISERROR(SEARCH("em andamento",P160)))</formula>
    </cfRule>
    <cfRule type="containsText" dxfId="1796" priority="8136" operator="containsText" text="Finalizado">
      <formula>NOT(ISERROR(SEARCH("Finalizado",P160)))</formula>
    </cfRule>
    <cfRule type="containsText" dxfId="1795" priority="8135" operator="containsText" text="Pendente">
      <formula>NOT(ISERROR(SEARCH("Pendente",P160)))</formula>
    </cfRule>
    <cfRule type="containsText" dxfId="1794" priority="8133" operator="containsText" text="Lançado">
      <formula>NOT(ISERROR(SEARCH("Lançado",P160)))</formula>
    </cfRule>
    <cfRule type="expression" dxfId="1793" priority="8129">
      <formula>$H160="ETAPA"</formula>
    </cfRule>
    <cfRule type="expression" dxfId="1792" priority="7697">
      <formula>$H160="CÉLULA CONSTRUTIVA"</formula>
    </cfRule>
    <cfRule type="expression" dxfId="1791" priority="8128">
      <formula>$H160="CÉLULA CONSTRUTIVA"</formula>
    </cfRule>
    <cfRule type="expression" dxfId="1790" priority="8127">
      <formula>$H160="SUBETAPA"</formula>
    </cfRule>
  </conditionalFormatting>
  <conditionalFormatting sqref="P160:P161">
    <cfRule type="expression" dxfId="1789" priority="4854">
      <formula>$H160="SUBETAPA"</formula>
    </cfRule>
  </conditionalFormatting>
  <conditionalFormatting sqref="P161">
    <cfRule type="containsText" dxfId="1788" priority="4863" operator="containsText" text="Finalizado">
      <formula>NOT(ISERROR(SEARCH("Finalizado",P161)))</formula>
    </cfRule>
    <cfRule type="expression" dxfId="1787" priority="4855">
      <formula>$H161="CÉLULA CONSTRUTIVA"</formula>
    </cfRule>
    <cfRule type="containsText" dxfId="1786" priority="4862" operator="containsText" text="Pendente">
      <formula>NOT(ISERROR(SEARCH("Pendente",P161)))</formula>
    </cfRule>
    <cfRule type="expression" dxfId="1785" priority="4856">
      <formula>$H161="ETAPA"</formula>
    </cfRule>
    <cfRule type="containsText" dxfId="1784" priority="4860" operator="containsText" text="Lançado">
      <formula>NOT(ISERROR(SEARCH("Lançado",P161)))</formula>
    </cfRule>
    <cfRule type="containsText" dxfId="1783" priority="4864" operator="containsText" text="em andamento">
      <formula>NOT(ISERROR(SEARCH("em andamento",P161)))</formula>
    </cfRule>
    <cfRule type="expression" dxfId="1782" priority="4851">
      <formula>$H161="CÉLULA CONSTRUTIVA"</formula>
    </cfRule>
    <cfRule type="expression" dxfId="1781" priority="4850">
      <formula>$H161="SUBETAPA"</formula>
    </cfRule>
    <cfRule type="expression" dxfId="1780" priority="4853">
      <formula>$H161="ETAPA"</formula>
    </cfRule>
    <cfRule type="containsText" dxfId="1779" priority="4861" operator="containsText" text="N/A">
      <formula>NOT(ISERROR(SEARCH("N/A",P161)))</formula>
    </cfRule>
  </conditionalFormatting>
  <conditionalFormatting sqref="P162">
    <cfRule type="containsText" dxfId="1778" priority="7641" operator="containsText" text="Finalizado">
      <formula>NOT(ISERROR(SEARCH("Finalizado",P162)))</formula>
    </cfRule>
    <cfRule type="containsText" dxfId="1777" priority="7640" operator="containsText" text="Pendente">
      <formula>NOT(ISERROR(SEARCH("Pendente",P162)))</formula>
    </cfRule>
    <cfRule type="containsText" dxfId="1776" priority="7638" operator="containsText" text="Lançado">
      <formula>NOT(ISERROR(SEARCH("Lançado",P162)))</formula>
    </cfRule>
    <cfRule type="containsText" dxfId="1775" priority="7642" operator="containsText" text="em andamento">
      <formula>NOT(ISERROR(SEARCH("em andamento",P162)))</formula>
    </cfRule>
    <cfRule type="containsText" dxfId="1774" priority="7639" operator="containsText" text="N/A">
      <formula>NOT(ISERROR(SEARCH("N/A",P162)))</formula>
    </cfRule>
  </conditionalFormatting>
  <conditionalFormatting sqref="P163">
    <cfRule type="containsText" dxfId="1773" priority="2194" operator="containsText" text="Lançado">
      <formula>NOT(ISERROR(SEARCH("Lançado",P163)))</formula>
    </cfRule>
    <cfRule type="containsText" dxfId="1772" priority="2195" operator="containsText" text="N/A">
      <formula>NOT(ISERROR(SEARCH("N/A",P163)))</formula>
    </cfRule>
    <cfRule type="containsText" dxfId="1771" priority="2196" operator="containsText" text="Pendente">
      <formula>NOT(ISERROR(SEARCH("Pendente",P163)))</formula>
    </cfRule>
    <cfRule type="containsText" dxfId="1770" priority="2197" operator="containsText" text="Finalizado">
      <formula>NOT(ISERROR(SEARCH("Finalizado",P163)))</formula>
    </cfRule>
    <cfRule type="containsText" dxfId="1769" priority="2198" operator="containsText" text="em andamento">
      <formula>NOT(ISERROR(SEARCH("em andamento",P163)))</formula>
    </cfRule>
    <cfRule type="containsText" dxfId="1768" priority="2181" operator="containsText" text="Lançado">
      <formula>NOT(ISERROR(SEARCH("Lançado",P163)))</formula>
    </cfRule>
    <cfRule type="expression" dxfId="1767" priority="2180">
      <formula>$H163="ETAPA"</formula>
    </cfRule>
    <cfRule type="expression" dxfId="1766" priority="2179">
      <formula>$H163="CÉLULA CONSTRUTIVA"</formula>
    </cfRule>
    <cfRule type="containsText" dxfId="1765" priority="2189" operator="containsText" text="Finalizado">
      <formula>NOT(ISERROR(SEARCH("Finalizado",P163)))</formula>
    </cfRule>
    <cfRule type="containsText" dxfId="1764" priority="2188" operator="containsText" text="Pendente">
      <formula>NOT(ISERROR(SEARCH("Pendente",P163)))</formula>
    </cfRule>
    <cfRule type="containsText" dxfId="1763" priority="2187" operator="containsText" text="N/A">
      <formula>NOT(ISERROR(SEARCH("N/A",P163)))</formula>
    </cfRule>
    <cfRule type="containsText" dxfId="1762" priority="2190" operator="containsText" text="em andamento">
      <formula>NOT(ISERROR(SEARCH("em andamento",P163)))</formula>
    </cfRule>
    <cfRule type="expression" dxfId="1761" priority="2191">
      <formula>$H163="SUBETAPA"</formula>
    </cfRule>
    <cfRule type="containsText" dxfId="1760" priority="2186" operator="containsText" text="Lançado">
      <formula>NOT(ISERROR(SEARCH("Lançado",P163)))</formula>
    </cfRule>
    <cfRule type="expression" dxfId="1759" priority="2192">
      <formula>$H163="CÉLULA CONSTRUTIVA"</formula>
    </cfRule>
    <cfRule type="expression" dxfId="1758" priority="2193">
      <formula>$H163="ETAPA"</formula>
    </cfRule>
    <cfRule type="containsText" dxfId="1757" priority="2185" operator="containsText" text="em andamento">
      <formula>NOT(ISERROR(SEARCH("em andamento",P163)))</formula>
    </cfRule>
    <cfRule type="containsText" dxfId="1756" priority="2184" operator="containsText" text="Finalizado">
      <formula>NOT(ISERROR(SEARCH("Finalizado",P163)))</formula>
    </cfRule>
    <cfRule type="containsText" dxfId="1755" priority="2183" operator="containsText" text="Pendente">
      <formula>NOT(ISERROR(SEARCH("Pendente",P163)))</formula>
    </cfRule>
    <cfRule type="containsText" dxfId="1754" priority="2182" operator="containsText" text="N/A">
      <formula>NOT(ISERROR(SEARCH("N/A",P163)))</formula>
    </cfRule>
    <cfRule type="expression" dxfId="1753" priority="2178">
      <formula>$H163="SUBETAPA"</formula>
    </cfRule>
  </conditionalFormatting>
  <conditionalFormatting sqref="P164 P166:P168">
    <cfRule type="containsText" dxfId="1752" priority="1760" operator="containsText" text="N/A">
      <formula>NOT(ISERROR(SEARCH("N/A",P164)))</formula>
    </cfRule>
    <cfRule type="containsText" dxfId="1751" priority="1761" operator="containsText" text="Pendente">
      <formula>NOT(ISERROR(SEARCH("Pendente",P164)))</formula>
    </cfRule>
    <cfRule type="containsText" dxfId="1750" priority="1762" operator="containsText" text="Finalizado">
      <formula>NOT(ISERROR(SEARCH("Finalizado",P164)))</formula>
    </cfRule>
    <cfRule type="containsText" dxfId="1749" priority="1754" operator="containsText" text="Finalizado">
      <formula>NOT(ISERROR(SEARCH("Finalizado",P164)))</formula>
    </cfRule>
    <cfRule type="containsText" dxfId="1748" priority="1748" operator="containsText" text="Pendente">
      <formula>NOT(ISERROR(SEARCH("Pendente",P164)))</formula>
    </cfRule>
    <cfRule type="containsText" dxfId="1747" priority="1749" operator="containsText" text="Finalizado">
      <formula>NOT(ISERROR(SEARCH("Finalizado",P164)))</formula>
    </cfRule>
    <cfRule type="containsText" dxfId="1746" priority="1750" operator="containsText" text="em andamento">
      <formula>NOT(ISERROR(SEARCH("em andamento",P164)))</formula>
    </cfRule>
    <cfRule type="containsText" dxfId="1745" priority="1751" operator="containsText" text="Lançado">
      <formula>NOT(ISERROR(SEARCH("Lançado",P164)))</formula>
    </cfRule>
    <cfRule type="containsText" dxfId="1744" priority="1752" operator="containsText" text="N/A">
      <formula>NOT(ISERROR(SEARCH("N/A",P164)))</formula>
    </cfRule>
    <cfRule type="containsText" dxfId="1743" priority="1753" operator="containsText" text="Pendente">
      <formula>NOT(ISERROR(SEARCH("Pendente",P164)))</formula>
    </cfRule>
    <cfRule type="containsText" dxfId="1742" priority="1763" operator="containsText" text="em andamento">
      <formula>NOT(ISERROR(SEARCH("em andamento",P164)))</formula>
    </cfRule>
    <cfRule type="containsText" dxfId="1741" priority="1755" operator="containsText" text="em andamento">
      <formula>NOT(ISERROR(SEARCH("em andamento",P164)))</formula>
    </cfRule>
    <cfRule type="containsText" dxfId="1740" priority="1759" operator="containsText" text="Lançado">
      <formula>NOT(ISERROR(SEARCH("Lançado",P164)))</formula>
    </cfRule>
  </conditionalFormatting>
  <conditionalFormatting sqref="P164">
    <cfRule type="expression" dxfId="1739" priority="1756">
      <formula>$H164="SUBETAPA"</formula>
    </cfRule>
    <cfRule type="expression" dxfId="1738" priority="1744">
      <formula>$H164="CÉLULA CONSTRUTIVA"</formula>
    </cfRule>
    <cfRule type="containsText" dxfId="1737" priority="1747" operator="containsText" text="N/A">
      <formula>NOT(ISERROR(SEARCH("N/A",P164)))</formula>
    </cfRule>
    <cfRule type="expression" dxfId="1736" priority="1757">
      <formula>$H164="CÉLULA CONSTRUTIVA"</formula>
    </cfRule>
    <cfRule type="expression" dxfId="1735" priority="1758">
      <formula>$H164="ETAPA"</formula>
    </cfRule>
    <cfRule type="containsText" dxfId="1734" priority="1746" operator="containsText" text="Lançado">
      <formula>NOT(ISERROR(SEARCH("Lançado",P164)))</formula>
    </cfRule>
    <cfRule type="expression" dxfId="1733" priority="1743">
      <formula>$H164="SUBETAPA"</formula>
    </cfRule>
    <cfRule type="expression" dxfId="1732" priority="1745">
      <formula>$H164="ETAPA"</formula>
    </cfRule>
  </conditionalFormatting>
  <conditionalFormatting sqref="P165">
    <cfRule type="containsText" dxfId="1731" priority="1721" operator="containsText" text="Pendente">
      <formula>NOT(ISERROR(SEARCH("Pendente",P165)))</formula>
    </cfRule>
    <cfRule type="containsText" dxfId="1730" priority="1722" operator="containsText" text="Finalizado">
      <formula>NOT(ISERROR(SEARCH("Finalizado",P165)))</formula>
    </cfRule>
    <cfRule type="expression" dxfId="1729" priority="1718">
      <formula>$H165="ETAPA"</formula>
    </cfRule>
    <cfRule type="expression" dxfId="1728" priority="1717">
      <formula>$H165="CÉLULA CONSTRUTIVA"</formula>
    </cfRule>
    <cfRule type="containsText" dxfId="1727" priority="1720" operator="containsText" text="N/A">
      <formula>NOT(ISERROR(SEARCH("N/A",P165)))</formula>
    </cfRule>
    <cfRule type="expression" dxfId="1726" priority="1716">
      <formula>$H165="SUBETAPA"</formula>
    </cfRule>
    <cfRule type="containsText" dxfId="1725" priority="1725" operator="containsText" text="N/A">
      <formula>NOT(ISERROR(SEARCH("N/A",P165)))</formula>
    </cfRule>
    <cfRule type="containsText" dxfId="1724" priority="1736" operator="containsText" text="em andamento">
      <formula>NOT(ISERROR(SEARCH("em andamento",P165)))</formula>
    </cfRule>
    <cfRule type="containsText" dxfId="1723" priority="1735" operator="containsText" text="Finalizado">
      <formula>NOT(ISERROR(SEARCH("Finalizado",P165)))</formula>
    </cfRule>
    <cfRule type="containsText" dxfId="1722" priority="1734" operator="containsText" text="Pendente">
      <formula>NOT(ISERROR(SEARCH("Pendente",P165)))</formula>
    </cfRule>
    <cfRule type="expression" dxfId="1721" priority="1730">
      <formula>$H165="CÉLULA CONSTRUTIVA"</formula>
    </cfRule>
    <cfRule type="containsText" dxfId="1720" priority="1719" operator="containsText" text="Lançado">
      <formula>NOT(ISERROR(SEARCH("Lançado",P165)))</formula>
    </cfRule>
    <cfRule type="containsText" dxfId="1719" priority="1723" operator="containsText" text="em andamento">
      <formula>NOT(ISERROR(SEARCH("em andamento",P165)))</formula>
    </cfRule>
    <cfRule type="expression" dxfId="1718" priority="1731">
      <formula>$H165="ETAPA"</formula>
    </cfRule>
    <cfRule type="containsText" dxfId="1717" priority="1728" operator="containsText" text="em andamento">
      <formula>NOT(ISERROR(SEARCH("em andamento",P165)))</formula>
    </cfRule>
    <cfRule type="expression" dxfId="1716" priority="1729">
      <formula>$H165="SUBETAPA"</formula>
    </cfRule>
    <cfRule type="containsText" dxfId="1715" priority="1727" operator="containsText" text="Finalizado">
      <formula>NOT(ISERROR(SEARCH("Finalizado",P165)))</formula>
    </cfRule>
    <cfRule type="containsText" dxfId="1714" priority="1726" operator="containsText" text="Pendente">
      <formula>NOT(ISERROR(SEARCH("Pendente",P165)))</formula>
    </cfRule>
    <cfRule type="containsText" dxfId="1713" priority="1724" operator="containsText" text="Lançado">
      <formula>NOT(ISERROR(SEARCH("Lançado",P165)))</formula>
    </cfRule>
  </conditionalFormatting>
  <conditionalFormatting sqref="P165:P168">
    <cfRule type="containsText" dxfId="1712" priority="1733" operator="containsText" text="N/A">
      <formula>NOT(ISERROR(SEARCH("N/A",P165)))</formula>
    </cfRule>
    <cfRule type="containsText" dxfId="1711" priority="1732" operator="containsText" text="Lançado">
      <formula>NOT(ISERROR(SEARCH("Lançado",P165)))</formula>
    </cfRule>
  </conditionalFormatting>
  <conditionalFormatting sqref="P167:P168">
    <cfRule type="containsText" dxfId="1710" priority="1802" operator="containsText" text="Finalizado">
      <formula>NOT(ISERROR(SEARCH("Finalizado",P167)))</formula>
    </cfRule>
    <cfRule type="containsText" dxfId="1709" priority="1803" operator="containsText" text="em andamento">
      <formula>NOT(ISERROR(SEARCH("em andamento",P167)))</formula>
    </cfRule>
    <cfRule type="containsText" dxfId="1708" priority="1786" operator="containsText" text="Lançado">
      <formula>NOT(ISERROR(SEARCH("Lançado",P167)))</formula>
    </cfRule>
    <cfRule type="containsText" dxfId="1707" priority="1789" operator="containsText" text="Finalizado">
      <formula>NOT(ISERROR(SEARCH("Finalizado",P167)))</formula>
    </cfRule>
    <cfRule type="containsText" dxfId="1706" priority="1790" operator="containsText" text="em andamento">
      <formula>NOT(ISERROR(SEARCH("em andamento",P167)))</formula>
    </cfRule>
    <cfRule type="containsText" dxfId="1705" priority="1800" operator="containsText" text="N/A">
      <formula>NOT(ISERROR(SEARCH("N/A",P167)))</formula>
    </cfRule>
    <cfRule type="containsText" dxfId="1704" priority="1799" operator="containsText" text="Lançado">
      <formula>NOT(ISERROR(SEARCH("Lançado",P167)))</formula>
    </cfRule>
    <cfRule type="containsText" dxfId="1703" priority="1795" operator="containsText" text="em andamento">
      <formula>NOT(ISERROR(SEARCH("em andamento",P167)))</formula>
    </cfRule>
    <cfRule type="containsText" dxfId="1702" priority="1794" operator="containsText" text="Finalizado">
      <formula>NOT(ISERROR(SEARCH("Finalizado",P167)))</formula>
    </cfRule>
    <cfRule type="containsText" dxfId="1701" priority="1793" operator="containsText" text="Pendente">
      <formula>NOT(ISERROR(SEARCH("Pendente",P167)))</formula>
    </cfRule>
    <cfRule type="containsText" dxfId="1700" priority="1788" operator="containsText" text="Pendente">
      <formula>NOT(ISERROR(SEARCH("Pendente",P167)))</formula>
    </cfRule>
    <cfRule type="containsText" dxfId="1699" priority="1787" operator="containsText" text="N/A">
      <formula>NOT(ISERROR(SEARCH("N/A",P167)))</formula>
    </cfRule>
    <cfRule type="containsText" dxfId="1698" priority="1792" operator="containsText" text="N/A">
      <formula>NOT(ISERROR(SEARCH("N/A",P167)))</formula>
    </cfRule>
    <cfRule type="containsText" dxfId="1697" priority="1791" operator="containsText" text="Lançado">
      <formula>NOT(ISERROR(SEARCH("Lançado",P167)))</formula>
    </cfRule>
    <cfRule type="containsText" dxfId="1696" priority="1801" operator="containsText" text="Pendente">
      <formula>NOT(ISERROR(SEARCH("Pendente",P167)))</formula>
    </cfRule>
  </conditionalFormatting>
  <conditionalFormatting sqref="P168">
    <cfRule type="containsText" dxfId="1695" priority="1815" operator="containsText" text="Finalizado">
      <formula>NOT(ISERROR(SEARCH("Finalizado",P168)))</formula>
    </cfRule>
    <cfRule type="containsText" dxfId="1694" priority="1824" operator="containsText" text="em andamento">
      <formula>NOT(ISERROR(SEARCH("em andamento",P168)))</formula>
    </cfRule>
    <cfRule type="containsText" dxfId="1693" priority="1823" operator="containsText" text="Finalizado">
      <formula>NOT(ISERROR(SEARCH("Finalizado",P168)))</formula>
    </cfRule>
    <cfRule type="containsText" dxfId="1692" priority="1822" operator="containsText" text="Pendente">
      <formula>NOT(ISERROR(SEARCH("Pendente",P168)))</formula>
    </cfRule>
    <cfRule type="containsText" dxfId="1691" priority="1821" operator="containsText" text="N/A">
      <formula>NOT(ISERROR(SEARCH("N/A",P168)))</formula>
    </cfRule>
    <cfRule type="containsText" dxfId="1690" priority="1820" operator="containsText" text="Lançado">
      <formula>NOT(ISERROR(SEARCH("Lançado",P168)))</formula>
    </cfRule>
    <cfRule type="containsText" dxfId="1689" priority="1816" operator="containsText" text="em andamento">
      <formula>NOT(ISERROR(SEARCH("em andamento",P168)))</formula>
    </cfRule>
    <cfRule type="containsText" dxfId="1688" priority="1814" operator="containsText" text="Pendente">
      <formula>NOT(ISERROR(SEARCH("Pendente",P168)))</formula>
    </cfRule>
    <cfRule type="containsText" dxfId="1687" priority="1813" operator="containsText" text="N/A">
      <formula>NOT(ISERROR(SEARCH("N/A",P168)))</formula>
    </cfRule>
    <cfRule type="containsText" dxfId="1686" priority="1812" operator="containsText" text="Lançado">
      <formula>NOT(ISERROR(SEARCH("Lançado",P168)))</formula>
    </cfRule>
    <cfRule type="containsText" dxfId="1685" priority="1811" operator="containsText" text="em andamento">
      <formula>NOT(ISERROR(SEARCH("em andamento",P168)))</formula>
    </cfRule>
    <cfRule type="containsText" dxfId="1684" priority="1810" operator="containsText" text="Finalizado">
      <formula>NOT(ISERROR(SEARCH("Finalizado",P168)))</formula>
    </cfRule>
    <cfRule type="containsText" dxfId="1683" priority="1809" operator="containsText" text="Pendente">
      <formula>NOT(ISERROR(SEARCH("Pendente",P168)))</formula>
    </cfRule>
    <cfRule type="containsText" dxfId="1682" priority="1808" operator="containsText" text="N/A">
      <formula>NOT(ISERROR(SEARCH("N/A",P168)))</formula>
    </cfRule>
    <cfRule type="containsText" dxfId="1681" priority="1807" operator="containsText" text="Lançado">
      <formula>NOT(ISERROR(SEARCH("Lançado",P168)))</formula>
    </cfRule>
  </conditionalFormatting>
  <conditionalFormatting sqref="P169 P171">
    <cfRule type="containsText" dxfId="1680" priority="8065" operator="containsText" text="em andamento">
      <formula>NOT(ISERROR(SEARCH("em andamento",P169)))</formula>
    </cfRule>
    <cfRule type="containsText" dxfId="1679" priority="8064" operator="containsText" text="Finalizado">
      <formula>NOT(ISERROR(SEARCH("Finalizado",P169)))</formula>
    </cfRule>
    <cfRule type="containsText" dxfId="1678" priority="8063" operator="containsText" text="Pendente">
      <formula>NOT(ISERROR(SEARCH("Pendente",P169)))</formula>
    </cfRule>
    <cfRule type="containsText" dxfId="1677" priority="8062" operator="containsText" text="N/A">
      <formula>NOT(ISERROR(SEARCH("N/A",P169)))</formula>
    </cfRule>
    <cfRule type="containsText" dxfId="1676" priority="8061" operator="containsText" text="Lançado">
      <formula>NOT(ISERROR(SEARCH("Lançado",P169)))</formula>
    </cfRule>
  </conditionalFormatting>
  <conditionalFormatting sqref="P170">
    <cfRule type="containsText" dxfId="1675" priority="2207" operator="containsText" text="Lançado">
      <formula>NOT(ISERROR(SEARCH("Lançado",P170)))</formula>
    </cfRule>
    <cfRule type="containsText" dxfId="1674" priority="2219" operator="containsText" text="em andamento">
      <formula>NOT(ISERROR(SEARCH("em andamento",P170)))</formula>
    </cfRule>
    <cfRule type="containsText" dxfId="1673" priority="2218" operator="containsText" text="Finalizado">
      <formula>NOT(ISERROR(SEARCH("Finalizado",P170)))</formula>
    </cfRule>
    <cfRule type="expression" dxfId="1672" priority="2213">
      <formula>$H170="CÉLULA CONSTRUTIVA"</formula>
    </cfRule>
    <cfRule type="expression" dxfId="1671" priority="2199">
      <formula>$H170="SUBETAPA"</formula>
    </cfRule>
    <cfRule type="containsText" dxfId="1670" priority="2205" operator="containsText" text="Finalizado">
      <formula>NOT(ISERROR(SEARCH("Finalizado",P170)))</formula>
    </cfRule>
    <cfRule type="containsText" dxfId="1669" priority="2204" operator="containsText" text="Pendente">
      <formula>NOT(ISERROR(SEARCH("Pendente",P170)))</formula>
    </cfRule>
    <cfRule type="expression" dxfId="1668" priority="2200">
      <formula>$H170="CÉLULA CONSTRUTIVA"</formula>
    </cfRule>
    <cfRule type="expression" dxfId="1667" priority="2201">
      <formula>$H170="ETAPA"</formula>
    </cfRule>
    <cfRule type="containsText" dxfId="1666" priority="2202" operator="containsText" text="Lançado">
      <formula>NOT(ISERROR(SEARCH("Lançado",P170)))</formula>
    </cfRule>
    <cfRule type="containsText" dxfId="1665" priority="2217" operator="containsText" text="Pendente">
      <formula>NOT(ISERROR(SEARCH("Pendente",P170)))</formula>
    </cfRule>
    <cfRule type="containsText" dxfId="1664" priority="2215" operator="containsText" text="Lançado">
      <formula>NOT(ISERROR(SEARCH("Lançado",P170)))</formula>
    </cfRule>
    <cfRule type="containsText" dxfId="1663" priority="2203" operator="containsText" text="N/A">
      <formula>NOT(ISERROR(SEARCH("N/A",P170)))</formula>
    </cfRule>
    <cfRule type="containsText" dxfId="1662" priority="2211" operator="containsText" text="em andamento">
      <formula>NOT(ISERROR(SEARCH("em andamento",P170)))</formula>
    </cfRule>
    <cfRule type="containsText" dxfId="1661" priority="2216" operator="containsText" text="N/A">
      <formula>NOT(ISERROR(SEARCH("N/A",P170)))</formula>
    </cfRule>
    <cfRule type="expression" dxfId="1660" priority="2214">
      <formula>$H170="ETAPA"</formula>
    </cfRule>
    <cfRule type="expression" dxfId="1659" priority="2212">
      <formula>$H170="SUBETAPA"</formula>
    </cfRule>
    <cfRule type="containsText" dxfId="1658" priority="2206" operator="containsText" text="em andamento">
      <formula>NOT(ISERROR(SEARCH("em andamento",P170)))</formula>
    </cfRule>
    <cfRule type="containsText" dxfId="1657" priority="2210" operator="containsText" text="Finalizado">
      <formula>NOT(ISERROR(SEARCH("Finalizado",P170)))</formula>
    </cfRule>
    <cfRule type="containsText" dxfId="1656" priority="2209" operator="containsText" text="Pendente">
      <formula>NOT(ISERROR(SEARCH("Pendente",P170)))</formula>
    </cfRule>
    <cfRule type="containsText" dxfId="1655" priority="2208" operator="containsText" text="N/A">
      <formula>NOT(ISERROR(SEARCH("N/A",P170)))</formula>
    </cfRule>
  </conditionalFormatting>
  <conditionalFormatting sqref="P173">
    <cfRule type="containsText" dxfId="1654" priority="8057" operator="containsText" text="N/A">
      <formula>NOT(ISERROR(SEARCH("N/A",P173)))</formula>
    </cfRule>
    <cfRule type="containsText" dxfId="1653" priority="8060" operator="containsText" text="em andamento">
      <formula>NOT(ISERROR(SEARCH("em andamento",P173)))</formula>
    </cfRule>
    <cfRule type="containsText" dxfId="1652" priority="8059" operator="containsText" text="Finalizado">
      <formula>NOT(ISERROR(SEARCH("Finalizado",P173)))</formula>
    </cfRule>
    <cfRule type="containsText" dxfId="1651" priority="8058" operator="containsText" text="Pendente">
      <formula>NOT(ISERROR(SEARCH("Pendente",P173)))</formula>
    </cfRule>
    <cfRule type="containsText" dxfId="1650" priority="8056" operator="containsText" text="Lançado">
      <formula>NOT(ISERROR(SEARCH("Lançado",P173)))</formula>
    </cfRule>
  </conditionalFormatting>
  <conditionalFormatting sqref="P174">
    <cfRule type="expression" dxfId="1649" priority="2309">
      <formula>$H174="SUBETAPA"</formula>
    </cfRule>
    <cfRule type="expression" dxfId="1648" priority="2311">
      <formula>$H174="ETAPA"</formula>
    </cfRule>
    <cfRule type="containsText" dxfId="1647" priority="2312" operator="containsText" text="Lançado">
      <formula>NOT(ISERROR(SEARCH("Lançado",P174)))</formula>
    </cfRule>
    <cfRule type="containsText" dxfId="1646" priority="2313" operator="containsText" text="N/A">
      <formula>NOT(ISERROR(SEARCH("N/A",P174)))</formula>
    </cfRule>
    <cfRule type="containsText" dxfId="1645" priority="2314" operator="containsText" text="Pendente">
      <formula>NOT(ISERROR(SEARCH("Pendente",P174)))</formula>
    </cfRule>
    <cfRule type="containsText" dxfId="1644" priority="2315" operator="containsText" text="Finalizado">
      <formula>NOT(ISERROR(SEARCH("Finalizado",P174)))</formula>
    </cfRule>
    <cfRule type="containsText" dxfId="1643" priority="2319" operator="containsText" text="Pendente">
      <formula>NOT(ISERROR(SEARCH("Pendente",P174)))</formula>
    </cfRule>
    <cfRule type="containsText" dxfId="1642" priority="2320" operator="containsText" text="Finalizado">
      <formula>NOT(ISERROR(SEARCH("Finalizado",P174)))</formula>
    </cfRule>
    <cfRule type="containsText" dxfId="1641" priority="2321" operator="containsText" text="em andamento">
      <formula>NOT(ISERROR(SEARCH("em andamento",P174)))</formula>
    </cfRule>
    <cfRule type="expression" dxfId="1640" priority="2323">
      <formula>$H174="CÉLULA CONSTRUTIVA"</formula>
    </cfRule>
    <cfRule type="expression" dxfId="1639" priority="2324">
      <formula>$H174="ETAPA"</formula>
    </cfRule>
    <cfRule type="containsText" dxfId="1638" priority="2325" operator="containsText" text="Lançado">
      <formula>NOT(ISERROR(SEARCH("Lançado",P174)))</formula>
    </cfRule>
    <cfRule type="containsText" dxfId="1637" priority="2326" operator="containsText" text="N/A">
      <formula>NOT(ISERROR(SEARCH("N/A",P174)))</formula>
    </cfRule>
    <cfRule type="containsText" dxfId="1636" priority="2327" operator="containsText" text="Pendente">
      <formula>NOT(ISERROR(SEARCH("Pendente",P174)))</formula>
    </cfRule>
    <cfRule type="containsText" dxfId="1635" priority="2328" operator="containsText" text="Finalizado">
      <formula>NOT(ISERROR(SEARCH("Finalizado",P174)))</formula>
    </cfRule>
    <cfRule type="expression" dxfId="1634" priority="2310">
      <formula>$H174="CÉLULA CONSTRUTIVA"</formula>
    </cfRule>
    <cfRule type="containsText" dxfId="1633" priority="2329" operator="containsText" text="em andamento">
      <formula>NOT(ISERROR(SEARCH("em andamento",P174)))</formula>
    </cfRule>
    <cfRule type="containsText" dxfId="1632" priority="2316" operator="containsText" text="em andamento">
      <formula>NOT(ISERROR(SEARCH("em andamento",P174)))</formula>
    </cfRule>
    <cfRule type="containsText" dxfId="1631" priority="2318" operator="containsText" text="N/A">
      <formula>NOT(ISERROR(SEARCH("N/A",P174)))</formula>
    </cfRule>
    <cfRule type="containsText" dxfId="1630" priority="2317" operator="containsText" text="Lançado">
      <formula>NOT(ISERROR(SEARCH("Lançado",P174)))</formula>
    </cfRule>
    <cfRule type="expression" dxfId="1629" priority="2322">
      <formula>$H174="SUBETAPA"</formula>
    </cfRule>
  </conditionalFormatting>
  <conditionalFormatting sqref="P175">
    <cfRule type="containsText" dxfId="1628" priority="1171" operator="containsText" text="N/A">
      <formula>NOT(ISERROR(SEARCH("N/A",P175)))</formula>
    </cfRule>
    <cfRule type="containsText" dxfId="1627" priority="1172" operator="containsText" text="Pendente">
      <formula>NOT(ISERROR(SEARCH("Pendente",P175)))</formula>
    </cfRule>
    <cfRule type="containsText" dxfId="1626" priority="1173" operator="containsText" text="Finalizado">
      <formula>NOT(ISERROR(SEARCH("Finalizado",P175)))</formula>
    </cfRule>
    <cfRule type="containsText" dxfId="1625" priority="1174" operator="containsText" text="em andamento">
      <formula>NOT(ISERROR(SEARCH("em andamento",P175)))</formula>
    </cfRule>
    <cfRule type="expression" dxfId="1624" priority="1168">
      <formula>$H175="CÉLULA CONSTRUTIVA"</formula>
    </cfRule>
    <cfRule type="expression" dxfId="1623" priority="1154">
      <formula>$H175="SUBETAPA"</formula>
    </cfRule>
    <cfRule type="expression" dxfId="1622" priority="1155">
      <formula>$H175="CÉLULA CONSTRUTIVA"</formula>
    </cfRule>
    <cfRule type="containsText" dxfId="1621" priority="1157" operator="containsText" text="Lançado">
      <formula>NOT(ISERROR(SEARCH("Lançado",P175)))</formula>
    </cfRule>
    <cfRule type="expression" dxfId="1620" priority="1156">
      <formula>$H175="ETAPA"</formula>
    </cfRule>
    <cfRule type="containsText" dxfId="1619" priority="1158" operator="containsText" text="N/A">
      <formula>NOT(ISERROR(SEARCH("N/A",P175)))</formula>
    </cfRule>
    <cfRule type="containsText" dxfId="1618" priority="1160" operator="containsText" text="Finalizado">
      <formula>NOT(ISERROR(SEARCH("Finalizado",P175)))</formula>
    </cfRule>
    <cfRule type="containsText" dxfId="1617" priority="1161" operator="containsText" text="em andamento">
      <formula>NOT(ISERROR(SEARCH("em andamento",P175)))</formula>
    </cfRule>
    <cfRule type="containsText" dxfId="1616" priority="1162" operator="containsText" text="Lançado">
      <formula>NOT(ISERROR(SEARCH("Lançado",P175)))</formula>
    </cfRule>
    <cfRule type="containsText" dxfId="1615" priority="1163" operator="containsText" text="N/A">
      <formula>NOT(ISERROR(SEARCH("N/A",P175)))</formula>
    </cfRule>
    <cfRule type="containsText" dxfId="1614" priority="1164" operator="containsText" text="Pendente">
      <formula>NOT(ISERROR(SEARCH("Pendente",P175)))</formula>
    </cfRule>
    <cfRule type="containsText" dxfId="1613" priority="1165" operator="containsText" text="Finalizado">
      <formula>NOT(ISERROR(SEARCH("Finalizado",P175)))</formula>
    </cfRule>
    <cfRule type="containsText" dxfId="1612" priority="1166" operator="containsText" text="em andamento">
      <formula>NOT(ISERROR(SEARCH("em andamento",P175)))</formula>
    </cfRule>
    <cfRule type="expression" dxfId="1611" priority="1167">
      <formula>$H175="SUBETAPA"</formula>
    </cfRule>
    <cfRule type="containsText" dxfId="1610" priority="1159" operator="containsText" text="Pendente">
      <formula>NOT(ISERROR(SEARCH("Pendente",P175)))</formula>
    </cfRule>
    <cfRule type="expression" dxfId="1609" priority="1169">
      <formula>$H175="ETAPA"</formula>
    </cfRule>
    <cfRule type="containsText" dxfId="1608" priority="1170" operator="containsText" text="Lançado">
      <formula>NOT(ISERROR(SEARCH("Lançado",P175)))</formula>
    </cfRule>
  </conditionalFormatting>
  <conditionalFormatting sqref="P177">
    <cfRule type="containsText" dxfId="1607" priority="2298" operator="containsText" text="Pendente">
      <formula>NOT(ISERROR(SEARCH("Pendente",P177)))</formula>
    </cfRule>
    <cfRule type="expression" dxfId="1606" priority="2302">
      <formula>$H177="CÉLULA CONSTRUTIVA"</formula>
    </cfRule>
    <cfRule type="expression" dxfId="1605" priority="2303">
      <formula>$H177="ETAPA"</formula>
    </cfRule>
    <cfRule type="containsText" dxfId="1604" priority="2305" operator="containsText" text="N/A">
      <formula>NOT(ISERROR(SEARCH("N/A",P177)))</formula>
    </cfRule>
    <cfRule type="containsText" dxfId="1603" priority="2306" operator="containsText" text="Pendente">
      <formula>NOT(ISERROR(SEARCH("Pendente",P177)))</formula>
    </cfRule>
    <cfRule type="containsText" dxfId="1602" priority="2307" operator="containsText" text="Finalizado">
      <formula>NOT(ISERROR(SEARCH("Finalizado",P177)))</formula>
    </cfRule>
    <cfRule type="containsText" dxfId="1601" priority="2308" operator="containsText" text="em andamento">
      <formula>NOT(ISERROR(SEARCH("em andamento",P177)))</formula>
    </cfRule>
    <cfRule type="containsText" dxfId="1600" priority="2291" operator="containsText" text="Lançado">
      <formula>NOT(ISERROR(SEARCH("Lançado",P177)))</formula>
    </cfRule>
    <cfRule type="expression" dxfId="1599" priority="2290">
      <formula>$H177="ETAPA"</formula>
    </cfRule>
    <cfRule type="expression" dxfId="1598" priority="2289">
      <formula>$H177="CÉLULA CONSTRUTIVA"</formula>
    </cfRule>
    <cfRule type="expression" dxfId="1597" priority="2288">
      <formula>$H177="SUBETAPA"</formula>
    </cfRule>
    <cfRule type="containsText" dxfId="1596" priority="2292" operator="containsText" text="N/A">
      <formula>NOT(ISERROR(SEARCH("N/A",P177)))</formula>
    </cfRule>
    <cfRule type="containsText" dxfId="1595" priority="2293" operator="containsText" text="Pendente">
      <formula>NOT(ISERROR(SEARCH("Pendente",P177)))</formula>
    </cfRule>
    <cfRule type="containsText" dxfId="1594" priority="2294" operator="containsText" text="Finalizado">
      <formula>NOT(ISERROR(SEARCH("Finalizado",P177)))</formula>
    </cfRule>
    <cfRule type="containsText" dxfId="1593" priority="2295" operator="containsText" text="em andamento">
      <formula>NOT(ISERROR(SEARCH("em andamento",P177)))</formula>
    </cfRule>
    <cfRule type="containsText" dxfId="1592" priority="2296" operator="containsText" text="Lançado">
      <formula>NOT(ISERROR(SEARCH("Lançado",P177)))</formula>
    </cfRule>
    <cfRule type="containsText" dxfId="1591" priority="2297" operator="containsText" text="N/A">
      <formula>NOT(ISERROR(SEARCH("N/A",P177)))</formula>
    </cfRule>
    <cfRule type="containsText" dxfId="1590" priority="2299" operator="containsText" text="Finalizado">
      <formula>NOT(ISERROR(SEARCH("Finalizado",P177)))</formula>
    </cfRule>
    <cfRule type="containsText" dxfId="1589" priority="2300" operator="containsText" text="em andamento">
      <formula>NOT(ISERROR(SEARCH("em andamento",P177)))</formula>
    </cfRule>
    <cfRule type="expression" dxfId="1588" priority="2301">
      <formula>$H177="SUBETAPA"</formula>
    </cfRule>
    <cfRule type="containsText" dxfId="1587" priority="2304" operator="containsText" text="Lançado">
      <formula>NOT(ISERROR(SEARCH("Lançado",P177)))</formula>
    </cfRule>
  </conditionalFormatting>
  <conditionalFormatting sqref="P178">
    <cfRule type="containsText" dxfId="1586" priority="7379" operator="containsText" text="Pendente">
      <formula>NOT(ISERROR(SEARCH("Pendente",P178)))</formula>
    </cfRule>
    <cfRule type="containsText" dxfId="1585" priority="7380" operator="containsText" text="Finalizado">
      <formula>NOT(ISERROR(SEARCH("Finalizado",P178)))</formula>
    </cfRule>
    <cfRule type="containsText" dxfId="1584" priority="7381" operator="containsText" text="em andamento">
      <formula>NOT(ISERROR(SEARCH("em andamento",P178)))</formula>
    </cfRule>
    <cfRule type="containsText" dxfId="1583" priority="7377" operator="containsText" text="Lançado">
      <formula>NOT(ISERROR(SEARCH("Lançado",P178)))</formula>
    </cfRule>
    <cfRule type="containsText" dxfId="1582" priority="7378" operator="containsText" text="N/A">
      <formula>NOT(ISERROR(SEARCH("N/A",P178)))</formula>
    </cfRule>
  </conditionalFormatting>
  <conditionalFormatting sqref="P179">
    <cfRule type="containsText" dxfId="1581" priority="2264" operator="containsText" text="Pendente">
      <formula>NOT(ISERROR(SEARCH("Pendente",P179)))</formula>
    </cfRule>
    <cfRule type="containsText" dxfId="1580" priority="2265" operator="containsText" text="Finalizado">
      <formula>NOT(ISERROR(SEARCH("Finalizado",P179)))</formula>
    </cfRule>
    <cfRule type="containsText" dxfId="1579" priority="2266" operator="containsText" text="em andamento">
      <formula>NOT(ISERROR(SEARCH("em andamento",P179)))</formula>
    </cfRule>
    <cfRule type="containsText" dxfId="1578" priority="2257" operator="containsText" text="Finalizado">
      <formula>NOT(ISERROR(SEARCH("Finalizado",P179)))</formula>
    </cfRule>
    <cfRule type="expression" dxfId="1577" priority="2246">
      <formula>$H179="SUBETAPA"</formula>
    </cfRule>
    <cfRule type="expression" dxfId="1576" priority="2247">
      <formula>$H179="CÉLULA CONSTRUTIVA"</formula>
    </cfRule>
    <cfRule type="expression" dxfId="1575" priority="2248">
      <formula>$H179="ETAPA"</formula>
    </cfRule>
    <cfRule type="containsText" dxfId="1574" priority="2249" operator="containsText" text="Lançado">
      <formula>NOT(ISERROR(SEARCH("Lançado",P179)))</formula>
    </cfRule>
    <cfRule type="containsText" dxfId="1573" priority="2250" operator="containsText" text="N/A">
      <formula>NOT(ISERROR(SEARCH("N/A",P179)))</formula>
    </cfRule>
    <cfRule type="containsText" dxfId="1572" priority="2251" operator="containsText" text="Pendente">
      <formula>NOT(ISERROR(SEARCH("Pendente",P179)))</formula>
    </cfRule>
    <cfRule type="containsText" dxfId="1571" priority="2252" operator="containsText" text="Finalizado">
      <formula>NOT(ISERROR(SEARCH("Finalizado",P179)))</formula>
    </cfRule>
    <cfRule type="containsText" dxfId="1570" priority="2253" operator="containsText" text="em andamento">
      <formula>NOT(ISERROR(SEARCH("em andamento",P179)))</formula>
    </cfRule>
    <cfRule type="containsText" dxfId="1569" priority="2254" operator="containsText" text="Lançado">
      <formula>NOT(ISERROR(SEARCH("Lançado",P179)))</formula>
    </cfRule>
    <cfRule type="containsText" dxfId="1568" priority="2255" operator="containsText" text="N/A">
      <formula>NOT(ISERROR(SEARCH("N/A",P179)))</formula>
    </cfRule>
    <cfRule type="containsText" dxfId="1567" priority="2256" operator="containsText" text="Pendente">
      <formula>NOT(ISERROR(SEARCH("Pendente",P179)))</formula>
    </cfRule>
    <cfRule type="containsText" dxfId="1566" priority="2258" operator="containsText" text="em andamento">
      <formula>NOT(ISERROR(SEARCH("em andamento",P179)))</formula>
    </cfRule>
    <cfRule type="expression" dxfId="1565" priority="2259">
      <formula>$H179="SUBETAPA"</formula>
    </cfRule>
    <cfRule type="expression" dxfId="1564" priority="2260">
      <formula>$H179="CÉLULA CONSTRUTIVA"</formula>
    </cfRule>
    <cfRule type="expression" dxfId="1563" priority="2261">
      <formula>$H179="ETAPA"</formula>
    </cfRule>
    <cfRule type="containsText" dxfId="1562" priority="2262" operator="containsText" text="Lançado">
      <formula>NOT(ISERROR(SEARCH("Lançado",P179)))</formula>
    </cfRule>
    <cfRule type="containsText" dxfId="1561" priority="2263" operator="containsText" text="N/A">
      <formula>NOT(ISERROR(SEARCH("N/A",P179)))</formula>
    </cfRule>
  </conditionalFormatting>
  <conditionalFormatting sqref="P180">
    <cfRule type="expression" dxfId="1560" priority="8106">
      <formula>$H180="CÉLULA CONSTRUTIVA"</formula>
    </cfRule>
    <cfRule type="containsText" dxfId="1559" priority="8110" operator="containsText" text="Pendente">
      <formula>NOT(ISERROR(SEARCH("Pendente",P180)))</formula>
    </cfRule>
    <cfRule type="expression" dxfId="1558" priority="8107">
      <formula>$H180="ETAPA"</formula>
    </cfRule>
    <cfRule type="containsText" dxfId="1557" priority="8108" operator="containsText" text="Lançado">
      <formula>NOT(ISERROR(SEARCH("Lançado",P180)))</formula>
    </cfRule>
    <cfRule type="containsText" dxfId="1556" priority="8109" operator="containsText" text="N/A">
      <formula>NOT(ISERROR(SEARCH("N/A",P180)))</formula>
    </cfRule>
    <cfRule type="expression" dxfId="1555" priority="8105">
      <formula>$H180="SUBETAPA"</formula>
    </cfRule>
    <cfRule type="containsText" dxfId="1554" priority="8112" operator="containsText" text="em andamento">
      <formula>NOT(ISERROR(SEARCH("em andamento",P180)))</formula>
    </cfRule>
    <cfRule type="containsText" dxfId="1553" priority="8111" operator="containsText" text="Finalizado">
      <formula>NOT(ISERROR(SEARCH("Finalizado",P180)))</formula>
    </cfRule>
  </conditionalFormatting>
  <conditionalFormatting sqref="P182">
    <cfRule type="expression" dxfId="1552" priority="8214">
      <formula>$H182="ETAPA"</formula>
    </cfRule>
    <cfRule type="expression" dxfId="1551" priority="8100">
      <formula>$H182="SUBETAPA"</formula>
    </cfRule>
    <cfRule type="expression" dxfId="1550" priority="8101">
      <formula>$H182="CÉLULA CONSTRUTIVA"</formula>
    </cfRule>
    <cfRule type="expression" dxfId="1549" priority="8102">
      <formula>$H182="ETAPA"</formula>
    </cfRule>
    <cfRule type="expression" dxfId="1548" priority="8212">
      <formula>$H182="SUBETAPA"</formula>
    </cfRule>
    <cfRule type="expression" dxfId="1547" priority="8213">
      <formula>$H182="CÉLULA CONSTRUTIVA"</formula>
    </cfRule>
  </conditionalFormatting>
  <conditionalFormatting sqref="P183:P184">
    <cfRule type="containsText" dxfId="1546" priority="3203" operator="containsText" text="em andamento">
      <formula>NOT(ISERROR(SEARCH("em andamento",P183)))</formula>
    </cfRule>
    <cfRule type="expression" dxfId="1545" priority="3204">
      <formula>$H183="SUBETAPA"</formula>
    </cfRule>
    <cfRule type="expression" dxfId="1544" priority="3205">
      <formula>$H183="CÉLULA CONSTRUTIVA"</formula>
    </cfRule>
    <cfRule type="expression" dxfId="1543" priority="3206">
      <formula>$H183="ETAPA"</formula>
    </cfRule>
    <cfRule type="containsText" dxfId="1542" priority="3207" operator="containsText" text="Lançado">
      <formula>NOT(ISERROR(SEARCH("Lançado",P183)))</formula>
    </cfRule>
    <cfRule type="containsText" dxfId="1541" priority="3208" operator="containsText" text="N/A">
      <formula>NOT(ISERROR(SEARCH("N/A",P183)))</formula>
    </cfRule>
    <cfRule type="containsText" dxfId="1540" priority="3211" operator="containsText" text="em andamento">
      <formula>NOT(ISERROR(SEARCH("em andamento",P183)))</formula>
    </cfRule>
    <cfRule type="expression" dxfId="1539" priority="3191">
      <formula>$H183="SUBETAPA"</formula>
    </cfRule>
    <cfRule type="expression" dxfId="1538" priority="3192">
      <formula>$H183="CÉLULA CONSTRUTIVA"</formula>
    </cfRule>
    <cfRule type="containsText" dxfId="1537" priority="3209" operator="containsText" text="Pendente">
      <formula>NOT(ISERROR(SEARCH("Pendente",P183)))</formula>
    </cfRule>
    <cfRule type="expression" dxfId="1536" priority="3193">
      <formula>$H183="ETAPA"</formula>
    </cfRule>
    <cfRule type="containsText" dxfId="1535" priority="3194" operator="containsText" text="Lançado">
      <formula>NOT(ISERROR(SEARCH("Lançado",P183)))</formula>
    </cfRule>
    <cfRule type="containsText" dxfId="1534" priority="3195" operator="containsText" text="N/A">
      <formula>NOT(ISERROR(SEARCH("N/A",P183)))</formula>
    </cfRule>
    <cfRule type="containsText" dxfId="1533" priority="3196" operator="containsText" text="Pendente">
      <formula>NOT(ISERROR(SEARCH("Pendente",P183)))</formula>
    </cfRule>
    <cfRule type="containsText" dxfId="1532" priority="3197" operator="containsText" text="Finalizado">
      <formula>NOT(ISERROR(SEARCH("Finalizado",P183)))</formula>
    </cfRule>
    <cfRule type="containsText" dxfId="1531" priority="3198" operator="containsText" text="em andamento">
      <formula>NOT(ISERROR(SEARCH("em andamento",P183)))</formula>
    </cfRule>
    <cfRule type="containsText" dxfId="1530" priority="3199" operator="containsText" text="Lançado">
      <formula>NOT(ISERROR(SEARCH("Lançado",P183)))</formula>
    </cfRule>
    <cfRule type="containsText" dxfId="1529" priority="3200" operator="containsText" text="N/A">
      <formula>NOT(ISERROR(SEARCH("N/A",P183)))</formula>
    </cfRule>
    <cfRule type="containsText" dxfId="1528" priority="3201" operator="containsText" text="Pendente">
      <formula>NOT(ISERROR(SEARCH("Pendente",P183)))</formula>
    </cfRule>
    <cfRule type="containsText" dxfId="1527" priority="3202" operator="containsText" text="Finalizado">
      <formula>NOT(ISERROR(SEARCH("Finalizado",P183)))</formula>
    </cfRule>
    <cfRule type="containsText" dxfId="1526" priority="3210" operator="containsText" text="Finalizado">
      <formula>NOT(ISERROR(SEARCH("Finalizado",P183)))</formula>
    </cfRule>
  </conditionalFormatting>
  <conditionalFormatting sqref="P185">
    <cfRule type="expression" dxfId="1525" priority="6744">
      <formula>$H185="CÉLULA CONSTRUTIVA"</formula>
    </cfRule>
    <cfRule type="containsText" dxfId="1524" priority="6749" operator="containsText" text="N/A">
      <formula>NOT(ISERROR(SEARCH("N/A",P185)))</formula>
    </cfRule>
    <cfRule type="containsText" dxfId="1523" priority="6748" operator="containsText" text="Lançado">
      <formula>NOT(ISERROR(SEARCH("Lançado",P185)))</formula>
    </cfRule>
    <cfRule type="containsText" dxfId="1522" priority="6751" operator="containsText" text="Finalizado">
      <formula>NOT(ISERROR(SEARCH("Finalizado",P185)))</formula>
    </cfRule>
    <cfRule type="containsText" dxfId="1521" priority="6752" operator="containsText" text="em andamento">
      <formula>NOT(ISERROR(SEARCH("em andamento",P185)))</formula>
    </cfRule>
    <cfRule type="expression" dxfId="1520" priority="6743">
      <formula>$H185="SUBETAPA"</formula>
    </cfRule>
    <cfRule type="expression" dxfId="1519" priority="6745">
      <formula>$H185="ETAPA"</formula>
    </cfRule>
    <cfRule type="containsText" dxfId="1518" priority="6750" operator="containsText" text="Pendente">
      <formula>NOT(ISERROR(SEARCH("Pendente",P185)))</formula>
    </cfRule>
  </conditionalFormatting>
  <conditionalFormatting sqref="P186:P187">
    <cfRule type="containsText" dxfId="1517" priority="3186" operator="containsText" text="Lançado">
      <formula>NOT(ISERROR(SEARCH("Lançado",P186)))</formula>
    </cfRule>
    <cfRule type="containsText" dxfId="1516" priority="3187" operator="containsText" text="N/A">
      <formula>NOT(ISERROR(SEARCH("N/A",P186)))</formula>
    </cfRule>
    <cfRule type="containsText" dxfId="1515" priority="3188" operator="containsText" text="Pendente">
      <formula>NOT(ISERROR(SEARCH("Pendente",P186)))</formula>
    </cfRule>
    <cfRule type="containsText" dxfId="1514" priority="3189" operator="containsText" text="Finalizado">
      <formula>NOT(ISERROR(SEARCH("Finalizado",P186)))</formula>
    </cfRule>
    <cfRule type="containsText" dxfId="1513" priority="3190" operator="containsText" text="em andamento">
      <formula>NOT(ISERROR(SEARCH("em andamento",P186)))</formula>
    </cfRule>
    <cfRule type="containsText" dxfId="1512" priority="3179" operator="containsText" text="N/A">
      <formula>NOT(ISERROR(SEARCH("N/A",P186)))</formula>
    </cfRule>
    <cfRule type="expression" dxfId="1511" priority="3170">
      <formula>$H186="SUBETAPA"</formula>
    </cfRule>
    <cfRule type="expression" dxfId="1510" priority="3171">
      <formula>$H186="CÉLULA CONSTRUTIVA"</formula>
    </cfRule>
    <cfRule type="expression" dxfId="1509" priority="3172">
      <formula>$H186="ETAPA"</formula>
    </cfRule>
    <cfRule type="containsText" dxfId="1508" priority="3173" operator="containsText" text="Lançado">
      <formula>NOT(ISERROR(SEARCH("Lançado",P186)))</formula>
    </cfRule>
    <cfRule type="containsText" dxfId="1507" priority="3174" operator="containsText" text="N/A">
      <formula>NOT(ISERROR(SEARCH("N/A",P186)))</formula>
    </cfRule>
    <cfRule type="containsText" dxfId="1506" priority="3175" operator="containsText" text="Pendente">
      <formula>NOT(ISERROR(SEARCH("Pendente",P186)))</formula>
    </cfRule>
    <cfRule type="containsText" dxfId="1505" priority="3176" operator="containsText" text="Finalizado">
      <formula>NOT(ISERROR(SEARCH("Finalizado",P186)))</formula>
    </cfRule>
    <cfRule type="containsText" dxfId="1504" priority="3177" operator="containsText" text="em andamento">
      <formula>NOT(ISERROR(SEARCH("em andamento",P186)))</formula>
    </cfRule>
    <cfRule type="containsText" dxfId="1503" priority="3178" operator="containsText" text="Lançado">
      <formula>NOT(ISERROR(SEARCH("Lançado",P186)))</formula>
    </cfRule>
    <cfRule type="containsText" dxfId="1502" priority="3180" operator="containsText" text="Pendente">
      <formula>NOT(ISERROR(SEARCH("Pendente",P186)))</formula>
    </cfRule>
    <cfRule type="containsText" dxfId="1501" priority="3181" operator="containsText" text="Finalizado">
      <formula>NOT(ISERROR(SEARCH("Finalizado",P186)))</formula>
    </cfRule>
    <cfRule type="containsText" dxfId="1500" priority="3182" operator="containsText" text="em andamento">
      <formula>NOT(ISERROR(SEARCH("em andamento",P186)))</formula>
    </cfRule>
    <cfRule type="expression" dxfId="1499" priority="3183">
      <formula>$H186="SUBETAPA"</formula>
    </cfRule>
    <cfRule type="expression" dxfId="1498" priority="3184">
      <formula>$H186="CÉLULA CONSTRUTIVA"</formula>
    </cfRule>
    <cfRule type="expression" dxfId="1497" priority="3185">
      <formula>$H186="ETAPA"</formula>
    </cfRule>
  </conditionalFormatting>
  <conditionalFormatting sqref="P188 O194:P194">
    <cfRule type="expression" dxfId="1496" priority="6779">
      <formula>$H188="SUBETAPA"</formula>
    </cfRule>
  </conditionalFormatting>
  <conditionalFormatting sqref="P188 P194">
    <cfRule type="containsText" dxfId="1495" priority="6786" operator="containsText" text="em andamento">
      <formula>NOT(ISERROR(SEARCH("em andamento",P188)))</formula>
    </cfRule>
    <cfRule type="containsText" dxfId="1494" priority="6784" operator="containsText" text="Pendente">
      <formula>NOT(ISERROR(SEARCH("Pendente",P188)))</formula>
    </cfRule>
    <cfRule type="containsText" dxfId="1493" priority="6785" operator="containsText" text="Finalizado">
      <formula>NOT(ISERROR(SEARCH("Finalizado",P188)))</formula>
    </cfRule>
    <cfRule type="expression" dxfId="1492" priority="6780">
      <formula>$H188="CÉLULA CONSTRUTIVA"</formula>
    </cfRule>
    <cfRule type="expression" dxfId="1491" priority="6781">
      <formula>$H188="ETAPA"</formula>
    </cfRule>
    <cfRule type="containsText" dxfId="1490" priority="6782" operator="containsText" text="Lançado">
      <formula>NOT(ISERROR(SEARCH("Lançado",P188)))</formula>
    </cfRule>
    <cfRule type="containsText" dxfId="1489" priority="6783" operator="containsText" text="N/A">
      <formula>NOT(ISERROR(SEARCH("N/A",P188)))</formula>
    </cfRule>
  </conditionalFormatting>
  <conditionalFormatting sqref="P188">
    <cfRule type="expression" dxfId="1488" priority="6776">
      <formula>$H188="SUBETAPA"</formula>
    </cfRule>
    <cfRule type="expression" dxfId="1487" priority="6778">
      <formula>$H188="ETAPA"</formula>
    </cfRule>
    <cfRule type="expression" dxfId="1486" priority="6777">
      <formula>$H188="CÉLULA CONSTRUTIVA"</formula>
    </cfRule>
    <cfRule type="expression" dxfId="1485" priority="6773">
      <formula>$H188="SUBETAPA"</formula>
    </cfRule>
    <cfRule type="expression" dxfId="1484" priority="6774">
      <formula>$H188="CÉLULA CONSTRUTIVA"</formula>
    </cfRule>
    <cfRule type="expression" dxfId="1483" priority="6775">
      <formula>$H188="ETAPA"</formula>
    </cfRule>
  </conditionalFormatting>
  <conditionalFormatting sqref="P189">
    <cfRule type="containsText" dxfId="1482" priority="3169" operator="containsText" text="em andamento">
      <formula>NOT(ISERROR(SEARCH("em andamento",P189)))</formula>
    </cfRule>
    <cfRule type="containsText" dxfId="1481" priority="3168" operator="containsText" text="Finalizado">
      <formula>NOT(ISERROR(SEARCH("Finalizado",P189)))</formula>
    </cfRule>
    <cfRule type="containsText" dxfId="1480" priority="3167" operator="containsText" text="Pendente">
      <formula>NOT(ISERROR(SEARCH("Pendente",P189)))</formula>
    </cfRule>
    <cfRule type="containsText" dxfId="1479" priority="3166" operator="containsText" text="N/A">
      <formula>NOT(ISERROR(SEARCH("N/A",P189)))</formula>
    </cfRule>
    <cfRule type="containsText" dxfId="1478" priority="3165" operator="containsText" text="Lançado">
      <formula>NOT(ISERROR(SEARCH("Lançado",P189)))</formula>
    </cfRule>
    <cfRule type="expression" dxfId="1477" priority="3163">
      <formula>$H189="CÉLULA CONSTRUTIVA"</formula>
    </cfRule>
    <cfRule type="expression" dxfId="1476" priority="3162">
      <formula>$H189="SUBETAPA"</formula>
    </cfRule>
    <cfRule type="containsText" dxfId="1475" priority="3159" operator="containsText" text="Pendente">
      <formula>NOT(ISERROR(SEARCH("Pendente",P189)))</formula>
    </cfRule>
    <cfRule type="containsText" dxfId="1474" priority="3161" operator="containsText" text="em andamento">
      <formula>NOT(ISERROR(SEARCH("em andamento",P189)))</formula>
    </cfRule>
    <cfRule type="containsText" dxfId="1473" priority="3160" operator="containsText" text="Finalizado">
      <formula>NOT(ISERROR(SEARCH("Finalizado",P189)))</formula>
    </cfRule>
    <cfRule type="expression" dxfId="1472" priority="3164">
      <formula>$H189="ETAPA"</formula>
    </cfRule>
    <cfRule type="containsText" dxfId="1471" priority="3155" operator="containsText" text="Finalizado">
      <formula>NOT(ISERROR(SEARCH("Finalizado",P189)))</formula>
    </cfRule>
    <cfRule type="containsText" dxfId="1470" priority="3156" operator="containsText" text="em andamento">
      <formula>NOT(ISERROR(SEARCH("em andamento",P189)))</formula>
    </cfRule>
    <cfRule type="containsText" dxfId="1469" priority="3153" operator="containsText" text="N/A">
      <formula>NOT(ISERROR(SEARCH("N/A",P189)))</formula>
    </cfRule>
    <cfRule type="containsText" dxfId="1468" priority="3157" operator="containsText" text="Lançado">
      <formula>NOT(ISERROR(SEARCH("Lançado",P189)))</formula>
    </cfRule>
    <cfRule type="containsText" dxfId="1467" priority="3158" operator="containsText" text="N/A">
      <formula>NOT(ISERROR(SEARCH("N/A",P189)))</formula>
    </cfRule>
    <cfRule type="containsText" dxfId="1466" priority="3154" operator="containsText" text="Pendente">
      <formula>NOT(ISERROR(SEARCH("Pendente",P189)))</formula>
    </cfRule>
    <cfRule type="expression" dxfId="1465" priority="3149">
      <formula>$H189="SUBETAPA"</formula>
    </cfRule>
    <cfRule type="expression" dxfId="1464" priority="3150">
      <formula>$H189="CÉLULA CONSTRUTIVA"</formula>
    </cfRule>
    <cfRule type="expression" dxfId="1463" priority="3151">
      <formula>$H189="ETAPA"</formula>
    </cfRule>
    <cfRule type="containsText" dxfId="1462" priority="3152" operator="containsText" text="Lançado">
      <formula>NOT(ISERROR(SEARCH("Lançado",P189)))</formula>
    </cfRule>
  </conditionalFormatting>
  <conditionalFormatting sqref="P190">
    <cfRule type="expression" dxfId="1461" priority="4830">
      <formula>$H190="ETAPA"</formula>
    </cfRule>
    <cfRule type="containsText" dxfId="1460" priority="4841" operator="containsText" text="em andamento">
      <formula>NOT(ISERROR(SEARCH("em andamento",P190)))</formula>
    </cfRule>
    <cfRule type="expression" dxfId="1459" priority="4832">
      <formula>$H190="CÉLULA CONSTRUTIVA"</formula>
    </cfRule>
    <cfRule type="expression" dxfId="1458" priority="4833">
      <formula>$H190="ETAPA"</formula>
    </cfRule>
    <cfRule type="expression" dxfId="1457" priority="4834">
      <formula>$H190="SUBETAPA"</formula>
    </cfRule>
    <cfRule type="expression" dxfId="1456" priority="4835">
      <formula>$H190="CÉLULA CONSTRUTIVA"</formula>
    </cfRule>
    <cfRule type="expression" dxfId="1455" priority="4836">
      <formula>$H190="ETAPA"</formula>
    </cfRule>
    <cfRule type="expression" dxfId="1454" priority="4831">
      <formula>$H190="SUBETAPA"</formula>
    </cfRule>
    <cfRule type="containsText" dxfId="1453" priority="4838" operator="containsText" text="N/A">
      <formula>NOT(ISERROR(SEARCH("N/A",P190)))</formula>
    </cfRule>
    <cfRule type="containsText" dxfId="1452" priority="4839" operator="containsText" text="Pendente">
      <formula>NOT(ISERROR(SEARCH("Pendente",P190)))</formula>
    </cfRule>
    <cfRule type="expression" dxfId="1451" priority="4829">
      <formula>$H190="CÉLULA CONSTRUTIVA"</formula>
    </cfRule>
    <cfRule type="expression" dxfId="1450" priority="4828">
      <formula>$H190="SUBETAPA"</formula>
    </cfRule>
    <cfRule type="containsText" dxfId="1449" priority="4840" operator="containsText" text="Finalizado">
      <formula>NOT(ISERROR(SEARCH("Finalizado",P190)))</formula>
    </cfRule>
    <cfRule type="containsText" dxfId="1448" priority="4837" operator="containsText" text="Lançado">
      <formula>NOT(ISERROR(SEARCH("Lançado",P190)))</formula>
    </cfRule>
  </conditionalFormatting>
  <conditionalFormatting sqref="P191:P193">
    <cfRule type="containsText" dxfId="1447" priority="3132" operator="containsText" text="N/A">
      <formula>NOT(ISERROR(SEARCH("N/A",P191)))</formula>
    </cfRule>
    <cfRule type="containsText" dxfId="1446" priority="3133" operator="containsText" text="Pendente">
      <formula>NOT(ISERROR(SEARCH("Pendente",P191)))</formula>
    </cfRule>
    <cfRule type="containsText" dxfId="1445" priority="3134" operator="containsText" text="Finalizado">
      <formula>NOT(ISERROR(SEARCH("Finalizado",P191)))</formula>
    </cfRule>
    <cfRule type="containsText" dxfId="1444" priority="3135" operator="containsText" text="em andamento">
      <formula>NOT(ISERROR(SEARCH("em andamento",P191)))</formula>
    </cfRule>
    <cfRule type="containsText" dxfId="1443" priority="3137" operator="containsText" text="N/A">
      <formula>NOT(ISERROR(SEARCH("N/A",P191)))</formula>
    </cfRule>
    <cfRule type="containsText" dxfId="1442" priority="3138" operator="containsText" text="Pendente">
      <formula>NOT(ISERROR(SEARCH("Pendente",P191)))</formula>
    </cfRule>
    <cfRule type="containsText" dxfId="1441" priority="3139" operator="containsText" text="Finalizado">
      <formula>NOT(ISERROR(SEARCH("Finalizado",P191)))</formula>
    </cfRule>
    <cfRule type="containsText" dxfId="1440" priority="3140" operator="containsText" text="em andamento">
      <formula>NOT(ISERROR(SEARCH("em andamento",P191)))</formula>
    </cfRule>
    <cfRule type="expression" dxfId="1439" priority="3141">
      <formula>$H191="SUBETAPA"</formula>
    </cfRule>
    <cfRule type="expression" dxfId="1438" priority="3143">
      <formula>$H191="ETAPA"</formula>
    </cfRule>
    <cfRule type="containsText" dxfId="1437" priority="3144" operator="containsText" text="Lançado">
      <formula>NOT(ISERROR(SEARCH("Lançado",P191)))</formula>
    </cfRule>
    <cfRule type="expression" dxfId="1436" priority="3142">
      <formula>$H191="CÉLULA CONSTRUTIVA"</formula>
    </cfRule>
    <cfRule type="containsText" dxfId="1435" priority="3146" operator="containsText" text="Pendente">
      <formula>NOT(ISERROR(SEARCH("Pendente",P191)))</formula>
    </cfRule>
    <cfRule type="containsText" dxfId="1434" priority="3147" operator="containsText" text="Finalizado">
      <formula>NOT(ISERROR(SEARCH("Finalizado",P191)))</formula>
    </cfRule>
    <cfRule type="containsText" dxfId="1433" priority="3148" operator="containsText" text="em andamento">
      <formula>NOT(ISERROR(SEARCH("em andamento",P191)))</formula>
    </cfRule>
    <cfRule type="containsText" dxfId="1432" priority="3136" operator="containsText" text="Lançado">
      <formula>NOT(ISERROR(SEARCH("Lançado",P191)))</formula>
    </cfRule>
    <cfRule type="containsText" dxfId="1431" priority="3145" operator="containsText" text="N/A">
      <formula>NOT(ISERROR(SEARCH("N/A",P191)))</formula>
    </cfRule>
    <cfRule type="expression" dxfId="1430" priority="3128">
      <formula>$H191="SUBETAPA"</formula>
    </cfRule>
    <cfRule type="expression" dxfId="1429" priority="3129">
      <formula>$H191="CÉLULA CONSTRUTIVA"</formula>
    </cfRule>
    <cfRule type="expression" dxfId="1428" priority="3130">
      <formula>$H191="ETAPA"</formula>
    </cfRule>
    <cfRule type="containsText" dxfId="1427" priority="3131" operator="containsText" text="Lançado">
      <formula>NOT(ISERROR(SEARCH("Lançado",P191)))</formula>
    </cfRule>
  </conditionalFormatting>
  <conditionalFormatting sqref="P195">
    <cfRule type="expression" dxfId="1426" priority="3108">
      <formula>$H195="CÉLULA CONSTRUTIVA"</formula>
    </cfRule>
    <cfRule type="expression" dxfId="1425" priority="3109">
      <formula>$H195="ETAPA"</formula>
    </cfRule>
    <cfRule type="containsText" dxfId="1424" priority="3115" operator="containsText" text="Lançado">
      <formula>NOT(ISERROR(SEARCH("Lançado",P195)))</formula>
    </cfRule>
    <cfRule type="containsText" dxfId="1423" priority="3110" operator="containsText" text="Lançado">
      <formula>NOT(ISERROR(SEARCH("Lançado",P195)))</formula>
    </cfRule>
    <cfRule type="containsText" dxfId="1422" priority="3111" operator="containsText" text="N/A">
      <formula>NOT(ISERROR(SEARCH("N/A",P195)))</formula>
    </cfRule>
    <cfRule type="containsText" dxfId="1421" priority="3112" operator="containsText" text="Pendente">
      <formula>NOT(ISERROR(SEARCH("Pendente",P195)))</formula>
    </cfRule>
    <cfRule type="containsText" dxfId="1420" priority="3116" operator="containsText" text="N/A">
      <formula>NOT(ISERROR(SEARCH("N/A",P195)))</formula>
    </cfRule>
    <cfRule type="containsText" dxfId="1419" priority="3113" operator="containsText" text="Finalizado">
      <formula>NOT(ISERROR(SEARCH("Finalizado",P195)))</formula>
    </cfRule>
    <cfRule type="expression" dxfId="1418" priority="3122">
      <formula>$H195="ETAPA"</formula>
    </cfRule>
    <cfRule type="containsText" dxfId="1417" priority="3123" operator="containsText" text="Lançado">
      <formula>NOT(ISERROR(SEARCH("Lançado",P195)))</formula>
    </cfRule>
    <cfRule type="containsText" dxfId="1416" priority="3124" operator="containsText" text="N/A">
      <formula>NOT(ISERROR(SEARCH("N/A",P195)))</formula>
    </cfRule>
    <cfRule type="containsText" dxfId="1415" priority="3125" operator="containsText" text="Pendente">
      <formula>NOT(ISERROR(SEARCH("Pendente",P195)))</formula>
    </cfRule>
    <cfRule type="containsText" dxfId="1414" priority="3126" operator="containsText" text="Finalizado">
      <formula>NOT(ISERROR(SEARCH("Finalizado",P195)))</formula>
    </cfRule>
    <cfRule type="containsText" dxfId="1413" priority="3127" operator="containsText" text="em andamento">
      <formula>NOT(ISERROR(SEARCH("em andamento",P195)))</formula>
    </cfRule>
    <cfRule type="containsText" dxfId="1412" priority="3118" operator="containsText" text="Finalizado">
      <formula>NOT(ISERROR(SEARCH("Finalizado",P195)))</formula>
    </cfRule>
    <cfRule type="containsText" dxfId="1411" priority="3117" operator="containsText" text="Pendente">
      <formula>NOT(ISERROR(SEARCH("Pendente",P195)))</formula>
    </cfRule>
    <cfRule type="containsText" dxfId="1410" priority="3114" operator="containsText" text="em andamento">
      <formula>NOT(ISERROR(SEARCH("em andamento",P195)))</formula>
    </cfRule>
    <cfRule type="expression" dxfId="1409" priority="3107">
      <formula>$H195="SUBETAPA"</formula>
    </cfRule>
    <cfRule type="expression" dxfId="1408" priority="3121">
      <formula>$H195="CÉLULA CONSTRUTIVA"</formula>
    </cfRule>
    <cfRule type="expression" dxfId="1407" priority="3120">
      <formula>$H195="SUBETAPA"</formula>
    </cfRule>
    <cfRule type="containsText" dxfId="1406" priority="3119" operator="containsText" text="em andamento">
      <formula>NOT(ISERROR(SEARCH("em andamento",P195)))</formula>
    </cfRule>
  </conditionalFormatting>
  <conditionalFormatting sqref="P196">
    <cfRule type="expression" dxfId="1405" priority="6787">
      <formula>$H196="SUBETAPA"</formula>
    </cfRule>
    <cfRule type="expression" dxfId="1404" priority="6791">
      <formula>$H196="CÉLULA CONSTRUTIVA"</formula>
    </cfRule>
    <cfRule type="expression" dxfId="1403" priority="6788">
      <formula>$H196="CÉLULA CONSTRUTIVA"</formula>
    </cfRule>
    <cfRule type="containsText" dxfId="1402" priority="6799" operator="containsText" text="Finalizado">
      <formula>NOT(ISERROR(SEARCH("Finalizado",P196)))</formula>
    </cfRule>
    <cfRule type="containsText" dxfId="1401" priority="6800" operator="containsText" text="em andamento">
      <formula>NOT(ISERROR(SEARCH("em andamento",P196)))</formula>
    </cfRule>
    <cfRule type="expression" dxfId="1400" priority="6789">
      <formula>$H196="ETAPA"</formula>
    </cfRule>
    <cfRule type="expression" dxfId="1399" priority="6792">
      <formula>$H196="ETAPA"</formula>
    </cfRule>
    <cfRule type="expression" dxfId="1398" priority="6794">
      <formula>$H196="CÉLULA CONSTRUTIVA"</formula>
    </cfRule>
    <cfRule type="expression" dxfId="1397" priority="6795">
      <formula>$H196="ETAPA"</formula>
    </cfRule>
    <cfRule type="containsText" dxfId="1396" priority="6796" operator="containsText" text="Lançado">
      <formula>NOT(ISERROR(SEARCH("Lançado",P196)))</formula>
    </cfRule>
    <cfRule type="containsText" dxfId="1395" priority="6797" operator="containsText" text="N/A">
      <formula>NOT(ISERROR(SEARCH("N/A",P196)))</formula>
    </cfRule>
    <cfRule type="containsText" dxfId="1394" priority="6798" operator="containsText" text="Pendente">
      <formula>NOT(ISERROR(SEARCH("Pendente",P196)))</formula>
    </cfRule>
    <cfRule type="expression" dxfId="1393" priority="6790">
      <formula>$H196="SUBETAPA"</formula>
    </cfRule>
  </conditionalFormatting>
  <conditionalFormatting sqref="P197:P202">
    <cfRule type="containsText" dxfId="1392" priority="3104" operator="containsText" text="Pendente">
      <formula>NOT(ISERROR(SEARCH("Pendente",P197)))</formula>
    </cfRule>
    <cfRule type="expression" dxfId="1391" priority="3099">
      <formula>$H197="SUBETAPA"</formula>
    </cfRule>
    <cfRule type="expression" dxfId="1390" priority="3101">
      <formula>$H197="ETAPA"</formula>
    </cfRule>
    <cfRule type="containsText" dxfId="1389" priority="3102" operator="containsText" text="Lançado">
      <formula>NOT(ISERROR(SEARCH("Lançado",P197)))</formula>
    </cfRule>
    <cfRule type="containsText" dxfId="1388" priority="3103" operator="containsText" text="N/A">
      <formula>NOT(ISERROR(SEARCH("N/A",P197)))</formula>
    </cfRule>
    <cfRule type="containsText" dxfId="1387" priority="3105" operator="containsText" text="Finalizado">
      <formula>NOT(ISERROR(SEARCH("Finalizado",P197)))</formula>
    </cfRule>
    <cfRule type="containsText" dxfId="1386" priority="3106" operator="containsText" text="em andamento">
      <formula>NOT(ISERROR(SEARCH("em andamento",P197)))</formula>
    </cfRule>
    <cfRule type="expression" dxfId="1385" priority="3100">
      <formula>$H197="CÉLULA CONSTRUTIVA"</formula>
    </cfRule>
    <cfRule type="expression" dxfId="1384" priority="3086">
      <formula>$H197="SUBETAPA"</formula>
    </cfRule>
    <cfRule type="expression" dxfId="1383" priority="3087">
      <formula>$H197="CÉLULA CONSTRUTIVA"</formula>
    </cfRule>
    <cfRule type="expression" dxfId="1382" priority="3088">
      <formula>$H197="ETAPA"</formula>
    </cfRule>
    <cfRule type="containsText" dxfId="1381" priority="3089" operator="containsText" text="Lançado">
      <formula>NOT(ISERROR(SEARCH("Lançado",P197)))</formula>
    </cfRule>
    <cfRule type="containsText" dxfId="1380" priority="3090" operator="containsText" text="N/A">
      <formula>NOT(ISERROR(SEARCH("N/A",P197)))</formula>
    </cfRule>
    <cfRule type="containsText" dxfId="1379" priority="3091" operator="containsText" text="Pendente">
      <formula>NOT(ISERROR(SEARCH("Pendente",P197)))</formula>
    </cfRule>
    <cfRule type="containsText" dxfId="1378" priority="3092" operator="containsText" text="Finalizado">
      <formula>NOT(ISERROR(SEARCH("Finalizado",P197)))</formula>
    </cfRule>
    <cfRule type="containsText" dxfId="1377" priority="3093" operator="containsText" text="em andamento">
      <formula>NOT(ISERROR(SEARCH("em andamento",P197)))</formula>
    </cfRule>
    <cfRule type="containsText" dxfId="1376" priority="3094" operator="containsText" text="Lançado">
      <formula>NOT(ISERROR(SEARCH("Lançado",P197)))</formula>
    </cfRule>
    <cfRule type="containsText" dxfId="1375" priority="3095" operator="containsText" text="N/A">
      <formula>NOT(ISERROR(SEARCH("N/A",P197)))</formula>
    </cfRule>
    <cfRule type="containsText" dxfId="1374" priority="3096" operator="containsText" text="Pendente">
      <formula>NOT(ISERROR(SEARCH("Pendente",P197)))</formula>
    </cfRule>
    <cfRule type="containsText" dxfId="1373" priority="3097" operator="containsText" text="Finalizado">
      <formula>NOT(ISERROR(SEARCH("Finalizado",P197)))</formula>
    </cfRule>
    <cfRule type="containsText" dxfId="1372" priority="3098" operator="containsText" text="em andamento">
      <formula>NOT(ISERROR(SEARCH("em andamento",P197)))</formula>
    </cfRule>
  </conditionalFormatting>
  <conditionalFormatting sqref="P203">
    <cfRule type="containsText" dxfId="1371" priority="7889" operator="containsText" text="Pendente">
      <formula>NOT(ISERROR(SEARCH("Pendente",P203)))</formula>
    </cfRule>
    <cfRule type="containsText" dxfId="1370" priority="7890" operator="containsText" text="Finalizado">
      <formula>NOT(ISERROR(SEARCH("Finalizado",P203)))</formula>
    </cfRule>
    <cfRule type="containsText" dxfId="1369" priority="7891" operator="containsText" text="em andamento">
      <formula>NOT(ISERROR(SEARCH("em andamento",P203)))</formula>
    </cfRule>
  </conditionalFormatting>
  <conditionalFormatting sqref="P203:P205">
    <cfRule type="containsText" dxfId="1368" priority="7842" operator="containsText" text="N/A">
      <formula>NOT(ISERROR(SEARCH("N/A",P203)))</formula>
    </cfRule>
    <cfRule type="containsText" dxfId="1367" priority="7841" operator="containsText" text="Lançado">
      <formula>NOT(ISERROR(SEARCH("Lançado",P203)))</formula>
    </cfRule>
  </conditionalFormatting>
  <conditionalFormatting sqref="P204 P209 P276:P278 P303 P299 P322 P320 P316:P318 P314 P312 P308 P305:P306 P301 P291:P292 P286 P284 P280 P213 P211 P377:P383 P335 P337 P17">
    <cfRule type="containsText" dxfId="1366" priority="8117" operator="containsText" text="em andamento">
      <formula>NOT(ISERROR(SEARCH("em andamento",P17)))</formula>
    </cfRule>
    <cfRule type="containsText" dxfId="1365" priority="8115" operator="containsText" text="Pendente">
      <formula>NOT(ISERROR(SEARCH("Pendente",P17)))</formula>
    </cfRule>
  </conditionalFormatting>
  <conditionalFormatting sqref="P205">
    <cfRule type="containsText" dxfId="1364" priority="7843" operator="containsText" text="Pendente">
      <formula>NOT(ISERROR(SEARCH("Pendente",P205)))</formula>
    </cfRule>
    <cfRule type="containsText" dxfId="1363" priority="7844" operator="containsText" text="Finalizado">
      <formula>NOT(ISERROR(SEARCH("Finalizado",P205)))</formula>
    </cfRule>
    <cfRule type="containsText" dxfId="1362" priority="7845" operator="containsText" text="em andamento">
      <formula>NOT(ISERROR(SEARCH("em andamento",P205)))</formula>
    </cfRule>
  </conditionalFormatting>
  <conditionalFormatting sqref="P205:P206">
    <cfRule type="expression" dxfId="1361" priority="7846">
      <formula>$H205="ETAPA"</formula>
    </cfRule>
  </conditionalFormatting>
  <conditionalFormatting sqref="P206">
    <cfRule type="containsText" dxfId="1360" priority="3222" operator="containsText" text="Pendente">
      <formula>NOT(ISERROR(SEARCH("Pendente",P206)))</formula>
    </cfRule>
    <cfRule type="containsText" dxfId="1359" priority="3221" operator="containsText" text="N/A">
      <formula>NOT(ISERROR(SEARCH("N/A",P206)))</formula>
    </cfRule>
    <cfRule type="containsText" dxfId="1358" priority="3215" operator="containsText" text="Lançado">
      <formula>NOT(ISERROR(SEARCH("Lançado",P206)))</formula>
    </cfRule>
    <cfRule type="containsText" dxfId="1357" priority="3217" operator="containsText" text="Pendente">
      <formula>NOT(ISERROR(SEARCH("Pendente",P206)))</formula>
    </cfRule>
    <cfRule type="containsText" dxfId="1356" priority="3218" operator="containsText" text="Finalizado">
      <formula>NOT(ISERROR(SEARCH("Finalizado",P206)))</formula>
    </cfRule>
    <cfRule type="containsText" dxfId="1355" priority="3216" operator="containsText" text="N/A">
      <formula>NOT(ISERROR(SEARCH("N/A",P206)))</formula>
    </cfRule>
    <cfRule type="containsText" dxfId="1354" priority="3219" operator="containsText" text="em andamento">
      <formula>NOT(ISERROR(SEARCH("em andamento",P206)))</formula>
    </cfRule>
    <cfRule type="containsText" dxfId="1353" priority="3220" operator="containsText" text="Lançado">
      <formula>NOT(ISERROR(SEARCH("Lançado",P206)))</formula>
    </cfRule>
    <cfRule type="containsText" dxfId="1352" priority="3230" operator="containsText" text="Pendente">
      <formula>NOT(ISERROR(SEARCH("Pendente",P206)))</formula>
    </cfRule>
    <cfRule type="containsText" dxfId="1351" priority="3232" operator="containsText" text="em andamento">
      <formula>NOT(ISERROR(SEARCH("em andamento",P206)))</formula>
    </cfRule>
    <cfRule type="containsText" dxfId="1350" priority="3231" operator="containsText" text="Finalizado">
      <formula>NOT(ISERROR(SEARCH("Finalizado",P206)))</formula>
    </cfRule>
    <cfRule type="containsText" dxfId="1349" priority="3228" operator="containsText" text="Lançado">
      <formula>NOT(ISERROR(SEARCH("Lançado",P206)))</formula>
    </cfRule>
    <cfRule type="containsText" dxfId="1348" priority="3229" operator="containsText" text="N/A">
      <formula>NOT(ISERROR(SEARCH("N/A",P206)))</formula>
    </cfRule>
    <cfRule type="containsText" dxfId="1347" priority="3224" operator="containsText" text="em andamento">
      <formula>NOT(ISERROR(SEARCH("em andamento",P206)))</formula>
    </cfRule>
    <cfRule type="containsText" dxfId="1346" priority="3223" operator="containsText" text="Finalizado">
      <formula>NOT(ISERROR(SEARCH("Finalizado",P206)))</formula>
    </cfRule>
  </conditionalFormatting>
  <conditionalFormatting sqref="P207">
    <cfRule type="containsText" dxfId="1345" priority="7850" operator="containsText" text="Finalizado">
      <formula>NOT(ISERROR(SEARCH("Finalizado",P207)))</formula>
    </cfRule>
    <cfRule type="containsText" dxfId="1344" priority="7849" operator="containsText" text="Pendente">
      <formula>NOT(ISERROR(SEARCH("Pendente",P207)))</formula>
    </cfRule>
    <cfRule type="containsText" dxfId="1343" priority="7848" operator="containsText" text="N/A">
      <formula>NOT(ISERROR(SEARCH("N/A",P207)))</formula>
    </cfRule>
    <cfRule type="containsText" dxfId="1342" priority="7847" operator="containsText" text="Lançado">
      <formula>NOT(ISERROR(SEARCH("Lançado",P207)))</formula>
    </cfRule>
    <cfRule type="containsText" dxfId="1341" priority="7851" operator="containsText" text="em andamento">
      <formula>NOT(ISERROR(SEARCH("em andamento",P207)))</formula>
    </cfRule>
  </conditionalFormatting>
  <conditionalFormatting sqref="P208">
    <cfRule type="containsText" dxfId="1340" priority="3253" operator="containsText" text="em andamento">
      <formula>NOT(ISERROR(SEARCH("em andamento",P208)))</formula>
    </cfRule>
    <cfRule type="containsText" dxfId="1339" priority="3244" operator="containsText" text="Finalizado">
      <formula>NOT(ISERROR(SEARCH("Finalizado",P208)))</formula>
    </cfRule>
    <cfRule type="containsText" dxfId="1338" priority="3250" operator="containsText" text="N/A">
      <formula>NOT(ISERROR(SEARCH("N/A",P208)))</formula>
    </cfRule>
    <cfRule type="containsText" dxfId="1337" priority="3245" operator="containsText" text="em andamento">
      <formula>NOT(ISERROR(SEARCH("em andamento",P208)))</formula>
    </cfRule>
    <cfRule type="expression" dxfId="1336" priority="3246">
      <formula>$H208="SUBETAPA"</formula>
    </cfRule>
    <cfRule type="expression" dxfId="1335" priority="3247">
      <formula>$H208="CÉLULA CONSTRUTIVA"</formula>
    </cfRule>
    <cfRule type="expression" dxfId="1334" priority="3248">
      <formula>$H208="ETAPA"</formula>
    </cfRule>
    <cfRule type="containsText" dxfId="1333" priority="3238" operator="containsText" text="Pendente">
      <formula>NOT(ISERROR(SEARCH("Pendente",P208)))</formula>
    </cfRule>
    <cfRule type="containsText" dxfId="1332" priority="3249" operator="containsText" text="Lançado">
      <formula>NOT(ISERROR(SEARCH("Lançado",P208)))</formula>
    </cfRule>
    <cfRule type="containsText" dxfId="1331" priority="3251" operator="containsText" text="Pendente">
      <formula>NOT(ISERROR(SEARCH("Pendente",P208)))</formula>
    </cfRule>
    <cfRule type="containsText" dxfId="1330" priority="3252" operator="containsText" text="Finalizado">
      <formula>NOT(ISERROR(SEARCH("Finalizado",P208)))</formula>
    </cfRule>
    <cfRule type="containsText" dxfId="1329" priority="3237" operator="containsText" text="N/A">
      <formula>NOT(ISERROR(SEARCH("N/A",P208)))</formula>
    </cfRule>
    <cfRule type="containsText" dxfId="1328" priority="3236" operator="containsText" text="Lançado">
      <formula>NOT(ISERROR(SEARCH("Lançado",P208)))</formula>
    </cfRule>
    <cfRule type="expression" dxfId="1327" priority="3235">
      <formula>$H208="ETAPA"</formula>
    </cfRule>
    <cfRule type="expression" dxfId="1326" priority="3234">
      <formula>$H208="CÉLULA CONSTRUTIVA"</formula>
    </cfRule>
    <cfRule type="expression" dxfId="1325" priority="3233">
      <formula>$H208="SUBETAPA"</formula>
    </cfRule>
    <cfRule type="containsText" dxfId="1324" priority="3243" operator="containsText" text="Pendente">
      <formula>NOT(ISERROR(SEARCH("Pendente",P208)))</formula>
    </cfRule>
    <cfRule type="containsText" dxfId="1323" priority="3240" operator="containsText" text="em andamento">
      <formula>NOT(ISERROR(SEARCH("em andamento",P208)))</formula>
    </cfRule>
    <cfRule type="containsText" dxfId="1322" priority="3241" operator="containsText" text="Lançado">
      <formula>NOT(ISERROR(SEARCH("Lançado",P208)))</formula>
    </cfRule>
    <cfRule type="containsText" dxfId="1321" priority="3242" operator="containsText" text="N/A">
      <formula>NOT(ISERROR(SEARCH("N/A",P208)))</formula>
    </cfRule>
    <cfRule type="containsText" dxfId="1320" priority="3239" operator="containsText" text="Finalizado">
      <formula>NOT(ISERROR(SEARCH("Finalizado",P208)))</formula>
    </cfRule>
  </conditionalFormatting>
  <conditionalFormatting sqref="P209">
    <cfRule type="expression" dxfId="1319" priority="7954">
      <formula>$H209="SUBETAPA"</formula>
    </cfRule>
    <cfRule type="expression" dxfId="1318" priority="7955">
      <formula>$H209="CÉLULA CONSTRUTIVA"</formula>
    </cfRule>
    <cfRule type="expression" dxfId="1317" priority="7979">
      <formula>$H209="SUBETAPA"</formula>
    </cfRule>
    <cfRule type="expression" dxfId="1316" priority="7958">
      <formula>$H209="CÉLULA CONSTRUTIVA"</formula>
    </cfRule>
    <cfRule type="expression" dxfId="1315" priority="7957">
      <formula>$H209="SUBETAPA"</formula>
    </cfRule>
    <cfRule type="expression" dxfId="1314" priority="7956">
      <formula>$H209="ETAPA"</formula>
    </cfRule>
    <cfRule type="expression" dxfId="1313" priority="7980">
      <formula>$H209="CÉLULA CONSTRUTIVA"</formula>
    </cfRule>
    <cfRule type="expression" dxfId="1312" priority="7981">
      <formula>$H209="ETAPA"</formula>
    </cfRule>
    <cfRule type="expression" dxfId="1311" priority="7982">
      <formula>$H209="SUBETAPA"</formula>
    </cfRule>
    <cfRule type="expression" dxfId="1310" priority="7987">
      <formula>$H209="ETAPA"</formula>
    </cfRule>
    <cfRule type="expression" dxfId="1309" priority="7986">
      <formula>$H209="CÉLULA CONSTRUTIVA"</formula>
    </cfRule>
    <cfRule type="expression" dxfId="1308" priority="7984">
      <formula>$H209="ETAPA"</formula>
    </cfRule>
    <cfRule type="expression" dxfId="1307" priority="7959">
      <formula>$H209="ETAPA"</formula>
    </cfRule>
    <cfRule type="expression" dxfId="1306" priority="7983">
      <formula>$H209="CÉLULA CONSTRUTIVA"</formula>
    </cfRule>
    <cfRule type="expression" dxfId="1305" priority="7985">
      <formula>$H209="SUBETAPA"</formula>
    </cfRule>
  </conditionalFormatting>
  <conditionalFormatting sqref="P210">
    <cfRule type="containsText" dxfId="1304" priority="3257" operator="containsText" text="Lançado">
      <formula>NOT(ISERROR(SEARCH("Lançado",P210)))</formula>
    </cfRule>
    <cfRule type="containsText" dxfId="1303" priority="3258" operator="containsText" text="N/A">
      <formula>NOT(ISERROR(SEARCH("N/A",P210)))</formula>
    </cfRule>
    <cfRule type="containsText" dxfId="1302" priority="3259" operator="containsText" text="Pendente">
      <formula>NOT(ISERROR(SEARCH("Pendente",P210)))</formula>
    </cfRule>
    <cfRule type="containsText" dxfId="1301" priority="3260" operator="containsText" text="Finalizado">
      <formula>NOT(ISERROR(SEARCH("Finalizado",P210)))</formula>
    </cfRule>
    <cfRule type="containsText" dxfId="1300" priority="3274" operator="containsText" text="em andamento">
      <formula>NOT(ISERROR(SEARCH("em andamento",P210)))</formula>
    </cfRule>
    <cfRule type="containsText" dxfId="1299" priority="3273" operator="containsText" text="Finalizado">
      <formula>NOT(ISERROR(SEARCH("Finalizado",P210)))</formula>
    </cfRule>
    <cfRule type="containsText" dxfId="1298" priority="3272" operator="containsText" text="Pendente">
      <formula>NOT(ISERROR(SEARCH("Pendente",P210)))</formula>
    </cfRule>
    <cfRule type="containsText" dxfId="1297" priority="3271" operator="containsText" text="N/A">
      <formula>NOT(ISERROR(SEARCH("N/A",P210)))</formula>
    </cfRule>
    <cfRule type="containsText" dxfId="1296" priority="3261" operator="containsText" text="em andamento">
      <formula>NOT(ISERROR(SEARCH("em andamento",P210)))</formula>
    </cfRule>
    <cfRule type="containsText" dxfId="1295" priority="3262" operator="containsText" text="Lançado">
      <formula>NOT(ISERROR(SEARCH("Lançado",P210)))</formula>
    </cfRule>
    <cfRule type="containsText" dxfId="1294" priority="3263" operator="containsText" text="N/A">
      <formula>NOT(ISERROR(SEARCH("N/A",P210)))</formula>
    </cfRule>
    <cfRule type="containsText" dxfId="1293" priority="3264" operator="containsText" text="Pendente">
      <formula>NOT(ISERROR(SEARCH("Pendente",P210)))</formula>
    </cfRule>
    <cfRule type="containsText" dxfId="1292" priority="3265" operator="containsText" text="Finalizado">
      <formula>NOT(ISERROR(SEARCH("Finalizado",P210)))</formula>
    </cfRule>
    <cfRule type="containsText" dxfId="1291" priority="3266" operator="containsText" text="em andamento">
      <formula>NOT(ISERROR(SEARCH("em andamento",P210)))</formula>
    </cfRule>
    <cfRule type="expression" dxfId="1290" priority="3267">
      <formula>$H210="SUBETAPA"</formula>
    </cfRule>
    <cfRule type="expression" dxfId="1289" priority="3269">
      <formula>$H210="ETAPA"</formula>
    </cfRule>
    <cfRule type="containsText" dxfId="1288" priority="3270" operator="containsText" text="Lançado">
      <formula>NOT(ISERROR(SEARCH("Lançado",P210)))</formula>
    </cfRule>
    <cfRule type="expression" dxfId="1287" priority="3268">
      <formula>$H210="CÉLULA CONSTRUTIVA"</formula>
    </cfRule>
    <cfRule type="expression" dxfId="1286" priority="3254">
      <formula>$H210="SUBETAPA"</formula>
    </cfRule>
    <cfRule type="expression" dxfId="1285" priority="3255">
      <formula>$H210="CÉLULA CONSTRUTIVA"</formula>
    </cfRule>
    <cfRule type="expression" dxfId="1284" priority="3256">
      <formula>$H210="ETAPA"</formula>
    </cfRule>
  </conditionalFormatting>
  <conditionalFormatting sqref="P212">
    <cfRule type="containsText" dxfId="1283" priority="3283" operator="containsText" text="Lançado">
      <formula>NOT(ISERROR(SEARCH("Lançado",P212)))</formula>
    </cfRule>
    <cfRule type="containsText" dxfId="1282" priority="3287" operator="containsText" text="em andamento">
      <formula>NOT(ISERROR(SEARCH("em andamento",P212)))</formula>
    </cfRule>
    <cfRule type="containsText" dxfId="1281" priority="3291" operator="containsText" text="Lançado">
      <formula>NOT(ISERROR(SEARCH("Lançado",P212)))</formula>
    </cfRule>
    <cfRule type="containsText" dxfId="1280" priority="3292" operator="containsText" text="N/A">
      <formula>NOT(ISERROR(SEARCH("N/A",P212)))</formula>
    </cfRule>
    <cfRule type="containsText" dxfId="1279" priority="3282" operator="containsText" text="em andamento">
      <formula>NOT(ISERROR(SEARCH("em andamento",P212)))</formula>
    </cfRule>
    <cfRule type="containsText" dxfId="1278" priority="3281" operator="containsText" text="Finalizado">
      <formula>NOT(ISERROR(SEARCH("Finalizado",P212)))</formula>
    </cfRule>
    <cfRule type="containsText" dxfId="1277" priority="3280" operator="containsText" text="Pendente">
      <formula>NOT(ISERROR(SEARCH("Pendente",P212)))</formula>
    </cfRule>
    <cfRule type="containsText" dxfId="1276" priority="3279" operator="containsText" text="N/A">
      <formula>NOT(ISERROR(SEARCH("N/A",P212)))</formula>
    </cfRule>
    <cfRule type="containsText" dxfId="1275" priority="3278" operator="containsText" text="Lançado">
      <formula>NOT(ISERROR(SEARCH("Lançado",P212)))</formula>
    </cfRule>
    <cfRule type="containsText" dxfId="1274" priority="3293" operator="containsText" text="Pendente">
      <formula>NOT(ISERROR(SEARCH("Pendente",P212)))</formula>
    </cfRule>
    <cfRule type="containsText" dxfId="1273" priority="3294" operator="containsText" text="Finalizado">
      <formula>NOT(ISERROR(SEARCH("Finalizado",P212)))</formula>
    </cfRule>
    <cfRule type="containsText" dxfId="1272" priority="3295" operator="containsText" text="em andamento">
      <formula>NOT(ISERROR(SEARCH("em andamento",P212)))</formula>
    </cfRule>
    <cfRule type="containsText" dxfId="1271" priority="3284" operator="containsText" text="N/A">
      <formula>NOT(ISERROR(SEARCH("N/A",P212)))</formula>
    </cfRule>
    <cfRule type="containsText" dxfId="1270" priority="3285" operator="containsText" text="Pendente">
      <formula>NOT(ISERROR(SEARCH("Pendente",P212)))</formula>
    </cfRule>
    <cfRule type="containsText" dxfId="1269" priority="3286" operator="containsText" text="Finalizado">
      <formula>NOT(ISERROR(SEARCH("Finalizado",P212)))</formula>
    </cfRule>
  </conditionalFormatting>
  <conditionalFormatting sqref="P213">
    <cfRule type="containsText" dxfId="1268" priority="7856" operator="containsText" text="em andamento">
      <formula>NOT(ISERROR(SEARCH("em andamento",P213)))</formula>
    </cfRule>
    <cfRule type="containsText" dxfId="1267" priority="7855" operator="containsText" text="Finalizado">
      <formula>NOT(ISERROR(SEARCH("Finalizado",P213)))</formula>
    </cfRule>
    <cfRule type="containsText" dxfId="1266" priority="7854" operator="containsText" text="Pendente">
      <formula>NOT(ISERROR(SEARCH("Pendente",P213)))</formula>
    </cfRule>
    <cfRule type="containsText" dxfId="1265" priority="7853" operator="containsText" text="N/A">
      <formula>NOT(ISERROR(SEARCH("N/A",P213)))</formula>
    </cfRule>
    <cfRule type="containsText" dxfId="1264" priority="7852" operator="containsText" text="Lançado">
      <formula>NOT(ISERROR(SEARCH("Lançado",P213)))</formula>
    </cfRule>
  </conditionalFormatting>
  <conditionalFormatting sqref="P214:P215">
    <cfRule type="expression" dxfId="1263" priority="7604">
      <formula>$H214="SUBETAPA"</formula>
    </cfRule>
    <cfRule type="expression" dxfId="1262" priority="7603">
      <formula>$H214="ETAPA"</formula>
    </cfRule>
    <cfRule type="expression" dxfId="1261" priority="7602">
      <formula>$H214="CÉLULA CONSTRUTIVA"</formula>
    </cfRule>
    <cfRule type="expression" dxfId="1260" priority="7601">
      <formula>$H214="SUBETAPA"</formula>
    </cfRule>
    <cfRule type="containsText" dxfId="1259" priority="7600" operator="containsText" text="em andamento">
      <formula>NOT(ISERROR(SEARCH("em andamento",P214)))</formula>
    </cfRule>
    <cfRule type="containsText" dxfId="1258" priority="7599" operator="containsText" text="Finalizado">
      <formula>NOT(ISERROR(SEARCH("Finalizado",P214)))</formula>
    </cfRule>
    <cfRule type="containsText" dxfId="1257" priority="7598" operator="containsText" text="Pendente">
      <formula>NOT(ISERROR(SEARCH("Pendente",P214)))</formula>
    </cfRule>
    <cfRule type="containsText" dxfId="1256" priority="7614" operator="containsText" text="em andamento">
      <formula>NOT(ISERROR(SEARCH("em andamento",P214)))</formula>
    </cfRule>
    <cfRule type="containsText" dxfId="1255" priority="7613" operator="containsText" text="Finalizado">
      <formula>NOT(ISERROR(SEARCH("Finalizado",P214)))</formula>
    </cfRule>
    <cfRule type="containsText" dxfId="1254" priority="7612" operator="containsText" text="Pendente">
      <formula>NOT(ISERROR(SEARCH("Pendente",P214)))</formula>
    </cfRule>
    <cfRule type="containsText" dxfId="1253" priority="7611" operator="containsText" text="N/A">
      <formula>NOT(ISERROR(SEARCH("N/A",P214)))</formula>
    </cfRule>
    <cfRule type="containsText" dxfId="1252" priority="7610" operator="containsText" text="Lançado">
      <formula>NOT(ISERROR(SEARCH("Lançado",P214)))</formula>
    </cfRule>
    <cfRule type="expression" dxfId="1251" priority="7609">
      <formula>$H214="ETAPA"</formula>
    </cfRule>
    <cfRule type="expression" dxfId="1250" priority="7608">
      <formula>$H214="CÉLULA CONSTRUTIVA"</formula>
    </cfRule>
    <cfRule type="expression" dxfId="1249" priority="7607">
      <formula>$H214="SUBETAPA"</formula>
    </cfRule>
    <cfRule type="expression" dxfId="1248" priority="7606">
      <formula>$H214="ETAPA"</formula>
    </cfRule>
    <cfRule type="expression" dxfId="1247" priority="7605">
      <formula>$H214="CÉLULA CONSTRUTIVA"</formula>
    </cfRule>
  </conditionalFormatting>
  <conditionalFormatting sqref="P214:P221">
    <cfRule type="containsText" dxfId="1246" priority="3418" operator="containsText" text="N/A">
      <formula>NOT(ISERROR(SEARCH("N/A",P214)))</formula>
    </cfRule>
    <cfRule type="containsText" dxfId="1245" priority="3417" operator="containsText" text="Lançado">
      <formula>NOT(ISERROR(SEARCH("Lançado",P214)))</formula>
    </cfRule>
  </conditionalFormatting>
  <conditionalFormatting sqref="P216:P221">
    <cfRule type="expression" dxfId="1244" priority="3415">
      <formula>$H216="CÉLULA CONSTRUTIVA"</formula>
    </cfRule>
    <cfRule type="expression" dxfId="1243" priority="3414">
      <formula>$H216="SUBETAPA"</formula>
    </cfRule>
    <cfRule type="containsText" dxfId="1242" priority="3413" operator="containsText" text="em andamento">
      <formula>NOT(ISERROR(SEARCH("em andamento",P216)))</formula>
    </cfRule>
    <cfRule type="expression" dxfId="1241" priority="3416">
      <formula>$H216="ETAPA"</formula>
    </cfRule>
    <cfRule type="containsText" dxfId="1240" priority="3412" operator="containsText" text="Finalizado">
      <formula>NOT(ISERROR(SEARCH("Finalizado",P216)))</formula>
    </cfRule>
    <cfRule type="containsText" dxfId="1239" priority="3411" operator="containsText" text="Pendente">
      <formula>NOT(ISERROR(SEARCH("Pendente",P216)))</formula>
    </cfRule>
    <cfRule type="containsText" dxfId="1238" priority="3421" operator="containsText" text="em andamento">
      <formula>NOT(ISERROR(SEARCH("em andamento",P216)))</formula>
    </cfRule>
    <cfRule type="containsText" dxfId="1237" priority="3420" operator="containsText" text="Finalizado">
      <formula>NOT(ISERROR(SEARCH("Finalizado",P216)))</formula>
    </cfRule>
    <cfRule type="containsText" dxfId="1236" priority="3419" operator="containsText" text="Pendente">
      <formula>NOT(ISERROR(SEARCH("Pendente",P216)))</formula>
    </cfRule>
    <cfRule type="expression" dxfId="1235" priority="3401">
      <formula>$H216="SUBETAPA"</formula>
    </cfRule>
    <cfRule type="expression" dxfId="1234" priority="3402">
      <formula>$H216="CÉLULA CONSTRUTIVA"</formula>
    </cfRule>
    <cfRule type="expression" dxfId="1233" priority="3403">
      <formula>$H216="ETAPA"</formula>
    </cfRule>
    <cfRule type="containsText" dxfId="1232" priority="3404" operator="containsText" text="Lançado">
      <formula>NOT(ISERROR(SEARCH("Lançado",P216)))</formula>
    </cfRule>
    <cfRule type="containsText" dxfId="1231" priority="3405" operator="containsText" text="N/A">
      <formula>NOT(ISERROR(SEARCH("N/A",P216)))</formula>
    </cfRule>
    <cfRule type="containsText" dxfId="1230" priority="3406" operator="containsText" text="Pendente">
      <formula>NOT(ISERROR(SEARCH("Pendente",P216)))</formula>
    </cfRule>
    <cfRule type="containsText" dxfId="1229" priority="3407" operator="containsText" text="Finalizado">
      <formula>NOT(ISERROR(SEARCH("Finalizado",P216)))</formula>
    </cfRule>
    <cfRule type="containsText" dxfId="1228" priority="3408" operator="containsText" text="em andamento">
      <formula>NOT(ISERROR(SEARCH("em andamento",P216)))</formula>
    </cfRule>
    <cfRule type="containsText" dxfId="1227" priority="3409" operator="containsText" text="Lançado">
      <formula>NOT(ISERROR(SEARCH("Lançado",P216)))</formula>
    </cfRule>
    <cfRule type="containsText" dxfId="1226" priority="3410" operator="containsText" text="N/A">
      <formula>NOT(ISERROR(SEARCH("N/A",P216)))</formula>
    </cfRule>
  </conditionalFormatting>
  <conditionalFormatting sqref="P222 P7:P9 P225 P234 P322 P12:P14 P62 P389:P390 P377:P386 P335 P337 P392:P401 P17">
    <cfRule type="containsText" dxfId="1225" priority="8047" operator="containsText" text="Pendente">
      <formula>NOT(ISERROR(SEARCH("Pendente",P7)))</formula>
    </cfRule>
  </conditionalFormatting>
  <conditionalFormatting sqref="P223:P224">
    <cfRule type="expression" dxfId="1224" priority="1060">
      <formula>$H223="CÉLULA CONSTRUTIVA"</formula>
    </cfRule>
    <cfRule type="expression" dxfId="1223" priority="1059">
      <formula>$H223="SUBETAPA"</formula>
    </cfRule>
    <cfRule type="containsText" dxfId="1222" priority="1078" operator="containsText" text="Finalizado">
      <formula>NOT(ISERROR(SEARCH("Finalizado",P223)))</formula>
    </cfRule>
    <cfRule type="containsText" dxfId="1221" priority="1070" operator="containsText" text="Finalizado">
      <formula>NOT(ISERROR(SEARCH("Finalizado",P223)))</formula>
    </cfRule>
    <cfRule type="containsText" dxfId="1220" priority="1079" operator="containsText" text="em andamento">
      <formula>NOT(ISERROR(SEARCH("em andamento",P223)))</formula>
    </cfRule>
    <cfRule type="containsText" dxfId="1219" priority="1077" operator="containsText" text="Pendente">
      <formula>NOT(ISERROR(SEARCH("Pendente",P223)))</formula>
    </cfRule>
    <cfRule type="containsText" dxfId="1218" priority="1076" operator="containsText" text="N/A">
      <formula>NOT(ISERROR(SEARCH("N/A",P223)))</formula>
    </cfRule>
    <cfRule type="containsText" dxfId="1217" priority="1075" operator="containsText" text="Lançado">
      <formula>NOT(ISERROR(SEARCH("Lançado",P223)))</formula>
    </cfRule>
    <cfRule type="expression" dxfId="1216" priority="1074">
      <formula>$H223="ETAPA"</formula>
    </cfRule>
    <cfRule type="expression" dxfId="1215" priority="1073">
      <formula>$H223="CÉLULA CONSTRUTIVA"</formula>
    </cfRule>
    <cfRule type="expression" dxfId="1214" priority="1072">
      <formula>$H223="SUBETAPA"</formula>
    </cfRule>
    <cfRule type="containsText" dxfId="1213" priority="1071" operator="containsText" text="em andamento">
      <formula>NOT(ISERROR(SEARCH("em andamento",P223)))</formula>
    </cfRule>
    <cfRule type="containsText" dxfId="1212" priority="1069" operator="containsText" text="Pendente">
      <formula>NOT(ISERROR(SEARCH("Pendente",P223)))</formula>
    </cfRule>
    <cfRule type="containsText" dxfId="1211" priority="1068" operator="containsText" text="N/A">
      <formula>NOT(ISERROR(SEARCH("N/A",P223)))</formula>
    </cfRule>
    <cfRule type="containsText" dxfId="1210" priority="1067" operator="containsText" text="Lançado">
      <formula>NOT(ISERROR(SEARCH("Lançado",P223)))</formula>
    </cfRule>
    <cfRule type="containsText" dxfId="1209" priority="1066" operator="containsText" text="em andamento">
      <formula>NOT(ISERROR(SEARCH("em andamento",P223)))</formula>
    </cfRule>
    <cfRule type="containsText" dxfId="1208" priority="1065" operator="containsText" text="Finalizado">
      <formula>NOT(ISERROR(SEARCH("Finalizado",P223)))</formula>
    </cfRule>
    <cfRule type="containsText" dxfId="1207" priority="1064" operator="containsText" text="Pendente">
      <formula>NOT(ISERROR(SEARCH("Pendente",P223)))</formula>
    </cfRule>
    <cfRule type="containsText" dxfId="1206" priority="1063" operator="containsText" text="N/A">
      <formula>NOT(ISERROR(SEARCH("N/A",P223)))</formula>
    </cfRule>
    <cfRule type="containsText" dxfId="1205" priority="1062" operator="containsText" text="Lançado">
      <formula>NOT(ISERROR(SEARCH("Lançado",P223)))</formula>
    </cfRule>
    <cfRule type="expression" dxfId="1204" priority="1061">
      <formula>$H223="ETAPA"</formula>
    </cfRule>
  </conditionalFormatting>
  <conditionalFormatting sqref="P225">
    <cfRule type="containsText" dxfId="1203" priority="7952" operator="containsText" text="Finalizado">
      <formula>NOT(ISERROR(SEARCH("Finalizado",P225)))</formula>
    </cfRule>
    <cfRule type="containsText" dxfId="1202" priority="7953" operator="containsText" text="em andamento">
      <formula>NOT(ISERROR(SEARCH("em andamento",P225)))</formula>
    </cfRule>
  </conditionalFormatting>
  <conditionalFormatting sqref="P226:P231">
    <cfRule type="expression" dxfId="1201" priority="3382">
      <formula>$H226="ETAPA"</formula>
    </cfRule>
    <cfRule type="expression" dxfId="1200" priority="3380">
      <formula>$H226="SUBETAPA"</formula>
    </cfRule>
    <cfRule type="containsText" dxfId="1199" priority="3399" operator="containsText" text="Finalizado">
      <formula>NOT(ISERROR(SEARCH("Finalizado",P226)))</formula>
    </cfRule>
    <cfRule type="containsText" dxfId="1198" priority="3392" operator="containsText" text="em andamento">
      <formula>NOT(ISERROR(SEARCH("em andamento",P226)))</formula>
    </cfRule>
    <cfRule type="expression" dxfId="1197" priority="3381">
      <formula>$H226="CÉLULA CONSTRUTIVA"</formula>
    </cfRule>
    <cfRule type="containsText" dxfId="1196" priority="3398" operator="containsText" text="Pendente">
      <formula>NOT(ISERROR(SEARCH("Pendente",P226)))</formula>
    </cfRule>
    <cfRule type="containsText" dxfId="1195" priority="3389" operator="containsText" text="N/A">
      <formula>NOT(ISERROR(SEARCH("N/A",P226)))</formula>
    </cfRule>
    <cfRule type="containsText" dxfId="1194" priority="3400" operator="containsText" text="em andamento">
      <formula>NOT(ISERROR(SEARCH("em andamento",P226)))</formula>
    </cfRule>
    <cfRule type="containsText" dxfId="1193" priority="3391" operator="containsText" text="Finalizado">
      <formula>NOT(ISERROR(SEARCH("Finalizado",P226)))</formula>
    </cfRule>
    <cfRule type="containsText" dxfId="1192" priority="3397" operator="containsText" text="N/A">
      <formula>NOT(ISERROR(SEARCH("N/A",P226)))</formula>
    </cfRule>
    <cfRule type="containsText" dxfId="1191" priority="3396" operator="containsText" text="Lançado">
      <formula>NOT(ISERROR(SEARCH("Lançado",P226)))</formula>
    </cfRule>
    <cfRule type="expression" dxfId="1190" priority="3395">
      <formula>$H226="ETAPA"</formula>
    </cfRule>
    <cfRule type="expression" dxfId="1189" priority="3394">
      <formula>$H226="CÉLULA CONSTRUTIVA"</formula>
    </cfRule>
    <cfRule type="expression" dxfId="1188" priority="3393">
      <formula>$H226="SUBETAPA"</formula>
    </cfRule>
    <cfRule type="containsText" dxfId="1187" priority="3390" operator="containsText" text="Pendente">
      <formula>NOT(ISERROR(SEARCH("Pendente",P226)))</formula>
    </cfRule>
    <cfRule type="containsText" dxfId="1186" priority="3388" operator="containsText" text="Lançado">
      <formula>NOT(ISERROR(SEARCH("Lançado",P226)))</formula>
    </cfRule>
    <cfRule type="containsText" dxfId="1185" priority="3387" operator="containsText" text="em andamento">
      <formula>NOT(ISERROR(SEARCH("em andamento",P226)))</formula>
    </cfRule>
    <cfRule type="containsText" dxfId="1184" priority="3386" operator="containsText" text="Finalizado">
      <formula>NOT(ISERROR(SEARCH("Finalizado",P226)))</formula>
    </cfRule>
    <cfRule type="containsText" dxfId="1183" priority="3385" operator="containsText" text="Pendente">
      <formula>NOT(ISERROR(SEARCH("Pendente",P226)))</formula>
    </cfRule>
    <cfRule type="containsText" dxfId="1182" priority="3384" operator="containsText" text="N/A">
      <formula>NOT(ISERROR(SEARCH("N/A",P226)))</formula>
    </cfRule>
    <cfRule type="containsText" dxfId="1181" priority="3383" operator="containsText" text="Lançado">
      <formula>NOT(ISERROR(SEARCH("Lançado",P226)))</formula>
    </cfRule>
  </conditionalFormatting>
  <conditionalFormatting sqref="P232">
    <cfRule type="containsText" dxfId="1180" priority="4737" operator="containsText" text="N/A">
      <formula>NOT(ISERROR(SEARCH("N/A",P232)))</formula>
    </cfRule>
    <cfRule type="containsText" dxfId="1179" priority="4736" operator="containsText" text="Lançado">
      <formula>NOT(ISERROR(SEARCH("Lançado",P232)))</formula>
    </cfRule>
    <cfRule type="containsText" dxfId="1178" priority="4735" operator="containsText" text="em andamento">
      <formula>NOT(ISERROR(SEARCH("em andamento",P232)))</formula>
    </cfRule>
    <cfRule type="containsText" dxfId="1177" priority="4734" operator="containsText" text="Finalizado">
      <formula>NOT(ISERROR(SEARCH("Finalizado",P232)))</formula>
    </cfRule>
    <cfRule type="expression" dxfId="1176" priority="4726">
      <formula>$H232="CÉLULA CONSTRUTIVA"</formula>
    </cfRule>
    <cfRule type="expression" dxfId="1175" priority="4725">
      <formula>$H232="SUBETAPA"</formula>
    </cfRule>
    <cfRule type="containsText" dxfId="1174" priority="4717" operator="containsText" text="Finalizado">
      <formula>NOT(ISERROR(SEARCH("Finalizado",P232)))</formula>
    </cfRule>
    <cfRule type="containsText" dxfId="1173" priority="4718" operator="containsText" text="em andamento">
      <formula>NOT(ISERROR(SEARCH("em andamento",P232)))</formula>
    </cfRule>
    <cfRule type="containsText" dxfId="1172" priority="4716" operator="containsText" text="Pendente">
      <formula>NOT(ISERROR(SEARCH("Pendente",P232)))</formula>
    </cfRule>
    <cfRule type="containsText" dxfId="1171" priority="4729" operator="containsText" text="N/A">
      <formula>NOT(ISERROR(SEARCH("N/A",P232)))</formula>
    </cfRule>
    <cfRule type="expression" dxfId="1170" priority="4727">
      <formula>$H232="ETAPA"</formula>
    </cfRule>
    <cfRule type="containsText" dxfId="1169" priority="4728" operator="containsText" text="Lançado">
      <formula>NOT(ISERROR(SEARCH("Lançado",P232)))</formula>
    </cfRule>
    <cfRule type="containsText" dxfId="1168" priority="4733" operator="containsText" text="Pendente">
      <formula>NOT(ISERROR(SEARCH("Pendente",P232)))</formula>
    </cfRule>
  </conditionalFormatting>
  <conditionalFormatting sqref="P233">
    <cfRule type="containsText" dxfId="1167" priority="3363" operator="containsText" text="N/A">
      <formula>NOT(ISERROR(SEARCH("N/A",P233)))</formula>
    </cfRule>
    <cfRule type="expression" dxfId="1166" priority="3372">
      <formula>$H233="SUBETAPA"</formula>
    </cfRule>
    <cfRule type="expression" dxfId="1165" priority="3374">
      <formula>$H233="ETAPA"</formula>
    </cfRule>
    <cfRule type="containsText" dxfId="1164" priority="3375" operator="containsText" text="Lançado">
      <formula>NOT(ISERROR(SEARCH("Lançado",P233)))</formula>
    </cfRule>
    <cfRule type="containsText" dxfId="1163" priority="3376" operator="containsText" text="N/A">
      <formula>NOT(ISERROR(SEARCH("N/A",P233)))</formula>
    </cfRule>
    <cfRule type="containsText" dxfId="1162" priority="3368" operator="containsText" text="N/A">
      <formula>NOT(ISERROR(SEARCH("N/A",P233)))</formula>
    </cfRule>
    <cfRule type="containsText" dxfId="1161" priority="3367" operator="containsText" text="Lançado">
      <formula>NOT(ISERROR(SEARCH("Lançado",P233)))</formula>
    </cfRule>
    <cfRule type="containsText" dxfId="1160" priority="3379" operator="containsText" text="em andamento">
      <formula>NOT(ISERROR(SEARCH("em andamento",P233)))</formula>
    </cfRule>
    <cfRule type="containsText" dxfId="1159" priority="3378" operator="containsText" text="Finalizado">
      <formula>NOT(ISERROR(SEARCH("Finalizado",P233)))</formula>
    </cfRule>
    <cfRule type="containsText" dxfId="1158" priority="3366" operator="containsText" text="em andamento">
      <formula>NOT(ISERROR(SEARCH("em andamento",P233)))</formula>
    </cfRule>
    <cfRule type="containsText" dxfId="1157" priority="3365" operator="containsText" text="Finalizado">
      <formula>NOT(ISERROR(SEARCH("Finalizado",P233)))</formula>
    </cfRule>
    <cfRule type="containsText" dxfId="1156" priority="3364" operator="containsText" text="Pendente">
      <formula>NOT(ISERROR(SEARCH("Pendente",P233)))</formula>
    </cfRule>
    <cfRule type="containsText" dxfId="1155" priority="3362" operator="containsText" text="Lançado">
      <formula>NOT(ISERROR(SEARCH("Lançado",P233)))</formula>
    </cfRule>
    <cfRule type="expression" dxfId="1154" priority="3361">
      <formula>$H233="ETAPA"</formula>
    </cfRule>
    <cfRule type="expression" dxfId="1153" priority="3359">
      <formula>$H233="SUBETAPA"</formula>
    </cfRule>
    <cfRule type="expression" dxfId="1152" priority="3360">
      <formula>$H233="CÉLULA CONSTRUTIVA"</formula>
    </cfRule>
    <cfRule type="expression" dxfId="1151" priority="3373">
      <formula>$H233="CÉLULA CONSTRUTIVA"</formula>
    </cfRule>
    <cfRule type="containsText" dxfId="1150" priority="3369" operator="containsText" text="Pendente">
      <formula>NOT(ISERROR(SEARCH("Pendente",P233)))</formula>
    </cfRule>
    <cfRule type="containsText" dxfId="1149" priority="3370" operator="containsText" text="Finalizado">
      <formula>NOT(ISERROR(SEARCH("Finalizado",P233)))</formula>
    </cfRule>
    <cfRule type="containsText" dxfId="1148" priority="3371" operator="containsText" text="em andamento">
      <formula>NOT(ISERROR(SEARCH("em andamento",P233)))</formula>
    </cfRule>
    <cfRule type="containsText" dxfId="1147" priority="3377" operator="containsText" text="Pendente">
      <formula>NOT(ISERROR(SEARCH("Pendente",P233)))</formula>
    </cfRule>
  </conditionalFormatting>
  <conditionalFormatting sqref="P234">
    <cfRule type="expression" dxfId="1146" priority="7946">
      <formula>$H234="CÉLULA CONSTRUTIVA"</formula>
    </cfRule>
    <cfRule type="expression" dxfId="1145" priority="7950">
      <formula>$H234="ETAPA"</formula>
    </cfRule>
    <cfRule type="containsText" dxfId="1144" priority="7951" operator="containsText" text="em andamento">
      <formula>NOT(ISERROR(SEARCH("em andamento",P234)))</formula>
    </cfRule>
    <cfRule type="expression" dxfId="1143" priority="7949">
      <formula>$H234="CÉLULA CONSTRUTIVA"</formula>
    </cfRule>
    <cfRule type="expression" dxfId="1142" priority="7948">
      <formula>$H234="SUBETAPA"</formula>
    </cfRule>
    <cfRule type="expression" dxfId="1141" priority="7945">
      <formula>$H234="SUBETAPA"</formula>
    </cfRule>
    <cfRule type="expression" dxfId="1140" priority="7947">
      <formula>$H234="ETAPA"</formula>
    </cfRule>
  </conditionalFormatting>
  <conditionalFormatting sqref="P235:P240">
    <cfRule type="containsText" dxfId="1139" priority="3345" operator="containsText" text="em andamento">
      <formula>NOT(ISERROR(SEARCH("em andamento",P235)))</formula>
    </cfRule>
    <cfRule type="expression" dxfId="1138" priority="3351">
      <formula>$H235="SUBETAPA"</formula>
    </cfRule>
    <cfRule type="containsText" dxfId="1137" priority="3357" operator="containsText" text="Finalizado">
      <formula>NOT(ISERROR(SEARCH("Finalizado",P235)))</formula>
    </cfRule>
    <cfRule type="containsText" dxfId="1136" priority="3356" operator="containsText" text="Pendente">
      <formula>NOT(ISERROR(SEARCH("Pendente",P235)))</formula>
    </cfRule>
    <cfRule type="containsText" dxfId="1135" priority="3355" operator="containsText" text="N/A">
      <formula>NOT(ISERROR(SEARCH("N/A",P235)))</formula>
    </cfRule>
    <cfRule type="containsText" dxfId="1134" priority="3346" operator="containsText" text="Lançado">
      <formula>NOT(ISERROR(SEARCH("Lançado",P235)))</formula>
    </cfRule>
    <cfRule type="containsText" dxfId="1133" priority="3358" operator="containsText" text="em andamento">
      <formula>NOT(ISERROR(SEARCH("em andamento",P235)))</formula>
    </cfRule>
    <cfRule type="containsText" dxfId="1132" priority="3350" operator="containsText" text="em andamento">
      <formula>NOT(ISERROR(SEARCH("em andamento",P235)))</formula>
    </cfRule>
    <cfRule type="containsText" dxfId="1131" priority="3343" operator="containsText" text="Pendente">
      <formula>NOT(ISERROR(SEARCH("Pendente",P235)))</formula>
    </cfRule>
    <cfRule type="expression" dxfId="1130" priority="3352">
      <formula>$H235="CÉLULA CONSTRUTIVA"</formula>
    </cfRule>
    <cfRule type="containsText" dxfId="1129" priority="3347" operator="containsText" text="N/A">
      <formula>NOT(ISERROR(SEARCH("N/A",P235)))</formula>
    </cfRule>
    <cfRule type="containsText" dxfId="1128" priority="3348" operator="containsText" text="Pendente">
      <formula>NOT(ISERROR(SEARCH("Pendente",P235)))</formula>
    </cfRule>
    <cfRule type="containsText" dxfId="1127" priority="3349" operator="containsText" text="Finalizado">
      <formula>NOT(ISERROR(SEARCH("Finalizado",P235)))</formula>
    </cfRule>
    <cfRule type="containsText" dxfId="1126" priority="3354" operator="containsText" text="Lançado">
      <formula>NOT(ISERROR(SEARCH("Lançado",P235)))</formula>
    </cfRule>
    <cfRule type="expression" dxfId="1125" priority="3353">
      <formula>$H235="ETAPA"</formula>
    </cfRule>
    <cfRule type="expression" dxfId="1124" priority="3339">
      <formula>$H235="CÉLULA CONSTRUTIVA"</formula>
    </cfRule>
    <cfRule type="expression" dxfId="1123" priority="3340">
      <formula>$H235="ETAPA"</formula>
    </cfRule>
    <cfRule type="containsText" dxfId="1122" priority="3341" operator="containsText" text="Lançado">
      <formula>NOT(ISERROR(SEARCH("Lançado",P235)))</formula>
    </cfRule>
    <cfRule type="containsText" dxfId="1121" priority="3342" operator="containsText" text="N/A">
      <formula>NOT(ISERROR(SEARCH("N/A",P235)))</formula>
    </cfRule>
    <cfRule type="expression" dxfId="1120" priority="3338">
      <formula>$H235="SUBETAPA"</formula>
    </cfRule>
    <cfRule type="containsText" dxfId="1119" priority="3344" operator="containsText" text="Finalizado">
      <formula>NOT(ISERROR(SEARCH("Finalizado",P235)))</formula>
    </cfRule>
  </conditionalFormatting>
  <conditionalFormatting sqref="P242">
    <cfRule type="containsText" dxfId="1118" priority="3329" operator="containsText" text="em andamento">
      <formula>NOT(ISERROR(SEARCH("em andamento",P242)))</formula>
    </cfRule>
    <cfRule type="expression" dxfId="1117" priority="3330">
      <formula>$H242="SUBETAPA"</formula>
    </cfRule>
    <cfRule type="expression" dxfId="1116" priority="3331">
      <formula>$H242="CÉLULA CONSTRUTIVA"</formula>
    </cfRule>
    <cfRule type="expression" dxfId="1115" priority="3332">
      <formula>$H242="ETAPA"</formula>
    </cfRule>
    <cfRule type="containsText" dxfId="1114" priority="3333" operator="containsText" text="Lançado">
      <formula>NOT(ISERROR(SEARCH("Lançado",P242)))</formula>
    </cfRule>
    <cfRule type="containsText" dxfId="1113" priority="3334" operator="containsText" text="N/A">
      <formula>NOT(ISERROR(SEARCH("N/A",P242)))</formula>
    </cfRule>
    <cfRule type="containsText" dxfId="1112" priority="3335" operator="containsText" text="Pendente">
      <formula>NOT(ISERROR(SEARCH("Pendente",P242)))</formula>
    </cfRule>
    <cfRule type="containsText" dxfId="1111" priority="3336" operator="containsText" text="Finalizado">
      <formula>NOT(ISERROR(SEARCH("Finalizado",P242)))</formula>
    </cfRule>
    <cfRule type="containsText" dxfId="1110" priority="3337" operator="containsText" text="em andamento">
      <formula>NOT(ISERROR(SEARCH("em andamento",P242)))</formula>
    </cfRule>
    <cfRule type="expression" dxfId="1109" priority="3318">
      <formula>$H242="CÉLULA CONSTRUTIVA"</formula>
    </cfRule>
    <cfRule type="containsText" dxfId="1108" priority="3322" operator="containsText" text="Pendente">
      <formula>NOT(ISERROR(SEARCH("Pendente",P242)))</formula>
    </cfRule>
    <cfRule type="expression" dxfId="1107" priority="3317">
      <formula>$H242="SUBETAPA"</formula>
    </cfRule>
    <cfRule type="expression" dxfId="1106" priority="3319">
      <formula>$H242="ETAPA"</formula>
    </cfRule>
    <cfRule type="containsText" dxfId="1105" priority="3320" operator="containsText" text="Lançado">
      <formula>NOT(ISERROR(SEARCH("Lançado",P242)))</formula>
    </cfRule>
    <cfRule type="containsText" dxfId="1104" priority="3321" operator="containsText" text="N/A">
      <formula>NOT(ISERROR(SEARCH("N/A",P242)))</formula>
    </cfRule>
    <cfRule type="containsText" dxfId="1103" priority="3323" operator="containsText" text="Finalizado">
      <formula>NOT(ISERROR(SEARCH("Finalizado",P242)))</formula>
    </cfRule>
    <cfRule type="containsText" dxfId="1102" priority="3324" operator="containsText" text="em andamento">
      <formula>NOT(ISERROR(SEARCH("em andamento",P242)))</formula>
    </cfRule>
    <cfRule type="containsText" dxfId="1101" priority="3325" operator="containsText" text="Lançado">
      <formula>NOT(ISERROR(SEARCH("Lançado",P242)))</formula>
    </cfRule>
    <cfRule type="containsText" dxfId="1100" priority="3326" operator="containsText" text="N/A">
      <formula>NOT(ISERROR(SEARCH("N/A",P242)))</formula>
    </cfRule>
    <cfRule type="containsText" dxfId="1099" priority="3327" operator="containsText" text="Pendente">
      <formula>NOT(ISERROR(SEARCH("Pendente",P242)))</formula>
    </cfRule>
    <cfRule type="containsText" dxfId="1098" priority="3328" operator="containsText" text="Finalizado">
      <formula>NOT(ISERROR(SEARCH("Finalizado",P242)))</formula>
    </cfRule>
  </conditionalFormatting>
  <conditionalFormatting sqref="P243">
    <cfRule type="containsText" dxfId="1097" priority="7823" operator="containsText" text="N/A">
      <formula>NOT(ISERROR(SEARCH("N/A",P243)))</formula>
    </cfRule>
    <cfRule type="containsText" dxfId="1096" priority="7822" operator="containsText" text="Lançado">
      <formula>NOT(ISERROR(SEARCH("Lançado",P243)))</formula>
    </cfRule>
    <cfRule type="containsText" dxfId="1095" priority="7812" operator="containsText" text="em andamento">
      <formula>NOT(ISERROR(SEARCH("em andamento",P243)))</formula>
    </cfRule>
    <cfRule type="containsText" dxfId="1094" priority="7811" operator="containsText" text="Finalizado">
      <formula>NOT(ISERROR(SEARCH("Finalizado",P243)))</formula>
    </cfRule>
    <cfRule type="containsText" dxfId="1093" priority="7810" operator="containsText" text="Pendente">
      <formula>NOT(ISERROR(SEARCH("Pendente",P243)))</formula>
    </cfRule>
    <cfRule type="containsText" dxfId="1092" priority="7824" operator="containsText" text="Pendente">
      <formula>NOT(ISERROR(SEARCH("Pendente",P243)))</formula>
    </cfRule>
    <cfRule type="containsText" dxfId="1091" priority="7825" operator="containsText" text="Finalizado">
      <formula>NOT(ISERROR(SEARCH("Finalizado",P243)))</formula>
    </cfRule>
    <cfRule type="containsText" dxfId="1090" priority="7808" operator="containsText" text="Lançado">
      <formula>NOT(ISERROR(SEARCH("Lançado",P243)))</formula>
    </cfRule>
    <cfRule type="containsText" dxfId="1089" priority="7826" operator="containsText" text="em andamento">
      <formula>NOT(ISERROR(SEARCH("em andamento",P243)))</formula>
    </cfRule>
    <cfRule type="containsText" dxfId="1088" priority="7809" operator="containsText" text="N/A">
      <formula>NOT(ISERROR(SEARCH("N/A",P243)))</formula>
    </cfRule>
  </conditionalFormatting>
  <conditionalFormatting sqref="P244:P255">
    <cfRule type="expression" dxfId="1087" priority="3310">
      <formula>$H244="CÉLULA CONSTRUTIVA"</formula>
    </cfRule>
    <cfRule type="containsText" dxfId="1086" priority="3299" operator="containsText" text="Lançado">
      <formula>NOT(ISERROR(SEARCH("Lançado",P244)))</formula>
    </cfRule>
    <cfRule type="expression" dxfId="1085" priority="3298">
      <formula>$H244="ETAPA"</formula>
    </cfRule>
    <cfRule type="expression" dxfId="1084" priority="3297">
      <formula>$H244="CÉLULA CONSTRUTIVA"</formula>
    </cfRule>
    <cfRule type="containsText" dxfId="1083" priority="3303" operator="containsText" text="em andamento">
      <formula>NOT(ISERROR(SEARCH("em andamento",P244)))</formula>
    </cfRule>
    <cfRule type="containsText" dxfId="1082" priority="3316" operator="containsText" text="em andamento">
      <formula>NOT(ISERROR(SEARCH("em andamento",P244)))</formula>
    </cfRule>
    <cfRule type="containsText" dxfId="1081" priority="3315" operator="containsText" text="Finalizado">
      <formula>NOT(ISERROR(SEARCH("Finalizado",P244)))</formula>
    </cfRule>
    <cfRule type="containsText" dxfId="1080" priority="3314" operator="containsText" text="Pendente">
      <formula>NOT(ISERROR(SEARCH("Pendente",P244)))</formula>
    </cfRule>
    <cfRule type="containsText" dxfId="1079" priority="3313" operator="containsText" text="N/A">
      <formula>NOT(ISERROR(SEARCH("N/A",P244)))</formula>
    </cfRule>
    <cfRule type="containsText" dxfId="1078" priority="3312" operator="containsText" text="Lançado">
      <formula>NOT(ISERROR(SEARCH("Lançado",P244)))</formula>
    </cfRule>
    <cfRule type="expression" dxfId="1077" priority="3311">
      <formula>$H244="ETAPA"</formula>
    </cfRule>
    <cfRule type="expression" dxfId="1076" priority="3296">
      <formula>$H244="SUBETAPA"</formula>
    </cfRule>
    <cfRule type="expression" dxfId="1075" priority="3309">
      <formula>$H244="SUBETAPA"</formula>
    </cfRule>
    <cfRule type="containsText" dxfId="1074" priority="3308" operator="containsText" text="em andamento">
      <formula>NOT(ISERROR(SEARCH("em andamento",P244)))</formula>
    </cfRule>
    <cfRule type="containsText" dxfId="1073" priority="3307" operator="containsText" text="Finalizado">
      <formula>NOT(ISERROR(SEARCH("Finalizado",P244)))</formula>
    </cfRule>
    <cfRule type="containsText" dxfId="1072" priority="3306" operator="containsText" text="Pendente">
      <formula>NOT(ISERROR(SEARCH("Pendente",P244)))</formula>
    </cfRule>
    <cfRule type="containsText" dxfId="1071" priority="3305" operator="containsText" text="N/A">
      <formula>NOT(ISERROR(SEARCH("N/A",P244)))</formula>
    </cfRule>
    <cfRule type="containsText" dxfId="1070" priority="3304" operator="containsText" text="Lançado">
      <formula>NOT(ISERROR(SEARCH("Lançado",P244)))</formula>
    </cfRule>
    <cfRule type="containsText" dxfId="1069" priority="3301" operator="containsText" text="Pendente">
      <formula>NOT(ISERROR(SEARCH("Pendente",P244)))</formula>
    </cfRule>
    <cfRule type="containsText" dxfId="1068" priority="3302" operator="containsText" text="Finalizado">
      <formula>NOT(ISERROR(SEARCH("Finalizado",P244)))</formula>
    </cfRule>
    <cfRule type="containsText" dxfId="1067" priority="3300" operator="containsText" text="N/A">
      <formula>NOT(ISERROR(SEARCH("N/A",P244)))</formula>
    </cfRule>
  </conditionalFormatting>
  <conditionalFormatting sqref="P256">
    <cfRule type="expression" dxfId="1066" priority="7964">
      <formula>$H256="CÉLULA CONSTRUTIVA"</formula>
    </cfRule>
    <cfRule type="expression" dxfId="1065" priority="7965">
      <formula>$H256="ETAPA"</formula>
    </cfRule>
    <cfRule type="containsText" dxfId="1064" priority="7966" operator="containsText" text="Lançado">
      <formula>NOT(ISERROR(SEARCH("Lançado",P256)))</formula>
    </cfRule>
    <cfRule type="containsText" dxfId="1063" priority="7967" operator="containsText" text="N/A">
      <formula>NOT(ISERROR(SEARCH("N/A",P256)))</formula>
    </cfRule>
    <cfRule type="expression" dxfId="1062" priority="7960">
      <formula>$H256="SUBETAPA"</formula>
    </cfRule>
    <cfRule type="expression" dxfId="1061" priority="7963">
      <formula>$H256="SUBETAPA"</formula>
    </cfRule>
    <cfRule type="expression" dxfId="1060" priority="7961">
      <formula>$H256="CÉLULA CONSTRUTIVA"</formula>
    </cfRule>
    <cfRule type="containsText" dxfId="1059" priority="7968" operator="containsText" text="Pendente">
      <formula>NOT(ISERROR(SEARCH("Pendente",P256)))</formula>
    </cfRule>
    <cfRule type="containsText" dxfId="1058" priority="7970" operator="containsText" text="em andamento">
      <formula>NOT(ISERROR(SEARCH("em andamento",P256)))</formula>
    </cfRule>
    <cfRule type="containsText" dxfId="1057" priority="7969" operator="containsText" text="Finalizado">
      <formula>NOT(ISERROR(SEARCH("Finalizado",P256)))</formula>
    </cfRule>
    <cfRule type="expression" dxfId="1056" priority="7962">
      <formula>$H256="ETAPA"</formula>
    </cfRule>
  </conditionalFormatting>
  <conditionalFormatting sqref="P259:P261">
    <cfRule type="containsText" dxfId="1055" priority="3431" operator="containsText" text="N/A">
      <formula>NOT(ISERROR(SEARCH("N/A",P259)))</formula>
    </cfRule>
    <cfRule type="containsText" dxfId="1054" priority="3430" operator="containsText" text="Lançado">
      <formula>NOT(ISERROR(SEARCH("Lançado",P259)))</formula>
    </cfRule>
    <cfRule type="containsText" dxfId="1053" priority="3429" operator="containsText" text="em andamento">
      <formula>NOT(ISERROR(SEARCH("em andamento",P259)))</formula>
    </cfRule>
    <cfRule type="containsText" dxfId="1052" priority="3428" operator="containsText" text="Finalizado">
      <formula>NOT(ISERROR(SEARCH("Finalizado",P259)))</formula>
    </cfRule>
    <cfRule type="containsText" dxfId="1051" priority="3427" operator="containsText" text="Pendente">
      <formula>NOT(ISERROR(SEARCH("Pendente",P259)))</formula>
    </cfRule>
    <cfRule type="containsText" dxfId="1050" priority="3426" operator="containsText" text="N/A">
      <formula>NOT(ISERROR(SEARCH("N/A",P259)))</formula>
    </cfRule>
    <cfRule type="containsText" dxfId="1049" priority="3425" operator="containsText" text="Lançado">
      <formula>NOT(ISERROR(SEARCH("Lançado",P259)))</formula>
    </cfRule>
    <cfRule type="expression" dxfId="1048" priority="3424">
      <formula>$H259="ETAPA"</formula>
    </cfRule>
    <cfRule type="expression" dxfId="1047" priority="3423">
      <formula>$H259="CÉLULA CONSTRUTIVA"</formula>
    </cfRule>
    <cfRule type="expression" dxfId="1046" priority="3422">
      <formula>$H259="SUBETAPA"</formula>
    </cfRule>
    <cfRule type="containsText" dxfId="1045" priority="3439" operator="containsText" text="N/A">
      <formula>NOT(ISERROR(SEARCH("N/A",P259)))</formula>
    </cfRule>
    <cfRule type="containsText" dxfId="1044" priority="3440" operator="containsText" text="Pendente">
      <formula>NOT(ISERROR(SEARCH("Pendente",P259)))</formula>
    </cfRule>
    <cfRule type="containsText" dxfId="1043" priority="3441" operator="containsText" text="Finalizado">
      <formula>NOT(ISERROR(SEARCH("Finalizado",P259)))</formula>
    </cfRule>
    <cfRule type="containsText" dxfId="1042" priority="3442" operator="containsText" text="em andamento">
      <formula>NOT(ISERROR(SEARCH("em andamento",P259)))</formula>
    </cfRule>
    <cfRule type="expression" dxfId="1041" priority="3436">
      <formula>$H259="CÉLULA CONSTRUTIVA"</formula>
    </cfRule>
    <cfRule type="containsText" dxfId="1040" priority="3434" operator="containsText" text="em andamento">
      <formula>NOT(ISERROR(SEARCH("em andamento",P259)))</formula>
    </cfRule>
    <cfRule type="expression" dxfId="1039" priority="3437">
      <formula>$H259="ETAPA"</formula>
    </cfRule>
    <cfRule type="containsText" dxfId="1038" priority="3438" operator="containsText" text="Lançado">
      <formula>NOT(ISERROR(SEARCH("Lançado",P259)))</formula>
    </cfRule>
    <cfRule type="containsText" dxfId="1037" priority="3433" operator="containsText" text="Finalizado">
      <formula>NOT(ISERROR(SEARCH("Finalizado",P259)))</formula>
    </cfRule>
    <cfRule type="containsText" dxfId="1036" priority="3432" operator="containsText" text="Pendente">
      <formula>NOT(ISERROR(SEARCH("Pendente",P259)))</formula>
    </cfRule>
    <cfRule type="expression" dxfId="1035" priority="3435">
      <formula>$H259="SUBETAPA"</formula>
    </cfRule>
  </conditionalFormatting>
  <conditionalFormatting sqref="P262">
    <cfRule type="containsText" dxfId="1034" priority="8207" operator="containsText" text="Lançado">
      <formula>NOT(ISERROR(SEARCH("Lançado",P262)))</formula>
    </cfRule>
    <cfRule type="containsText" dxfId="1033" priority="8208" operator="containsText" text="N/A">
      <formula>NOT(ISERROR(SEARCH("N/A",P262)))</formula>
    </cfRule>
    <cfRule type="containsText" dxfId="1032" priority="8209" operator="containsText" text="Pendente">
      <formula>NOT(ISERROR(SEARCH("Pendente",P262)))</formula>
    </cfRule>
  </conditionalFormatting>
  <conditionalFormatting sqref="P263:P264">
    <cfRule type="containsText" dxfId="1031" priority="3463" operator="containsText" text="em andamento">
      <formula>NOT(ISERROR(SEARCH("em andamento",P263)))</formula>
    </cfRule>
    <cfRule type="containsText" dxfId="1030" priority="3462" operator="containsText" text="Finalizado">
      <formula>NOT(ISERROR(SEARCH("Finalizado",P263)))</formula>
    </cfRule>
    <cfRule type="containsText" dxfId="1029" priority="3461" operator="containsText" text="Pendente">
      <formula>NOT(ISERROR(SEARCH("Pendente",P263)))</formula>
    </cfRule>
    <cfRule type="containsText" dxfId="1028" priority="3460" operator="containsText" text="N/A">
      <formula>NOT(ISERROR(SEARCH("N/A",P263)))</formula>
    </cfRule>
    <cfRule type="containsText" dxfId="1027" priority="3459" operator="containsText" text="Lançado">
      <formula>NOT(ISERROR(SEARCH("Lançado",P263)))</formula>
    </cfRule>
    <cfRule type="expression" dxfId="1026" priority="3458">
      <formula>$H263="ETAPA"</formula>
    </cfRule>
    <cfRule type="expression" dxfId="1025" priority="3457">
      <formula>$H263="CÉLULA CONSTRUTIVA"</formula>
    </cfRule>
    <cfRule type="expression" dxfId="1024" priority="3456">
      <formula>$H263="SUBETAPA"</formula>
    </cfRule>
    <cfRule type="containsText" dxfId="1023" priority="3455" operator="containsText" text="em andamento">
      <formula>NOT(ISERROR(SEARCH("em andamento",P263)))</formula>
    </cfRule>
    <cfRule type="expression" dxfId="1022" priority="3443">
      <formula>$H263="SUBETAPA"</formula>
    </cfRule>
    <cfRule type="expression" dxfId="1021" priority="3444">
      <formula>$H263="CÉLULA CONSTRUTIVA"</formula>
    </cfRule>
    <cfRule type="expression" dxfId="1020" priority="3445">
      <formula>$H263="ETAPA"</formula>
    </cfRule>
    <cfRule type="containsText" dxfId="1019" priority="3446" operator="containsText" text="Lançado">
      <formula>NOT(ISERROR(SEARCH("Lançado",P263)))</formula>
    </cfRule>
    <cfRule type="containsText" dxfId="1018" priority="3447" operator="containsText" text="N/A">
      <formula>NOT(ISERROR(SEARCH("N/A",P263)))</formula>
    </cfRule>
    <cfRule type="containsText" dxfId="1017" priority="3448" operator="containsText" text="Pendente">
      <formula>NOT(ISERROR(SEARCH("Pendente",P263)))</formula>
    </cfRule>
    <cfRule type="containsText" dxfId="1016" priority="3449" operator="containsText" text="Finalizado">
      <formula>NOT(ISERROR(SEARCH("Finalizado",P263)))</formula>
    </cfRule>
    <cfRule type="containsText" dxfId="1015" priority="3453" operator="containsText" text="Pendente">
      <formula>NOT(ISERROR(SEARCH("Pendente",P263)))</formula>
    </cfRule>
    <cfRule type="containsText" dxfId="1014" priority="3454" operator="containsText" text="Finalizado">
      <formula>NOT(ISERROR(SEARCH("Finalizado",P263)))</formula>
    </cfRule>
    <cfRule type="containsText" dxfId="1013" priority="3450" operator="containsText" text="em andamento">
      <formula>NOT(ISERROR(SEARCH("em andamento",P263)))</formula>
    </cfRule>
    <cfRule type="containsText" dxfId="1012" priority="3451" operator="containsText" text="Lançado">
      <formula>NOT(ISERROR(SEARCH("Lançado",P263)))</formula>
    </cfRule>
    <cfRule type="containsText" dxfId="1011" priority="3452" operator="containsText" text="N/A">
      <formula>NOT(ISERROR(SEARCH("N/A",P263)))</formula>
    </cfRule>
  </conditionalFormatting>
  <conditionalFormatting sqref="P265 P291:P292 P305">
    <cfRule type="expression" dxfId="1010" priority="7873">
      <formula>$H265="CÉLULA CONSTRUTIVA"</formula>
    </cfRule>
    <cfRule type="containsText" dxfId="1009" priority="7876" operator="containsText" text="Lançado">
      <formula>NOT(ISERROR(SEARCH("Lançado",P265)))</formula>
    </cfRule>
    <cfRule type="containsText" dxfId="1008" priority="7877" operator="containsText" text="N/A">
      <formula>NOT(ISERROR(SEARCH("N/A",P265)))</formula>
    </cfRule>
    <cfRule type="containsText" dxfId="1007" priority="7879" operator="containsText" text="Finalizado">
      <formula>NOT(ISERROR(SEARCH("Finalizado",P265)))</formula>
    </cfRule>
  </conditionalFormatting>
  <conditionalFormatting sqref="P266:P267">
    <cfRule type="expression" dxfId="1006" priority="3477">
      <formula>$H266="SUBETAPA"</formula>
    </cfRule>
    <cfRule type="containsText" dxfId="1005" priority="3476" operator="containsText" text="em andamento">
      <formula>NOT(ISERROR(SEARCH("em andamento",P266)))</formula>
    </cfRule>
    <cfRule type="containsText" dxfId="1004" priority="3481" operator="containsText" text="N/A">
      <formula>NOT(ISERROR(SEARCH("N/A",P266)))</formula>
    </cfRule>
    <cfRule type="expression" dxfId="1003" priority="3479">
      <formula>$H266="ETAPA"</formula>
    </cfRule>
    <cfRule type="expression" dxfId="1002" priority="3478">
      <formula>$H266="CÉLULA CONSTRUTIVA"</formula>
    </cfRule>
    <cfRule type="containsText" dxfId="1001" priority="3475" operator="containsText" text="Finalizado">
      <formula>NOT(ISERROR(SEARCH("Finalizado",P266)))</formula>
    </cfRule>
    <cfRule type="containsText" dxfId="1000" priority="3473" operator="containsText" text="N/A">
      <formula>NOT(ISERROR(SEARCH("N/A",P266)))</formula>
    </cfRule>
    <cfRule type="containsText" dxfId="999" priority="3472" operator="containsText" text="Lançado">
      <formula>NOT(ISERROR(SEARCH("Lançado",P266)))</formula>
    </cfRule>
    <cfRule type="containsText" dxfId="998" priority="3471" operator="containsText" text="em andamento">
      <formula>NOT(ISERROR(SEARCH("em andamento",P266)))</formula>
    </cfRule>
    <cfRule type="containsText" dxfId="997" priority="3470" operator="containsText" text="Finalizado">
      <formula>NOT(ISERROR(SEARCH("Finalizado",P266)))</formula>
    </cfRule>
    <cfRule type="containsText" dxfId="996" priority="3469" operator="containsText" text="Pendente">
      <formula>NOT(ISERROR(SEARCH("Pendente",P266)))</formula>
    </cfRule>
    <cfRule type="containsText" dxfId="995" priority="3468" operator="containsText" text="N/A">
      <formula>NOT(ISERROR(SEARCH("N/A",P266)))</formula>
    </cfRule>
    <cfRule type="containsText" dxfId="994" priority="3467" operator="containsText" text="Lançado">
      <formula>NOT(ISERROR(SEARCH("Lançado",P266)))</formula>
    </cfRule>
    <cfRule type="expression" dxfId="993" priority="3466">
      <formula>$H266="ETAPA"</formula>
    </cfRule>
    <cfRule type="expression" dxfId="992" priority="3465">
      <formula>$H266="CÉLULA CONSTRUTIVA"</formula>
    </cfRule>
    <cfRule type="expression" dxfId="991" priority="3464">
      <formula>$H266="SUBETAPA"</formula>
    </cfRule>
    <cfRule type="containsText" dxfId="990" priority="3474" operator="containsText" text="Pendente">
      <formula>NOT(ISERROR(SEARCH("Pendente",P266)))</formula>
    </cfRule>
    <cfRule type="containsText" dxfId="989" priority="3480" operator="containsText" text="Lançado">
      <formula>NOT(ISERROR(SEARCH("Lançado",P266)))</formula>
    </cfRule>
    <cfRule type="containsText" dxfId="988" priority="3484" operator="containsText" text="em andamento">
      <formula>NOT(ISERROR(SEARCH("em andamento",P266)))</formula>
    </cfRule>
    <cfRule type="containsText" dxfId="987" priority="3482" operator="containsText" text="Pendente">
      <formula>NOT(ISERROR(SEARCH("Pendente",P266)))</formula>
    </cfRule>
    <cfRule type="containsText" dxfId="986" priority="3483" operator="containsText" text="Finalizado">
      <formula>NOT(ISERROR(SEARCH("Finalizado",P266)))</formula>
    </cfRule>
  </conditionalFormatting>
  <conditionalFormatting sqref="P269:P275">
    <cfRule type="containsText" dxfId="985" priority="3489" operator="containsText" text="N/A">
      <formula>NOT(ISERROR(SEARCH("N/A",P269)))</formula>
    </cfRule>
    <cfRule type="containsText" dxfId="984" priority="3490" operator="containsText" text="Pendente">
      <formula>NOT(ISERROR(SEARCH("Pendente",P269)))</formula>
    </cfRule>
    <cfRule type="containsText" dxfId="983" priority="3491" operator="containsText" text="Finalizado">
      <formula>NOT(ISERROR(SEARCH("Finalizado",P269)))</formula>
    </cfRule>
    <cfRule type="containsText" dxfId="982" priority="3492" operator="containsText" text="em andamento">
      <formula>NOT(ISERROR(SEARCH("em andamento",P269)))</formula>
    </cfRule>
    <cfRule type="containsText" dxfId="981" priority="3493" operator="containsText" text="Lançado">
      <formula>NOT(ISERROR(SEARCH("Lançado",P269)))</formula>
    </cfRule>
    <cfRule type="containsText" dxfId="980" priority="3494" operator="containsText" text="N/A">
      <formula>NOT(ISERROR(SEARCH("N/A",P269)))</formula>
    </cfRule>
    <cfRule type="containsText" dxfId="979" priority="3495" operator="containsText" text="Pendente">
      <formula>NOT(ISERROR(SEARCH("Pendente",P269)))</formula>
    </cfRule>
    <cfRule type="containsText" dxfId="978" priority="3496" operator="containsText" text="Finalizado">
      <formula>NOT(ISERROR(SEARCH("Finalizado",P269)))</formula>
    </cfRule>
    <cfRule type="containsText" dxfId="977" priority="3497" operator="containsText" text="em andamento">
      <formula>NOT(ISERROR(SEARCH("em andamento",P269)))</formula>
    </cfRule>
    <cfRule type="expression" dxfId="976" priority="3498">
      <formula>$H269="SUBETAPA"</formula>
    </cfRule>
    <cfRule type="expression" dxfId="975" priority="3499">
      <formula>$H269="CÉLULA CONSTRUTIVA"</formula>
    </cfRule>
    <cfRule type="expression" dxfId="974" priority="3500">
      <formula>$H269="ETAPA"</formula>
    </cfRule>
    <cfRule type="containsText" dxfId="973" priority="3502" operator="containsText" text="N/A">
      <formula>NOT(ISERROR(SEARCH("N/A",P269)))</formula>
    </cfRule>
    <cfRule type="containsText" dxfId="972" priority="3503" operator="containsText" text="Pendente">
      <formula>NOT(ISERROR(SEARCH("Pendente",P269)))</formula>
    </cfRule>
    <cfRule type="containsText" dxfId="971" priority="3504" operator="containsText" text="Finalizado">
      <formula>NOT(ISERROR(SEARCH("Finalizado",P269)))</formula>
    </cfRule>
    <cfRule type="containsText" dxfId="970" priority="3505" operator="containsText" text="em andamento">
      <formula>NOT(ISERROR(SEARCH("em andamento",P269)))</formula>
    </cfRule>
    <cfRule type="containsText" dxfId="969" priority="3501" operator="containsText" text="Lançado">
      <formula>NOT(ISERROR(SEARCH("Lançado",P269)))</formula>
    </cfRule>
    <cfRule type="expression" dxfId="968" priority="3485">
      <formula>$H269="SUBETAPA"</formula>
    </cfRule>
    <cfRule type="expression" dxfId="967" priority="3486">
      <formula>$H269="CÉLULA CONSTRUTIVA"</formula>
    </cfRule>
    <cfRule type="expression" dxfId="966" priority="3487">
      <formula>$H269="ETAPA"</formula>
    </cfRule>
    <cfRule type="containsText" dxfId="965" priority="3488" operator="containsText" text="Lançado">
      <formula>NOT(ISERROR(SEARCH("Lançado",P269)))</formula>
    </cfRule>
  </conditionalFormatting>
  <conditionalFormatting sqref="P276:P278 P280 P284 P209 P17 P305:P306 P322 P335 P337 P376:P383 P291:P292 P213 P299 P301 P303 P314 P316:P318 P286 P308 P320 P211 P312">
    <cfRule type="containsText" dxfId="964" priority="8113" operator="containsText" text="Lançado">
      <formula>NOT(ISERROR(SEARCH("Lançado",P17)))</formula>
    </cfRule>
    <cfRule type="containsText" dxfId="963" priority="8114" operator="containsText" text="N/A">
      <formula>NOT(ISERROR(SEARCH("N/A",P17)))</formula>
    </cfRule>
  </conditionalFormatting>
  <conditionalFormatting sqref="P277">
    <cfRule type="containsText" dxfId="962" priority="8078" operator="containsText" text="em andamento">
      <formula>NOT(ISERROR(SEARCH("em andamento",P277)))</formula>
    </cfRule>
  </conditionalFormatting>
  <conditionalFormatting sqref="P277:P278 P280">
    <cfRule type="containsText" dxfId="961" priority="8074" operator="containsText" text="Lançado">
      <formula>NOT(ISERROR(SEARCH("Lançado",P277)))</formula>
    </cfRule>
    <cfRule type="containsText" dxfId="960" priority="8075" operator="containsText" text="N/A">
      <formula>NOT(ISERROR(SEARCH("N/A",P277)))</formula>
    </cfRule>
    <cfRule type="containsText" dxfId="959" priority="8076" operator="containsText" text="Pendente">
      <formula>NOT(ISERROR(SEARCH("Pendente",P277)))</formula>
    </cfRule>
  </conditionalFormatting>
  <conditionalFormatting sqref="P277:P278">
    <cfRule type="containsText" dxfId="958" priority="8077" operator="containsText" text="Finalizado">
      <formula>NOT(ISERROR(SEARCH("Finalizado",P277)))</formula>
    </cfRule>
  </conditionalFormatting>
  <conditionalFormatting sqref="P278 P280 P284">
    <cfRule type="containsText" dxfId="957" priority="8091" operator="containsText" text="em andamento">
      <formula>NOT(ISERROR(SEARCH("em andamento",P278)))</formula>
    </cfRule>
  </conditionalFormatting>
  <conditionalFormatting sqref="P279">
    <cfRule type="containsText" dxfId="956" priority="3526" operator="containsText" text="em andamento">
      <formula>NOT(ISERROR(SEARCH("em andamento",P279)))</formula>
    </cfRule>
    <cfRule type="containsText" dxfId="955" priority="3525" operator="containsText" text="Finalizado">
      <formula>NOT(ISERROR(SEARCH("Finalizado",P279)))</formula>
    </cfRule>
    <cfRule type="containsText" dxfId="954" priority="3524" operator="containsText" text="Pendente">
      <formula>NOT(ISERROR(SEARCH("Pendente",P279)))</formula>
    </cfRule>
    <cfRule type="containsText" dxfId="953" priority="3522" operator="containsText" text="Lançado">
      <formula>NOT(ISERROR(SEARCH("Lançado",P279)))</formula>
    </cfRule>
    <cfRule type="containsText" dxfId="952" priority="3516" operator="containsText" text="Pendente">
      <formula>NOT(ISERROR(SEARCH("Pendente",P279)))</formula>
    </cfRule>
    <cfRule type="expression" dxfId="951" priority="3519">
      <formula>$H279="SUBETAPA"</formula>
    </cfRule>
    <cfRule type="expression" dxfId="950" priority="3520">
      <formula>$H279="CÉLULA CONSTRUTIVA"</formula>
    </cfRule>
    <cfRule type="expression" dxfId="949" priority="3521">
      <formula>$H279="ETAPA"</formula>
    </cfRule>
    <cfRule type="containsText" dxfId="948" priority="3523" operator="containsText" text="N/A">
      <formula>NOT(ISERROR(SEARCH("N/A",P279)))</formula>
    </cfRule>
    <cfRule type="containsText" dxfId="947" priority="3518" operator="containsText" text="em andamento">
      <formula>NOT(ISERROR(SEARCH("em andamento",P279)))</formula>
    </cfRule>
    <cfRule type="containsText" dxfId="946" priority="3517" operator="containsText" text="Finalizado">
      <formula>NOT(ISERROR(SEARCH("Finalizado",P279)))</formula>
    </cfRule>
    <cfRule type="containsText" dxfId="945" priority="3515" operator="containsText" text="N/A">
      <formula>NOT(ISERROR(SEARCH("N/A",P279)))</formula>
    </cfRule>
    <cfRule type="containsText" dxfId="944" priority="3514" operator="containsText" text="Lançado">
      <formula>NOT(ISERROR(SEARCH("Lançado",P279)))</formula>
    </cfRule>
    <cfRule type="containsText" dxfId="943" priority="3513" operator="containsText" text="em andamento">
      <formula>NOT(ISERROR(SEARCH("em andamento",P279)))</formula>
    </cfRule>
    <cfRule type="containsText" dxfId="942" priority="3512" operator="containsText" text="Finalizado">
      <formula>NOT(ISERROR(SEARCH("Finalizado",P279)))</formula>
    </cfRule>
    <cfRule type="containsText" dxfId="941" priority="3511" operator="containsText" text="Pendente">
      <formula>NOT(ISERROR(SEARCH("Pendente",P279)))</formula>
    </cfRule>
    <cfRule type="containsText" dxfId="940" priority="3510" operator="containsText" text="N/A">
      <formula>NOT(ISERROR(SEARCH("N/A",P279)))</formula>
    </cfRule>
    <cfRule type="containsText" dxfId="939" priority="3509" operator="containsText" text="Lançado">
      <formula>NOT(ISERROR(SEARCH("Lançado",P279)))</formula>
    </cfRule>
    <cfRule type="expression" dxfId="938" priority="3508">
      <formula>$H279="ETAPA"</formula>
    </cfRule>
    <cfRule type="expression" dxfId="937" priority="3507">
      <formula>$H279="CÉLULA CONSTRUTIVA"</formula>
    </cfRule>
    <cfRule type="expression" dxfId="936" priority="3506">
      <formula>$H279="SUBETAPA"</formula>
    </cfRule>
  </conditionalFormatting>
  <conditionalFormatting sqref="P281">
    <cfRule type="expression" dxfId="935" priority="3527">
      <formula>$H281="SUBETAPA"</formula>
    </cfRule>
    <cfRule type="expression" dxfId="934" priority="3541">
      <formula>$H281="CÉLULA CONSTRUTIVA"</formula>
    </cfRule>
    <cfRule type="containsText" dxfId="933" priority="3546" operator="containsText" text="Finalizado">
      <formula>NOT(ISERROR(SEARCH("Finalizado",P281)))</formula>
    </cfRule>
    <cfRule type="expression" dxfId="932" priority="3540">
      <formula>$H281="SUBETAPA"</formula>
    </cfRule>
    <cfRule type="containsText" dxfId="931" priority="3539" operator="containsText" text="em andamento">
      <formula>NOT(ISERROR(SEARCH("em andamento",P281)))</formula>
    </cfRule>
    <cfRule type="expression" dxfId="930" priority="3528">
      <formula>$H281="CÉLULA CONSTRUTIVA"</formula>
    </cfRule>
    <cfRule type="containsText" dxfId="929" priority="3538" operator="containsText" text="Finalizado">
      <formula>NOT(ISERROR(SEARCH("Finalizado",P281)))</formula>
    </cfRule>
    <cfRule type="containsText" dxfId="928" priority="3537" operator="containsText" text="Pendente">
      <formula>NOT(ISERROR(SEARCH("Pendente",P281)))</formula>
    </cfRule>
    <cfRule type="containsText" dxfId="927" priority="3536" operator="containsText" text="N/A">
      <formula>NOT(ISERROR(SEARCH("N/A",P281)))</formula>
    </cfRule>
    <cfRule type="containsText" dxfId="926" priority="3535" operator="containsText" text="Lançado">
      <formula>NOT(ISERROR(SEARCH("Lançado",P281)))</formula>
    </cfRule>
    <cfRule type="containsText" dxfId="925" priority="3545" operator="containsText" text="Pendente">
      <formula>NOT(ISERROR(SEARCH("Pendente",P281)))</formula>
    </cfRule>
    <cfRule type="expression" dxfId="924" priority="3529">
      <formula>$H281="ETAPA"</formula>
    </cfRule>
    <cfRule type="containsText" dxfId="923" priority="3534" operator="containsText" text="em andamento">
      <formula>NOT(ISERROR(SEARCH("em andamento",P281)))</formula>
    </cfRule>
    <cfRule type="containsText" dxfId="922" priority="3533" operator="containsText" text="Finalizado">
      <formula>NOT(ISERROR(SEARCH("Finalizado",P281)))</formula>
    </cfRule>
    <cfRule type="containsText" dxfId="921" priority="3532" operator="containsText" text="Pendente">
      <formula>NOT(ISERROR(SEARCH("Pendente",P281)))</formula>
    </cfRule>
    <cfRule type="containsText" dxfId="920" priority="3531" operator="containsText" text="N/A">
      <formula>NOT(ISERROR(SEARCH("N/A",P281)))</formula>
    </cfRule>
    <cfRule type="containsText" dxfId="919" priority="3530" operator="containsText" text="Lançado">
      <formula>NOT(ISERROR(SEARCH("Lançado",P281)))</formula>
    </cfRule>
    <cfRule type="containsText" dxfId="918" priority="3547" operator="containsText" text="em andamento">
      <formula>NOT(ISERROR(SEARCH("em andamento",P281)))</formula>
    </cfRule>
    <cfRule type="containsText" dxfId="917" priority="3544" operator="containsText" text="N/A">
      <formula>NOT(ISERROR(SEARCH("N/A",P281)))</formula>
    </cfRule>
    <cfRule type="containsText" dxfId="916" priority="3543" operator="containsText" text="Lançado">
      <formula>NOT(ISERROR(SEARCH("Lançado",P281)))</formula>
    </cfRule>
    <cfRule type="expression" dxfId="915" priority="3542">
      <formula>$H281="ETAPA"</formula>
    </cfRule>
  </conditionalFormatting>
  <conditionalFormatting sqref="P282">
    <cfRule type="containsText" dxfId="914" priority="1713" operator="containsText" text="Finalizado">
      <formula>NOT(ISERROR(SEARCH("Finalizado",P282)))</formula>
    </cfRule>
    <cfRule type="containsText" dxfId="913" priority="1712" operator="containsText" text="Pendente">
      <formula>NOT(ISERROR(SEARCH("Pendente",P282)))</formula>
    </cfRule>
    <cfRule type="containsText" dxfId="912" priority="1707" operator="containsText" text="Pendente">
      <formula>NOT(ISERROR(SEARCH("Pendente",P282)))</formula>
    </cfRule>
    <cfRule type="containsText" dxfId="911" priority="1705" operator="containsText" text="Lançado">
      <formula>NOT(ISERROR(SEARCH("Lançado",P282)))</formula>
    </cfRule>
    <cfRule type="containsText" dxfId="910" priority="1706" operator="containsText" text="N/A">
      <formula>NOT(ISERROR(SEARCH("N/A",P282)))</formula>
    </cfRule>
    <cfRule type="containsText" dxfId="909" priority="1711" operator="containsText" text="N/A">
      <formula>NOT(ISERROR(SEARCH("N/A",P282)))</formula>
    </cfRule>
    <cfRule type="containsText" dxfId="908" priority="1710" operator="containsText" text="Lançado">
      <formula>NOT(ISERROR(SEARCH("Lançado",P282)))</formula>
    </cfRule>
    <cfRule type="containsText" dxfId="907" priority="1709" operator="containsText" text="em andamento">
      <formula>NOT(ISERROR(SEARCH("em andamento",P282)))</formula>
    </cfRule>
    <cfRule type="containsText" dxfId="906" priority="1708" operator="containsText" text="Finalizado">
      <formula>NOT(ISERROR(SEARCH("Finalizado",P282)))</formula>
    </cfRule>
    <cfRule type="containsText" dxfId="905" priority="1714" operator="containsText" text="em andamento">
      <formula>NOT(ISERROR(SEARCH("em andamento",P282)))</formula>
    </cfRule>
  </conditionalFormatting>
  <conditionalFormatting sqref="P283">
    <cfRule type="containsText" dxfId="904" priority="1687" operator="containsText" text="Finalizado">
      <formula>NOT(ISERROR(SEARCH("Finalizado",P283)))</formula>
    </cfRule>
    <cfRule type="containsText" dxfId="903" priority="1688" operator="containsText" text="em andamento">
      <formula>NOT(ISERROR(SEARCH("em andamento",P283)))</formula>
    </cfRule>
    <cfRule type="expression" dxfId="902" priority="1689">
      <formula>$H283="SUBETAPA"</formula>
    </cfRule>
    <cfRule type="expression" dxfId="901" priority="1690">
      <formula>$H283="CÉLULA CONSTRUTIVA"</formula>
    </cfRule>
    <cfRule type="expression" dxfId="900" priority="1691">
      <formula>$H283="ETAPA"</formula>
    </cfRule>
    <cfRule type="containsText" dxfId="899" priority="1692" operator="containsText" text="Lançado">
      <formula>NOT(ISERROR(SEARCH("Lançado",P283)))</formula>
    </cfRule>
    <cfRule type="containsText" dxfId="898" priority="1693" operator="containsText" text="N/A">
      <formula>NOT(ISERROR(SEARCH("N/A",P283)))</formula>
    </cfRule>
    <cfRule type="containsText" dxfId="897" priority="1694" operator="containsText" text="Pendente">
      <formula>NOT(ISERROR(SEARCH("Pendente",P283)))</formula>
    </cfRule>
    <cfRule type="containsText" dxfId="896" priority="1695" operator="containsText" text="Finalizado">
      <formula>NOT(ISERROR(SEARCH("Finalizado",P283)))</formula>
    </cfRule>
    <cfRule type="containsText" dxfId="895" priority="1696" operator="containsText" text="em andamento">
      <formula>NOT(ISERROR(SEARCH("em andamento",P283)))</formula>
    </cfRule>
    <cfRule type="expression" dxfId="894" priority="1676">
      <formula>$H283="SUBETAPA"</formula>
    </cfRule>
    <cfRule type="expression" dxfId="893" priority="1677">
      <formula>$H283="CÉLULA CONSTRUTIVA"</formula>
    </cfRule>
    <cfRule type="expression" dxfId="892" priority="1678">
      <formula>$H283="ETAPA"</formula>
    </cfRule>
    <cfRule type="containsText" dxfId="891" priority="1679" operator="containsText" text="Lançado">
      <formula>NOT(ISERROR(SEARCH("Lançado",P283)))</formula>
    </cfRule>
    <cfRule type="containsText" dxfId="890" priority="1680" operator="containsText" text="N/A">
      <formula>NOT(ISERROR(SEARCH("N/A",P283)))</formula>
    </cfRule>
    <cfRule type="containsText" dxfId="889" priority="1681" operator="containsText" text="Pendente">
      <formula>NOT(ISERROR(SEARCH("Pendente",P283)))</formula>
    </cfRule>
    <cfRule type="containsText" dxfId="888" priority="1682" operator="containsText" text="Finalizado">
      <formula>NOT(ISERROR(SEARCH("Finalizado",P283)))</formula>
    </cfRule>
    <cfRule type="containsText" dxfId="887" priority="1683" operator="containsText" text="em andamento">
      <formula>NOT(ISERROR(SEARCH("em andamento",P283)))</formula>
    </cfRule>
    <cfRule type="containsText" dxfId="886" priority="1684" operator="containsText" text="Lançado">
      <formula>NOT(ISERROR(SEARCH("Lançado",P283)))</formula>
    </cfRule>
    <cfRule type="containsText" dxfId="885" priority="1685" operator="containsText" text="N/A">
      <formula>NOT(ISERROR(SEARCH("N/A",P283)))</formula>
    </cfRule>
    <cfRule type="containsText" dxfId="884" priority="1686" operator="containsText" text="Pendente">
      <formula>NOT(ISERROR(SEARCH("Pendente",P283)))</formula>
    </cfRule>
  </conditionalFormatting>
  <conditionalFormatting sqref="P284 P280">
    <cfRule type="containsText" dxfId="883" priority="8090" operator="containsText" text="Finalizado">
      <formula>NOT(ISERROR(SEARCH("Finalizado",P280)))</formula>
    </cfRule>
  </conditionalFormatting>
  <conditionalFormatting sqref="P284">
    <cfRule type="containsText" dxfId="882" priority="8089" operator="containsText" text="Pendente">
      <formula>NOT(ISERROR(SEARCH("Pendente",P284)))</formula>
    </cfRule>
    <cfRule type="containsText" dxfId="881" priority="8088" operator="containsText" text="N/A">
      <formula>NOT(ISERROR(SEARCH("N/A",P284)))</formula>
    </cfRule>
    <cfRule type="containsText" dxfId="880" priority="8087" operator="containsText" text="Lançado">
      <formula>NOT(ISERROR(SEARCH("Lançado",P284)))</formula>
    </cfRule>
  </conditionalFormatting>
  <conditionalFormatting sqref="P285">
    <cfRule type="expression" dxfId="879" priority="3549">
      <formula>$H285="CÉLULA CONSTRUTIVA"</formula>
    </cfRule>
    <cfRule type="expression" dxfId="878" priority="3561">
      <formula>$H285="SUBETAPA"</formula>
    </cfRule>
    <cfRule type="expression" dxfId="877" priority="3562">
      <formula>$H285="CÉLULA CONSTRUTIVA"</formula>
    </cfRule>
    <cfRule type="expression" dxfId="876" priority="3563">
      <formula>$H285="ETAPA"</formula>
    </cfRule>
    <cfRule type="containsText" dxfId="875" priority="3567" operator="containsText" text="Finalizado">
      <formula>NOT(ISERROR(SEARCH("Finalizado",P285)))</formula>
    </cfRule>
    <cfRule type="containsText" dxfId="874" priority="3564" operator="containsText" text="Lançado">
      <formula>NOT(ISERROR(SEARCH("Lançado",P285)))</formula>
    </cfRule>
    <cfRule type="containsText" dxfId="873" priority="3560" operator="containsText" text="em andamento">
      <formula>NOT(ISERROR(SEARCH("em andamento",P285)))</formula>
    </cfRule>
    <cfRule type="containsText" dxfId="872" priority="3565" operator="containsText" text="N/A">
      <formula>NOT(ISERROR(SEARCH("N/A",P285)))</formula>
    </cfRule>
    <cfRule type="containsText" dxfId="871" priority="3566" operator="containsText" text="Pendente">
      <formula>NOT(ISERROR(SEARCH("Pendente",P285)))</formula>
    </cfRule>
    <cfRule type="containsText" dxfId="870" priority="3568" operator="containsText" text="em andamento">
      <formula>NOT(ISERROR(SEARCH("em andamento",P285)))</formula>
    </cfRule>
    <cfRule type="expression" dxfId="869" priority="3548">
      <formula>$H285="SUBETAPA"</formula>
    </cfRule>
    <cfRule type="containsText" dxfId="868" priority="3557" operator="containsText" text="N/A">
      <formula>NOT(ISERROR(SEARCH("N/A",P285)))</formula>
    </cfRule>
    <cfRule type="containsText" dxfId="867" priority="3551" operator="containsText" text="Lançado">
      <formula>NOT(ISERROR(SEARCH("Lançado",P285)))</formula>
    </cfRule>
    <cfRule type="containsText" dxfId="866" priority="3552" operator="containsText" text="N/A">
      <formula>NOT(ISERROR(SEARCH("N/A",P285)))</formula>
    </cfRule>
    <cfRule type="containsText" dxfId="865" priority="3553" operator="containsText" text="Pendente">
      <formula>NOT(ISERROR(SEARCH("Pendente",P285)))</formula>
    </cfRule>
    <cfRule type="containsText" dxfId="864" priority="3554" operator="containsText" text="Finalizado">
      <formula>NOT(ISERROR(SEARCH("Finalizado",P285)))</formula>
    </cfRule>
    <cfRule type="containsText" dxfId="863" priority="3555" operator="containsText" text="em andamento">
      <formula>NOT(ISERROR(SEARCH("em andamento",P285)))</formula>
    </cfRule>
    <cfRule type="containsText" dxfId="862" priority="3558" operator="containsText" text="Pendente">
      <formula>NOT(ISERROR(SEARCH("Pendente",P285)))</formula>
    </cfRule>
    <cfRule type="containsText" dxfId="861" priority="3556" operator="containsText" text="Lançado">
      <formula>NOT(ISERROR(SEARCH("Lançado",P285)))</formula>
    </cfRule>
    <cfRule type="containsText" dxfId="860" priority="3559" operator="containsText" text="Finalizado">
      <formula>NOT(ISERROR(SEARCH("Finalizado",P285)))</formula>
    </cfRule>
    <cfRule type="expression" dxfId="859" priority="3550">
      <formula>$H285="ETAPA"</formula>
    </cfRule>
  </conditionalFormatting>
  <conditionalFormatting sqref="P286">
    <cfRule type="containsText" dxfId="858" priority="7756" operator="containsText" text="em andamento">
      <formula>NOT(ISERROR(SEARCH("em andamento",P286)))</formula>
    </cfRule>
    <cfRule type="containsText" dxfId="857" priority="7755" operator="containsText" text="Finalizado">
      <formula>NOT(ISERROR(SEARCH("Finalizado",P286)))</formula>
    </cfRule>
    <cfRule type="containsText" dxfId="856" priority="7754" operator="containsText" text="Pendente">
      <formula>NOT(ISERROR(SEARCH("Pendente",P286)))</formula>
    </cfRule>
    <cfRule type="containsText" dxfId="855" priority="7753" operator="containsText" text="N/A">
      <formula>NOT(ISERROR(SEARCH("N/A",P286)))</formula>
    </cfRule>
    <cfRule type="containsText" dxfId="854" priority="7752" operator="containsText" text="Lançado">
      <formula>NOT(ISERROR(SEARCH("Lançado",P286)))</formula>
    </cfRule>
  </conditionalFormatting>
  <conditionalFormatting sqref="P287">
    <cfRule type="containsText" dxfId="853" priority="870" operator="containsText" text="N/A">
      <formula>NOT(ISERROR(SEARCH("N/A",P287)))</formula>
    </cfRule>
    <cfRule type="containsText" dxfId="852" priority="872" operator="containsText" text="Finalizado">
      <formula>NOT(ISERROR(SEARCH("Finalizado",P287)))</formula>
    </cfRule>
    <cfRule type="expression" dxfId="851" priority="866">
      <formula>$H287="SUBETAPA"</formula>
    </cfRule>
    <cfRule type="expression" dxfId="850" priority="867">
      <formula>$H287="CÉLULA CONSTRUTIVA"</formula>
    </cfRule>
    <cfRule type="expression" dxfId="849" priority="868">
      <formula>$H287="ETAPA"</formula>
    </cfRule>
    <cfRule type="containsText" dxfId="848" priority="869" operator="containsText" text="Lançado">
      <formula>NOT(ISERROR(SEARCH("Lançado",P287)))</formula>
    </cfRule>
    <cfRule type="containsText" dxfId="847" priority="871" operator="containsText" text="Pendente">
      <formula>NOT(ISERROR(SEARCH("Pendente",P287)))</formula>
    </cfRule>
    <cfRule type="containsText" dxfId="846" priority="873" operator="containsText" text="em andamento">
      <formula>NOT(ISERROR(SEARCH("em andamento",P287)))</formula>
    </cfRule>
    <cfRule type="containsText" dxfId="845" priority="874" operator="containsText" text="Lançado">
      <formula>NOT(ISERROR(SEARCH("Lançado",P287)))</formula>
    </cfRule>
    <cfRule type="containsText" dxfId="844" priority="875" operator="containsText" text="N/A">
      <formula>NOT(ISERROR(SEARCH("N/A",P287)))</formula>
    </cfRule>
    <cfRule type="containsText" dxfId="843" priority="886" operator="containsText" text="em andamento">
      <formula>NOT(ISERROR(SEARCH("em andamento",P287)))</formula>
    </cfRule>
    <cfRule type="containsText" dxfId="842" priority="885" operator="containsText" text="Finalizado">
      <formula>NOT(ISERROR(SEARCH("Finalizado",P287)))</formula>
    </cfRule>
    <cfRule type="containsText" dxfId="841" priority="884" operator="containsText" text="Pendente">
      <formula>NOT(ISERROR(SEARCH("Pendente",P287)))</formula>
    </cfRule>
    <cfRule type="containsText" dxfId="840" priority="883" operator="containsText" text="N/A">
      <formula>NOT(ISERROR(SEARCH("N/A",P287)))</formula>
    </cfRule>
    <cfRule type="containsText" dxfId="839" priority="882" operator="containsText" text="Lançado">
      <formula>NOT(ISERROR(SEARCH("Lançado",P287)))</formula>
    </cfRule>
    <cfRule type="expression" dxfId="838" priority="881">
      <formula>$H287="ETAPA"</formula>
    </cfRule>
    <cfRule type="expression" dxfId="837" priority="880">
      <formula>$H287="CÉLULA CONSTRUTIVA"</formula>
    </cfRule>
    <cfRule type="expression" dxfId="836" priority="879">
      <formula>$H287="SUBETAPA"</formula>
    </cfRule>
    <cfRule type="containsText" dxfId="835" priority="878" operator="containsText" text="em andamento">
      <formula>NOT(ISERROR(SEARCH("em andamento",P287)))</formula>
    </cfRule>
    <cfRule type="containsText" dxfId="834" priority="877" operator="containsText" text="Finalizado">
      <formula>NOT(ISERROR(SEARCH("Finalizado",P287)))</formula>
    </cfRule>
    <cfRule type="containsText" dxfId="833" priority="876" operator="containsText" text="Pendente">
      <formula>NOT(ISERROR(SEARCH("Pendente",P287)))</formula>
    </cfRule>
  </conditionalFormatting>
  <conditionalFormatting sqref="P288:P290">
    <cfRule type="expression" dxfId="832" priority="3584">
      <formula>$H288="ETAPA"</formula>
    </cfRule>
    <cfRule type="expression" dxfId="831" priority="3569">
      <formula>$H288="SUBETAPA"</formula>
    </cfRule>
    <cfRule type="expression" dxfId="830" priority="3570">
      <formula>$H288="CÉLULA CONSTRUTIVA"</formula>
    </cfRule>
    <cfRule type="expression" dxfId="829" priority="3571">
      <formula>$H288="ETAPA"</formula>
    </cfRule>
    <cfRule type="containsText" dxfId="828" priority="3572" operator="containsText" text="Lançado">
      <formula>NOT(ISERROR(SEARCH("Lançado",P288)))</formula>
    </cfRule>
    <cfRule type="containsText" dxfId="827" priority="3573" operator="containsText" text="N/A">
      <formula>NOT(ISERROR(SEARCH("N/A",P288)))</formula>
    </cfRule>
    <cfRule type="containsText" dxfId="826" priority="3574" operator="containsText" text="Pendente">
      <formula>NOT(ISERROR(SEARCH("Pendente",P288)))</formula>
    </cfRule>
    <cfRule type="containsText" dxfId="825" priority="3575" operator="containsText" text="Finalizado">
      <formula>NOT(ISERROR(SEARCH("Finalizado",P288)))</formula>
    </cfRule>
    <cfRule type="containsText" dxfId="824" priority="3576" operator="containsText" text="em andamento">
      <formula>NOT(ISERROR(SEARCH("em andamento",P288)))</formula>
    </cfRule>
    <cfRule type="containsText" dxfId="823" priority="3577" operator="containsText" text="Lançado">
      <formula>NOT(ISERROR(SEARCH("Lançado",P288)))</formula>
    </cfRule>
    <cfRule type="containsText" dxfId="822" priority="3578" operator="containsText" text="N/A">
      <formula>NOT(ISERROR(SEARCH("N/A",P288)))</formula>
    </cfRule>
    <cfRule type="containsText" dxfId="821" priority="3579" operator="containsText" text="Pendente">
      <formula>NOT(ISERROR(SEARCH("Pendente",P288)))</formula>
    </cfRule>
    <cfRule type="containsText" dxfId="820" priority="3580" operator="containsText" text="Finalizado">
      <formula>NOT(ISERROR(SEARCH("Finalizado",P288)))</formula>
    </cfRule>
    <cfRule type="containsText" dxfId="819" priority="3581" operator="containsText" text="em andamento">
      <formula>NOT(ISERROR(SEARCH("em andamento",P288)))</formula>
    </cfRule>
    <cfRule type="expression" dxfId="818" priority="3582">
      <formula>$H288="SUBETAPA"</formula>
    </cfRule>
    <cfRule type="expression" dxfId="817" priority="3583">
      <formula>$H288="CÉLULA CONSTRUTIVA"</formula>
    </cfRule>
    <cfRule type="containsText" dxfId="816" priority="3585" operator="containsText" text="Lançado">
      <formula>NOT(ISERROR(SEARCH("Lançado",P288)))</formula>
    </cfRule>
    <cfRule type="containsText" dxfId="815" priority="3586" operator="containsText" text="N/A">
      <formula>NOT(ISERROR(SEARCH("N/A",P288)))</formula>
    </cfRule>
    <cfRule type="containsText" dxfId="814" priority="3587" operator="containsText" text="Pendente">
      <formula>NOT(ISERROR(SEARCH("Pendente",P288)))</formula>
    </cfRule>
    <cfRule type="containsText" dxfId="813" priority="3588" operator="containsText" text="Finalizado">
      <formula>NOT(ISERROR(SEARCH("Finalizado",P288)))</formula>
    </cfRule>
    <cfRule type="containsText" dxfId="812" priority="3589" operator="containsText" text="em andamento">
      <formula>NOT(ISERROR(SEARCH("em andamento",P288)))</formula>
    </cfRule>
  </conditionalFormatting>
  <conditionalFormatting sqref="P291:P292 P305 P265">
    <cfRule type="expression" dxfId="811" priority="7872">
      <formula>$H265="SUBETAPA"</formula>
    </cfRule>
  </conditionalFormatting>
  <conditionalFormatting sqref="P293:P296">
    <cfRule type="expression" dxfId="810" priority="3590">
      <formula>$H293="SUBETAPA"</formula>
    </cfRule>
    <cfRule type="containsText" dxfId="809" priority="3595" operator="containsText" text="Pendente">
      <formula>NOT(ISERROR(SEARCH("Pendente",P293)))</formula>
    </cfRule>
    <cfRule type="expression" dxfId="808" priority="3591">
      <formula>$H293="CÉLULA CONSTRUTIVA"</formula>
    </cfRule>
    <cfRule type="expression" dxfId="807" priority="3592">
      <formula>$H293="ETAPA"</formula>
    </cfRule>
    <cfRule type="containsText" dxfId="806" priority="3599" operator="containsText" text="N/A">
      <formula>NOT(ISERROR(SEARCH("N/A",P293)))</formula>
    </cfRule>
    <cfRule type="containsText" dxfId="805" priority="3600" operator="containsText" text="Pendente">
      <formula>NOT(ISERROR(SEARCH("Pendente",P293)))</formula>
    </cfRule>
    <cfRule type="containsText" dxfId="804" priority="3594" operator="containsText" text="N/A">
      <formula>NOT(ISERROR(SEARCH("N/A",P293)))</formula>
    </cfRule>
    <cfRule type="containsText" dxfId="803" priority="3593" operator="containsText" text="Lançado">
      <formula>NOT(ISERROR(SEARCH("Lançado",P293)))</formula>
    </cfRule>
    <cfRule type="containsText" dxfId="802" priority="3601" operator="containsText" text="Finalizado">
      <formula>NOT(ISERROR(SEARCH("Finalizado",P293)))</formula>
    </cfRule>
    <cfRule type="containsText" dxfId="801" priority="3598" operator="containsText" text="Lançado">
      <formula>NOT(ISERROR(SEARCH("Lançado",P293)))</formula>
    </cfRule>
    <cfRule type="containsText" dxfId="800" priority="3597" operator="containsText" text="em andamento">
      <formula>NOT(ISERROR(SEARCH("em andamento",P293)))</formula>
    </cfRule>
    <cfRule type="containsText" dxfId="799" priority="3596" operator="containsText" text="Finalizado">
      <formula>NOT(ISERROR(SEARCH("Finalizado",P293)))</formula>
    </cfRule>
    <cfRule type="expression" dxfId="798" priority="3604">
      <formula>$H293="CÉLULA CONSTRUTIVA"</formula>
    </cfRule>
    <cfRule type="expression" dxfId="797" priority="3605">
      <formula>$H293="ETAPA"</formula>
    </cfRule>
    <cfRule type="containsText" dxfId="796" priority="3606" operator="containsText" text="Lançado">
      <formula>NOT(ISERROR(SEARCH("Lançado",P293)))</formula>
    </cfRule>
    <cfRule type="containsText" dxfId="795" priority="3607" operator="containsText" text="N/A">
      <formula>NOT(ISERROR(SEARCH("N/A",P293)))</formula>
    </cfRule>
    <cfRule type="expression" dxfId="794" priority="3603">
      <formula>$H293="SUBETAPA"</formula>
    </cfRule>
    <cfRule type="containsText" dxfId="793" priority="3602" operator="containsText" text="em andamento">
      <formula>NOT(ISERROR(SEARCH("em andamento",P293)))</formula>
    </cfRule>
    <cfRule type="containsText" dxfId="792" priority="3608" operator="containsText" text="Pendente">
      <formula>NOT(ISERROR(SEARCH("Pendente",P293)))</formula>
    </cfRule>
    <cfRule type="containsText" dxfId="791" priority="3609" operator="containsText" text="Finalizado">
      <formula>NOT(ISERROR(SEARCH("Finalizado",P293)))</formula>
    </cfRule>
    <cfRule type="containsText" dxfId="790" priority="3610" operator="containsText" text="em andamento">
      <formula>NOT(ISERROR(SEARCH("em andamento",P293)))</formula>
    </cfRule>
  </conditionalFormatting>
  <conditionalFormatting sqref="P297">
    <cfRule type="containsText" dxfId="789" priority="4288" operator="containsText" text="Lançado">
      <formula>NOT(ISERROR(SEARCH("Lançado",P297)))</formula>
    </cfRule>
    <cfRule type="containsText" dxfId="788" priority="4290" operator="containsText" text="Pendente">
      <formula>NOT(ISERROR(SEARCH("Pendente",P297)))</formula>
    </cfRule>
    <cfRule type="containsText" dxfId="787" priority="4286" operator="containsText" text="em andamento">
      <formula>NOT(ISERROR(SEARCH("em andamento",P297)))</formula>
    </cfRule>
    <cfRule type="containsText" dxfId="786" priority="4285" operator="containsText" text="Finalizado">
      <formula>NOT(ISERROR(SEARCH("Finalizado",P297)))</formula>
    </cfRule>
    <cfRule type="containsText" dxfId="785" priority="4284" operator="containsText" text="Pendente">
      <formula>NOT(ISERROR(SEARCH("Pendente",P297)))</formula>
    </cfRule>
    <cfRule type="containsText" dxfId="784" priority="4283" operator="containsText" text="N/A">
      <formula>NOT(ISERROR(SEARCH("N/A",P297)))</formula>
    </cfRule>
    <cfRule type="containsText" dxfId="783" priority="4282" operator="containsText" text="Lançado">
      <formula>NOT(ISERROR(SEARCH("Lançado",P297)))</formula>
    </cfRule>
    <cfRule type="containsText" dxfId="782" priority="4292" operator="containsText" text="em andamento">
      <formula>NOT(ISERROR(SEARCH("em andamento",P297)))</formula>
    </cfRule>
    <cfRule type="containsText" dxfId="781" priority="4291" operator="containsText" text="Finalizado">
      <formula>NOT(ISERROR(SEARCH("Finalizado",P297)))</formula>
    </cfRule>
    <cfRule type="containsText" dxfId="780" priority="4289" operator="containsText" text="N/A">
      <formula>NOT(ISERROR(SEARCH("N/A",P297)))</formula>
    </cfRule>
  </conditionalFormatting>
  <conditionalFormatting sqref="P298">
    <cfRule type="containsText" dxfId="779" priority="3614" operator="containsText" text="Lançado">
      <formula>NOT(ISERROR(SEARCH("Lançado",P298)))</formula>
    </cfRule>
    <cfRule type="expression" dxfId="778" priority="3612">
      <formula>$H298="CÉLULA CONSTRUTIVA"</formula>
    </cfRule>
    <cfRule type="expression" dxfId="777" priority="3611">
      <formula>$H298="SUBETAPA"</formula>
    </cfRule>
    <cfRule type="expression" dxfId="776" priority="3613">
      <formula>$H298="ETAPA"</formula>
    </cfRule>
    <cfRule type="containsText" dxfId="775" priority="3621" operator="containsText" text="Pendente">
      <formula>NOT(ISERROR(SEARCH("Pendente",P298)))</formula>
    </cfRule>
    <cfRule type="containsText" dxfId="774" priority="3631" operator="containsText" text="em andamento">
      <formula>NOT(ISERROR(SEARCH("em andamento",P298)))</formula>
    </cfRule>
    <cfRule type="containsText" dxfId="773" priority="3630" operator="containsText" text="Finalizado">
      <formula>NOT(ISERROR(SEARCH("Finalizado",P298)))</formula>
    </cfRule>
    <cfRule type="containsText" dxfId="772" priority="3629" operator="containsText" text="Pendente">
      <formula>NOT(ISERROR(SEARCH("Pendente",P298)))</formula>
    </cfRule>
    <cfRule type="containsText" dxfId="771" priority="3628" operator="containsText" text="N/A">
      <formula>NOT(ISERROR(SEARCH("N/A",P298)))</formula>
    </cfRule>
    <cfRule type="containsText" dxfId="770" priority="3627" operator="containsText" text="Lançado">
      <formula>NOT(ISERROR(SEARCH("Lançado",P298)))</formula>
    </cfRule>
    <cfRule type="expression" dxfId="769" priority="3626">
      <formula>$H298="ETAPA"</formula>
    </cfRule>
    <cfRule type="expression" dxfId="768" priority="3625">
      <formula>$H298="CÉLULA CONSTRUTIVA"</formula>
    </cfRule>
    <cfRule type="containsText" dxfId="767" priority="3623" operator="containsText" text="em andamento">
      <formula>NOT(ISERROR(SEARCH("em andamento",P298)))</formula>
    </cfRule>
    <cfRule type="containsText" dxfId="766" priority="3622" operator="containsText" text="Finalizado">
      <formula>NOT(ISERROR(SEARCH("Finalizado",P298)))</formula>
    </cfRule>
    <cfRule type="containsText" dxfId="765" priority="3620" operator="containsText" text="N/A">
      <formula>NOT(ISERROR(SEARCH("N/A",P298)))</formula>
    </cfRule>
    <cfRule type="containsText" dxfId="764" priority="3619" operator="containsText" text="Lançado">
      <formula>NOT(ISERROR(SEARCH("Lançado",P298)))</formula>
    </cfRule>
    <cfRule type="containsText" dxfId="763" priority="3618" operator="containsText" text="em andamento">
      <formula>NOT(ISERROR(SEARCH("em andamento",P298)))</formula>
    </cfRule>
    <cfRule type="containsText" dxfId="762" priority="3617" operator="containsText" text="Finalizado">
      <formula>NOT(ISERROR(SEARCH("Finalizado",P298)))</formula>
    </cfRule>
    <cfRule type="containsText" dxfId="761" priority="3616" operator="containsText" text="Pendente">
      <formula>NOT(ISERROR(SEARCH("Pendente",P298)))</formula>
    </cfRule>
    <cfRule type="containsText" dxfId="760" priority="3615" operator="containsText" text="N/A">
      <formula>NOT(ISERROR(SEARCH("N/A",P298)))</formula>
    </cfRule>
  </conditionalFormatting>
  <conditionalFormatting sqref="P300">
    <cfRule type="containsText" dxfId="759" priority="3637" operator="containsText" text="Pendente">
      <formula>NOT(ISERROR(SEARCH("Pendente",P300)))</formula>
    </cfRule>
    <cfRule type="expression" dxfId="758" priority="3632">
      <formula>$H300="SUBETAPA"</formula>
    </cfRule>
    <cfRule type="containsText" dxfId="757" priority="3639" operator="containsText" text="em andamento">
      <formula>NOT(ISERROR(SEARCH("em andamento",P300)))</formula>
    </cfRule>
    <cfRule type="containsText" dxfId="756" priority="3640" operator="containsText" text="Lançado">
      <formula>NOT(ISERROR(SEARCH("Lançado",P300)))</formula>
    </cfRule>
    <cfRule type="containsText" dxfId="755" priority="3641" operator="containsText" text="N/A">
      <formula>NOT(ISERROR(SEARCH("N/A",P300)))</formula>
    </cfRule>
    <cfRule type="containsText" dxfId="754" priority="3642" operator="containsText" text="Pendente">
      <formula>NOT(ISERROR(SEARCH("Pendente",P300)))</formula>
    </cfRule>
    <cfRule type="containsText" dxfId="753" priority="3643" operator="containsText" text="Finalizado">
      <formula>NOT(ISERROR(SEARCH("Finalizado",P300)))</formula>
    </cfRule>
    <cfRule type="containsText" dxfId="752" priority="3644" operator="containsText" text="em andamento">
      <formula>NOT(ISERROR(SEARCH("em andamento",P300)))</formula>
    </cfRule>
    <cfRule type="expression" dxfId="751" priority="3646">
      <formula>$H300="CÉLULA CONSTRUTIVA"</formula>
    </cfRule>
    <cfRule type="expression" dxfId="750" priority="3633">
      <formula>$H300="CÉLULA CONSTRUTIVA"</formula>
    </cfRule>
    <cfRule type="expression" dxfId="749" priority="3647">
      <formula>$H300="ETAPA"</formula>
    </cfRule>
    <cfRule type="containsText" dxfId="748" priority="3648" operator="containsText" text="Lançado">
      <formula>NOT(ISERROR(SEARCH("Lançado",P300)))</formula>
    </cfRule>
    <cfRule type="containsText" dxfId="747" priority="3649" operator="containsText" text="N/A">
      <formula>NOT(ISERROR(SEARCH("N/A",P300)))</formula>
    </cfRule>
    <cfRule type="containsText" dxfId="746" priority="3650" operator="containsText" text="Pendente">
      <formula>NOT(ISERROR(SEARCH("Pendente",P300)))</formula>
    </cfRule>
    <cfRule type="containsText" dxfId="745" priority="3651" operator="containsText" text="Finalizado">
      <formula>NOT(ISERROR(SEARCH("Finalizado",P300)))</formula>
    </cfRule>
    <cfRule type="containsText" dxfId="744" priority="3652" operator="containsText" text="em andamento">
      <formula>NOT(ISERROR(SEARCH("em andamento",P300)))</formula>
    </cfRule>
    <cfRule type="expression" dxfId="743" priority="3634">
      <formula>$H300="ETAPA"</formula>
    </cfRule>
    <cfRule type="containsText" dxfId="742" priority="3635" operator="containsText" text="Lançado">
      <formula>NOT(ISERROR(SEARCH("Lançado",P300)))</formula>
    </cfRule>
    <cfRule type="containsText" dxfId="741" priority="3636" operator="containsText" text="N/A">
      <formula>NOT(ISERROR(SEARCH("N/A",P300)))</formula>
    </cfRule>
    <cfRule type="containsText" dxfId="740" priority="3638" operator="containsText" text="Finalizado">
      <formula>NOT(ISERROR(SEARCH("Finalizado",P300)))</formula>
    </cfRule>
  </conditionalFormatting>
  <conditionalFormatting sqref="P302">
    <cfRule type="containsText" dxfId="739" priority="3665" operator="containsText" text="em andamento">
      <formula>NOT(ISERROR(SEARCH("em andamento",P302)))</formula>
    </cfRule>
    <cfRule type="containsText" dxfId="738" priority="3671" operator="containsText" text="Pendente">
      <formula>NOT(ISERROR(SEARCH("Pendente",P302)))</formula>
    </cfRule>
    <cfRule type="containsText" dxfId="737" priority="3673" operator="containsText" text="em andamento">
      <formula>NOT(ISERROR(SEARCH("em andamento",P302)))</formula>
    </cfRule>
    <cfRule type="containsText" dxfId="736" priority="3672" operator="containsText" text="Finalizado">
      <formula>NOT(ISERROR(SEARCH("Finalizado",P302)))</formula>
    </cfRule>
    <cfRule type="containsText" dxfId="735" priority="3670" operator="containsText" text="N/A">
      <formula>NOT(ISERROR(SEARCH("N/A",P302)))</formula>
    </cfRule>
    <cfRule type="expression" dxfId="734" priority="3653">
      <formula>$H302="SUBETAPA"</formula>
    </cfRule>
    <cfRule type="expression" dxfId="733" priority="3654">
      <formula>$H302="CÉLULA CONSTRUTIVA"</formula>
    </cfRule>
    <cfRule type="expression" dxfId="732" priority="3655">
      <formula>$H302="ETAPA"</formula>
    </cfRule>
    <cfRule type="containsText" dxfId="731" priority="3656" operator="containsText" text="Lançado">
      <formula>NOT(ISERROR(SEARCH("Lançado",P302)))</formula>
    </cfRule>
    <cfRule type="containsText" dxfId="730" priority="3657" operator="containsText" text="N/A">
      <formula>NOT(ISERROR(SEARCH("N/A",P302)))</formula>
    </cfRule>
    <cfRule type="containsText" dxfId="729" priority="3658" operator="containsText" text="Pendente">
      <formula>NOT(ISERROR(SEARCH("Pendente",P302)))</formula>
    </cfRule>
    <cfRule type="containsText" dxfId="728" priority="3659" operator="containsText" text="Finalizado">
      <formula>NOT(ISERROR(SEARCH("Finalizado",P302)))</formula>
    </cfRule>
    <cfRule type="containsText" dxfId="727" priority="3660" operator="containsText" text="em andamento">
      <formula>NOT(ISERROR(SEARCH("em andamento",P302)))</formula>
    </cfRule>
    <cfRule type="containsText" dxfId="726" priority="3661" operator="containsText" text="Lançado">
      <formula>NOT(ISERROR(SEARCH("Lançado",P302)))</formula>
    </cfRule>
    <cfRule type="containsText" dxfId="725" priority="3669" operator="containsText" text="Lançado">
      <formula>NOT(ISERROR(SEARCH("Lançado",P302)))</formula>
    </cfRule>
    <cfRule type="expression" dxfId="724" priority="3668">
      <formula>$H302="ETAPA"</formula>
    </cfRule>
    <cfRule type="expression" dxfId="723" priority="3667">
      <formula>$H302="CÉLULA CONSTRUTIVA"</formula>
    </cfRule>
    <cfRule type="containsText" dxfId="722" priority="3664" operator="containsText" text="Finalizado">
      <formula>NOT(ISERROR(SEARCH("Finalizado",P302)))</formula>
    </cfRule>
    <cfRule type="containsText" dxfId="721" priority="3662" operator="containsText" text="N/A">
      <formula>NOT(ISERROR(SEARCH("N/A",P302)))</formula>
    </cfRule>
    <cfRule type="containsText" dxfId="720" priority="3663" operator="containsText" text="Pendente">
      <formula>NOT(ISERROR(SEARCH("Pendente",P302)))</formula>
    </cfRule>
  </conditionalFormatting>
  <conditionalFormatting sqref="P303">
    <cfRule type="containsText" dxfId="719" priority="7737" operator="containsText" text="em andamento">
      <formula>NOT(ISERROR(SEARCH("em andamento",P303)))</formula>
    </cfRule>
    <cfRule type="containsText" dxfId="718" priority="7721" operator="containsText" text="Finalizado">
      <formula>NOT(ISERROR(SEARCH("Finalizado",P303)))</formula>
    </cfRule>
    <cfRule type="containsText" dxfId="717" priority="7720" operator="containsText" text="Pendente">
      <formula>NOT(ISERROR(SEARCH("Pendente",P303)))</formula>
    </cfRule>
  </conditionalFormatting>
  <conditionalFormatting sqref="P303:P304">
    <cfRule type="containsText" dxfId="716" priority="3691" operator="containsText" text="N/A">
      <formula>NOT(ISERROR(SEARCH("N/A",P303)))</formula>
    </cfRule>
    <cfRule type="containsText" dxfId="715" priority="3690" operator="containsText" text="Lançado">
      <formula>NOT(ISERROR(SEARCH("Lançado",P303)))</formula>
    </cfRule>
  </conditionalFormatting>
  <conditionalFormatting sqref="P304">
    <cfRule type="containsText" dxfId="714" priority="3677" operator="containsText" text="Lançado">
      <formula>NOT(ISERROR(SEARCH("Lançado",P304)))</formula>
    </cfRule>
    <cfRule type="containsText" dxfId="713" priority="3694" operator="containsText" text="em andamento">
      <formula>NOT(ISERROR(SEARCH("em andamento",P304)))</formula>
    </cfRule>
    <cfRule type="containsText" dxfId="712" priority="3693" operator="containsText" text="Finalizado">
      <formula>NOT(ISERROR(SEARCH("Finalizado",P304)))</formula>
    </cfRule>
    <cfRule type="containsText" dxfId="711" priority="3678" operator="containsText" text="N/A">
      <formula>NOT(ISERROR(SEARCH("N/A",P304)))</formula>
    </cfRule>
    <cfRule type="containsText" dxfId="710" priority="3692" operator="containsText" text="Pendente">
      <formula>NOT(ISERROR(SEARCH("Pendente",P304)))</formula>
    </cfRule>
    <cfRule type="expression" dxfId="709" priority="3674">
      <formula>$H304="SUBETAPA"</formula>
    </cfRule>
    <cfRule type="expression" dxfId="708" priority="3675">
      <formula>$H304="CÉLULA CONSTRUTIVA"</formula>
    </cfRule>
    <cfRule type="expression" dxfId="707" priority="3676">
      <formula>$H304="ETAPA"</formula>
    </cfRule>
    <cfRule type="containsText" dxfId="706" priority="3686" operator="containsText" text="em andamento">
      <formula>NOT(ISERROR(SEARCH("em andamento",P304)))</formula>
    </cfRule>
    <cfRule type="containsText" dxfId="705" priority="3679" operator="containsText" text="Pendente">
      <formula>NOT(ISERROR(SEARCH("Pendente",P304)))</formula>
    </cfRule>
    <cfRule type="containsText" dxfId="704" priority="3680" operator="containsText" text="Finalizado">
      <formula>NOT(ISERROR(SEARCH("Finalizado",P304)))</formula>
    </cfRule>
    <cfRule type="containsText" dxfId="703" priority="3681" operator="containsText" text="em andamento">
      <formula>NOT(ISERROR(SEARCH("em andamento",P304)))</formula>
    </cfRule>
    <cfRule type="containsText" dxfId="702" priority="3682" operator="containsText" text="Lançado">
      <formula>NOT(ISERROR(SEARCH("Lançado",P304)))</formula>
    </cfRule>
    <cfRule type="containsText" dxfId="701" priority="3683" operator="containsText" text="N/A">
      <formula>NOT(ISERROR(SEARCH("N/A",P304)))</formula>
    </cfRule>
    <cfRule type="containsText" dxfId="700" priority="3684" operator="containsText" text="Pendente">
      <formula>NOT(ISERROR(SEARCH("Pendente",P304)))</formula>
    </cfRule>
    <cfRule type="expression" dxfId="699" priority="3689">
      <formula>$H304="ETAPA"</formula>
    </cfRule>
    <cfRule type="containsText" dxfId="698" priority="3685" operator="containsText" text="Finalizado">
      <formula>NOT(ISERROR(SEARCH("Finalizado",P304)))</formula>
    </cfRule>
    <cfRule type="expression" dxfId="697" priority="3688">
      <formula>$H304="CÉLULA CONSTRUTIVA"</formula>
    </cfRule>
    <cfRule type="expression" dxfId="696" priority="3687">
      <formula>$H304="SUBETAPA"</formula>
    </cfRule>
  </conditionalFormatting>
  <conditionalFormatting sqref="P305 P291:P292 P265">
    <cfRule type="containsText" dxfId="695" priority="7880" operator="containsText" text="em andamento">
      <formula>NOT(ISERROR(SEARCH("em andamento",P265)))</formula>
    </cfRule>
    <cfRule type="containsText" dxfId="694" priority="7878" operator="containsText" text="Pendente">
      <formula>NOT(ISERROR(SEARCH("Pendente",P265)))</formula>
    </cfRule>
  </conditionalFormatting>
  <conditionalFormatting sqref="P306">
    <cfRule type="containsText" dxfId="693" priority="7525" operator="containsText" text="Pendente">
      <formula>NOT(ISERROR(SEARCH("Pendente",P306)))</formula>
    </cfRule>
  </conditionalFormatting>
  <conditionalFormatting sqref="P306:P307">
    <cfRule type="containsText" dxfId="692" priority="3711" operator="containsText" text="Lançado">
      <formula>NOT(ISERROR(SEARCH("Lançado",P306)))</formula>
    </cfRule>
    <cfRule type="containsText" dxfId="691" priority="3712" operator="containsText" text="N/A">
      <formula>NOT(ISERROR(SEARCH("N/A",P306)))</formula>
    </cfRule>
  </conditionalFormatting>
  <conditionalFormatting sqref="P307">
    <cfRule type="containsText" dxfId="690" priority="3701" operator="containsText" text="Finalizado">
      <formula>NOT(ISERROR(SEARCH("Finalizado",P307)))</formula>
    </cfRule>
    <cfRule type="containsText" dxfId="689" priority="3702" operator="containsText" text="em andamento">
      <formula>NOT(ISERROR(SEARCH("em andamento",P307)))</formula>
    </cfRule>
    <cfRule type="containsText" dxfId="688" priority="3700" operator="containsText" text="Pendente">
      <formula>NOT(ISERROR(SEARCH("Pendente",P307)))</formula>
    </cfRule>
    <cfRule type="expression" dxfId="687" priority="3709">
      <formula>$H307="CÉLULA CONSTRUTIVA"</formula>
    </cfRule>
    <cfRule type="expression" dxfId="686" priority="3710">
      <formula>$H307="ETAPA"</formula>
    </cfRule>
    <cfRule type="containsText" dxfId="685" priority="3698" operator="containsText" text="Lançado">
      <formula>NOT(ISERROR(SEARCH("Lançado",P307)))</formula>
    </cfRule>
    <cfRule type="containsText" dxfId="684" priority="3714" operator="containsText" text="Finalizado">
      <formula>NOT(ISERROR(SEARCH("Finalizado",P307)))</formula>
    </cfRule>
    <cfRule type="containsText" dxfId="683" priority="3715" operator="containsText" text="em andamento">
      <formula>NOT(ISERROR(SEARCH("em andamento",P307)))</formula>
    </cfRule>
    <cfRule type="containsText" dxfId="682" priority="3713" operator="containsText" text="Pendente">
      <formula>NOT(ISERROR(SEARCH("Pendente",P307)))</formula>
    </cfRule>
    <cfRule type="containsText" dxfId="681" priority="3699" operator="containsText" text="N/A">
      <formula>NOT(ISERROR(SEARCH("N/A",P307)))</formula>
    </cfRule>
    <cfRule type="expression" dxfId="680" priority="3695">
      <formula>$H307="SUBETAPA"</formula>
    </cfRule>
    <cfRule type="expression" dxfId="679" priority="3696">
      <formula>$H307="CÉLULA CONSTRUTIVA"</formula>
    </cfRule>
    <cfRule type="expression" dxfId="678" priority="3697">
      <formula>$H307="ETAPA"</formula>
    </cfRule>
    <cfRule type="containsText" dxfId="677" priority="3707" operator="containsText" text="em andamento">
      <formula>NOT(ISERROR(SEARCH("em andamento",P307)))</formula>
    </cfRule>
    <cfRule type="containsText" dxfId="676" priority="3706" operator="containsText" text="Finalizado">
      <formula>NOT(ISERROR(SEARCH("Finalizado",P307)))</formula>
    </cfRule>
    <cfRule type="containsText" dxfId="675" priority="3705" operator="containsText" text="Pendente">
      <formula>NOT(ISERROR(SEARCH("Pendente",P307)))</formula>
    </cfRule>
    <cfRule type="containsText" dxfId="674" priority="3704" operator="containsText" text="N/A">
      <formula>NOT(ISERROR(SEARCH("N/A",P307)))</formula>
    </cfRule>
    <cfRule type="containsText" dxfId="673" priority="3703" operator="containsText" text="Lançado">
      <formula>NOT(ISERROR(SEARCH("Lançado",P307)))</formula>
    </cfRule>
  </conditionalFormatting>
  <conditionalFormatting sqref="P308 P306">
    <cfRule type="containsText" dxfId="672" priority="7526" operator="containsText" text="Finalizado">
      <formula>NOT(ISERROR(SEARCH("Finalizado",P306)))</formula>
    </cfRule>
    <cfRule type="containsText" dxfId="671" priority="7527" operator="containsText" text="em andamento">
      <formula>NOT(ISERROR(SEARCH("em andamento",P306)))</formula>
    </cfRule>
  </conditionalFormatting>
  <conditionalFormatting sqref="P308">
    <cfRule type="containsText" dxfId="670" priority="7522" operator="containsText" text="Pendente">
      <formula>NOT(ISERROR(SEARCH("Pendente",P308)))</formula>
    </cfRule>
  </conditionalFormatting>
  <conditionalFormatting sqref="P308:P309">
    <cfRule type="containsText" dxfId="669" priority="3732" operator="containsText" text="Lançado">
      <formula>NOT(ISERROR(SEARCH("Lançado",P308)))</formula>
    </cfRule>
    <cfRule type="containsText" dxfId="668" priority="3733" operator="containsText" text="N/A">
      <formula>NOT(ISERROR(SEARCH("N/A",P308)))</formula>
    </cfRule>
  </conditionalFormatting>
  <conditionalFormatting sqref="P309">
    <cfRule type="containsText" dxfId="667" priority="3721" operator="containsText" text="Pendente">
      <formula>NOT(ISERROR(SEARCH("Pendente",P309)))</formula>
    </cfRule>
    <cfRule type="containsText" dxfId="666" priority="3722" operator="containsText" text="Finalizado">
      <formula>NOT(ISERROR(SEARCH("Finalizado",P309)))</formula>
    </cfRule>
    <cfRule type="containsText" dxfId="665" priority="3724" operator="containsText" text="Lançado">
      <formula>NOT(ISERROR(SEARCH("Lançado",P309)))</formula>
    </cfRule>
    <cfRule type="containsText" dxfId="664" priority="3720" operator="containsText" text="N/A">
      <formula>NOT(ISERROR(SEARCH("N/A",P309)))</formula>
    </cfRule>
    <cfRule type="containsText" dxfId="663" priority="3719" operator="containsText" text="Lançado">
      <formula>NOT(ISERROR(SEARCH("Lançado",P309)))</formula>
    </cfRule>
    <cfRule type="containsText" dxfId="662" priority="3735" operator="containsText" text="Finalizado">
      <formula>NOT(ISERROR(SEARCH("Finalizado",P309)))</formula>
    </cfRule>
    <cfRule type="containsText" dxfId="661" priority="3734" operator="containsText" text="Pendente">
      <formula>NOT(ISERROR(SEARCH("Pendente",P309)))</formula>
    </cfRule>
    <cfRule type="expression" dxfId="660" priority="3718">
      <formula>$H309="ETAPA"</formula>
    </cfRule>
    <cfRule type="expression" dxfId="659" priority="3717">
      <formula>$H309="CÉLULA CONSTRUTIVA"</formula>
    </cfRule>
    <cfRule type="expression" dxfId="658" priority="3731">
      <formula>$H309="ETAPA"</formula>
    </cfRule>
    <cfRule type="expression" dxfId="657" priority="3730">
      <formula>$H309="CÉLULA CONSTRUTIVA"</formula>
    </cfRule>
    <cfRule type="expression" dxfId="656" priority="3716">
      <formula>$H309="SUBETAPA"</formula>
    </cfRule>
    <cfRule type="containsText" dxfId="655" priority="3728" operator="containsText" text="em andamento">
      <formula>NOT(ISERROR(SEARCH("em andamento",P309)))</formula>
    </cfRule>
    <cfRule type="containsText" dxfId="654" priority="3727" operator="containsText" text="Finalizado">
      <formula>NOT(ISERROR(SEARCH("Finalizado",P309)))</formula>
    </cfRule>
    <cfRule type="containsText" dxfId="653" priority="3726" operator="containsText" text="Pendente">
      <formula>NOT(ISERROR(SEARCH("Pendente",P309)))</formula>
    </cfRule>
    <cfRule type="containsText" dxfId="652" priority="3725" operator="containsText" text="N/A">
      <formula>NOT(ISERROR(SEARCH("N/A",P309)))</formula>
    </cfRule>
    <cfRule type="containsText" dxfId="651" priority="3736" operator="containsText" text="em andamento">
      <formula>NOT(ISERROR(SEARCH("em andamento",P309)))</formula>
    </cfRule>
    <cfRule type="containsText" dxfId="650" priority="3723" operator="containsText" text="em andamento">
      <formula>NOT(ISERROR(SEARCH("em andamento",P309)))</formula>
    </cfRule>
  </conditionalFormatting>
  <conditionalFormatting sqref="P309:P310">
    <cfRule type="expression" dxfId="649" priority="3729">
      <formula>$H309="SUBETAPA"</formula>
    </cfRule>
  </conditionalFormatting>
  <conditionalFormatting sqref="P310">
    <cfRule type="expression" dxfId="648" priority="3739">
      <formula>$H310="ETAPA"</formula>
    </cfRule>
    <cfRule type="expression" dxfId="647" priority="3738">
      <formula>$H310="CÉLULA CONSTRUTIVA"</formula>
    </cfRule>
    <cfRule type="containsText" dxfId="646" priority="3747" operator="containsText" text="Pendente">
      <formula>NOT(ISERROR(SEARCH("Pendente",P310)))</formula>
    </cfRule>
    <cfRule type="containsText" dxfId="645" priority="3754" operator="containsText" text="N/A">
      <formula>NOT(ISERROR(SEARCH("N/A",P310)))</formula>
    </cfRule>
    <cfRule type="containsText" dxfId="644" priority="3748" operator="containsText" text="Finalizado">
      <formula>NOT(ISERROR(SEARCH("Finalizado",P310)))</formula>
    </cfRule>
    <cfRule type="containsText" dxfId="643" priority="3746" operator="containsText" text="N/A">
      <formula>NOT(ISERROR(SEARCH("N/A",P310)))</formula>
    </cfRule>
    <cfRule type="containsText" dxfId="642" priority="3749" operator="containsText" text="em andamento">
      <formula>NOT(ISERROR(SEARCH("em andamento",P310)))</formula>
    </cfRule>
    <cfRule type="expression" dxfId="641" priority="3751">
      <formula>$H310="CÉLULA CONSTRUTIVA"</formula>
    </cfRule>
    <cfRule type="expression" dxfId="640" priority="3752">
      <formula>$H310="ETAPA"</formula>
    </cfRule>
    <cfRule type="containsText" dxfId="639" priority="3753" operator="containsText" text="Lançado">
      <formula>NOT(ISERROR(SEARCH("Lançado",P310)))</formula>
    </cfRule>
    <cfRule type="containsText" dxfId="638" priority="3755" operator="containsText" text="Pendente">
      <formula>NOT(ISERROR(SEARCH("Pendente",P310)))</formula>
    </cfRule>
    <cfRule type="containsText" dxfId="637" priority="3756" operator="containsText" text="Finalizado">
      <formula>NOT(ISERROR(SEARCH("Finalizado",P310)))</formula>
    </cfRule>
    <cfRule type="containsText" dxfId="636" priority="3757" operator="containsText" text="em andamento">
      <formula>NOT(ISERROR(SEARCH("em andamento",P310)))</formula>
    </cfRule>
    <cfRule type="containsText" dxfId="635" priority="3745" operator="containsText" text="Lançado">
      <formula>NOT(ISERROR(SEARCH("Lançado",P310)))</formula>
    </cfRule>
    <cfRule type="containsText" dxfId="634" priority="3744" operator="containsText" text="em andamento">
      <formula>NOT(ISERROR(SEARCH("em andamento",P310)))</formula>
    </cfRule>
    <cfRule type="containsText" dxfId="633" priority="3743" operator="containsText" text="Finalizado">
      <formula>NOT(ISERROR(SEARCH("Finalizado",P310)))</formula>
    </cfRule>
    <cfRule type="containsText" dxfId="632" priority="3742" operator="containsText" text="Pendente">
      <formula>NOT(ISERROR(SEARCH("Pendente",P310)))</formula>
    </cfRule>
    <cfRule type="containsText" dxfId="631" priority="3741" operator="containsText" text="N/A">
      <formula>NOT(ISERROR(SEARCH("N/A",P310)))</formula>
    </cfRule>
    <cfRule type="containsText" dxfId="630" priority="3740" operator="containsText" text="Lançado">
      <formula>NOT(ISERROR(SEARCH("Lançado",P310)))</formula>
    </cfRule>
  </conditionalFormatting>
  <conditionalFormatting sqref="P310:P311">
    <cfRule type="expression" dxfId="629" priority="3750">
      <formula>$H310="SUBETAPA"</formula>
    </cfRule>
  </conditionalFormatting>
  <conditionalFormatting sqref="P311">
    <cfRule type="expression" dxfId="628" priority="3760">
      <formula>$H311="ETAPA"</formula>
    </cfRule>
    <cfRule type="containsText" dxfId="627" priority="3761" operator="containsText" text="Lançado">
      <formula>NOT(ISERROR(SEARCH("Lançado",P311)))</formula>
    </cfRule>
    <cfRule type="containsText" dxfId="626" priority="3762" operator="containsText" text="N/A">
      <formula>NOT(ISERROR(SEARCH("N/A",P311)))</formula>
    </cfRule>
    <cfRule type="containsText" dxfId="625" priority="3763" operator="containsText" text="Pendente">
      <formula>NOT(ISERROR(SEARCH("Pendente",P311)))</formula>
    </cfRule>
    <cfRule type="containsText" dxfId="624" priority="3764" operator="containsText" text="Finalizado">
      <formula>NOT(ISERROR(SEARCH("Finalizado",P311)))</formula>
    </cfRule>
    <cfRule type="containsText" dxfId="623" priority="3765" operator="containsText" text="em andamento">
      <formula>NOT(ISERROR(SEARCH("em andamento",P311)))</formula>
    </cfRule>
    <cfRule type="containsText" dxfId="622" priority="3766" operator="containsText" text="Lançado">
      <formula>NOT(ISERROR(SEARCH("Lançado",P311)))</formula>
    </cfRule>
    <cfRule type="containsText" dxfId="621" priority="3767" operator="containsText" text="N/A">
      <formula>NOT(ISERROR(SEARCH("N/A",P311)))</formula>
    </cfRule>
    <cfRule type="containsText" dxfId="620" priority="3768" operator="containsText" text="Pendente">
      <formula>NOT(ISERROR(SEARCH("Pendente",P311)))</formula>
    </cfRule>
    <cfRule type="containsText" dxfId="619" priority="3769" operator="containsText" text="Finalizado">
      <formula>NOT(ISERROR(SEARCH("Finalizado",P311)))</formula>
    </cfRule>
    <cfRule type="containsText" dxfId="618" priority="3770" operator="containsText" text="em andamento">
      <formula>NOT(ISERROR(SEARCH("em andamento",P311)))</formula>
    </cfRule>
    <cfRule type="expression" dxfId="617" priority="3771">
      <formula>$H311="SUBETAPA"</formula>
    </cfRule>
    <cfRule type="expression" dxfId="616" priority="3772">
      <formula>$H311="CÉLULA CONSTRUTIVA"</formula>
    </cfRule>
    <cfRule type="expression" dxfId="615" priority="3773">
      <formula>$H311="ETAPA"</formula>
    </cfRule>
    <cfRule type="containsText" dxfId="614" priority="3774" operator="containsText" text="Lançado">
      <formula>NOT(ISERROR(SEARCH("Lançado",P311)))</formula>
    </cfRule>
    <cfRule type="containsText" dxfId="613" priority="3775" operator="containsText" text="N/A">
      <formula>NOT(ISERROR(SEARCH("N/A",P311)))</formula>
    </cfRule>
    <cfRule type="containsText" dxfId="612" priority="3776" operator="containsText" text="Pendente">
      <formula>NOT(ISERROR(SEARCH("Pendente",P311)))</formula>
    </cfRule>
    <cfRule type="containsText" dxfId="611" priority="3777" operator="containsText" text="Finalizado">
      <formula>NOT(ISERROR(SEARCH("Finalizado",P311)))</formula>
    </cfRule>
    <cfRule type="containsText" dxfId="610" priority="3778" operator="containsText" text="em andamento">
      <formula>NOT(ISERROR(SEARCH("em andamento",P311)))</formula>
    </cfRule>
    <cfRule type="expression" dxfId="609" priority="3759">
      <formula>$H311="CÉLULA CONSTRUTIVA"</formula>
    </cfRule>
  </conditionalFormatting>
  <conditionalFormatting sqref="P312">
    <cfRule type="containsText" dxfId="608" priority="7493" operator="containsText" text="Pendente">
      <formula>NOT(ISERROR(SEARCH("Pendente",P312)))</formula>
    </cfRule>
    <cfRule type="containsText" dxfId="607" priority="7494" operator="containsText" text="Finalizado">
      <formula>NOT(ISERROR(SEARCH("Finalizado",P312)))</formula>
    </cfRule>
    <cfRule type="containsText" dxfId="606" priority="7495" operator="containsText" text="em andamento">
      <formula>NOT(ISERROR(SEARCH("em andamento",P312)))</formula>
    </cfRule>
  </conditionalFormatting>
  <conditionalFormatting sqref="P312:P313">
    <cfRule type="containsText" dxfId="605" priority="3795" operator="containsText" text="Lançado">
      <formula>NOT(ISERROR(SEARCH("Lançado",P312)))</formula>
    </cfRule>
    <cfRule type="containsText" dxfId="604" priority="3796" operator="containsText" text="N/A">
      <formula>NOT(ISERROR(SEARCH("N/A",P312)))</formula>
    </cfRule>
  </conditionalFormatting>
  <conditionalFormatting sqref="P313">
    <cfRule type="expression" dxfId="603" priority="3794">
      <formula>$H313="ETAPA"</formula>
    </cfRule>
    <cfRule type="containsText" dxfId="602" priority="3785" operator="containsText" text="Finalizado">
      <formula>NOT(ISERROR(SEARCH("Finalizado",P313)))</formula>
    </cfRule>
    <cfRule type="expression" dxfId="601" priority="3781">
      <formula>$H313="ETAPA"</formula>
    </cfRule>
    <cfRule type="containsText" dxfId="600" priority="3786" operator="containsText" text="em andamento">
      <formula>NOT(ISERROR(SEARCH("em andamento",P313)))</formula>
    </cfRule>
    <cfRule type="containsText" dxfId="599" priority="3787" operator="containsText" text="Lançado">
      <formula>NOT(ISERROR(SEARCH("Lançado",P313)))</formula>
    </cfRule>
    <cfRule type="containsText" dxfId="598" priority="3788" operator="containsText" text="N/A">
      <formula>NOT(ISERROR(SEARCH("N/A",P313)))</formula>
    </cfRule>
    <cfRule type="containsText" dxfId="597" priority="3789" operator="containsText" text="Pendente">
      <formula>NOT(ISERROR(SEARCH("Pendente",P313)))</formula>
    </cfRule>
    <cfRule type="containsText" dxfId="596" priority="3790" operator="containsText" text="Finalizado">
      <formula>NOT(ISERROR(SEARCH("Finalizado",P313)))</formula>
    </cfRule>
    <cfRule type="containsText" dxfId="595" priority="3791" operator="containsText" text="em andamento">
      <formula>NOT(ISERROR(SEARCH("em andamento",P313)))</formula>
    </cfRule>
    <cfRule type="containsText" dxfId="594" priority="3782" operator="containsText" text="Lançado">
      <formula>NOT(ISERROR(SEARCH("Lançado",P313)))</formula>
    </cfRule>
    <cfRule type="containsText" dxfId="593" priority="3783" operator="containsText" text="N/A">
      <formula>NOT(ISERROR(SEARCH("N/A",P313)))</formula>
    </cfRule>
    <cfRule type="expression" dxfId="592" priority="3779">
      <formula>$H313="SUBETAPA"</formula>
    </cfRule>
    <cfRule type="expression" dxfId="591" priority="3780">
      <formula>$H313="CÉLULA CONSTRUTIVA"</formula>
    </cfRule>
    <cfRule type="containsText" dxfId="590" priority="3784" operator="containsText" text="Pendente">
      <formula>NOT(ISERROR(SEARCH("Pendente",P313)))</formula>
    </cfRule>
    <cfRule type="expression" dxfId="589" priority="3793">
      <formula>$H313="CÉLULA CONSTRUTIVA"</formula>
    </cfRule>
    <cfRule type="containsText" dxfId="588" priority="3797" operator="containsText" text="Pendente">
      <formula>NOT(ISERROR(SEARCH("Pendente",P313)))</formula>
    </cfRule>
    <cfRule type="containsText" dxfId="587" priority="3798" operator="containsText" text="Finalizado">
      <formula>NOT(ISERROR(SEARCH("Finalizado",P313)))</formula>
    </cfRule>
    <cfRule type="containsText" dxfId="586" priority="3799" operator="containsText" text="em andamento">
      <formula>NOT(ISERROR(SEARCH("em andamento",P313)))</formula>
    </cfRule>
  </conditionalFormatting>
  <conditionalFormatting sqref="P314">
    <cfRule type="containsText" dxfId="585" priority="7516" operator="containsText" text="Finalizado">
      <formula>NOT(ISERROR(SEARCH("Finalizado",P314)))</formula>
    </cfRule>
    <cfRule type="containsText" dxfId="584" priority="7517" operator="containsText" text="em andamento">
      <formula>NOT(ISERROR(SEARCH("em andamento",P314)))</formula>
    </cfRule>
    <cfRule type="containsText" dxfId="583" priority="7515" operator="containsText" text="Pendente">
      <formula>NOT(ISERROR(SEARCH("Pendente",P314)))</formula>
    </cfRule>
  </conditionalFormatting>
  <conditionalFormatting sqref="P314:P315">
    <cfRule type="containsText" dxfId="582" priority="3816" operator="containsText" text="Lançado">
      <formula>NOT(ISERROR(SEARCH("Lançado",P314)))</formula>
    </cfRule>
    <cfRule type="containsText" dxfId="581" priority="3817" operator="containsText" text="N/A">
      <formula>NOT(ISERROR(SEARCH("N/A",P314)))</formula>
    </cfRule>
  </conditionalFormatting>
  <conditionalFormatting sqref="P315">
    <cfRule type="containsText" dxfId="580" priority="3806" operator="containsText" text="Finalizado">
      <formula>NOT(ISERROR(SEARCH("Finalizado",P315)))</formula>
    </cfRule>
    <cfRule type="containsText" dxfId="579" priority="3807" operator="containsText" text="em andamento">
      <formula>NOT(ISERROR(SEARCH("em andamento",P315)))</formula>
    </cfRule>
    <cfRule type="containsText" dxfId="578" priority="3808" operator="containsText" text="Lançado">
      <formula>NOT(ISERROR(SEARCH("Lançado",P315)))</formula>
    </cfRule>
    <cfRule type="containsText" dxfId="577" priority="3809" operator="containsText" text="N/A">
      <formula>NOT(ISERROR(SEARCH("N/A",P315)))</formula>
    </cfRule>
    <cfRule type="containsText" dxfId="576" priority="3810" operator="containsText" text="Pendente">
      <formula>NOT(ISERROR(SEARCH("Pendente",P315)))</formula>
    </cfRule>
    <cfRule type="containsText" dxfId="575" priority="3811" operator="containsText" text="Finalizado">
      <formula>NOT(ISERROR(SEARCH("Finalizado",P315)))</formula>
    </cfRule>
    <cfRule type="expression" dxfId="574" priority="3813">
      <formula>$H315="SUBETAPA"</formula>
    </cfRule>
    <cfRule type="expression" dxfId="573" priority="3814">
      <formula>$H315="CÉLULA CONSTRUTIVA"</formula>
    </cfRule>
    <cfRule type="expression" dxfId="572" priority="3815">
      <formula>$H315="ETAPA"</formula>
    </cfRule>
    <cfRule type="containsText" dxfId="571" priority="3818" operator="containsText" text="Pendente">
      <formula>NOT(ISERROR(SEARCH("Pendente",P315)))</formula>
    </cfRule>
    <cfRule type="containsText" dxfId="570" priority="3819" operator="containsText" text="Finalizado">
      <formula>NOT(ISERROR(SEARCH("Finalizado",P315)))</formula>
    </cfRule>
    <cfRule type="containsText" dxfId="569" priority="3820" operator="containsText" text="em andamento">
      <formula>NOT(ISERROR(SEARCH("em andamento",P315)))</formula>
    </cfRule>
    <cfRule type="containsText" dxfId="568" priority="3812" operator="containsText" text="em andamento">
      <formula>NOT(ISERROR(SEARCH("em andamento",P315)))</formula>
    </cfRule>
    <cfRule type="containsText" dxfId="567" priority="3803" operator="containsText" text="Lançado">
      <formula>NOT(ISERROR(SEARCH("Lançado",P315)))</formula>
    </cfRule>
    <cfRule type="expression" dxfId="566" priority="3801">
      <formula>$H315="CÉLULA CONSTRUTIVA"</formula>
    </cfRule>
    <cfRule type="expression" dxfId="565" priority="3802">
      <formula>$H315="ETAPA"</formula>
    </cfRule>
    <cfRule type="containsText" dxfId="564" priority="3804" operator="containsText" text="N/A">
      <formula>NOT(ISERROR(SEARCH("N/A",P315)))</formula>
    </cfRule>
    <cfRule type="containsText" dxfId="563" priority="3805" operator="containsText" text="Pendente">
      <formula>NOT(ISERROR(SEARCH("Pendente",P315)))</formula>
    </cfRule>
    <cfRule type="expression" dxfId="562" priority="3800">
      <formula>$H315="SUBETAPA"</formula>
    </cfRule>
  </conditionalFormatting>
  <conditionalFormatting sqref="P316">
    <cfRule type="containsText" dxfId="561" priority="7537" operator="containsText" text="Finalizado">
      <formula>NOT(ISERROR(SEARCH("Finalizado",P316)))</formula>
    </cfRule>
    <cfRule type="containsText" dxfId="560" priority="7536" operator="containsText" text="Pendente">
      <formula>NOT(ISERROR(SEARCH("Pendente",P316)))</formula>
    </cfRule>
    <cfRule type="containsText" dxfId="559" priority="7538" operator="containsText" text="em andamento">
      <formula>NOT(ISERROR(SEARCH("em andamento",P316)))</formula>
    </cfRule>
  </conditionalFormatting>
  <conditionalFormatting sqref="P316:P319">
    <cfRule type="containsText" dxfId="558" priority="3837" operator="containsText" text="Lançado">
      <formula>NOT(ISERROR(SEARCH("Lançado",P316)))</formula>
    </cfRule>
    <cfRule type="containsText" dxfId="557" priority="3838" operator="containsText" text="N/A">
      <formula>NOT(ISERROR(SEARCH("N/A",P316)))</formula>
    </cfRule>
  </conditionalFormatting>
  <conditionalFormatting sqref="P317:P318">
    <cfRule type="containsText" dxfId="556" priority="7422" operator="containsText" text="Pendente">
      <formula>NOT(ISERROR(SEARCH("Pendente",P317)))</formula>
    </cfRule>
    <cfRule type="containsText" dxfId="555" priority="7424" operator="containsText" text="em andamento">
      <formula>NOT(ISERROR(SEARCH("em andamento",P317)))</formula>
    </cfRule>
    <cfRule type="containsText" dxfId="554" priority="7423" operator="containsText" text="Finalizado">
      <formula>NOT(ISERROR(SEARCH("Finalizado",P317)))</formula>
    </cfRule>
  </conditionalFormatting>
  <conditionalFormatting sqref="P318">
    <cfRule type="expression" dxfId="553" priority="7427">
      <formula>$H318="SUBETAPA"</formula>
    </cfRule>
    <cfRule type="expression" dxfId="552" priority="7428">
      <formula>$H318="CÉLULA CONSTRUTIVA"</formula>
    </cfRule>
    <cfRule type="containsText" dxfId="551" priority="7435" operator="containsText" text="em andamento">
      <formula>NOT(ISERROR(SEARCH("em andamento",P318)))</formula>
    </cfRule>
    <cfRule type="containsText" dxfId="550" priority="7431" operator="containsText" text="Lançado">
      <formula>NOT(ISERROR(SEARCH("Lançado",P318)))</formula>
    </cfRule>
    <cfRule type="containsText" dxfId="549" priority="7432" operator="containsText" text="N/A">
      <formula>NOT(ISERROR(SEARCH("N/A",P318)))</formula>
    </cfRule>
    <cfRule type="containsText" dxfId="548" priority="7433" operator="containsText" text="Pendente">
      <formula>NOT(ISERROR(SEARCH("Pendente",P318)))</formula>
    </cfRule>
    <cfRule type="containsText" dxfId="547" priority="7434" operator="containsText" text="Finalizado">
      <formula>NOT(ISERROR(SEARCH("Finalizado",P318)))</formula>
    </cfRule>
  </conditionalFormatting>
  <conditionalFormatting sqref="P319">
    <cfRule type="containsText" dxfId="546" priority="3833" operator="containsText" text="em andamento">
      <formula>NOT(ISERROR(SEARCH("em andamento",P319)))</formula>
    </cfRule>
    <cfRule type="containsText" dxfId="545" priority="3828" operator="containsText" text="em andamento">
      <formula>NOT(ISERROR(SEARCH("em andamento",P319)))</formula>
    </cfRule>
    <cfRule type="containsText" dxfId="544" priority="3841" operator="containsText" text="em andamento">
      <formula>NOT(ISERROR(SEARCH("em andamento",P319)))</formula>
    </cfRule>
    <cfRule type="containsText" dxfId="543" priority="3832" operator="containsText" text="Finalizado">
      <formula>NOT(ISERROR(SEARCH("Finalizado",P319)))</formula>
    </cfRule>
    <cfRule type="expression" dxfId="542" priority="3835">
      <formula>$H319="CÉLULA CONSTRUTIVA"</formula>
    </cfRule>
    <cfRule type="containsText" dxfId="541" priority="3829" operator="containsText" text="Lançado">
      <formula>NOT(ISERROR(SEARCH("Lançado",P319)))</formula>
    </cfRule>
    <cfRule type="containsText" dxfId="540" priority="3826" operator="containsText" text="Pendente">
      <formula>NOT(ISERROR(SEARCH("Pendente",P319)))</formula>
    </cfRule>
    <cfRule type="expression" dxfId="539" priority="3836">
      <formula>$H319="ETAPA"</formula>
    </cfRule>
    <cfRule type="containsText" dxfId="538" priority="3827" operator="containsText" text="Finalizado">
      <formula>NOT(ISERROR(SEARCH("Finalizado",P319)))</formula>
    </cfRule>
    <cfRule type="containsText" dxfId="537" priority="3824" operator="containsText" text="Lançado">
      <formula>NOT(ISERROR(SEARCH("Lançado",P319)))</formula>
    </cfRule>
    <cfRule type="containsText" dxfId="536" priority="3840" operator="containsText" text="Finalizado">
      <formula>NOT(ISERROR(SEARCH("Finalizado",P319)))</formula>
    </cfRule>
    <cfRule type="expression" dxfId="535" priority="3823">
      <formula>$H319="ETAPA"</formula>
    </cfRule>
    <cfRule type="containsText" dxfId="534" priority="3825" operator="containsText" text="N/A">
      <formula>NOT(ISERROR(SEARCH("N/A",P319)))</formula>
    </cfRule>
    <cfRule type="containsText" dxfId="533" priority="3830" operator="containsText" text="N/A">
      <formula>NOT(ISERROR(SEARCH("N/A",P319)))</formula>
    </cfRule>
    <cfRule type="containsText" dxfId="532" priority="3831" operator="containsText" text="Pendente">
      <formula>NOT(ISERROR(SEARCH("Pendente",P319)))</formula>
    </cfRule>
    <cfRule type="expression" dxfId="531" priority="3822">
      <formula>$H319="CÉLULA CONSTRUTIVA"</formula>
    </cfRule>
    <cfRule type="expression" dxfId="530" priority="3821">
      <formula>$H319="SUBETAPA"</formula>
    </cfRule>
    <cfRule type="containsText" dxfId="529" priority="3839" operator="containsText" text="Pendente">
      <formula>NOT(ISERROR(SEARCH("Pendente",P319)))</formula>
    </cfRule>
  </conditionalFormatting>
  <conditionalFormatting sqref="P321">
    <cfRule type="containsText" dxfId="528" priority="3862" operator="containsText" text="em andamento">
      <formula>NOT(ISERROR(SEARCH("em andamento",P321)))</formula>
    </cfRule>
    <cfRule type="containsText" dxfId="527" priority="3860" operator="containsText" text="Pendente">
      <formula>NOT(ISERROR(SEARCH("Pendente",P321)))</formula>
    </cfRule>
    <cfRule type="containsText" dxfId="526" priority="3851" operator="containsText" text="N/A">
      <formula>NOT(ISERROR(SEARCH("N/A",P321)))</formula>
    </cfRule>
    <cfRule type="containsText" dxfId="525" priority="3852" operator="containsText" text="Pendente">
      <formula>NOT(ISERROR(SEARCH("Pendente",P321)))</formula>
    </cfRule>
    <cfRule type="containsText" dxfId="524" priority="3849" operator="containsText" text="em andamento">
      <formula>NOT(ISERROR(SEARCH("em andamento",P321)))</formula>
    </cfRule>
    <cfRule type="containsText" dxfId="523" priority="3853" operator="containsText" text="Finalizado">
      <formula>NOT(ISERROR(SEARCH("Finalizado",P321)))</formula>
    </cfRule>
    <cfRule type="containsText" dxfId="522" priority="3848" operator="containsText" text="Finalizado">
      <formula>NOT(ISERROR(SEARCH("Finalizado",P321)))</formula>
    </cfRule>
    <cfRule type="containsText" dxfId="521" priority="3847" operator="containsText" text="Pendente">
      <formula>NOT(ISERROR(SEARCH("Pendente",P321)))</formula>
    </cfRule>
    <cfRule type="containsText" dxfId="520" priority="3854" operator="containsText" text="em andamento">
      <formula>NOT(ISERROR(SEARCH("em andamento",P321)))</formula>
    </cfRule>
    <cfRule type="containsText" dxfId="519" priority="3846" operator="containsText" text="N/A">
      <formula>NOT(ISERROR(SEARCH("N/A",P321)))</formula>
    </cfRule>
    <cfRule type="containsText" dxfId="518" priority="3845" operator="containsText" text="Lançado">
      <formula>NOT(ISERROR(SEARCH("Lançado",P321)))</formula>
    </cfRule>
    <cfRule type="expression" dxfId="517" priority="3856">
      <formula>$H321="CÉLULA CONSTRUTIVA"</formula>
    </cfRule>
    <cfRule type="expression" dxfId="516" priority="3844">
      <formula>$H321="ETAPA"</formula>
    </cfRule>
    <cfRule type="expression" dxfId="515" priority="3843">
      <formula>$H321="CÉLULA CONSTRUTIVA"</formula>
    </cfRule>
    <cfRule type="containsText" dxfId="514" priority="3850" operator="containsText" text="Lançado">
      <formula>NOT(ISERROR(SEARCH("Lançado",P321)))</formula>
    </cfRule>
    <cfRule type="expression" dxfId="513" priority="3842">
      <formula>$H321="SUBETAPA"</formula>
    </cfRule>
    <cfRule type="expression" dxfId="512" priority="3857">
      <formula>$H321="ETAPA"</formula>
    </cfRule>
    <cfRule type="containsText" dxfId="511" priority="3858" operator="containsText" text="Lançado">
      <formula>NOT(ISERROR(SEARCH("Lançado",P321)))</formula>
    </cfRule>
    <cfRule type="containsText" dxfId="510" priority="3859" operator="containsText" text="N/A">
      <formula>NOT(ISERROR(SEARCH("N/A",P321)))</formula>
    </cfRule>
    <cfRule type="containsText" dxfId="509" priority="3861" operator="containsText" text="Finalizado">
      <formula>NOT(ISERROR(SEARCH("Finalizado",P321)))</formula>
    </cfRule>
  </conditionalFormatting>
  <conditionalFormatting sqref="P322 P305 P377:P383 P335 P337 P17">
    <cfRule type="containsText" dxfId="508" priority="8049" operator="containsText" text="em andamento">
      <formula>NOT(ISERROR(SEARCH("em andamento",P17)))</formula>
    </cfRule>
  </conditionalFormatting>
  <conditionalFormatting sqref="P323">
    <cfRule type="containsText" dxfId="507" priority="3872" operator="containsText" text="N/A">
      <formula>NOT(ISERROR(SEARCH("N/A",P323)))</formula>
    </cfRule>
    <cfRule type="containsText" dxfId="506" priority="3881" operator="containsText" text="Pendente">
      <formula>NOT(ISERROR(SEARCH("Pendente",P323)))</formula>
    </cfRule>
    <cfRule type="containsText" dxfId="505" priority="3873" operator="containsText" text="Pendente">
      <formula>NOT(ISERROR(SEARCH("Pendente",P323)))</formula>
    </cfRule>
    <cfRule type="containsText" dxfId="504" priority="3883" operator="containsText" text="em andamento">
      <formula>NOT(ISERROR(SEARCH("em andamento",P323)))</formula>
    </cfRule>
    <cfRule type="containsText" dxfId="503" priority="3866" operator="containsText" text="Lançado">
      <formula>NOT(ISERROR(SEARCH("Lançado",P323)))</formula>
    </cfRule>
    <cfRule type="containsText" dxfId="502" priority="3869" operator="containsText" text="Finalizado">
      <formula>NOT(ISERROR(SEARCH("Finalizado",P323)))</formula>
    </cfRule>
    <cfRule type="containsText" dxfId="501" priority="3875" operator="containsText" text="em andamento">
      <formula>NOT(ISERROR(SEARCH("em andamento",P323)))</formula>
    </cfRule>
    <cfRule type="expression" dxfId="500" priority="3878">
      <formula>$H323="ETAPA"</formula>
    </cfRule>
    <cfRule type="containsText" dxfId="499" priority="3867" operator="containsText" text="N/A">
      <formula>NOT(ISERROR(SEARCH("N/A",P323)))</formula>
    </cfRule>
    <cfRule type="containsText" dxfId="498" priority="3868" operator="containsText" text="Pendente">
      <formula>NOT(ISERROR(SEARCH("Pendente",P323)))</formula>
    </cfRule>
    <cfRule type="containsText" dxfId="497" priority="3882" operator="containsText" text="Finalizado">
      <formula>NOT(ISERROR(SEARCH("Finalizado",P323)))</formula>
    </cfRule>
    <cfRule type="expression" dxfId="496" priority="3877">
      <formula>$H323="CÉLULA CONSTRUTIVA"</formula>
    </cfRule>
    <cfRule type="expression" dxfId="495" priority="3864">
      <formula>$H323="CÉLULA CONSTRUTIVA"</formula>
    </cfRule>
    <cfRule type="containsText" dxfId="494" priority="3870" operator="containsText" text="em andamento">
      <formula>NOT(ISERROR(SEARCH("em andamento",P323)))</formula>
    </cfRule>
    <cfRule type="containsText" dxfId="493" priority="3874" operator="containsText" text="Finalizado">
      <formula>NOT(ISERROR(SEARCH("Finalizado",P323)))</formula>
    </cfRule>
    <cfRule type="containsText" dxfId="492" priority="3871" operator="containsText" text="Lançado">
      <formula>NOT(ISERROR(SEARCH("Lançado",P323)))</formula>
    </cfRule>
    <cfRule type="expression" dxfId="491" priority="3863">
      <formula>$H323="SUBETAPA"</formula>
    </cfRule>
    <cfRule type="expression" dxfId="490" priority="3865">
      <formula>$H323="ETAPA"</formula>
    </cfRule>
  </conditionalFormatting>
  <conditionalFormatting sqref="P323:P326">
    <cfRule type="containsText" dxfId="489" priority="3879" operator="containsText" text="Lançado">
      <formula>NOT(ISERROR(SEARCH("Lançado",P323)))</formula>
    </cfRule>
    <cfRule type="containsText" dxfId="488" priority="3880" operator="containsText" text="N/A">
      <formula>NOT(ISERROR(SEARCH("N/A",P323)))</formula>
    </cfRule>
  </conditionalFormatting>
  <conditionalFormatting sqref="P324">
    <cfRule type="containsText" dxfId="487" priority="4237" operator="containsText" text="Pendente">
      <formula>NOT(ISERROR(SEARCH("Pendente",P324)))</formula>
    </cfRule>
    <cfRule type="containsText" dxfId="486" priority="4238" operator="containsText" text="Finalizado">
      <formula>NOT(ISERROR(SEARCH("Finalizado",P324)))</formula>
    </cfRule>
    <cfRule type="containsText" dxfId="485" priority="4239" operator="containsText" text="em andamento">
      <formula>NOT(ISERROR(SEARCH("em andamento",P324)))</formula>
    </cfRule>
  </conditionalFormatting>
  <conditionalFormatting sqref="P324:P326 P333 P328">
    <cfRule type="containsText" dxfId="484" priority="4252" operator="containsText" text="Pendente">
      <formula>NOT(ISERROR(SEARCH("Pendente",P324)))</formula>
    </cfRule>
    <cfRule type="containsText" dxfId="483" priority="4253" operator="containsText" text="Finalizado">
      <formula>NOT(ISERROR(SEARCH("Finalizado",P324)))</formula>
    </cfRule>
    <cfRule type="containsText" dxfId="482" priority="4254" operator="containsText" text="em andamento">
      <formula>NOT(ISERROR(SEARCH("em andamento",P324)))</formula>
    </cfRule>
  </conditionalFormatting>
  <conditionalFormatting sqref="P325:P326">
    <cfRule type="containsText" dxfId="481" priority="4221" operator="containsText" text="Finalizado">
      <formula>NOT(ISERROR(SEARCH("Finalizado",P325)))</formula>
    </cfRule>
    <cfRule type="containsText" dxfId="480" priority="4222" operator="containsText" text="em andamento">
      <formula>NOT(ISERROR(SEARCH("em andamento",P325)))</formula>
    </cfRule>
    <cfRule type="containsText" dxfId="479" priority="4220" operator="containsText" text="Pendente">
      <formula>NOT(ISERROR(SEARCH("Pendente",P325)))</formula>
    </cfRule>
  </conditionalFormatting>
  <conditionalFormatting sqref="P326">
    <cfRule type="expression" dxfId="478" priority="4226">
      <formula>$H326="CÉLULA CONSTRUTIVA"</formula>
    </cfRule>
    <cfRule type="containsText" dxfId="477" priority="4229" operator="containsText" text="Lançado">
      <formula>NOT(ISERROR(SEARCH("Lançado",P326)))</formula>
    </cfRule>
    <cfRule type="containsText" dxfId="476" priority="4230" operator="containsText" text="N/A">
      <formula>NOT(ISERROR(SEARCH("N/A",P326)))</formula>
    </cfRule>
    <cfRule type="containsText" dxfId="475" priority="4231" operator="containsText" text="Pendente">
      <formula>NOT(ISERROR(SEARCH("Pendente",P326)))</formula>
    </cfRule>
    <cfRule type="containsText" dxfId="474" priority="4232" operator="containsText" text="Finalizado">
      <formula>NOT(ISERROR(SEARCH("Finalizado",P326)))</formula>
    </cfRule>
    <cfRule type="containsText" dxfId="473" priority="4233" operator="containsText" text="em andamento">
      <formula>NOT(ISERROR(SEARCH("em andamento",P326)))</formula>
    </cfRule>
    <cfRule type="expression" dxfId="472" priority="4225">
      <formula>$H326="SUBETAPA"</formula>
    </cfRule>
  </conditionalFormatting>
  <conditionalFormatting sqref="P327">
    <cfRule type="containsText" dxfId="471" priority="1001" operator="containsText" text="Pendente">
      <formula>NOT(ISERROR(SEARCH("Pendente",P327)))</formula>
    </cfRule>
    <cfRule type="containsText" dxfId="470" priority="1007" operator="containsText" text="Finalizado">
      <formula>NOT(ISERROR(SEARCH("Finalizado",P327)))</formula>
    </cfRule>
    <cfRule type="containsText" dxfId="469" priority="1015" operator="containsText" text="Finalizado">
      <formula>NOT(ISERROR(SEARCH("Finalizado",P327)))</formula>
    </cfRule>
    <cfRule type="containsText" dxfId="468" priority="999" operator="containsText" text="Lançado">
      <formula>NOT(ISERROR(SEARCH("Lançado",P327)))</formula>
    </cfRule>
    <cfRule type="containsText" dxfId="467" priority="1013" operator="containsText" text="N/A">
      <formula>NOT(ISERROR(SEARCH("N/A",P327)))</formula>
    </cfRule>
    <cfRule type="containsText" dxfId="466" priority="1014" operator="containsText" text="Pendente">
      <formula>NOT(ISERROR(SEARCH("Pendente",P327)))</formula>
    </cfRule>
    <cfRule type="containsText" dxfId="465" priority="1002" operator="containsText" text="Finalizado">
      <formula>NOT(ISERROR(SEARCH("Finalizado",P327)))</formula>
    </cfRule>
    <cfRule type="containsText" dxfId="464" priority="1006" operator="containsText" text="Pendente">
      <formula>NOT(ISERROR(SEARCH("Pendente",P327)))</formula>
    </cfRule>
    <cfRule type="expression" dxfId="463" priority="1010">
      <formula>$H327="CÉLULA CONSTRUTIVA"</formula>
    </cfRule>
    <cfRule type="containsText" dxfId="462" priority="1016" operator="containsText" text="em andamento">
      <formula>NOT(ISERROR(SEARCH("em andamento",P327)))</formula>
    </cfRule>
    <cfRule type="expression" dxfId="461" priority="1011">
      <formula>$H327="ETAPA"</formula>
    </cfRule>
    <cfRule type="containsText" dxfId="460" priority="1012" operator="containsText" text="Lançado">
      <formula>NOT(ISERROR(SEARCH("Lançado",P327)))</formula>
    </cfRule>
    <cfRule type="containsText" dxfId="459" priority="1005" operator="containsText" text="N/A">
      <formula>NOT(ISERROR(SEARCH("N/A",P327)))</formula>
    </cfRule>
    <cfRule type="expression" dxfId="458" priority="1009">
      <formula>$H327="SUBETAPA"</formula>
    </cfRule>
    <cfRule type="containsText" dxfId="457" priority="1004" operator="containsText" text="Lançado">
      <formula>NOT(ISERROR(SEARCH("Lançado",P327)))</formula>
    </cfRule>
    <cfRule type="containsText" dxfId="456" priority="1003" operator="containsText" text="em andamento">
      <formula>NOT(ISERROR(SEARCH("em andamento",P327)))</formula>
    </cfRule>
    <cfRule type="expression" dxfId="455" priority="996">
      <formula>$H327="SUBETAPA"</formula>
    </cfRule>
    <cfRule type="expression" dxfId="454" priority="997">
      <formula>$H327="CÉLULA CONSTRUTIVA"</formula>
    </cfRule>
    <cfRule type="expression" dxfId="453" priority="998">
      <formula>$H327="ETAPA"</formula>
    </cfRule>
    <cfRule type="containsText" dxfId="452" priority="1008" operator="containsText" text="em andamento">
      <formula>NOT(ISERROR(SEARCH("em andamento",P327)))</formula>
    </cfRule>
    <cfRule type="containsText" dxfId="451" priority="1000" operator="containsText" text="N/A">
      <formula>NOT(ISERROR(SEARCH("N/A",P327)))</formula>
    </cfRule>
  </conditionalFormatting>
  <conditionalFormatting sqref="P329">
    <cfRule type="containsText" dxfId="450" priority="979" operator="containsText" text="N/A">
      <formula>NOT(ISERROR(SEARCH("N/A",P329)))</formula>
    </cfRule>
    <cfRule type="containsText" dxfId="449" priority="978" operator="containsText" text="Lançado">
      <formula>NOT(ISERROR(SEARCH("Lançado",P329)))</formula>
    </cfRule>
    <cfRule type="expression" dxfId="448" priority="977">
      <formula>$H329="ETAPA"</formula>
    </cfRule>
    <cfRule type="expression" dxfId="447" priority="976">
      <formula>$H329="CÉLULA CONSTRUTIVA"</formula>
    </cfRule>
    <cfRule type="expression" dxfId="446" priority="975">
      <formula>$H329="SUBETAPA"</formula>
    </cfRule>
    <cfRule type="containsText" dxfId="445" priority="980" operator="containsText" text="Pendente">
      <formula>NOT(ISERROR(SEARCH("Pendente",P329)))</formula>
    </cfRule>
    <cfRule type="containsText" dxfId="444" priority="995" operator="containsText" text="em andamento">
      <formula>NOT(ISERROR(SEARCH("em andamento",P329)))</formula>
    </cfRule>
    <cfRule type="containsText" dxfId="443" priority="994" operator="containsText" text="Finalizado">
      <formula>NOT(ISERROR(SEARCH("Finalizado",P329)))</formula>
    </cfRule>
    <cfRule type="containsText" dxfId="442" priority="993" operator="containsText" text="Pendente">
      <formula>NOT(ISERROR(SEARCH("Pendente",P329)))</formula>
    </cfRule>
    <cfRule type="containsText" dxfId="441" priority="992" operator="containsText" text="N/A">
      <formula>NOT(ISERROR(SEARCH("N/A",P329)))</formula>
    </cfRule>
    <cfRule type="containsText" dxfId="440" priority="991" operator="containsText" text="Lançado">
      <formula>NOT(ISERROR(SEARCH("Lançado",P329)))</formula>
    </cfRule>
    <cfRule type="expression" dxfId="439" priority="990">
      <formula>$H329="ETAPA"</formula>
    </cfRule>
    <cfRule type="expression" dxfId="438" priority="989">
      <formula>$H329="CÉLULA CONSTRUTIVA"</formula>
    </cfRule>
    <cfRule type="expression" dxfId="437" priority="988">
      <formula>$H329="SUBETAPA"</formula>
    </cfRule>
    <cfRule type="containsText" dxfId="436" priority="987" operator="containsText" text="em andamento">
      <formula>NOT(ISERROR(SEARCH("em andamento",P329)))</formula>
    </cfRule>
    <cfRule type="containsText" dxfId="435" priority="986" operator="containsText" text="Finalizado">
      <formula>NOT(ISERROR(SEARCH("Finalizado",P329)))</formula>
    </cfRule>
    <cfRule type="containsText" dxfId="434" priority="985" operator="containsText" text="Pendente">
      <formula>NOT(ISERROR(SEARCH("Pendente",P329)))</formula>
    </cfRule>
    <cfRule type="containsText" dxfId="433" priority="984" operator="containsText" text="N/A">
      <formula>NOT(ISERROR(SEARCH("N/A",P329)))</formula>
    </cfRule>
    <cfRule type="containsText" dxfId="432" priority="983" operator="containsText" text="Lançado">
      <formula>NOT(ISERROR(SEARCH("Lançado",P329)))</formula>
    </cfRule>
    <cfRule type="containsText" dxfId="431" priority="982" operator="containsText" text="em andamento">
      <formula>NOT(ISERROR(SEARCH("em andamento",P329)))</formula>
    </cfRule>
    <cfRule type="containsText" dxfId="430" priority="981" operator="containsText" text="Finalizado">
      <formula>NOT(ISERROR(SEARCH("Finalizado",P329)))</formula>
    </cfRule>
  </conditionalFormatting>
  <conditionalFormatting sqref="P330">
    <cfRule type="containsText" dxfId="429" priority="4159" operator="containsText" text="em andamento">
      <formula>NOT(ISERROR(SEARCH("em andamento",P330)))</formula>
    </cfRule>
    <cfRule type="containsText" dxfId="428" priority="4157" operator="containsText" text="Pendente">
      <formula>NOT(ISERROR(SEARCH("Pendente",P330)))</formula>
    </cfRule>
    <cfRule type="containsText" dxfId="427" priority="4150" operator="containsText" text="Lançado">
      <formula>NOT(ISERROR(SEARCH("Lançado",P330)))</formula>
    </cfRule>
    <cfRule type="containsText" dxfId="426" priority="4151" operator="containsText" text="N/A">
      <formula>NOT(ISERROR(SEARCH("N/A",P330)))</formula>
    </cfRule>
    <cfRule type="containsText" dxfId="425" priority="4152" operator="containsText" text="Pendente">
      <formula>NOT(ISERROR(SEARCH("Pendente",P330)))</formula>
    </cfRule>
    <cfRule type="containsText" dxfId="424" priority="4155" operator="containsText" text="Lançado">
      <formula>NOT(ISERROR(SEARCH("Lançado",P330)))</formula>
    </cfRule>
    <cfRule type="containsText" dxfId="423" priority="4154" operator="containsText" text="em andamento">
      <formula>NOT(ISERROR(SEARCH("em andamento",P330)))</formula>
    </cfRule>
    <cfRule type="containsText" dxfId="422" priority="4153" operator="containsText" text="Finalizado">
      <formula>NOT(ISERROR(SEARCH("Finalizado",P330)))</formula>
    </cfRule>
    <cfRule type="containsText" dxfId="421" priority="4158" operator="containsText" text="Finalizado">
      <formula>NOT(ISERROR(SEARCH("Finalizado",P330)))</formula>
    </cfRule>
    <cfRule type="containsText" dxfId="420" priority="4156" operator="containsText" text="N/A">
      <formula>NOT(ISERROR(SEARCH("N/A",P330)))</formula>
    </cfRule>
  </conditionalFormatting>
  <conditionalFormatting sqref="P331:P332">
    <cfRule type="containsText" dxfId="419" priority="958" operator="containsText" text="N/A">
      <formula>NOT(ISERROR(SEARCH("N/A",P331)))</formula>
    </cfRule>
    <cfRule type="expression" dxfId="418" priority="969">
      <formula>$H331="ETAPA"</formula>
    </cfRule>
    <cfRule type="containsText" dxfId="417" priority="974" operator="containsText" text="em andamento">
      <formula>NOT(ISERROR(SEARCH("em andamento",P331)))</formula>
    </cfRule>
    <cfRule type="containsText" dxfId="416" priority="973" operator="containsText" text="Finalizado">
      <formula>NOT(ISERROR(SEARCH("Finalizado",P331)))</formula>
    </cfRule>
    <cfRule type="containsText" dxfId="415" priority="972" operator="containsText" text="Pendente">
      <formula>NOT(ISERROR(SEARCH("Pendente",P331)))</formula>
    </cfRule>
    <cfRule type="containsText" dxfId="414" priority="971" operator="containsText" text="N/A">
      <formula>NOT(ISERROR(SEARCH("N/A",P331)))</formula>
    </cfRule>
    <cfRule type="containsText" dxfId="413" priority="970" operator="containsText" text="Lançado">
      <formula>NOT(ISERROR(SEARCH("Lançado",P331)))</formula>
    </cfRule>
    <cfRule type="expression" dxfId="412" priority="968">
      <formula>$H331="CÉLULA CONSTRUTIVA"</formula>
    </cfRule>
    <cfRule type="expression" dxfId="411" priority="967">
      <formula>$H331="SUBETAPA"</formula>
    </cfRule>
    <cfRule type="containsText" dxfId="410" priority="966" operator="containsText" text="em andamento">
      <formula>NOT(ISERROR(SEARCH("em andamento",P331)))</formula>
    </cfRule>
    <cfRule type="containsText" dxfId="409" priority="965" operator="containsText" text="Finalizado">
      <formula>NOT(ISERROR(SEARCH("Finalizado",P331)))</formula>
    </cfRule>
    <cfRule type="containsText" dxfId="408" priority="964" operator="containsText" text="Pendente">
      <formula>NOT(ISERROR(SEARCH("Pendente",P331)))</formula>
    </cfRule>
    <cfRule type="containsText" dxfId="407" priority="963" operator="containsText" text="N/A">
      <formula>NOT(ISERROR(SEARCH("N/A",P331)))</formula>
    </cfRule>
    <cfRule type="containsText" dxfId="406" priority="962" operator="containsText" text="Lançado">
      <formula>NOT(ISERROR(SEARCH("Lançado",P331)))</formula>
    </cfRule>
    <cfRule type="containsText" dxfId="405" priority="961" operator="containsText" text="em andamento">
      <formula>NOT(ISERROR(SEARCH("em andamento",P331)))</formula>
    </cfRule>
    <cfRule type="containsText" dxfId="404" priority="960" operator="containsText" text="Finalizado">
      <formula>NOT(ISERROR(SEARCH("Finalizado",P331)))</formula>
    </cfRule>
    <cfRule type="containsText" dxfId="403" priority="959" operator="containsText" text="Pendente">
      <formula>NOT(ISERROR(SEARCH("Pendente",P331)))</formula>
    </cfRule>
    <cfRule type="containsText" dxfId="402" priority="957" operator="containsText" text="Lançado">
      <formula>NOT(ISERROR(SEARCH("Lançado",P331)))</formula>
    </cfRule>
    <cfRule type="expression" dxfId="401" priority="956">
      <formula>$H331="ETAPA"</formula>
    </cfRule>
    <cfRule type="expression" dxfId="400" priority="955">
      <formula>$H331="CÉLULA CONSTRUTIVA"</formula>
    </cfRule>
    <cfRule type="expression" dxfId="399" priority="954">
      <formula>$H331="SUBETAPA"</formula>
    </cfRule>
  </conditionalFormatting>
  <conditionalFormatting sqref="P333 P324:P326 P328">
    <cfRule type="containsText" dxfId="398" priority="4251" operator="containsText" text="N/A">
      <formula>NOT(ISERROR(SEARCH("N/A",P324)))</formula>
    </cfRule>
    <cfRule type="containsText" dxfId="397" priority="4250" operator="containsText" text="Lançado">
      <formula>NOT(ISERROR(SEARCH("Lançado",P324)))</formula>
    </cfRule>
  </conditionalFormatting>
  <conditionalFormatting sqref="P333">
    <cfRule type="containsText" dxfId="396" priority="4249" operator="containsText" text="em andamento">
      <formula>NOT(ISERROR(SEARCH("em andamento",P333)))</formula>
    </cfRule>
    <cfRule type="containsText" dxfId="395" priority="4245" operator="containsText" text="Lançado">
      <formula>NOT(ISERROR(SEARCH("Lançado",P333)))</formula>
    </cfRule>
    <cfRule type="containsText" dxfId="394" priority="4247" operator="containsText" text="Pendente">
      <formula>NOT(ISERROR(SEARCH("Pendente",P333)))</formula>
    </cfRule>
    <cfRule type="containsText" dxfId="393" priority="4248" operator="containsText" text="Finalizado">
      <formula>NOT(ISERROR(SEARCH("Finalizado",P333)))</formula>
    </cfRule>
    <cfRule type="containsText" dxfId="392" priority="4246" operator="containsText" text="N/A">
      <formula>NOT(ISERROR(SEARCH("N/A",P333)))</formula>
    </cfRule>
  </conditionalFormatting>
  <conditionalFormatting sqref="P334">
    <cfRule type="expression" dxfId="391" priority="948">
      <formula>$H334="ETAPA"</formula>
    </cfRule>
    <cfRule type="expression" dxfId="390" priority="933">
      <formula>$H334="SUBETAPA"</formula>
    </cfRule>
    <cfRule type="expression" dxfId="389" priority="935">
      <formula>$H334="ETAPA"</formula>
    </cfRule>
    <cfRule type="containsText" dxfId="388" priority="937" operator="containsText" text="N/A">
      <formula>NOT(ISERROR(SEARCH("N/A",P334)))</formula>
    </cfRule>
    <cfRule type="containsText" dxfId="387" priority="938" operator="containsText" text="Pendente">
      <formula>NOT(ISERROR(SEARCH("Pendente",P334)))</formula>
    </cfRule>
    <cfRule type="containsText" dxfId="386" priority="939" operator="containsText" text="Finalizado">
      <formula>NOT(ISERROR(SEARCH("Finalizado",P334)))</formula>
    </cfRule>
    <cfRule type="containsText" dxfId="385" priority="940" operator="containsText" text="em andamento">
      <formula>NOT(ISERROR(SEARCH("em andamento",P334)))</formula>
    </cfRule>
    <cfRule type="containsText" dxfId="384" priority="941" operator="containsText" text="Lançado">
      <formula>NOT(ISERROR(SEARCH("Lançado",P334)))</formula>
    </cfRule>
    <cfRule type="containsText" dxfId="383" priority="936" operator="containsText" text="Lançado">
      <formula>NOT(ISERROR(SEARCH("Lançado",P334)))</formula>
    </cfRule>
    <cfRule type="expression" dxfId="382" priority="934">
      <formula>$H334="CÉLULA CONSTRUTIVA"</formula>
    </cfRule>
    <cfRule type="containsText" dxfId="381" priority="949" operator="containsText" text="Lançado">
      <formula>NOT(ISERROR(SEARCH("Lançado",P334)))</formula>
    </cfRule>
    <cfRule type="containsText" dxfId="380" priority="950" operator="containsText" text="N/A">
      <formula>NOT(ISERROR(SEARCH("N/A",P334)))</formula>
    </cfRule>
    <cfRule type="containsText" dxfId="379" priority="942" operator="containsText" text="N/A">
      <formula>NOT(ISERROR(SEARCH("N/A",P334)))</formula>
    </cfRule>
    <cfRule type="containsText" dxfId="378" priority="951" operator="containsText" text="Pendente">
      <formula>NOT(ISERROR(SEARCH("Pendente",P334)))</formula>
    </cfRule>
    <cfRule type="containsText" dxfId="377" priority="952" operator="containsText" text="Finalizado">
      <formula>NOT(ISERROR(SEARCH("Finalizado",P334)))</formula>
    </cfRule>
    <cfRule type="containsText" dxfId="376" priority="953" operator="containsText" text="em andamento">
      <formula>NOT(ISERROR(SEARCH("em andamento",P334)))</formula>
    </cfRule>
    <cfRule type="containsText" dxfId="375" priority="943" operator="containsText" text="Pendente">
      <formula>NOT(ISERROR(SEARCH("Pendente",P334)))</formula>
    </cfRule>
    <cfRule type="containsText" dxfId="374" priority="944" operator="containsText" text="Finalizado">
      <formula>NOT(ISERROR(SEARCH("Finalizado",P334)))</formula>
    </cfRule>
    <cfRule type="containsText" dxfId="373" priority="945" operator="containsText" text="em andamento">
      <formula>NOT(ISERROR(SEARCH("em andamento",P334)))</formula>
    </cfRule>
    <cfRule type="expression" dxfId="372" priority="946">
      <formula>$H334="SUBETAPA"</formula>
    </cfRule>
    <cfRule type="expression" dxfId="371" priority="947">
      <formula>$H334="CÉLULA CONSTRUTIVA"</formula>
    </cfRule>
  </conditionalFormatting>
  <conditionalFormatting sqref="P336">
    <cfRule type="expression" dxfId="370" priority="925">
      <formula>$H336="SUBETAPA"</formula>
    </cfRule>
    <cfRule type="expression" dxfId="369" priority="914">
      <formula>$H336="ETAPA"</formula>
    </cfRule>
    <cfRule type="expression" dxfId="368" priority="912">
      <formula>$H336="SUBETAPA"</formula>
    </cfRule>
    <cfRule type="expression" dxfId="367" priority="913">
      <formula>$H336="CÉLULA CONSTRUTIVA"</formula>
    </cfRule>
    <cfRule type="containsText" dxfId="366" priority="915" operator="containsText" text="Lançado">
      <formula>NOT(ISERROR(SEARCH("Lançado",P336)))</formula>
    </cfRule>
    <cfRule type="containsText" dxfId="365" priority="916" operator="containsText" text="N/A">
      <formula>NOT(ISERROR(SEARCH("N/A",P336)))</formula>
    </cfRule>
    <cfRule type="containsText" dxfId="364" priority="917" operator="containsText" text="Pendente">
      <formula>NOT(ISERROR(SEARCH("Pendente",P336)))</formula>
    </cfRule>
    <cfRule type="containsText" dxfId="363" priority="918" operator="containsText" text="Finalizado">
      <formula>NOT(ISERROR(SEARCH("Finalizado",P336)))</formula>
    </cfRule>
    <cfRule type="containsText" dxfId="362" priority="921" operator="containsText" text="N/A">
      <formula>NOT(ISERROR(SEARCH("N/A",P336)))</formula>
    </cfRule>
    <cfRule type="containsText" dxfId="361" priority="924" operator="containsText" text="em andamento">
      <formula>NOT(ISERROR(SEARCH("em andamento",P336)))</formula>
    </cfRule>
    <cfRule type="containsText" dxfId="360" priority="923" operator="containsText" text="Finalizado">
      <formula>NOT(ISERROR(SEARCH("Finalizado",P336)))</formula>
    </cfRule>
    <cfRule type="containsText" dxfId="359" priority="922" operator="containsText" text="Pendente">
      <formula>NOT(ISERROR(SEARCH("Pendente",P336)))</formula>
    </cfRule>
    <cfRule type="containsText" dxfId="358" priority="920" operator="containsText" text="Lançado">
      <formula>NOT(ISERROR(SEARCH("Lançado",P336)))</formula>
    </cfRule>
    <cfRule type="containsText" dxfId="357" priority="919" operator="containsText" text="em andamento">
      <formula>NOT(ISERROR(SEARCH("em andamento",P336)))</formula>
    </cfRule>
    <cfRule type="containsText" dxfId="356" priority="932" operator="containsText" text="em andamento">
      <formula>NOT(ISERROR(SEARCH("em andamento",P336)))</formula>
    </cfRule>
    <cfRule type="containsText" dxfId="355" priority="931" operator="containsText" text="Finalizado">
      <formula>NOT(ISERROR(SEARCH("Finalizado",P336)))</formula>
    </cfRule>
    <cfRule type="containsText" dxfId="354" priority="930" operator="containsText" text="Pendente">
      <formula>NOT(ISERROR(SEARCH("Pendente",P336)))</formula>
    </cfRule>
    <cfRule type="containsText" dxfId="353" priority="929" operator="containsText" text="N/A">
      <formula>NOT(ISERROR(SEARCH("N/A",P336)))</formula>
    </cfRule>
    <cfRule type="containsText" dxfId="352" priority="928" operator="containsText" text="Lançado">
      <formula>NOT(ISERROR(SEARCH("Lançado",P336)))</formula>
    </cfRule>
    <cfRule type="expression" dxfId="351" priority="927">
      <formula>$H336="ETAPA"</formula>
    </cfRule>
    <cfRule type="expression" dxfId="350" priority="926">
      <formula>$H336="CÉLULA CONSTRUTIVA"</formula>
    </cfRule>
  </conditionalFormatting>
  <conditionalFormatting sqref="P338:P339">
    <cfRule type="containsText" dxfId="349" priority="7454" operator="containsText" text="Pendente">
      <formula>NOT(ISERROR(SEARCH("Pendente",P338)))</formula>
    </cfRule>
  </conditionalFormatting>
  <conditionalFormatting sqref="P338:P343">
    <cfRule type="containsText" dxfId="348" priority="3922" operator="containsText" text="N/A">
      <formula>NOT(ISERROR(SEARCH("N/A",P338)))</formula>
    </cfRule>
    <cfRule type="containsText" dxfId="347" priority="3921" operator="containsText" text="Lançado">
      <formula>NOT(ISERROR(SEARCH("Lançado",P338)))</formula>
    </cfRule>
  </conditionalFormatting>
  <conditionalFormatting sqref="P340:P342">
    <cfRule type="containsText" dxfId="346" priority="3913" operator="containsText" text="Lançado">
      <formula>NOT(ISERROR(SEARCH("Lançado",P340)))</formula>
    </cfRule>
    <cfRule type="expression" dxfId="345" priority="3905">
      <formula>$H340="SUBETAPA"</formula>
    </cfRule>
    <cfRule type="containsText" dxfId="344" priority="3909" operator="containsText" text="N/A">
      <formula>NOT(ISERROR(SEARCH("N/A",P340)))</formula>
    </cfRule>
    <cfRule type="containsText" dxfId="343" priority="3911" operator="containsText" text="Finalizado">
      <formula>NOT(ISERROR(SEARCH("Finalizado",P340)))</formula>
    </cfRule>
    <cfRule type="containsText" dxfId="342" priority="3908" operator="containsText" text="Lançado">
      <formula>NOT(ISERROR(SEARCH("Lançado",P340)))</formula>
    </cfRule>
    <cfRule type="containsText" dxfId="341" priority="3923" operator="containsText" text="Pendente">
      <formula>NOT(ISERROR(SEARCH("Pendente",P340)))</formula>
    </cfRule>
    <cfRule type="containsText" dxfId="340" priority="3924" operator="containsText" text="Finalizado">
      <formula>NOT(ISERROR(SEARCH("Finalizado",P340)))</formula>
    </cfRule>
    <cfRule type="containsText" dxfId="339" priority="3925" operator="containsText" text="em andamento">
      <formula>NOT(ISERROR(SEARCH("em andamento",P340)))</formula>
    </cfRule>
    <cfRule type="expression" dxfId="338" priority="3907">
      <formula>$H340="ETAPA"</formula>
    </cfRule>
    <cfRule type="containsText" dxfId="337" priority="3914" operator="containsText" text="N/A">
      <formula>NOT(ISERROR(SEARCH("N/A",P340)))</formula>
    </cfRule>
    <cfRule type="expression" dxfId="336" priority="3906">
      <formula>$H340="CÉLULA CONSTRUTIVA"</formula>
    </cfRule>
    <cfRule type="containsText" dxfId="335" priority="3915" operator="containsText" text="Pendente">
      <formula>NOT(ISERROR(SEARCH("Pendente",P340)))</formula>
    </cfRule>
    <cfRule type="containsText" dxfId="334" priority="3916" operator="containsText" text="Finalizado">
      <formula>NOT(ISERROR(SEARCH("Finalizado",P340)))</formula>
    </cfRule>
    <cfRule type="containsText" dxfId="333" priority="3912" operator="containsText" text="em andamento">
      <formula>NOT(ISERROR(SEARCH("em andamento",P340)))</formula>
    </cfRule>
    <cfRule type="containsText" dxfId="332" priority="3910" operator="containsText" text="Pendente">
      <formula>NOT(ISERROR(SEARCH("Pendente",P340)))</formula>
    </cfRule>
    <cfRule type="expression" dxfId="331" priority="3919">
      <formula>$H340="CÉLULA CONSTRUTIVA"</formula>
    </cfRule>
    <cfRule type="containsText" dxfId="330" priority="3917" operator="containsText" text="em andamento">
      <formula>NOT(ISERROR(SEARCH("em andamento",P340)))</formula>
    </cfRule>
    <cfRule type="expression" dxfId="329" priority="3920">
      <formula>$H340="ETAPA"</formula>
    </cfRule>
  </conditionalFormatting>
  <conditionalFormatting sqref="P343 P349">
    <cfRule type="containsText" dxfId="328" priority="7710" operator="containsText" text="Finalizado">
      <formula>NOT(ISERROR(SEARCH("Finalizado",P343)))</formula>
    </cfRule>
    <cfRule type="containsText" dxfId="327" priority="7709" operator="containsText" text="Pendente">
      <formula>NOT(ISERROR(SEARCH("Pendente",P343)))</formula>
    </cfRule>
  </conditionalFormatting>
  <conditionalFormatting sqref="P343">
    <cfRule type="containsText" dxfId="326" priority="7712" operator="containsText" text="em andamento">
      <formula>NOT(ISERROR(SEARCH("em andamento",P343)))</formula>
    </cfRule>
  </conditionalFormatting>
  <conditionalFormatting sqref="P344">
    <cfRule type="containsText" dxfId="325" priority="1038" operator="containsText" text="Finalizado">
      <formula>NOT(ISERROR(SEARCH("Finalizado",P344)))</formula>
    </cfRule>
    <cfRule type="containsText" dxfId="324" priority="1037" operator="containsText" text="Pendente">
      <formula>NOT(ISERROR(SEARCH("Pendente",P344)))</formula>
    </cfRule>
    <cfRule type="expression" dxfId="323" priority="1032">
      <formula>$H344="SUBETAPA"</formula>
    </cfRule>
    <cfRule type="containsText" dxfId="322" priority="1036" operator="containsText" text="N/A">
      <formula>NOT(ISERROR(SEARCH("N/A",P344)))</formula>
    </cfRule>
    <cfRule type="expression" dxfId="321" priority="1034">
      <formula>$H344="ETAPA"</formula>
    </cfRule>
    <cfRule type="containsText" dxfId="320" priority="1035" operator="containsText" text="Lançado">
      <formula>NOT(ISERROR(SEARCH("Lançado",P344)))</formula>
    </cfRule>
    <cfRule type="expression" dxfId="319" priority="1033">
      <formula>$H344="CÉLULA CONSTRUTIVA"</formula>
    </cfRule>
    <cfRule type="containsText" dxfId="318" priority="1050" operator="containsText" text="Pendente">
      <formula>NOT(ISERROR(SEARCH("Pendente",P344)))</formula>
    </cfRule>
    <cfRule type="containsText" dxfId="317" priority="1051" operator="containsText" text="Finalizado">
      <formula>NOT(ISERROR(SEARCH("Finalizado",P344)))</formula>
    </cfRule>
    <cfRule type="containsText" dxfId="316" priority="1049" operator="containsText" text="N/A">
      <formula>NOT(ISERROR(SEARCH("N/A",P344)))</formula>
    </cfRule>
    <cfRule type="containsText" dxfId="315" priority="1048" operator="containsText" text="Lançado">
      <formula>NOT(ISERROR(SEARCH("Lançado",P344)))</formula>
    </cfRule>
    <cfRule type="expression" dxfId="314" priority="1047">
      <formula>$H344="ETAPA"</formula>
    </cfRule>
    <cfRule type="expression" dxfId="313" priority="1046">
      <formula>$H344="CÉLULA CONSTRUTIVA"</formula>
    </cfRule>
    <cfRule type="expression" dxfId="312" priority="1045">
      <formula>$H344="SUBETAPA"</formula>
    </cfRule>
    <cfRule type="containsText" dxfId="311" priority="1044" operator="containsText" text="em andamento">
      <formula>NOT(ISERROR(SEARCH("em andamento",P344)))</formula>
    </cfRule>
    <cfRule type="containsText" dxfId="310" priority="1043" operator="containsText" text="Finalizado">
      <formula>NOT(ISERROR(SEARCH("Finalizado",P344)))</formula>
    </cfRule>
    <cfRule type="containsText" dxfId="309" priority="1052" operator="containsText" text="em andamento">
      <formula>NOT(ISERROR(SEARCH("em andamento",P344)))</formula>
    </cfRule>
    <cfRule type="containsText" dxfId="308" priority="1042" operator="containsText" text="Pendente">
      <formula>NOT(ISERROR(SEARCH("Pendente",P344)))</formula>
    </cfRule>
    <cfRule type="containsText" dxfId="307" priority="1041" operator="containsText" text="N/A">
      <formula>NOT(ISERROR(SEARCH("N/A",P344)))</formula>
    </cfRule>
    <cfRule type="containsText" dxfId="306" priority="1040" operator="containsText" text="Lançado">
      <formula>NOT(ISERROR(SEARCH("Lançado",P344)))</formula>
    </cfRule>
    <cfRule type="containsText" dxfId="305" priority="1039" operator="containsText" text="em andamento">
      <formula>NOT(ISERROR(SEARCH("em andamento",P344)))</formula>
    </cfRule>
  </conditionalFormatting>
  <conditionalFormatting sqref="P345:P347">
    <cfRule type="containsText" dxfId="304" priority="3932" operator="containsText" text="Finalizado">
      <formula>NOT(ISERROR(SEARCH("Finalizado",P345)))</formula>
    </cfRule>
    <cfRule type="containsText" dxfId="303" priority="3936" operator="containsText" text="Pendente">
      <formula>NOT(ISERROR(SEARCH("Pendente",P345)))</formula>
    </cfRule>
    <cfRule type="containsText" dxfId="302" priority="3946" operator="containsText" text="em andamento">
      <formula>NOT(ISERROR(SEARCH("em andamento",P345)))</formula>
    </cfRule>
    <cfRule type="containsText" dxfId="301" priority="3933" operator="containsText" text="em andamento">
      <formula>NOT(ISERROR(SEARCH("em andamento",P345)))</formula>
    </cfRule>
    <cfRule type="containsText" dxfId="300" priority="3934" operator="containsText" text="Lançado">
      <formula>NOT(ISERROR(SEARCH("Lançado",P345)))</formula>
    </cfRule>
    <cfRule type="containsText" dxfId="299" priority="3938" operator="containsText" text="em andamento">
      <formula>NOT(ISERROR(SEARCH("em andamento",P345)))</formula>
    </cfRule>
    <cfRule type="containsText" dxfId="298" priority="3942" operator="containsText" text="Lançado">
      <formula>NOT(ISERROR(SEARCH("Lançado",P345)))</formula>
    </cfRule>
    <cfRule type="containsText" dxfId="297" priority="3937" operator="containsText" text="Finalizado">
      <formula>NOT(ISERROR(SEARCH("Finalizado",P345)))</formula>
    </cfRule>
    <cfRule type="containsText" dxfId="296" priority="3943" operator="containsText" text="N/A">
      <formula>NOT(ISERROR(SEARCH("N/A",P345)))</formula>
    </cfRule>
    <cfRule type="containsText" dxfId="295" priority="3935" operator="containsText" text="N/A">
      <formula>NOT(ISERROR(SEARCH("N/A",P345)))</formula>
    </cfRule>
    <cfRule type="containsText" dxfId="294" priority="3944" operator="containsText" text="Pendente">
      <formula>NOT(ISERROR(SEARCH("Pendente",P345)))</formula>
    </cfRule>
    <cfRule type="containsText" dxfId="293" priority="3931" operator="containsText" text="Pendente">
      <formula>NOT(ISERROR(SEARCH("Pendente",P345)))</formula>
    </cfRule>
    <cfRule type="containsText" dxfId="292" priority="3945" operator="containsText" text="Finalizado">
      <formula>NOT(ISERROR(SEARCH("Finalizado",P345)))</formula>
    </cfRule>
  </conditionalFormatting>
  <conditionalFormatting sqref="P345:P348">
    <cfRule type="containsText" dxfId="291" priority="1635" operator="containsText" text="Lançado">
      <formula>NOT(ISERROR(SEARCH("Lançado",P345)))</formula>
    </cfRule>
    <cfRule type="containsText" dxfId="290" priority="1636" operator="containsText" text="N/A">
      <formula>NOT(ISERROR(SEARCH("N/A",P345)))</formula>
    </cfRule>
  </conditionalFormatting>
  <conditionalFormatting sqref="P346:P347">
    <cfRule type="containsText" dxfId="289" priority="87" operator="containsText" text="em andamento">
      <formula>NOT(ISERROR(SEARCH("em andamento",P346)))</formula>
    </cfRule>
    <cfRule type="containsText" dxfId="288" priority="86" operator="containsText" text="Finalizado">
      <formula>NOT(ISERROR(SEARCH("Finalizado",P346)))</formula>
    </cfRule>
    <cfRule type="containsText" dxfId="287" priority="85" operator="containsText" text="Pendente">
      <formula>NOT(ISERROR(SEARCH("Pendente",P346)))</formula>
    </cfRule>
    <cfRule type="containsText" dxfId="286" priority="84" operator="containsText" text="N/A">
      <formula>NOT(ISERROR(SEARCH("N/A",P346)))</formula>
    </cfRule>
    <cfRule type="containsText" dxfId="285" priority="83" operator="containsText" text="Lançado">
      <formula>NOT(ISERROR(SEARCH("Lançado",P346)))</formula>
    </cfRule>
    <cfRule type="containsText" dxfId="284" priority="79" operator="containsText" text="em andamento">
      <formula>NOT(ISERROR(SEARCH("em andamento",P346)))</formula>
    </cfRule>
    <cfRule type="containsText" dxfId="283" priority="78" operator="containsText" text="Finalizado">
      <formula>NOT(ISERROR(SEARCH("Finalizado",P346)))</formula>
    </cfRule>
    <cfRule type="containsText" dxfId="282" priority="77" operator="containsText" text="Pendente">
      <formula>NOT(ISERROR(SEARCH("Pendente",P346)))</formula>
    </cfRule>
    <cfRule type="containsText" dxfId="281" priority="76" operator="containsText" text="N/A">
      <formula>NOT(ISERROR(SEARCH("N/A",P346)))</formula>
    </cfRule>
    <cfRule type="containsText" dxfId="280" priority="70" operator="containsText" text="Lançado">
      <formula>NOT(ISERROR(SEARCH("Lançado",P346)))</formula>
    </cfRule>
    <cfRule type="containsText" dxfId="279" priority="74" operator="containsText" text="em andamento">
      <formula>NOT(ISERROR(SEARCH("em andamento",P346)))</formula>
    </cfRule>
    <cfRule type="containsText" dxfId="278" priority="73" operator="containsText" text="Finalizado">
      <formula>NOT(ISERROR(SEARCH("Finalizado",P346)))</formula>
    </cfRule>
    <cfRule type="containsText" dxfId="277" priority="72" operator="containsText" text="Pendente">
      <formula>NOT(ISERROR(SEARCH("Pendente",P346)))</formula>
    </cfRule>
    <cfRule type="containsText" dxfId="276" priority="71" operator="containsText" text="N/A">
      <formula>NOT(ISERROR(SEARCH("N/A",P346)))</formula>
    </cfRule>
    <cfRule type="containsText" dxfId="275" priority="75" operator="containsText" text="Lançado">
      <formula>NOT(ISERROR(SEARCH("Lançado",P346)))</formula>
    </cfRule>
  </conditionalFormatting>
  <conditionalFormatting sqref="P348">
    <cfRule type="containsText" dxfId="274" priority="1631" operator="containsText" text="em andamento">
      <formula>NOT(ISERROR(SEARCH("em andamento",P348)))</formula>
    </cfRule>
    <cfRule type="expression" dxfId="273" priority="1632">
      <formula>$H348="SUBETAPA"</formula>
    </cfRule>
    <cfRule type="expression" dxfId="272" priority="1633">
      <formula>$H348="CÉLULA CONSTRUTIVA"</formula>
    </cfRule>
    <cfRule type="expression" dxfId="271" priority="1634">
      <formula>$H348="ETAPA"</formula>
    </cfRule>
    <cfRule type="containsText" dxfId="270" priority="1637" operator="containsText" text="Pendente">
      <formula>NOT(ISERROR(SEARCH("Pendente",P348)))</formula>
    </cfRule>
    <cfRule type="containsText" dxfId="269" priority="1638" operator="containsText" text="Finalizado">
      <formula>NOT(ISERROR(SEARCH("Finalizado",P348)))</formula>
    </cfRule>
    <cfRule type="containsText" dxfId="268" priority="1639" operator="containsText" text="em andamento">
      <formula>NOT(ISERROR(SEARCH("em andamento",P348)))</formula>
    </cfRule>
    <cfRule type="containsText" dxfId="267" priority="1622" operator="containsText" text="Lançado">
      <formula>NOT(ISERROR(SEARCH("Lançado",P348)))</formula>
    </cfRule>
    <cfRule type="containsText" dxfId="266" priority="1630" operator="containsText" text="Finalizado">
      <formula>NOT(ISERROR(SEARCH("Finalizado",P348)))</formula>
    </cfRule>
    <cfRule type="expression" dxfId="265" priority="1621">
      <formula>$H348="ETAPA"</formula>
    </cfRule>
    <cfRule type="expression" dxfId="264" priority="1620">
      <formula>$H348="CÉLULA CONSTRUTIVA"</formula>
    </cfRule>
    <cfRule type="expression" dxfId="263" priority="1619">
      <formula>$H348="SUBETAPA"</formula>
    </cfRule>
    <cfRule type="containsText" dxfId="262" priority="1628" operator="containsText" text="N/A">
      <formula>NOT(ISERROR(SEARCH("N/A",P348)))</formula>
    </cfRule>
    <cfRule type="containsText" dxfId="261" priority="1627" operator="containsText" text="Lançado">
      <formula>NOT(ISERROR(SEARCH("Lançado",P348)))</formula>
    </cfRule>
    <cfRule type="containsText" dxfId="260" priority="1626" operator="containsText" text="em andamento">
      <formula>NOT(ISERROR(SEARCH("em andamento",P348)))</formula>
    </cfRule>
    <cfRule type="containsText" dxfId="259" priority="1625" operator="containsText" text="Finalizado">
      <formula>NOT(ISERROR(SEARCH("Finalizado",P348)))</formula>
    </cfRule>
    <cfRule type="containsText" dxfId="258" priority="1624" operator="containsText" text="Pendente">
      <formula>NOT(ISERROR(SEARCH("Pendente",P348)))</formula>
    </cfRule>
    <cfRule type="containsText" dxfId="257" priority="1623" operator="containsText" text="N/A">
      <formula>NOT(ISERROR(SEARCH("N/A",P348)))</formula>
    </cfRule>
    <cfRule type="containsText" dxfId="256" priority="1629" operator="containsText" text="Pendente">
      <formula>NOT(ISERROR(SEARCH("Pendente",P348)))</formula>
    </cfRule>
  </conditionalFormatting>
  <conditionalFormatting sqref="P349">
    <cfRule type="containsText" dxfId="255" priority="7708" operator="containsText" text="N/A">
      <formula>NOT(ISERROR(SEARCH("N/A",P349)))</formula>
    </cfRule>
    <cfRule type="containsText" dxfId="254" priority="7707" operator="containsText" text="Lançado">
      <formula>NOT(ISERROR(SEARCH("Lançado",P349)))</formula>
    </cfRule>
    <cfRule type="expression" dxfId="253" priority="7703">
      <formula>$H349="ETAPA"</formula>
    </cfRule>
    <cfRule type="expression" dxfId="252" priority="7702">
      <formula>$H349="CÉLULA CONSTRUTIVA"</formula>
    </cfRule>
    <cfRule type="containsText" dxfId="251" priority="7711" operator="containsText" text="em andamento">
      <formula>NOT(ISERROR(SEARCH("em andamento",P349)))</formula>
    </cfRule>
  </conditionalFormatting>
  <conditionalFormatting sqref="P349:P352">
    <cfRule type="expression" dxfId="250" priority="3960">
      <formula>$H349="SUBETAPA"</formula>
    </cfRule>
  </conditionalFormatting>
  <conditionalFormatting sqref="P350:P352">
    <cfRule type="containsText" dxfId="249" priority="3954" operator="containsText" text="em andamento">
      <formula>NOT(ISERROR(SEARCH("em andamento",P350)))</formula>
    </cfRule>
    <cfRule type="containsText" dxfId="248" priority="3953" operator="containsText" text="Finalizado">
      <formula>NOT(ISERROR(SEARCH("Finalizado",P350)))</formula>
    </cfRule>
    <cfRule type="containsText" dxfId="247" priority="3952" operator="containsText" text="Pendente">
      <formula>NOT(ISERROR(SEARCH("Pendente",P350)))</formula>
    </cfRule>
    <cfRule type="containsText" dxfId="246" priority="3951" operator="containsText" text="N/A">
      <formula>NOT(ISERROR(SEARCH("N/A",P350)))</formula>
    </cfRule>
    <cfRule type="containsText" dxfId="245" priority="3950" operator="containsText" text="Lançado">
      <formula>NOT(ISERROR(SEARCH("Lançado",P350)))</formula>
    </cfRule>
    <cfRule type="expression" dxfId="244" priority="3949">
      <formula>$H350="ETAPA"</formula>
    </cfRule>
    <cfRule type="expression" dxfId="243" priority="3948">
      <formula>$H350="CÉLULA CONSTRUTIVA"</formula>
    </cfRule>
    <cfRule type="containsText" dxfId="242" priority="3958" operator="containsText" text="Finalizado">
      <formula>NOT(ISERROR(SEARCH("Finalizado",P350)))</formula>
    </cfRule>
    <cfRule type="containsText" dxfId="241" priority="3967" operator="containsText" text="em andamento">
      <formula>NOT(ISERROR(SEARCH("em andamento",P350)))</formula>
    </cfRule>
    <cfRule type="containsText" dxfId="240" priority="3966" operator="containsText" text="Finalizado">
      <formula>NOT(ISERROR(SEARCH("Finalizado",P350)))</formula>
    </cfRule>
    <cfRule type="containsText" dxfId="239" priority="3965" operator="containsText" text="Pendente">
      <formula>NOT(ISERROR(SEARCH("Pendente",P350)))</formula>
    </cfRule>
    <cfRule type="containsText" dxfId="238" priority="3964" operator="containsText" text="N/A">
      <formula>NOT(ISERROR(SEARCH("N/A",P350)))</formula>
    </cfRule>
    <cfRule type="containsText" dxfId="237" priority="3963" operator="containsText" text="Lançado">
      <formula>NOT(ISERROR(SEARCH("Lançado",P350)))</formula>
    </cfRule>
    <cfRule type="expression" dxfId="236" priority="3962">
      <formula>$H350="ETAPA"</formula>
    </cfRule>
    <cfRule type="expression" dxfId="235" priority="3961">
      <formula>$H350="CÉLULA CONSTRUTIVA"</formula>
    </cfRule>
    <cfRule type="containsText" dxfId="234" priority="3959" operator="containsText" text="em andamento">
      <formula>NOT(ISERROR(SEARCH("em andamento",P350)))</formula>
    </cfRule>
    <cfRule type="containsText" dxfId="233" priority="3957" operator="containsText" text="Pendente">
      <formula>NOT(ISERROR(SEARCH("Pendente",P350)))</formula>
    </cfRule>
    <cfRule type="containsText" dxfId="232" priority="3956" operator="containsText" text="N/A">
      <formula>NOT(ISERROR(SEARCH("N/A",P350)))</formula>
    </cfRule>
    <cfRule type="containsText" dxfId="231" priority="3955" operator="containsText" text="Lançado">
      <formula>NOT(ISERROR(SEARCH("Lançado",P350)))</formula>
    </cfRule>
  </conditionalFormatting>
  <conditionalFormatting sqref="P353">
    <cfRule type="containsText" dxfId="230" priority="4679" operator="containsText" text="Pendente">
      <formula>NOT(ISERROR(SEARCH("Pendente",P353)))</formula>
    </cfRule>
    <cfRule type="containsText" dxfId="229" priority="4687" operator="containsText" text="em andamento">
      <formula>NOT(ISERROR(SEARCH("em andamento",P353)))</formula>
    </cfRule>
    <cfRule type="containsText" dxfId="228" priority="4686" operator="containsText" text="Finalizado">
      <formula>NOT(ISERROR(SEARCH("Finalizado",P353)))</formula>
    </cfRule>
  </conditionalFormatting>
  <conditionalFormatting sqref="P353:P357">
    <cfRule type="containsText" dxfId="227" priority="3984" operator="containsText" text="Lançado">
      <formula>NOT(ISERROR(SEARCH("Lançado",P353)))</formula>
    </cfRule>
    <cfRule type="containsText" dxfId="226" priority="3985" operator="containsText" text="N/A">
      <formula>NOT(ISERROR(SEARCH("N/A",P353)))</formula>
    </cfRule>
  </conditionalFormatting>
  <conditionalFormatting sqref="P354:P357">
    <cfRule type="expression" dxfId="225" priority="3969">
      <formula>$H354="CÉLULA CONSTRUTIVA"</formula>
    </cfRule>
    <cfRule type="containsText" dxfId="224" priority="3974" operator="containsText" text="Finalizado">
      <formula>NOT(ISERROR(SEARCH("Finalizado",P354)))</formula>
    </cfRule>
    <cfRule type="containsText" dxfId="223" priority="3973" operator="containsText" text="Pendente">
      <formula>NOT(ISERROR(SEARCH("Pendente",P354)))</formula>
    </cfRule>
    <cfRule type="containsText" dxfId="222" priority="3972" operator="containsText" text="N/A">
      <formula>NOT(ISERROR(SEARCH("N/A",P354)))</formula>
    </cfRule>
    <cfRule type="containsText" dxfId="221" priority="3988" operator="containsText" text="em andamento">
      <formula>NOT(ISERROR(SEARCH("em andamento",P354)))</formula>
    </cfRule>
    <cfRule type="containsText" dxfId="220" priority="3987" operator="containsText" text="Finalizado">
      <formula>NOT(ISERROR(SEARCH("Finalizado",P354)))</formula>
    </cfRule>
    <cfRule type="expression" dxfId="219" priority="3968">
      <formula>$H354="SUBETAPA"</formula>
    </cfRule>
    <cfRule type="containsText" dxfId="218" priority="3986" operator="containsText" text="Pendente">
      <formula>NOT(ISERROR(SEARCH("Pendente",P354)))</formula>
    </cfRule>
    <cfRule type="expression" dxfId="217" priority="3983">
      <formula>$H354="ETAPA"</formula>
    </cfRule>
    <cfRule type="expression" dxfId="216" priority="3982">
      <formula>$H354="CÉLULA CONSTRUTIVA"</formula>
    </cfRule>
    <cfRule type="containsText" dxfId="215" priority="3980" operator="containsText" text="em andamento">
      <formula>NOT(ISERROR(SEARCH("em andamento",P354)))</formula>
    </cfRule>
    <cfRule type="containsText" dxfId="214" priority="3979" operator="containsText" text="Finalizado">
      <formula>NOT(ISERROR(SEARCH("Finalizado",P354)))</formula>
    </cfRule>
    <cfRule type="containsText" dxfId="213" priority="3978" operator="containsText" text="Pendente">
      <formula>NOT(ISERROR(SEARCH("Pendente",P354)))</formula>
    </cfRule>
    <cfRule type="containsText" dxfId="212" priority="3977" operator="containsText" text="N/A">
      <formula>NOT(ISERROR(SEARCH("N/A",P354)))</formula>
    </cfRule>
    <cfRule type="containsText" dxfId="211" priority="3971" operator="containsText" text="Lançado">
      <formula>NOT(ISERROR(SEARCH("Lançado",P354)))</formula>
    </cfRule>
    <cfRule type="expression" dxfId="210" priority="3970">
      <formula>$H354="ETAPA"</formula>
    </cfRule>
    <cfRule type="containsText" dxfId="209" priority="3976" operator="containsText" text="Lançado">
      <formula>NOT(ISERROR(SEARCH("Lançado",P354)))</formula>
    </cfRule>
    <cfRule type="containsText" dxfId="208" priority="3975" operator="containsText" text="em andamento">
      <formula>NOT(ISERROR(SEARCH("em andamento",P354)))</formula>
    </cfRule>
  </conditionalFormatting>
  <conditionalFormatting sqref="P359:P364">
    <cfRule type="containsText" dxfId="207" priority="3993" operator="containsText" text="N/A">
      <formula>NOT(ISERROR(SEARCH("N/A",P359)))</formula>
    </cfRule>
    <cfRule type="expression" dxfId="206" priority="3990">
      <formula>$H359="CÉLULA CONSTRUTIVA"</formula>
    </cfRule>
    <cfRule type="expression" dxfId="205" priority="3989">
      <formula>$H359="SUBETAPA"</formula>
    </cfRule>
    <cfRule type="containsText" dxfId="204" priority="3994" operator="containsText" text="Pendente">
      <formula>NOT(ISERROR(SEARCH("Pendente",P359)))</formula>
    </cfRule>
    <cfRule type="containsText" dxfId="203" priority="3995" operator="containsText" text="Finalizado">
      <formula>NOT(ISERROR(SEARCH("Finalizado",P359)))</formula>
    </cfRule>
    <cfRule type="containsText" dxfId="202" priority="3996" operator="containsText" text="em andamento">
      <formula>NOT(ISERROR(SEARCH("em andamento",P359)))</formula>
    </cfRule>
    <cfRule type="expression" dxfId="201" priority="3991">
      <formula>$H359="ETAPA"</formula>
    </cfRule>
    <cfRule type="containsText" dxfId="200" priority="3997" operator="containsText" text="Lançado">
      <formula>NOT(ISERROR(SEARCH("Lançado",P359)))</formula>
    </cfRule>
    <cfRule type="containsText" dxfId="199" priority="3998" operator="containsText" text="N/A">
      <formula>NOT(ISERROR(SEARCH("N/A",P359)))</formula>
    </cfRule>
    <cfRule type="expression" dxfId="198" priority="4003">
      <formula>$H359="CÉLULA CONSTRUTIVA"</formula>
    </cfRule>
    <cfRule type="containsText" dxfId="197" priority="3999" operator="containsText" text="Pendente">
      <formula>NOT(ISERROR(SEARCH("Pendente",P359)))</formula>
    </cfRule>
    <cfRule type="containsText" dxfId="196" priority="4000" operator="containsText" text="Finalizado">
      <formula>NOT(ISERROR(SEARCH("Finalizado",P359)))</formula>
    </cfRule>
    <cfRule type="containsText" dxfId="195" priority="3992" operator="containsText" text="Lançado">
      <formula>NOT(ISERROR(SEARCH("Lançado",P359)))</formula>
    </cfRule>
    <cfRule type="containsText" dxfId="194" priority="4009" operator="containsText" text="em andamento">
      <formula>NOT(ISERROR(SEARCH("em andamento",P359)))</formula>
    </cfRule>
    <cfRule type="expression" dxfId="193" priority="4002">
      <formula>$H359="SUBETAPA"</formula>
    </cfRule>
    <cfRule type="containsText" dxfId="192" priority="4008" operator="containsText" text="Finalizado">
      <formula>NOT(ISERROR(SEARCH("Finalizado",P359)))</formula>
    </cfRule>
    <cfRule type="containsText" dxfId="191" priority="4001" operator="containsText" text="em andamento">
      <formula>NOT(ISERROR(SEARCH("em andamento",P359)))</formula>
    </cfRule>
    <cfRule type="containsText" dxfId="190" priority="4007" operator="containsText" text="Pendente">
      <formula>NOT(ISERROR(SEARCH("Pendente",P359)))</formula>
    </cfRule>
    <cfRule type="containsText" dxfId="189" priority="4006" operator="containsText" text="N/A">
      <formula>NOT(ISERROR(SEARCH("N/A",P359)))</formula>
    </cfRule>
    <cfRule type="containsText" dxfId="188" priority="4005" operator="containsText" text="Lançado">
      <formula>NOT(ISERROR(SEARCH("Lançado",P359)))</formula>
    </cfRule>
    <cfRule type="expression" dxfId="187" priority="4004">
      <formula>$H359="ETAPA"</formula>
    </cfRule>
  </conditionalFormatting>
  <conditionalFormatting sqref="P368:P372">
    <cfRule type="containsText" dxfId="186" priority="4013" operator="containsText" text="Lançado">
      <formula>NOT(ISERROR(SEARCH("Lançado",P368)))</formula>
    </cfRule>
    <cfRule type="containsText" dxfId="185" priority="4014" operator="containsText" text="N/A">
      <formula>NOT(ISERROR(SEARCH("N/A",P368)))</formula>
    </cfRule>
    <cfRule type="containsText" dxfId="184" priority="4022" operator="containsText" text="em andamento">
      <formula>NOT(ISERROR(SEARCH("em andamento",P368)))</formula>
    </cfRule>
    <cfRule type="containsText" dxfId="183" priority="4020" operator="containsText" text="Pendente">
      <formula>NOT(ISERROR(SEARCH("Pendente",P368)))</formula>
    </cfRule>
    <cfRule type="containsText" dxfId="182" priority="4019" operator="containsText" text="N/A">
      <formula>NOT(ISERROR(SEARCH("N/A",P368)))</formula>
    </cfRule>
    <cfRule type="containsText" dxfId="181" priority="4026" operator="containsText" text="Lançado">
      <formula>NOT(ISERROR(SEARCH("Lançado",P368)))</formula>
    </cfRule>
    <cfRule type="containsText" dxfId="180" priority="4027" operator="containsText" text="N/A">
      <formula>NOT(ISERROR(SEARCH("N/A",P368)))</formula>
    </cfRule>
    <cfRule type="containsText" dxfId="179" priority="4028" operator="containsText" text="Pendente">
      <formula>NOT(ISERROR(SEARCH("Pendente",P368)))</formula>
    </cfRule>
    <cfRule type="containsText" dxfId="178" priority="4021" operator="containsText" text="Finalizado">
      <formula>NOT(ISERROR(SEARCH("Finalizado",P368)))</formula>
    </cfRule>
    <cfRule type="containsText" dxfId="177" priority="4029" operator="containsText" text="Finalizado">
      <formula>NOT(ISERROR(SEARCH("Finalizado",P368)))</formula>
    </cfRule>
    <cfRule type="containsText" dxfId="176" priority="4018" operator="containsText" text="Lançado">
      <formula>NOT(ISERROR(SEARCH("Lançado",P368)))</formula>
    </cfRule>
    <cfRule type="containsText" dxfId="175" priority="4017" operator="containsText" text="em andamento">
      <formula>NOT(ISERROR(SEARCH("em andamento",P368)))</formula>
    </cfRule>
    <cfRule type="containsText" dxfId="174" priority="4030" operator="containsText" text="em andamento">
      <formula>NOT(ISERROR(SEARCH("em andamento",P368)))</formula>
    </cfRule>
    <cfRule type="containsText" dxfId="173" priority="4016" operator="containsText" text="Finalizado">
      <formula>NOT(ISERROR(SEARCH("Finalizado",P368)))</formula>
    </cfRule>
    <cfRule type="containsText" dxfId="172" priority="4015" operator="containsText" text="Pendente">
      <formula>NOT(ISERROR(SEARCH("Pendente",P368)))</formula>
    </cfRule>
  </conditionalFormatting>
  <conditionalFormatting sqref="P369">
    <cfRule type="containsText" dxfId="171" priority="1776" operator="containsText" text="em andamento">
      <formula>NOT(ISERROR(SEARCH("em andamento",P369)))</formula>
    </cfRule>
    <cfRule type="containsText" dxfId="170" priority="1772" operator="containsText" text="Lançado">
      <formula>NOT(ISERROR(SEARCH("Lançado",P369)))</formula>
    </cfRule>
    <cfRule type="containsText" dxfId="169" priority="1773" operator="containsText" text="N/A">
      <formula>NOT(ISERROR(SEARCH("N/A",P369)))</formula>
    </cfRule>
    <cfRule type="containsText" dxfId="168" priority="1774" operator="containsText" text="Pendente">
      <formula>NOT(ISERROR(SEARCH("Pendente",P369)))</formula>
    </cfRule>
    <cfRule type="containsText" dxfId="167" priority="1775" operator="containsText" text="Finalizado">
      <formula>NOT(ISERROR(SEARCH("Finalizado",P369)))</formula>
    </cfRule>
  </conditionalFormatting>
  <conditionalFormatting sqref="P370:P374">
    <cfRule type="expression" dxfId="166" priority="8187">
      <formula>$H370="ETAPA"</formula>
    </cfRule>
  </conditionalFormatting>
  <conditionalFormatting sqref="P373:P374 P376">
    <cfRule type="containsText" dxfId="165" priority="8193" operator="containsText" text="Pendente">
      <formula>NOT(ISERROR(SEARCH("Pendente",P373)))</formula>
    </cfRule>
  </conditionalFormatting>
  <conditionalFormatting sqref="P373:P374">
    <cfRule type="containsText" dxfId="164" priority="8194" operator="containsText" text="Finalizado">
      <formula>NOT(ISERROR(SEARCH("Finalizado",P373)))</formula>
    </cfRule>
    <cfRule type="containsText" dxfId="163" priority="8195" operator="containsText" text="em andamento">
      <formula>NOT(ISERROR(SEARCH("em andamento",P373)))</formula>
    </cfRule>
    <cfRule type="expression" dxfId="162" priority="8186">
      <formula>$H373="CÉLULA CONSTRUTIVA"</formula>
    </cfRule>
    <cfRule type="containsText" dxfId="161" priority="8191" operator="containsText" text="Lançado">
      <formula>NOT(ISERROR(SEARCH("Lançado",P373)))</formula>
    </cfRule>
    <cfRule type="containsText" dxfId="160" priority="8192" operator="containsText" text="N/A">
      <formula>NOT(ISERROR(SEARCH("N/A",P373)))</formula>
    </cfRule>
  </conditionalFormatting>
  <conditionalFormatting sqref="P375">
    <cfRule type="containsText" dxfId="159" priority="6420" operator="containsText" text="Lançado">
      <formula>NOT(ISERROR(SEARCH("Lançado",P375)))</formula>
    </cfRule>
    <cfRule type="containsText" dxfId="158" priority="6422" operator="containsText" text="Pendente">
      <formula>NOT(ISERROR(SEARCH("Pendente",P375)))</formula>
    </cfRule>
    <cfRule type="containsText" dxfId="157" priority="6427" operator="containsText" text="Pendente">
      <formula>NOT(ISERROR(SEARCH("Pendente",P375)))</formula>
    </cfRule>
    <cfRule type="containsText" dxfId="156" priority="6429" operator="containsText" text="em andamento">
      <formula>NOT(ISERROR(SEARCH("em andamento",P375)))</formula>
    </cfRule>
    <cfRule type="containsText" dxfId="155" priority="6426" operator="containsText" text="N/A">
      <formula>NOT(ISERROR(SEARCH("N/A",P375)))</formula>
    </cfRule>
    <cfRule type="containsText" dxfId="154" priority="6425" operator="containsText" text="Lançado">
      <formula>NOT(ISERROR(SEARCH("Lançado",P375)))</formula>
    </cfRule>
    <cfRule type="containsText" dxfId="153" priority="6424" operator="containsText" text="em andamento">
      <formula>NOT(ISERROR(SEARCH("em andamento",P375)))</formula>
    </cfRule>
    <cfRule type="containsText" dxfId="152" priority="6421" operator="containsText" text="N/A">
      <formula>NOT(ISERROR(SEARCH("N/A",P375)))</formula>
    </cfRule>
    <cfRule type="containsText" dxfId="151" priority="6423" operator="containsText" text="Finalizado">
      <formula>NOT(ISERROR(SEARCH("Finalizado",P375)))</formula>
    </cfRule>
    <cfRule type="containsText" dxfId="150" priority="6428" operator="containsText" text="Finalizado">
      <formula>NOT(ISERROR(SEARCH("Finalizado",P375)))</formula>
    </cfRule>
  </conditionalFormatting>
  <conditionalFormatting sqref="P385">
    <cfRule type="containsText" dxfId="149" priority="6391" operator="containsText" text="Lançado">
      <formula>NOT(ISERROR(SEARCH("Lançado",P385)))</formula>
    </cfRule>
    <cfRule type="containsText" dxfId="148" priority="6392" operator="containsText" text="N/A">
      <formula>NOT(ISERROR(SEARCH("N/A",P385)))</formula>
    </cfRule>
    <cfRule type="containsText" dxfId="147" priority="6393" operator="containsText" text="Pendente">
      <formula>NOT(ISERROR(SEARCH("Pendente",P385)))</formula>
    </cfRule>
    <cfRule type="containsText" dxfId="146" priority="6394" operator="containsText" text="Finalizado">
      <formula>NOT(ISERROR(SEARCH("Finalizado",P385)))</formula>
    </cfRule>
    <cfRule type="containsText" dxfId="145" priority="6395" operator="containsText" text="em andamento">
      <formula>NOT(ISERROR(SEARCH("em andamento",P385)))</formula>
    </cfRule>
    <cfRule type="containsText" dxfId="144" priority="6396" operator="containsText" text="Lançado">
      <formula>NOT(ISERROR(SEARCH("Lançado",P385)))</formula>
    </cfRule>
    <cfRule type="containsText" dxfId="143" priority="6397" operator="containsText" text="N/A">
      <formula>NOT(ISERROR(SEARCH("N/A",P385)))</formula>
    </cfRule>
    <cfRule type="containsText" dxfId="142" priority="6398" operator="containsText" text="Pendente">
      <formula>NOT(ISERROR(SEARCH("Pendente",P385)))</formula>
    </cfRule>
    <cfRule type="containsText" dxfId="141" priority="6399" operator="containsText" text="Finalizado">
      <formula>NOT(ISERROR(SEARCH("Finalizado",P385)))</formula>
    </cfRule>
    <cfRule type="expression" dxfId="140" priority="2367">
      <formula>$H385="SUBETAPA"</formula>
    </cfRule>
    <cfRule type="expression" dxfId="139" priority="2368">
      <formula>$H385="CÉLULA CONSTRUTIVA"</formula>
    </cfRule>
    <cfRule type="containsText" dxfId="138" priority="6400" operator="containsText" text="em andamento">
      <formula>NOT(ISERROR(SEARCH("em andamento",P385)))</formula>
    </cfRule>
    <cfRule type="expression" dxfId="137" priority="4088">
      <formula>$H385="ETAPA"</formula>
    </cfRule>
    <cfRule type="expression" dxfId="136" priority="4087">
      <formula>$H385="CÉLULA CONSTRUTIVA"</formula>
    </cfRule>
    <cfRule type="containsText" dxfId="135" priority="2369" operator="containsText" text="Finalizado">
      <formula>NOT(ISERROR(SEARCH("Finalizado",P385)))</formula>
    </cfRule>
    <cfRule type="containsText" dxfId="134" priority="2370" operator="containsText" text="em andamento">
      <formula>NOT(ISERROR(SEARCH("em andamento",P385)))</formula>
    </cfRule>
    <cfRule type="containsText" dxfId="133" priority="2371" operator="containsText" text="Lançado">
      <formula>NOT(ISERROR(SEARCH("Lançado",P385)))</formula>
    </cfRule>
    <cfRule type="containsText" dxfId="132" priority="2372" operator="containsText" text="N/A">
      <formula>NOT(ISERROR(SEARCH("N/A",P385)))</formula>
    </cfRule>
    <cfRule type="containsText" dxfId="131" priority="2373" operator="containsText" text="Pendente">
      <formula>NOT(ISERROR(SEARCH("Pendente",P385)))</formula>
    </cfRule>
    <cfRule type="containsText" dxfId="130" priority="2374" operator="containsText" text="Finalizado">
      <formula>NOT(ISERROR(SEARCH("Finalizado",P385)))</formula>
    </cfRule>
    <cfRule type="containsText" dxfId="129" priority="2375" operator="containsText" text="em andamento">
      <formula>NOT(ISERROR(SEARCH("em andamento",P385)))</formula>
    </cfRule>
    <cfRule type="expression" dxfId="128" priority="2376">
      <formula>$H385="ETAPA"</formula>
    </cfRule>
    <cfRule type="expression" dxfId="127" priority="4086">
      <formula>$H385="SUBETAPA"</formula>
    </cfRule>
    <cfRule type="containsText" dxfId="126" priority="4085" operator="containsText" text="em andamento">
      <formula>NOT(ISERROR(SEARCH("em andamento",P385)))</formula>
    </cfRule>
    <cfRule type="containsText" dxfId="125" priority="4084" operator="containsText" text="Finalizado">
      <formula>NOT(ISERROR(SEARCH("Finalizado",P385)))</formula>
    </cfRule>
    <cfRule type="containsText" dxfId="124" priority="4083" operator="containsText" text="Pendente">
      <formula>NOT(ISERROR(SEARCH("Pendente",P385)))</formula>
    </cfRule>
    <cfRule type="containsText" dxfId="123" priority="4081" operator="containsText" text="Lançado">
      <formula>NOT(ISERROR(SEARCH("Lançado",P385)))</formula>
    </cfRule>
    <cfRule type="containsText" dxfId="122" priority="4080" operator="containsText" text="em andamento">
      <formula>NOT(ISERROR(SEARCH("em andamento",P385)))</formula>
    </cfRule>
    <cfRule type="containsText" dxfId="121" priority="4079" operator="containsText" text="Finalizado">
      <formula>NOT(ISERROR(SEARCH("Finalizado",P385)))</formula>
    </cfRule>
    <cfRule type="containsText" dxfId="120" priority="4078" operator="containsText" text="Pendente">
      <formula>NOT(ISERROR(SEARCH("Pendente",P385)))</formula>
    </cfRule>
    <cfRule type="containsText" dxfId="119" priority="4077" operator="containsText" text="N/A">
      <formula>NOT(ISERROR(SEARCH("N/A",P385)))</formula>
    </cfRule>
    <cfRule type="containsText" dxfId="118" priority="4076" operator="containsText" text="Lançado">
      <formula>NOT(ISERROR(SEARCH("Lançado",P385)))</formula>
    </cfRule>
    <cfRule type="containsText" dxfId="117" priority="4082" operator="containsText" text="N/A">
      <formula>NOT(ISERROR(SEARCH("N/A",P385)))</formula>
    </cfRule>
    <cfRule type="expression" dxfId="116" priority="6388">
      <formula>$H385="SUBETAPA"</formula>
    </cfRule>
    <cfRule type="expression" dxfId="115" priority="6389">
      <formula>$H385="CÉLULA CONSTRUTIVA"</formula>
    </cfRule>
    <cfRule type="expression" dxfId="114" priority="6390">
      <formula>$H385="ETAPA"</formula>
    </cfRule>
  </conditionalFormatting>
  <conditionalFormatting sqref="P387:P388">
    <cfRule type="containsText" dxfId="113" priority="2359" operator="containsText" text="Finalizado">
      <formula>NOT(ISERROR(SEARCH("Finalizado",P387)))</formula>
    </cfRule>
    <cfRule type="containsText" dxfId="112" priority="2357" operator="containsText" text="N/A">
      <formula>NOT(ISERROR(SEARCH("N/A",P387)))</formula>
    </cfRule>
    <cfRule type="containsText" dxfId="111" priority="2364" operator="containsText" text="Finalizado">
      <formula>NOT(ISERROR(SEARCH("Finalizado",P387)))</formula>
    </cfRule>
    <cfRule type="containsText" dxfId="110" priority="2356" operator="containsText" text="Lançado">
      <formula>NOT(ISERROR(SEARCH("Lançado",P387)))</formula>
    </cfRule>
    <cfRule type="expression" dxfId="109" priority="2352">
      <formula>$H387="CÉLULA CONSTRUTIVA"</formula>
    </cfRule>
    <cfRule type="expression" dxfId="108" priority="2351">
      <formula>$H387="SUBETAPA"</formula>
    </cfRule>
    <cfRule type="expression" dxfId="107" priority="2355">
      <formula>$H387="CÉLULA CONSTRUTIVA"</formula>
    </cfRule>
    <cfRule type="expression" dxfId="106" priority="2354">
      <formula>$H387="SUBETAPA"</formula>
    </cfRule>
    <cfRule type="containsText" dxfId="105" priority="2358" operator="containsText" text="Pendente">
      <formula>NOT(ISERROR(SEARCH("Pendente",P387)))</formula>
    </cfRule>
    <cfRule type="containsText" dxfId="104" priority="2363" operator="containsText" text="Pendente">
      <formula>NOT(ISERROR(SEARCH("Pendente",P387)))</formula>
    </cfRule>
    <cfRule type="containsText" dxfId="103" priority="2362" operator="containsText" text="N/A">
      <formula>NOT(ISERROR(SEARCH("N/A",P387)))</formula>
    </cfRule>
    <cfRule type="containsText" dxfId="102" priority="2361" operator="containsText" text="Lançado">
      <formula>NOT(ISERROR(SEARCH("Lançado",P387)))</formula>
    </cfRule>
    <cfRule type="containsText" dxfId="101" priority="2360" operator="containsText" text="em andamento">
      <formula>NOT(ISERROR(SEARCH("em andamento",P387)))</formula>
    </cfRule>
    <cfRule type="expression" dxfId="100" priority="2353">
      <formula>$H387="ETAPA"</formula>
    </cfRule>
    <cfRule type="containsText" dxfId="99" priority="2365" operator="containsText" text="em andamento">
      <formula>NOT(ISERROR(SEARCH("em andamento",P387)))</formula>
    </cfRule>
    <cfRule type="expression" dxfId="98" priority="2366">
      <formula>$H387="ETAPA"</formula>
    </cfRule>
  </conditionalFormatting>
  <conditionalFormatting sqref="P389">
    <cfRule type="containsText" dxfId="97" priority="6365" operator="containsText" text="Lançado">
      <formula>NOT(ISERROR(SEARCH("Lançado",P389)))</formula>
    </cfRule>
    <cfRule type="containsText" dxfId="96" priority="6374" operator="containsText" text="em andamento">
      <formula>NOT(ISERROR(SEARCH("em andamento",P389)))</formula>
    </cfRule>
    <cfRule type="containsText" dxfId="95" priority="6373" operator="containsText" text="Finalizado">
      <formula>NOT(ISERROR(SEARCH("Finalizado",P389)))</formula>
    </cfRule>
    <cfRule type="containsText" dxfId="94" priority="6372" operator="containsText" text="Pendente">
      <formula>NOT(ISERROR(SEARCH("Pendente",P389)))</formula>
    </cfRule>
    <cfRule type="containsText" dxfId="93" priority="6371" operator="containsText" text="N/A">
      <formula>NOT(ISERROR(SEARCH("N/A",P389)))</formula>
    </cfRule>
    <cfRule type="containsText" dxfId="92" priority="6370" operator="containsText" text="Lançado">
      <formula>NOT(ISERROR(SEARCH("Lançado",P389)))</formula>
    </cfRule>
    <cfRule type="containsText" dxfId="91" priority="6369" operator="containsText" text="em andamento">
      <formula>NOT(ISERROR(SEARCH("em andamento",P389)))</formula>
    </cfRule>
    <cfRule type="containsText" dxfId="90" priority="6368" operator="containsText" text="Finalizado">
      <formula>NOT(ISERROR(SEARCH("Finalizado",P389)))</formula>
    </cfRule>
    <cfRule type="containsText" dxfId="89" priority="6367" operator="containsText" text="Pendente">
      <formula>NOT(ISERROR(SEARCH("Pendente",P389)))</formula>
    </cfRule>
    <cfRule type="containsText" dxfId="88" priority="6366" operator="containsText" text="N/A">
      <formula>NOT(ISERROR(SEARCH("N/A",P389)))</formula>
    </cfRule>
    <cfRule type="expression" dxfId="87" priority="6364">
      <formula>$H389="ETAPA"</formula>
    </cfRule>
    <cfRule type="expression" dxfId="86" priority="6363">
      <formula>$H389="CÉLULA CONSTRUTIVA"</formula>
    </cfRule>
    <cfRule type="expression" dxfId="85" priority="6362">
      <formula>$H389="SUBETAPA"</formula>
    </cfRule>
  </conditionalFormatting>
  <conditionalFormatting sqref="P391">
    <cfRule type="expression" dxfId="84" priority="2345">
      <formula>$H391="ETAPA"</formula>
    </cfRule>
    <cfRule type="containsText" dxfId="83" priority="2346" operator="containsText" text="Lançado">
      <formula>NOT(ISERROR(SEARCH("Lançado",P391)))</formula>
    </cfRule>
    <cfRule type="containsText" dxfId="82" priority="2347" operator="containsText" text="N/A">
      <formula>NOT(ISERROR(SEARCH("N/A",P391)))</formula>
    </cfRule>
    <cfRule type="containsText" dxfId="81" priority="2348" operator="containsText" text="Pendente">
      <formula>NOT(ISERROR(SEARCH("Pendente",P391)))</formula>
    </cfRule>
    <cfRule type="containsText" dxfId="80" priority="2349" operator="containsText" text="Finalizado">
      <formula>NOT(ISERROR(SEARCH("Finalizado",P391)))</formula>
    </cfRule>
    <cfRule type="containsText" dxfId="79" priority="2340" operator="containsText" text="Pendente">
      <formula>NOT(ISERROR(SEARCH("Pendente",P391)))</formula>
    </cfRule>
    <cfRule type="containsText" dxfId="78" priority="2350" operator="containsText" text="em andamento">
      <formula>NOT(ISERROR(SEARCH("em andamento",P391)))</formula>
    </cfRule>
    <cfRule type="expression" dxfId="77" priority="2330">
      <formula>$H391="SUBETAPA"</formula>
    </cfRule>
    <cfRule type="containsText" dxfId="76" priority="2336" operator="containsText" text="Finalizado">
      <formula>NOT(ISERROR(SEARCH("Finalizado",P391)))</formula>
    </cfRule>
    <cfRule type="expression" dxfId="75" priority="2343">
      <formula>$H391="SUBETAPA"</formula>
    </cfRule>
    <cfRule type="containsText" dxfId="74" priority="2337" operator="containsText" text="em andamento">
      <formula>NOT(ISERROR(SEARCH("em andamento",P391)))</formula>
    </cfRule>
    <cfRule type="containsText" dxfId="73" priority="2338" operator="containsText" text="Lançado">
      <formula>NOT(ISERROR(SEARCH("Lançado",P391)))</formula>
    </cfRule>
    <cfRule type="containsText" dxfId="72" priority="2341" operator="containsText" text="Finalizado">
      <formula>NOT(ISERROR(SEARCH("Finalizado",P391)))</formula>
    </cfRule>
    <cfRule type="containsText" dxfId="71" priority="2339" operator="containsText" text="N/A">
      <formula>NOT(ISERROR(SEARCH("N/A",P391)))</formula>
    </cfRule>
    <cfRule type="expression" dxfId="70" priority="2344">
      <formula>$H391="CÉLULA CONSTRUTIVA"</formula>
    </cfRule>
    <cfRule type="expression" dxfId="69" priority="2331">
      <formula>$H391="CÉLULA CONSTRUTIVA"</formula>
    </cfRule>
    <cfRule type="expression" dxfId="68" priority="2332">
      <formula>$H391="ETAPA"</formula>
    </cfRule>
    <cfRule type="containsText" dxfId="67" priority="2342" operator="containsText" text="em andamento">
      <formula>NOT(ISERROR(SEARCH("em andamento",P391)))</formula>
    </cfRule>
    <cfRule type="containsText" dxfId="66" priority="2333" operator="containsText" text="Lançado">
      <formula>NOT(ISERROR(SEARCH("Lançado",P391)))</formula>
    </cfRule>
    <cfRule type="containsText" dxfId="65" priority="2334" operator="containsText" text="N/A">
      <formula>NOT(ISERROR(SEARCH("N/A",P391)))</formula>
    </cfRule>
    <cfRule type="containsText" dxfId="64" priority="2335" operator="containsText" text="Pendente">
      <formula>NOT(ISERROR(SEARCH("Pendente",P391)))</formula>
    </cfRule>
  </conditionalFormatting>
  <conditionalFormatting sqref="P395">
    <cfRule type="containsText" dxfId="63" priority="902" operator="containsText" text="N/A">
      <formula>NOT(ISERROR(SEARCH("N/A",P395)))</formula>
    </cfRule>
    <cfRule type="containsText" dxfId="62" priority="901" operator="containsText" text="Lançado">
      <formula>NOT(ISERROR(SEARCH("Lançado",P395)))</formula>
    </cfRule>
    <cfRule type="containsText" dxfId="61" priority="900" operator="containsText" text="em andamento">
      <formula>NOT(ISERROR(SEARCH("em andamento",P395)))</formula>
    </cfRule>
    <cfRule type="containsText" dxfId="60" priority="899" operator="containsText" text="Finalizado">
      <formula>NOT(ISERROR(SEARCH("Finalizado",P395)))</formula>
    </cfRule>
    <cfRule type="containsText" dxfId="59" priority="898" operator="containsText" text="Pendente">
      <formula>NOT(ISERROR(SEARCH("Pendente",P395)))</formula>
    </cfRule>
    <cfRule type="containsText" dxfId="58" priority="904" operator="containsText" text="Finalizado">
      <formula>NOT(ISERROR(SEARCH("Finalizado",P395)))</formula>
    </cfRule>
    <cfRule type="containsText" dxfId="57" priority="897" operator="containsText" text="N/A">
      <formula>NOT(ISERROR(SEARCH("N/A",P395)))</formula>
    </cfRule>
    <cfRule type="containsText" dxfId="56" priority="896" operator="containsText" text="Lançado">
      <formula>NOT(ISERROR(SEARCH("Lançado",P395)))</formula>
    </cfRule>
    <cfRule type="expression" dxfId="55" priority="895">
      <formula>$H395="ETAPA"</formula>
    </cfRule>
    <cfRule type="expression" dxfId="54" priority="894">
      <formula>$H395="CÉLULA CONSTRUTIVA"</formula>
    </cfRule>
    <cfRule type="containsText" dxfId="53" priority="905" operator="containsText" text="em andamento">
      <formula>NOT(ISERROR(SEARCH("em andamento",P395)))</formula>
    </cfRule>
    <cfRule type="expression" dxfId="52" priority="893">
      <formula>$H395="SUBETAPA"</formula>
    </cfRule>
    <cfRule type="containsText" dxfId="51" priority="903" operator="containsText" text="Pendente">
      <formula>NOT(ISERROR(SEARCH("Pendente",P395)))</formula>
    </cfRule>
  </conditionalFormatting>
  <conditionalFormatting sqref="Q304">
    <cfRule type="expression" dxfId="50" priority="103">
      <formula>$H304="SUBETAPA"</formula>
    </cfRule>
    <cfRule type="expression" dxfId="49" priority="104">
      <formula>$H304="CÉLULA CONSTRUTIVA"</formula>
    </cfRule>
    <cfRule type="expression" dxfId="48" priority="105">
      <formula>$H304="ETAPA"</formula>
    </cfRule>
  </conditionalFormatting>
  <conditionalFormatting sqref="Q371">
    <cfRule type="expression" dxfId="47" priority="135">
      <formula>$H371="ETAPA"</formula>
    </cfRule>
    <cfRule type="expression" dxfId="46" priority="133">
      <formula>$H371="SUBETAPA"</formula>
    </cfRule>
    <cfRule type="expression" dxfId="45" priority="134">
      <formula>$H371="CÉLULA CONSTRUTIVA"</formula>
    </cfRule>
  </conditionalFormatting>
  <conditionalFormatting sqref="O105">
    <cfRule type="expression" dxfId="44" priority="44">
      <formula>$H105="CÉLULA CONSTRUTIVA"</formula>
    </cfRule>
  </conditionalFormatting>
  <conditionalFormatting sqref="O105">
    <cfRule type="expression" dxfId="43" priority="45">
      <formula>$H105="ETAPA"</formula>
    </cfRule>
  </conditionalFormatting>
  <conditionalFormatting sqref="O105">
    <cfRule type="expression" dxfId="42" priority="43">
      <formula>$H105="SUBETAPA"</formula>
    </cfRule>
  </conditionalFormatting>
  <conditionalFormatting sqref="O109">
    <cfRule type="expression" dxfId="41" priority="41">
      <formula>$H109="CÉLULA CONSTRUTIVA"</formula>
    </cfRule>
  </conditionalFormatting>
  <conditionalFormatting sqref="O109">
    <cfRule type="expression" dxfId="40" priority="42">
      <formula>$H109="ETAPA"</formula>
    </cfRule>
  </conditionalFormatting>
  <conditionalFormatting sqref="O109">
    <cfRule type="expression" dxfId="39" priority="40">
      <formula>$H109="SUBETAPA"</formula>
    </cfRule>
  </conditionalFormatting>
  <conditionalFormatting sqref="O111">
    <cfRule type="expression" dxfId="38" priority="38">
      <formula>$H111="CÉLULA CONSTRUTIVA"</formula>
    </cfRule>
  </conditionalFormatting>
  <conditionalFormatting sqref="O111">
    <cfRule type="expression" dxfId="37" priority="39">
      <formula>$H111="ETAPA"</formula>
    </cfRule>
  </conditionalFormatting>
  <conditionalFormatting sqref="O111">
    <cfRule type="expression" dxfId="36" priority="37">
      <formula>$H111="SUBETAPA"</formula>
    </cfRule>
  </conditionalFormatting>
  <conditionalFormatting sqref="O115">
    <cfRule type="expression" dxfId="35" priority="35">
      <formula>$H115="CÉLULA CONSTRUTIVA"</formula>
    </cfRule>
  </conditionalFormatting>
  <conditionalFormatting sqref="O115">
    <cfRule type="expression" dxfId="34" priority="36">
      <formula>$H115="ETAPA"</formula>
    </cfRule>
  </conditionalFormatting>
  <conditionalFormatting sqref="O115">
    <cfRule type="expression" dxfId="33" priority="34">
      <formula>$H115="SUBETAPA"</formula>
    </cfRule>
  </conditionalFormatting>
  <conditionalFormatting sqref="O117">
    <cfRule type="expression" dxfId="32" priority="32">
      <formula>$H117="CÉLULA CONSTRUTIVA"</formula>
    </cfRule>
  </conditionalFormatting>
  <conditionalFormatting sqref="O117">
    <cfRule type="expression" dxfId="31" priority="33">
      <formula>$H117="ETAPA"</formula>
    </cfRule>
  </conditionalFormatting>
  <conditionalFormatting sqref="O117">
    <cfRule type="expression" dxfId="30" priority="31">
      <formula>$H117="SUBETAPA"</formula>
    </cfRule>
  </conditionalFormatting>
  <conditionalFormatting sqref="O119">
    <cfRule type="expression" dxfId="29" priority="29">
      <formula>$H119="CÉLULA CONSTRUTIVA"</formula>
    </cfRule>
  </conditionalFormatting>
  <conditionalFormatting sqref="O119">
    <cfRule type="expression" dxfId="28" priority="30">
      <formula>$H119="ETAPA"</formula>
    </cfRule>
  </conditionalFormatting>
  <conditionalFormatting sqref="O119">
    <cfRule type="expression" dxfId="27" priority="28">
      <formula>$H119="SUBETAPA"</formula>
    </cfRule>
  </conditionalFormatting>
  <conditionalFormatting sqref="O121">
    <cfRule type="expression" dxfId="26" priority="26">
      <formula>$H121="CÉLULA CONSTRUTIVA"</formula>
    </cfRule>
  </conditionalFormatting>
  <conditionalFormatting sqref="O121">
    <cfRule type="expression" dxfId="25" priority="27">
      <formula>$H121="ETAPA"</formula>
    </cfRule>
  </conditionalFormatting>
  <conditionalFormatting sqref="O121">
    <cfRule type="expression" dxfId="24" priority="25">
      <formula>$H121="SUBETAPA"</formula>
    </cfRule>
  </conditionalFormatting>
  <conditionalFormatting sqref="O123">
    <cfRule type="expression" dxfId="23" priority="23">
      <formula>$H123="CÉLULA CONSTRUTIVA"</formula>
    </cfRule>
  </conditionalFormatting>
  <conditionalFormatting sqref="O123">
    <cfRule type="expression" dxfId="22" priority="24">
      <formula>$H123="ETAPA"</formula>
    </cfRule>
  </conditionalFormatting>
  <conditionalFormatting sqref="O123">
    <cfRule type="expression" dxfId="21" priority="22">
      <formula>$H123="SUBETAPA"</formula>
    </cfRule>
  </conditionalFormatting>
  <conditionalFormatting sqref="O125">
    <cfRule type="expression" dxfId="20" priority="20">
      <formula>$H125="CÉLULA CONSTRUTIVA"</formula>
    </cfRule>
  </conditionalFormatting>
  <conditionalFormatting sqref="O125">
    <cfRule type="expression" dxfId="19" priority="21">
      <formula>$H125="ETAPA"</formula>
    </cfRule>
  </conditionalFormatting>
  <conditionalFormatting sqref="O125">
    <cfRule type="expression" dxfId="18" priority="19">
      <formula>$H125="SUBETAPA"</formula>
    </cfRule>
  </conditionalFormatting>
  <conditionalFormatting sqref="O127">
    <cfRule type="expression" dxfId="17" priority="17">
      <formula>$H127="CÉLULA CONSTRUTIVA"</formula>
    </cfRule>
  </conditionalFormatting>
  <conditionalFormatting sqref="O127">
    <cfRule type="expression" dxfId="16" priority="18">
      <formula>$H127="ETAPA"</formula>
    </cfRule>
  </conditionalFormatting>
  <conditionalFormatting sqref="O127">
    <cfRule type="expression" dxfId="15" priority="16">
      <formula>$H127="SUBETAPA"</formula>
    </cfRule>
  </conditionalFormatting>
  <conditionalFormatting sqref="O131">
    <cfRule type="expression" dxfId="14" priority="14">
      <formula>$H131="CÉLULA CONSTRUTIVA"</formula>
    </cfRule>
  </conditionalFormatting>
  <conditionalFormatting sqref="O131">
    <cfRule type="expression" dxfId="13" priority="15">
      <formula>$H131="ETAPA"</formula>
    </cfRule>
  </conditionalFormatting>
  <conditionalFormatting sqref="O131">
    <cfRule type="expression" dxfId="12" priority="13">
      <formula>$H131="SUBETAPA"</formula>
    </cfRule>
  </conditionalFormatting>
  <conditionalFormatting sqref="O138">
    <cfRule type="expression" dxfId="11" priority="11">
      <formula>$H138="CÉLULA CONSTRUTIVA"</formula>
    </cfRule>
  </conditionalFormatting>
  <conditionalFormatting sqref="O138">
    <cfRule type="expression" dxfId="10" priority="12">
      <formula>$H138="ETAPA"</formula>
    </cfRule>
  </conditionalFormatting>
  <conditionalFormatting sqref="O138">
    <cfRule type="expression" dxfId="9" priority="10">
      <formula>$H138="SUBETAPA"</formula>
    </cfRule>
  </conditionalFormatting>
  <conditionalFormatting sqref="O63">
    <cfRule type="expression" dxfId="8" priority="9">
      <formula>$H63="ETAPA"</formula>
    </cfRule>
  </conditionalFormatting>
  <conditionalFormatting sqref="O63">
    <cfRule type="expression" dxfId="7" priority="7">
      <formula>$H63="SUBETAPA"</formula>
    </cfRule>
  </conditionalFormatting>
  <conditionalFormatting sqref="O63">
    <cfRule type="expression" dxfId="6" priority="8">
      <formula>$H63="CÉLULA CONSTRUTIVA"</formula>
    </cfRule>
  </conditionalFormatting>
  <conditionalFormatting sqref="O64">
    <cfRule type="expression" dxfId="5" priority="6">
      <formula>$H64="ETAPA"</formula>
    </cfRule>
  </conditionalFormatting>
  <conditionalFormatting sqref="O64">
    <cfRule type="expression" dxfId="4" priority="4">
      <formula>$H64="SUBETAPA"</formula>
    </cfRule>
  </conditionalFormatting>
  <conditionalFormatting sqref="O64">
    <cfRule type="expression" dxfId="3" priority="5">
      <formula>$H64="CÉLULA CONSTRUTIVA"</formula>
    </cfRule>
  </conditionalFormatting>
  <conditionalFormatting sqref="O58">
    <cfRule type="expression" dxfId="2" priority="3">
      <formula>$H58="ETAPA"</formula>
    </cfRule>
  </conditionalFormatting>
  <conditionalFormatting sqref="O58">
    <cfRule type="expression" dxfId="1" priority="2">
      <formula>$H58="CÉLULA CONSTRUTIVA"</formula>
    </cfRule>
  </conditionalFormatting>
  <conditionalFormatting sqref="O58">
    <cfRule type="expression" dxfId="0" priority="1">
      <formula>$H58="SUBETAPA"</formula>
    </cfRule>
  </conditionalFormatting>
  <dataValidations disablePrompts="1" count="3">
    <dataValidation type="list" allowBlank="1" showInputMessage="1" showErrorMessage="1" sqref="P182:P193 P385 P118:P129 P391 P179:P180 P47:P50 P103:P116 P177 P163:P175 P377:P383 P19:P45 P242:P261 P354:P364 P56:P67 P52:P54 P223:P231 P387:P389 P233:P240 P263:P342 P11:P17 P131:P143 P145:P161 P100:P101 P195:P221 P366:P375 P395 P69:P96 P344:P352" xr:uid="{00000000-0002-0000-0300-000000000000}">
      <formula1>"Finalizado, Em Andamento, Pendente, N/A,Lançado ERP"</formula1>
    </dataValidation>
    <dataValidation type="list" allowBlank="1" showInputMessage="1" showErrorMessage="1" sqref="H397:H401 H8:H395" xr:uid="{00000000-0002-0000-0300-000001000000}">
      <formula1>"UNIDADE CONSTRUTIVA,CÉLULA CONSTRUTIVA,ETAPA,SUBETAPA,SERVIÇO"</formula1>
    </dataValidation>
    <dataValidation type="list" allowBlank="1" showInputMessage="1" showErrorMessage="1" sqref="P10" xr:uid="{00000000-0002-0000-0300-000002000000}">
      <formula1>#REF!</formula1>
    </dataValidation>
  </dataValidations>
  <printOptions horizontalCentered="1"/>
  <pageMargins left="0.51181102362204722" right="0.51181102362204722" top="0.78740157480314965" bottom="0.78740157480314965" header="0.31496062992125984" footer="0.31496062992125984"/>
  <pageSetup paperSize="9" scale="18" orientation="portrait" r:id="rId1"/>
  <ignoredErrors>
    <ignoredError sqref="L274" formula="1"/>
    <ignoredError sqref="L344:L345 L352 L264" formulaRange="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9">
    <tabColor rgb="FF0000FF"/>
  </sheetPr>
  <dimension ref="A1:M150"/>
  <sheetViews>
    <sheetView zoomScale="85" zoomScaleNormal="85" workbookViewId="0">
      <selection activeCell="H16" sqref="H16"/>
    </sheetView>
  </sheetViews>
  <sheetFormatPr defaultRowHeight="15" x14ac:dyDescent="0.25"/>
  <cols>
    <col min="1" max="1" width="48.140625" style="754" bestFit="1" customWidth="1"/>
    <col min="2" max="2" width="11.28515625" style="754" bestFit="1" customWidth="1"/>
    <col min="3" max="3" width="12.5703125" style="754" bestFit="1" customWidth="1"/>
    <col min="4" max="4" width="14.28515625" style="754" bestFit="1" customWidth="1"/>
    <col min="5" max="5" width="13.140625" style="754" bestFit="1" customWidth="1"/>
    <col min="6" max="6" width="1.28515625" style="754" customWidth="1"/>
    <col min="7" max="7" width="14.7109375" style="766" bestFit="1" customWidth="1"/>
    <col min="8" max="8" width="60.7109375" style="767" bestFit="1" customWidth="1"/>
    <col min="9" max="9" width="16.5703125" style="766" bestFit="1" customWidth="1"/>
    <col min="10" max="10" width="17.7109375" style="766" bestFit="1" customWidth="1"/>
    <col min="11" max="11" width="12.85546875" style="754" bestFit="1" customWidth="1"/>
    <col min="12" max="12" width="9.140625" style="754"/>
    <col min="13" max="13" width="9.42578125" style="754" customWidth="1"/>
    <col min="14" max="16384" width="9.140625" style="754"/>
  </cols>
  <sheetData>
    <row r="1" spans="1:13" x14ac:dyDescent="0.25">
      <c r="A1" s="1034" t="s">
        <v>996</v>
      </c>
      <c r="B1" s="1034"/>
      <c r="C1" s="1034"/>
      <c r="D1" s="1034"/>
      <c r="E1" s="1034"/>
      <c r="H1" s="767" t="s">
        <v>997</v>
      </c>
    </row>
    <row r="2" spans="1:13" s="755" customFormat="1" ht="15.75" x14ac:dyDescent="0.25">
      <c r="A2" s="755" t="s">
        <v>3</v>
      </c>
      <c r="B2" s="755" t="s">
        <v>998</v>
      </c>
      <c r="C2" s="755" t="s">
        <v>999</v>
      </c>
      <c r="D2" s="755" t="s">
        <v>1000</v>
      </c>
      <c r="E2" s="755" t="s">
        <v>1001</v>
      </c>
      <c r="G2" s="996" t="s">
        <v>274</v>
      </c>
      <c r="H2" s="768"/>
      <c r="I2" s="769"/>
      <c r="J2" s="769"/>
    </row>
    <row r="3" spans="1:13" ht="15.75" customHeight="1" x14ac:dyDescent="0.25">
      <c r="A3" s="770" t="s">
        <v>4209</v>
      </c>
      <c r="B3" s="771">
        <v>4.1200000000000001E-2</v>
      </c>
      <c r="C3" s="772">
        <f>B3</f>
        <v>4.1200000000000001E-2</v>
      </c>
      <c r="D3" s="773">
        <f>B3*$D$146</f>
        <v>374260.8</v>
      </c>
      <c r="E3" s="773">
        <f>C3*$E$146</f>
        <v>374260.8</v>
      </c>
      <c r="G3" s="997">
        <f>D3</f>
        <v>374260.8</v>
      </c>
      <c r="H3" s="754"/>
      <c r="I3" s="754"/>
      <c r="J3" s="766">
        <f>SUM(I4:I7)-D3</f>
        <v>0</v>
      </c>
    </row>
    <row r="4" spans="1:13" ht="15.75" customHeight="1" x14ac:dyDescent="0.25">
      <c r="A4" s="779" t="s">
        <v>1026</v>
      </c>
      <c r="B4" s="780">
        <v>1</v>
      </c>
      <c r="C4" s="781">
        <f>B3-SUM(C5:C7)</f>
        <v>1.792831351827389E-2</v>
      </c>
      <c r="D4" s="782">
        <f t="shared" ref="D4:D7" si="0">C4*$D$146</f>
        <v>162860.80000000002</v>
      </c>
      <c r="E4" s="783"/>
      <c r="G4" s="997"/>
      <c r="H4" s="768" t="s">
        <v>1026</v>
      </c>
      <c r="I4" s="766">
        <f>Ger_Administrativo!$N$100</f>
        <v>162860.80000000002</v>
      </c>
      <c r="J4" s="1002">
        <f>I4/$E$146</f>
        <v>1.792831351827389E-2</v>
      </c>
    </row>
    <row r="5" spans="1:13" ht="15.75" customHeight="1" x14ac:dyDescent="0.25">
      <c r="A5" s="779" t="s">
        <v>163</v>
      </c>
      <c r="B5" s="780">
        <v>1</v>
      </c>
      <c r="C5" s="781">
        <v>3.9630118890356669E-3</v>
      </c>
      <c r="D5" s="782">
        <f>C5*$D$146</f>
        <v>36000</v>
      </c>
      <c r="E5" s="783"/>
      <c r="G5" s="997"/>
      <c r="H5" s="768" t="s">
        <v>163</v>
      </c>
      <c r="I5" s="766">
        <f>Ger_Administrativo!$N$104</f>
        <v>36000</v>
      </c>
      <c r="J5" s="1002">
        <f>I5/$E$146</f>
        <v>3.9630118890356669E-3</v>
      </c>
    </row>
    <row r="6" spans="1:13" ht="15.75" customHeight="1" x14ac:dyDescent="0.25">
      <c r="A6" s="779" t="s">
        <v>165</v>
      </c>
      <c r="B6" s="780">
        <v>1</v>
      </c>
      <c r="C6" s="781">
        <v>1.6842800528401584E-2</v>
      </c>
      <c r="D6" s="782">
        <f t="shared" si="0"/>
        <v>153000</v>
      </c>
      <c r="E6" s="783"/>
      <c r="G6" s="997"/>
      <c r="H6" s="768" t="s">
        <v>165</v>
      </c>
      <c r="I6" s="766">
        <f>Ger_Administrativo!N115</f>
        <v>153000</v>
      </c>
      <c r="J6" s="1002">
        <f>I6/$E$146</f>
        <v>1.6842800528401584E-2</v>
      </c>
    </row>
    <row r="7" spans="1:13" ht="15.75" customHeight="1" x14ac:dyDescent="0.25">
      <c r="A7" s="779" t="s">
        <v>166</v>
      </c>
      <c r="B7" s="780">
        <v>1</v>
      </c>
      <c r="C7" s="781">
        <v>2.4658740642888597E-3</v>
      </c>
      <c r="D7" s="782">
        <f t="shared" si="0"/>
        <v>22400</v>
      </c>
      <c r="E7" s="783"/>
      <c r="G7" s="997"/>
      <c r="H7" s="768" t="s">
        <v>166</v>
      </c>
      <c r="I7" s="766">
        <f>Ger_Administrativo!N116</f>
        <v>22400</v>
      </c>
      <c r="J7" s="1002">
        <f>I7/$E$146</f>
        <v>2.4658740642888597E-3</v>
      </c>
    </row>
    <row r="8" spans="1:13" ht="15.75" customHeight="1" x14ac:dyDescent="0.25">
      <c r="A8" s="770" t="s">
        <v>1002</v>
      </c>
      <c r="B8" s="771">
        <v>5.5E-2</v>
      </c>
      <c r="C8" s="772">
        <f>B8+C3</f>
        <v>9.6200000000000008E-2</v>
      </c>
      <c r="D8" s="773">
        <f>B8*$D$146</f>
        <v>499620</v>
      </c>
      <c r="E8" s="773">
        <f>C8*$E$146</f>
        <v>873880.8</v>
      </c>
      <c r="G8" s="997">
        <f>D8/Ger_Executivo!L19</f>
        <v>354.265049989364</v>
      </c>
      <c r="H8" s="768" t="s">
        <v>441</v>
      </c>
      <c r="I8" s="766">
        <f>Ger_Executivo!N19</f>
        <v>499620.00000000006</v>
      </c>
      <c r="J8" s="766">
        <f>I8-D8</f>
        <v>0</v>
      </c>
      <c r="K8" s="784"/>
      <c r="L8" s="991"/>
      <c r="M8" s="990"/>
    </row>
    <row r="9" spans="1:13" ht="15.75" x14ac:dyDescent="0.25">
      <c r="A9" s="770" t="s">
        <v>1003</v>
      </c>
      <c r="B9" s="771">
        <v>0.33</v>
      </c>
      <c r="C9" s="772">
        <f>B9+C8</f>
        <v>0.42620000000000002</v>
      </c>
      <c r="D9" s="773">
        <f>B9*$D$146</f>
        <v>2997720</v>
      </c>
      <c r="E9" s="773">
        <f>C9*$E$146</f>
        <v>3871600.8000000003</v>
      </c>
      <c r="G9" s="997">
        <f>SUM($D$11:$D$20)/SUM(B11:B20)</f>
        <v>231.05963130041084</v>
      </c>
      <c r="H9" s="768" t="s">
        <v>455</v>
      </c>
      <c r="I9" s="766">
        <f>Ger_Executivo!N47</f>
        <v>2964109.1999999997</v>
      </c>
      <c r="J9" s="766">
        <f>(I9+I10)-D9</f>
        <v>0</v>
      </c>
      <c r="K9" s="989"/>
      <c r="M9" s="990"/>
    </row>
    <row r="10" spans="1:13" ht="15.75" x14ac:dyDescent="0.25">
      <c r="A10" s="774" t="s">
        <v>1027</v>
      </c>
      <c r="B10" s="775">
        <f>Ger_Executivo!L48</f>
        <v>1390.37</v>
      </c>
      <c r="C10" s="776">
        <v>3.7000000000000002E-3</v>
      </c>
      <c r="D10" s="777">
        <f t="shared" ref="D10:D20" si="1">C10*$D$146</f>
        <v>33610.800000000003</v>
      </c>
      <c r="E10" s="778"/>
      <c r="G10" s="768">
        <f>D10/B10</f>
        <v>24.173996849759419</v>
      </c>
      <c r="H10" s="768" t="s">
        <v>456</v>
      </c>
      <c r="I10" s="766">
        <f>Ger_Executivo!N48</f>
        <v>33610.800000000003</v>
      </c>
    </row>
    <row r="11" spans="1:13" x14ac:dyDescent="0.25">
      <c r="A11" s="774" t="s">
        <v>1004</v>
      </c>
      <c r="B11" s="775">
        <f>Obra!$E$15</f>
        <v>918.44</v>
      </c>
      <c r="C11" s="776">
        <f t="shared" ref="C11:C20" si="2">B11/SUM($B$11:$B$20)*($B$9-$C$10)</f>
        <v>2.3361339472869815E-2</v>
      </c>
      <c r="D11" s="777">
        <f t="shared" si="1"/>
        <v>212214.40777154939</v>
      </c>
      <c r="E11" s="778"/>
    </row>
    <row r="12" spans="1:13" ht="15.75" x14ac:dyDescent="0.25">
      <c r="A12" s="779" t="s">
        <v>1005</v>
      </c>
      <c r="B12" s="780">
        <f>Obra!$E$16</f>
        <v>1045.47</v>
      </c>
      <c r="C12" s="781">
        <f t="shared" si="2"/>
        <v>2.6592460671030445E-2</v>
      </c>
      <c r="D12" s="782">
        <f t="shared" si="1"/>
        <v>241565.91273564057</v>
      </c>
      <c r="E12" s="783"/>
      <c r="G12" s="768"/>
      <c r="H12" s="768"/>
      <c r="L12" s="784"/>
    </row>
    <row r="13" spans="1:13" ht="15.75" x14ac:dyDescent="0.25">
      <c r="A13" s="779" t="s">
        <v>1006</v>
      </c>
      <c r="B13" s="780">
        <f>Obra!$E$17</f>
        <v>1045.47</v>
      </c>
      <c r="C13" s="781">
        <f t="shared" si="2"/>
        <v>2.6592460671030445E-2</v>
      </c>
      <c r="D13" s="782">
        <f t="shared" si="1"/>
        <v>241565.91273564057</v>
      </c>
      <c r="E13" s="783"/>
      <c r="G13" s="768"/>
      <c r="H13" s="768"/>
      <c r="L13" s="784"/>
    </row>
    <row r="14" spans="1:13" ht="15.75" x14ac:dyDescent="0.25">
      <c r="A14" s="779" t="s">
        <v>1007</v>
      </c>
      <c r="B14" s="780">
        <f>Obra!$E$18</f>
        <v>1045.47</v>
      </c>
      <c r="C14" s="781">
        <f t="shared" si="2"/>
        <v>2.6592460671030445E-2</v>
      </c>
      <c r="D14" s="782">
        <f t="shared" si="1"/>
        <v>241565.91273564057</v>
      </c>
      <c r="E14" s="783"/>
      <c r="G14" s="768"/>
      <c r="H14" s="768"/>
      <c r="L14" s="784"/>
    </row>
    <row r="15" spans="1:13" ht="15.75" x14ac:dyDescent="0.25">
      <c r="A15" s="779" t="s">
        <v>1028</v>
      </c>
      <c r="B15" s="780">
        <f>Obra!$E$19</f>
        <v>1051.4100000000001</v>
      </c>
      <c r="C15" s="781">
        <f t="shared" si="2"/>
        <v>2.6743549861907204E-2</v>
      </c>
      <c r="D15" s="782">
        <f t="shared" si="1"/>
        <v>242938.40694556505</v>
      </c>
      <c r="E15" s="783"/>
      <c r="G15" s="768"/>
      <c r="H15" s="768"/>
      <c r="L15" s="784"/>
    </row>
    <row r="16" spans="1:13" ht="15.75" x14ac:dyDescent="0.25">
      <c r="A16" s="779" t="s">
        <v>1029</v>
      </c>
      <c r="B16" s="780">
        <f>Obra!$E$20</f>
        <v>545.33000000000004</v>
      </c>
      <c r="C16" s="781">
        <f t="shared" si="2"/>
        <v>1.3870954286333451E-2</v>
      </c>
      <c r="D16" s="782">
        <f t="shared" si="1"/>
        <v>126003.74873705307</v>
      </c>
      <c r="E16" s="783"/>
      <c r="G16" s="768"/>
      <c r="H16" s="768"/>
      <c r="L16" s="784"/>
    </row>
    <row r="17" spans="1:12" ht="15.75" x14ac:dyDescent="0.25">
      <c r="A17" s="779" t="s">
        <v>1031</v>
      </c>
      <c r="B17" s="780">
        <f>Obra!$E$21</f>
        <v>5998.63</v>
      </c>
      <c r="C17" s="781">
        <f t="shared" si="2"/>
        <v>0.15258049714966795</v>
      </c>
      <c r="D17" s="782">
        <f t="shared" si="1"/>
        <v>1386041.2361075836</v>
      </c>
      <c r="E17" s="783"/>
      <c r="G17" s="768"/>
      <c r="H17" s="768"/>
      <c r="L17" s="784"/>
    </row>
    <row r="18" spans="1:12" ht="15.75" x14ac:dyDescent="0.25">
      <c r="A18" s="779" t="s">
        <v>1030</v>
      </c>
      <c r="B18" s="780">
        <f>Obra!$E$22</f>
        <v>557.79</v>
      </c>
      <c r="C18" s="781">
        <f t="shared" si="2"/>
        <v>1.4187885484704555E-2</v>
      </c>
      <c r="D18" s="782">
        <f t="shared" si="1"/>
        <v>128882.75174305617</v>
      </c>
      <c r="E18" s="783"/>
      <c r="G18" s="768"/>
      <c r="H18" s="768"/>
      <c r="L18" s="784"/>
    </row>
    <row r="19" spans="1:12" ht="15.75" x14ac:dyDescent="0.25">
      <c r="A19" s="779" t="s">
        <v>1033</v>
      </c>
      <c r="B19" s="780">
        <f>Obra!$E$23</f>
        <v>546.39</v>
      </c>
      <c r="C19" s="781">
        <f t="shared" si="2"/>
        <v>1.3897916330496642E-2</v>
      </c>
      <c r="D19" s="782">
        <f t="shared" si="1"/>
        <v>126248.67194623149</v>
      </c>
      <c r="E19" s="783"/>
      <c r="G19" s="768"/>
      <c r="H19" s="768"/>
      <c r="L19" s="784"/>
    </row>
    <row r="20" spans="1:12" ht="15.75" x14ac:dyDescent="0.25">
      <c r="A20" s="779" t="s">
        <v>1032</v>
      </c>
      <c r="B20" s="780">
        <f>Obra!$E$24+Obra!$E$25</f>
        <v>73.930000000000007</v>
      </c>
      <c r="C20" s="781">
        <f t="shared" si="2"/>
        <v>1.8804754009290377E-3</v>
      </c>
      <c r="D20" s="782">
        <f t="shared" si="1"/>
        <v>17082.23854203938</v>
      </c>
      <c r="E20" s="783"/>
      <c r="G20" s="768"/>
      <c r="H20" s="768"/>
      <c r="L20" s="784"/>
    </row>
    <row r="21" spans="1:12" ht="15.75" x14ac:dyDescent="0.25">
      <c r="A21" s="770" t="s">
        <v>1008</v>
      </c>
      <c r="B21" s="771">
        <v>0.09</v>
      </c>
      <c r="C21" s="772">
        <f>B21+C9</f>
        <v>0.51619999999999999</v>
      </c>
      <c r="D21" s="773">
        <f>B21*$D$146</f>
        <v>817560</v>
      </c>
      <c r="E21" s="773">
        <f>C21*$E$146</f>
        <v>4689160.8</v>
      </c>
      <c r="G21" s="997">
        <f>D21/SUM(B22:B31)</f>
        <v>61.259302665432543</v>
      </c>
      <c r="H21" s="768" t="s">
        <v>466</v>
      </c>
      <c r="I21" s="766">
        <f>Ger_Executivo!$N$63</f>
        <v>720815.54852215853</v>
      </c>
      <c r="J21" s="766">
        <f>SUM(I21:I23)-D21</f>
        <v>0</v>
      </c>
      <c r="L21" s="784"/>
    </row>
    <row r="22" spans="1:12" ht="15.75" x14ac:dyDescent="0.25">
      <c r="A22" s="774" t="s">
        <v>1004</v>
      </c>
      <c r="B22" s="775">
        <f>SUM('ARQ. PAV'!I2:J2)-0.01</f>
        <v>1126.8799999999999</v>
      </c>
      <c r="C22" s="781">
        <f t="shared" ref="C22" si="3">B22/SUM($B$22:$B$31)*$B$21</f>
        <v>7.5992825834018726E-3</v>
      </c>
      <c r="D22" s="777">
        <f t="shared" ref="D22:D31" si="4">C22*$D$146</f>
        <v>69031.882987622608</v>
      </c>
      <c r="E22" s="778"/>
      <c r="G22" s="768"/>
      <c r="H22" s="768" t="s">
        <v>3493</v>
      </c>
      <c r="I22" s="766">
        <f>Ger_Executivo!$N$64</f>
        <v>19998.184505561163</v>
      </c>
      <c r="L22" s="784"/>
    </row>
    <row r="23" spans="1:12" ht="15.75" x14ac:dyDescent="0.25">
      <c r="A23" s="779" t="s">
        <v>1005</v>
      </c>
      <c r="B23" s="780">
        <f>SUM('ARQ. PAV'!I3:J3)</f>
        <v>279.97000000000003</v>
      </c>
      <c r="C23" s="781">
        <f t="shared" ref="C23:C31" si="5">B23/SUM($B$22:$B$31)*$B$21</f>
        <v>1.888019261034913E-3</v>
      </c>
      <c r="D23" s="782">
        <f t="shared" si="4"/>
        <v>17150.76696724115</v>
      </c>
      <c r="E23" s="783"/>
      <c r="G23" s="768"/>
      <c r="H23" s="768" t="s">
        <v>467</v>
      </c>
      <c r="I23" s="766">
        <f>Ger_Executivo!$N$65</f>
        <v>76746.266972280544</v>
      </c>
      <c r="L23" s="784"/>
    </row>
    <row r="24" spans="1:12" ht="15.75" x14ac:dyDescent="0.25">
      <c r="A24" s="779" t="s">
        <v>1006</v>
      </c>
      <c r="B24" s="780">
        <f>SUM('ARQ. PAV'!I4:J4)</f>
        <v>242.28000000000003</v>
      </c>
      <c r="C24" s="781">
        <f t="shared" si="5"/>
        <v>1.6338511503501756E-3</v>
      </c>
      <c r="D24" s="782">
        <f t="shared" si="4"/>
        <v>14841.903849780996</v>
      </c>
      <c r="E24" s="783"/>
      <c r="G24" s="768"/>
      <c r="H24" s="768"/>
      <c r="L24" s="784"/>
    </row>
    <row r="25" spans="1:12" ht="15.75" x14ac:dyDescent="0.25">
      <c r="A25" s="779" t="s">
        <v>1007</v>
      </c>
      <c r="B25" s="780">
        <f>SUM('ARQ. PAV'!I5:J5)</f>
        <v>241.76</v>
      </c>
      <c r="C25" s="781">
        <f t="shared" si="5"/>
        <v>1.6303444531478391E-3</v>
      </c>
      <c r="D25" s="782">
        <f t="shared" si="4"/>
        <v>14810.049012394969</v>
      </c>
      <c r="E25" s="783"/>
      <c r="G25" s="768"/>
      <c r="H25" s="768"/>
    </row>
    <row r="26" spans="1:12" ht="15.75" x14ac:dyDescent="0.25">
      <c r="A26" s="779" t="s">
        <v>1028</v>
      </c>
      <c r="B26" s="780">
        <f>SUM('ARQ. PAV'!I6:J6)</f>
        <v>436.34999999999997</v>
      </c>
      <c r="C26" s="781">
        <f t="shared" si="5"/>
        <v>2.9425910081529597E-3</v>
      </c>
      <c r="D26" s="782">
        <f t="shared" si="4"/>
        <v>26730.496718061484</v>
      </c>
      <c r="E26" s="783"/>
      <c r="G26" s="768"/>
      <c r="H26" s="768"/>
    </row>
    <row r="27" spans="1:12" ht="15.75" x14ac:dyDescent="0.25">
      <c r="A27" s="779" t="s">
        <v>1029</v>
      </c>
      <c r="B27" s="780">
        <f>SUM('ARQ. PAV'!I7:J7)</f>
        <v>784.74161000000004</v>
      </c>
      <c r="C27" s="781">
        <f t="shared" si="5"/>
        <v>5.2920215545077965E-3</v>
      </c>
      <c r="D27" s="782">
        <f t="shared" si="4"/>
        <v>48072.723801148823</v>
      </c>
      <c r="E27" s="783"/>
      <c r="G27" s="768"/>
      <c r="H27" s="768"/>
    </row>
    <row r="28" spans="1:12" ht="15.75" x14ac:dyDescent="0.25">
      <c r="A28" s="779" t="s">
        <v>1031</v>
      </c>
      <c r="B28" s="780">
        <f>SUM('ARQ. PAV'!I8:J8)</f>
        <v>8620.6577099999995</v>
      </c>
      <c r="C28" s="781">
        <f t="shared" si="5"/>
        <v>5.8134685142226396E-2</v>
      </c>
      <c r="D28" s="782">
        <f t="shared" si="4"/>
        <v>528095.47983198462</v>
      </c>
      <c r="E28" s="783"/>
      <c r="G28" s="768"/>
      <c r="H28" s="768"/>
    </row>
    <row r="29" spans="1:12" ht="15.75" x14ac:dyDescent="0.25">
      <c r="A29" s="779" t="s">
        <v>1030</v>
      </c>
      <c r="B29" s="780">
        <f>SUM('ARQ. PAV'!I9:J9)</f>
        <v>782.82160999999996</v>
      </c>
      <c r="C29" s="781">
        <f t="shared" si="5"/>
        <v>5.2790737494530149E-3</v>
      </c>
      <c r="D29" s="782">
        <f t="shared" si="4"/>
        <v>47955.105940031186</v>
      </c>
      <c r="E29" s="783"/>
      <c r="G29" s="768"/>
      <c r="H29" s="768"/>
    </row>
    <row r="30" spans="1:12" ht="15.75" x14ac:dyDescent="0.25">
      <c r="A30" s="779" t="s">
        <v>1033</v>
      </c>
      <c r="B30" s="780">
        <f>SUM('ARQ. PAV'!I10:J10)</f>
        <v>490.22046</v>
      </c>
      <c r="C30" s="781">
        <f t="shared" si="5"/>
        <v>3.3058744530963854E-3</v>
      </c>
      <c r="D30" s="782">
        <f t="shared" si="4"/>
        <v>30030.563531927564</v>
      </c>
      <c r="E30" s="783"/>
      <c r="G30" s="768"/>
      <c r="H30" s="768"/>
    </row>
    <row r="31" spans="1:12" ht="15.75" x14ac:dyDescent="0.25">
      <c r="A31" s="779" t="s">
        <v>1032</v>
      </c>
      <c r="B31" s="780">
        <f>SUM('ARQ. PAV'!I11:J11)</f>
        <v>340.21000000000004</v>
      </c>
      <c r="C31" s="781">
        <f t="shared" si="5"/>
        <v>2.2942566446286666E-3</v>
      </c>
      <c r="D31" s="782">
        <f t="shared" si="4"/>
        <v>20841.027359806809</v>
      </c>
      <c r="E31" s="783"/>
      <c r="G31" s="768"/>
      <c r="H31" s="768"/>
    </row>
    <row r="32" spans="1:12" ht="15.75" x14ac:dyDescent="0.25">
      <c r="A32" s="770" t="str">
        <f>LOWER("IMPERMEABILIZAÇÃO E TRATAMENTOS")</f>
        <v>impermeabilização e tratamentos</v>
      </c>
      <c r="B32" s="771">
        <v>0.02</v>
      </c>
      <c r="C32" s="772">
        <f>B32+C21</f>
        <v>0.53620000000000001</v>
      </c>
      <c r="D32" s="773">
        <f>B32*$D$146</f>
        <v>181680</v>
      </c>
      <c r="E32" s="773">
        <f>C32*$E$146</f>
        <v>4870840.8</v>
      </c>
      <c r="G32" s="997"/>
      <c r="H32" s="768"/>
      <c r="I32" s="754"/>
      <c r="J32" s="754"/>
    </row>
    <row r="33" spans="1:10" ht="15.75" x14ac:dyDescent="0.25">
      <c r="A33" s="774" t="s">
        <v>472</v>
      </c>
      <c r="B33" s="780">
        <v>4313.3967000000011</v>
      </c>
      <c r="C33" s="781">
        <f>B32*0.9</f>
        <v>1.8000000000000002E-2</v>
      </c>
      <c r="D33" s="777">
        <f>C33*$D$146</f>
        <v>163512.00000000003</v>
      </c>
      <c r="E33" s="778"/>
      <c r="G33" s="997">
        <f>D33/B33</f>
        <v>37.907943871705562</v>
      </c>
      <c r="H33" s="768" t="s">
        <v>472</v>
      </c>
      <c r="I33" s="766">
        <f>SUM(Ger_Executivo!N90:N91)</f>
        <v>181680.75815887746</v>
      </c>
      <c r="J33" s="766">
        <f>SUM(I33:I34)-D32</f>
        <v>0.75815887746284716</v>
      </c>
    </row>
    <row r="34" spans="1:10" ht="15.75" x14ac:dyDescent="0.25">
      <c r="A34" s="779" t="s">
        <v>473</v>
      </c>
      <c r="B34" s="780">
        <v>376.90999999999997</v>
      </c>
      <c r="C34" s="781">
        <f>B32*0.1</f>
        <v>2E-3</v>
      </c>
      <c r="D34" s="782">
        <f>C34*$D$146</f>
        <v>18168</v>
      </c>
      <c r="E34" s="783"/>
      <c r="G34" s="768">
        <f>D34/B34</f>
        <v>48.202488657769763</v>
      </c>
      <c r="H34" s="768" t="s">
        <v>473</v>
      </c>
    </row>
    <row r="35" spans="1:10" ht="15.75" x14ac:dyDescent="0.25">
      <c r="A35" s="770" t="s">
        <v>1009</v>
      </c>
      <c r="B35" s="771">
        <v>0.21879999999999999</v>
      </c>
      <c r="C35" s="772">
        <f>B35+C32</f>
        <v>0.755</v>
      </c>
      <c r="D35" s="773">
        <f>B35*$D$146</f>
        <v>1987579.2</v>
      </c>
      <c r="E35" s="773">
        <f>C35*$E$146</f>
        <v>6858420</v>
      </c>
      <c r="G35" s="997"/>
      <c r="H35" s="768"/>
    </row>
    <row r="36" spans="1:10" ht="15.75" x14ac:dyDescent="0.25">
      <c r="A36" s="785" t="s">
        <v>1010</v>
      </c>
      <c r="B36" s="924">
        <f>$B$35*$G$38</f>
        <v>0.13318356000000001</v>
      </c>
      <c r="C36" s="786"/>
      <c r="D36" s="787">
        <f>SUM(D37:D46)</f>
        <v>1209839.4590400001</v>
      </c>
      <c r="E36" s="788"/>
      <c r="G36" s="997">
        <f>D36/SUM(B37:B46)</f>
        <v>47.482223555563934</v>
      </c>
      <c r="H36" s="768" t="s">
        <v>515</v>
      </c>
      <c r="I36" s="766">
        <f>Ger_Executivo!N197</f>
        <v>1209839.4590400001</v>
      </c>
      <c r="J36" s="766">
        <f>I36-D36</f>
        <v>0</v>
      </c>
    </row>
    <row r="37" spans="1:10" ht="15.75" x14ac:dyDescent="0.25">
      <c r="A37" s="774" t="s">
        <v>1004</v>
      </c>
      <c r="B37" s="775">
        <f>SUM('ARQ. PAV'!M2:N2)</f>
        <v>2243.4700000000003</v>
      </c>
      <c r="C37" s="776">
        <f>B37/SUM($B$37:$B$46)*$B$36</f>
        <v>1.1726656107463785E-2</v>
      </c>
      <c r="D37" s="777">
        <f t="shared" ref="D37:D46" si="6">C37*$D$146</f>
        <v>106524.94408020102</v>
      </c>
      <c r="E37" s="778"/>
      <c r="G37" s="997"/>
      <c r="H37" s="768"/>
    </row>
    <row r="38" spans="1:10" ht="15.75" x14ac:dyDescent="0.25">
      <c r="A38" s="779" t="s">
        <v>1005</v>
      </c>
      <c r="B38" s="780">
        <f>SUM('ARQ. PAV'!M3:N3)</f>
        <v>638.7600000000001</v>
      </c>
      <c r="C38" s="781">
        <f>B38/SUM($B$37:$B$46)*$B$36</f>
        <v>3.3388094582069597E-3</v>
      </c>
      <c r="D38" s="782">
        <f t="shared" si="6"/>
        <v>30329.745118352021</v>
      </c>
      <c r="E38" s="783"/>
      <c r="G38" s="768">
        <f>1-SUM(G39:G41)</f>
        <v>0.60870000000000002</v>
      </c>
      <c r="H38" s="768"/>
    </row>
    <row r="39" spans="1:10" ht="15.75" x14ac:dyDescent="0.25">
      <c r="A39" s="779" t="s">
        <v>1006</v>
      </c>
      <c r="B39" s="780">
        <f>SUM('ARQ. PAV'!M4:N4)</f>
        <v>574.56000000000006</v>
      </c>
      <c r="C39" s="781">
        <f>B39/SUM($B$37:$B$46)*$B$36</f>
        <v>3.0032349588380467E-3</v>
      </c>
      <c r="D39" s="782">
        <f t="shared" si="6"/>
        <v>27281.386366084818</v>
      </c>
      <c r="E39" s="783"/>
      <c r="G39" s="768">
        <f>0.03-0.0005</f>
        <v>2.9499999999999998E-2</v>
      </c>
      <c r="H39" s="768"/>
    </row>
    <row r="40" spans="1:10" ht="15.75" x14ac:dyDescent="0.25">
      <c r="A40" s="779" t="s">
        <v>1007</v>
      </c>
      <c r="B40" s="780">
        <f>SUM('ARQ. PAV'!M5:N5)</f>
        <v>553.45000000000005</v>
      </c>
      <c r="C40" s="781">
        <f>B40/SUM($B$37:$B$46)*$B$36</f>
        <v>2.8928926273477386E-3</v>
      </c>
      <c r="D40" s="782">
        <f t="shared" si="6"/>
        <v>26279.036626826859</v>
      </c>
      <c r="E40" s="783"/>
      <c r="G40" s="768">
        <v>6.1800000000000001E-2</v>
      </c>
      <c r="H40" s="768"/>
    </row>
    <row r="41" spans="1:10" ht="15.75" x14ac:dyDescent="0.25">
      <c r="A41" s="779" t="s">
        <v>1028</v>
      </c>
      <c r="B41" s="780">
        <f>SUM('ARQ. PAV'!M6:N6)</f>
        <v>700.13</v>
      </c>
      <c r="C41" s="781">
        <f>B41/SUM($B$37:$B$46)*$B$36</f>
        <v>3.6595914991145945E-3</v>
      </c>
      <c r="D41" s="782">
        <f t="shared" si="6"/>
        <v>33243.729177956979</v>
      </c>
      <c r="E41" s="783"/>
      <c r="G41" s="768">
        <v>0.3</v>
      </c>
      <c r="H41" s="768"/>
    </row>
    <row r="42" spans="1:10" ht="15.75" x14ac:dyDescent="0.25">
      <c r="A42" s="779" t="s">
        <v>1029</v>
      </c>
      <c r="B42" s="780">
        <f>SUM('ARQ. PAV'!M7:N7)</f>
        <v>1499.04</v>
      </c>
      <c r="C42" s="781">
        <f t="shared" ref="C42:C45" si="7">B42/SUM($B$37:$B$46)*$B$36</f>
        <v>7.8355077497503905E-3</v>
      </c>
      <c r="D42" s="782">
        <f t="shared" si="6"/>
        <v>71177.75239873254</v>
      </c>
      <c r="E42" s="783"/>
      <c r="H42" s="768"/>
    </row>
    <row r="43" spans="1:10" ht="15.75" x14ac:dyDescent="0.25">
      <c r="A43" s="779" t="s">
        <v>1031</v>
      </c>
      <c r="B43" s="780">
        <f>SUM('ARQ. PAV'!M8:N8)</f>
        <v>16450.48</v>
      </c>
      <c r="C43" s="781">
        <f t="shared" si="7"/>
        <v>8.5986940660098335E-2</v>
      </c>
      <c r="D43" s="782">
        <f t="shared" si="6"/>
        <v>781105.36895633326</v>
      </c>
      <c r="E43" s="783"/>
      <c r="H43" s="768"/>
    </row>
    <row r="44" spans="1:10" ht="15.75" x14ac:dyDescent="0.25">
      <c r="A44" s="779" t="s">
        <v>1030</v>
      </c>
      <c r="B44" s="780">
        <f>SUM('ARQ. PAV'!M9:N9)</f>
        <v>1500.3700000000001</v>
      </c>
      <c r="C44" s="781">
        <f t="shared" si="7"/>
        <v>7.8424596825254801E-3</v>
      </c>
      <c r="D44" s="782">
        <f t="shared" si="6"/>
        <v>71240.903756061467</v>
      </c>
      <c r="E44" s="783"/>
      <c r="H44" s="768"/>
    </row>
    <row r="45" spans="1:10" ht="15.75" x14ac:dyDescent="0.25">
      <c r="A45" s="779" t="s">
        <v>1033</v>
      </c>
      <c r="B45" s="780">
        <f>SUM('ARQ. PAV'!M10:N10)</f>
        <v>936.31</v>
      </c>
      <c r="C45" s="781">
        <f t="shared" si="7"/>
        <v>4.8941084034907593E-3</v>
      </c>
      <c r="D45" s="782">
        <f t="shared" si="6"/>
        <v>44458.080737310062</v>
      </c>
      <c r="E45" s="783"/>
      <c r="H45" s="768"/>
    </row>
    <row r="46" spans="1:10" ht="15.75" x14ac:dyDescent="0.25">
      <c r="A46" s="797" t="s">
        <v>1032</v>
      </c>
      <c r="B46" s="798">
        <f>SUM('ARQ. PAV'!M11:N11)</f>
        <v>383.27000000000004</v>
      </c>
      <c r="C46" s="802">
        <f>B46/SUM($B$37:$B$46)*$B$36</f>
        <v>2.0033588531639134E-3</v>
      </c>
      <c r="D46" s="800">
        <f t="shared" si="6"/>
        <v>18198.51182214099</v>
      </c>
      <c r="E46" s="801"/>
      <c r="H46" s="768"/>
    </row>
    <row r="47" spans="1:10" ht="15.75" x14ac:dyDescent="0.25">
      <c r="A47" s="856" t="s">
        <v>1011</v>
      </c>
      <c r="B47" s="925">
        <f>$B$35*$G$39</f>
        <v>6.4545999999999996E-3</v>
      </c>
      <c r="C47" s="858"/>
      <c r="D47" s="859">
        <f>SUM(D48:D57)</f>
        <v>58633.5864</v>
      </c>
      <c r="E47" s="860"/>
      <c r="G47" s="997">
        <f>D47/SUM(B48:B57)</f>
        <v>30.906793174881791</v>
      </c>
      <c r="H47" s="768" t="s">
        <v>516</v>
      </c>
      <c r="I47" s="766">
        <f>Ger_Executivo!$N$198</f>
        <v>58633.586399999993</v>
      </c>
      <c r="J47" s="766">
        <f>I47-D47</f>
        <v>0</v>
      </c>
    </row>
    <row r="48" spans="1:10" ht="15.75" x14ac:dyDescent="0.25">
      <c r="A48" s="774" t="s">
        <v>1004</v>
      </c>
      <c r="B48" s="775">
        <f>'ARQ. PAV'!O2</f>
        <v>29.47</v>
      </c>
      <c r="C48" s="776">
        <f>B48/SUM($B$48:$B$57)*$B$47</f>
        <v>1.0026675416818212E-4</v>
      </c>
      <c r="D48" s="777">
        <f t="shared" ref="D48:D57" si="8">C48*$D$146</f>
        <v>910.82319486376639</v>
      </c>
      <c r="E48" s="778"/>
      <c r="G48" s="997"/>
    </row>
    <row r="49" spans="1:10" ht="15.75" x14ac:dyDescent="0.25">
      <c r="A49" s="779" t="s">
        <v>1005</v>
      </c>
      <c r="B49" s="780">
        <f>'ARQ. PAV'!O3</f>
        <v>310.42</v>
      </c>
      <c r="C49" s="781">
        <f>B49/SUM($B$48:$B$57)*$B$47</f>
        <v>1.0561522167929112E-3</v>
      </c>
      <c r="D49" s="782">
        <f t="shared" si="8"/>
        <v>9594.0867373468045</v>
      </c>
      <c r="E49" s="783"/>
      <c r="G49" s="768"/>
      <c r="H49" s="768"/>
    </row>
    <row r="50" spans="1:10" ht="15.75" x14ac:dyDescent="0.25">
      <c r="A50" s="779" t="s">
        <v>1006</v>
      </c>
      <c r="B50" s="780">
        <f>'ARQ. PAV'!O4</f>
        <v>308.47000000000003</v>
      </c>
      <c r="C50" s="781">
        <f>B50/SUM($B$48:$B$57)*$B$47</f>
        <v>1.0495176673993602E-3</v>
      </c>
      <c r="D50" s="782">
        <f t="shared" si="8"/>
        <v>9533.8184906557872</v>
      </c>
      <c r="E50" s="783"/>
      <c r="G50" s="768"/>
      <c r="H50" s="768"/>
    </row>
    <row r="51" spans="1:10" ht="15.75" x14ac:dyDescent="0.25">
      <c r="A51" s="779" t="s">
        <v>1007</v>
      </c>
      <c r="B51" s="780">
        <f>'ARQ. PAV'!O5</f>
        <v>308.47000000000003</v>
      </c>
      <c r="C51" s="781">
        <f>B51/SUM($B$48:$B$57)*$B$47</f>
        <v>1.0495176673993602E-3</v>
      </c>
      <c r="D51" s="782">
        <f t="shared" si="8"/>
        <v>9533.8184906557872</v>
      </c>
      <c r="E51" s="783"/>
      <c r="G51" s="768"/>
      <c r="H51" s="768"/>
    </row>
    <row r="52" spans="1:10" ht="15.75" x14ac:dyDescent="0.25">
      <c r="A52" s="779" t="s">
        <v>1028</v>
      </c>
      <c r="B52" s="780">
        <f>'ARQ. PAV'!O6</f>
        <v>671.39</v>
      </c>
      <c r="C52" s="781">
        <f>B52/SUM($B$48:$B$57)*$B$47</f>
        <v>2.2842923678648044E-3</v>
      </c>
      <c r="D52" s="782">
        <f t="shared" si="8"/>
        <v>20750.511869683884</v>
      </c>
      <c r="E52" s="783"/>
      <c r="G52" s="768"/>
      <c r="H52" s="768"/>
    </row>
    <row r="53" spans="1:10" ht="15.75" x14ac:dyDescent="0.25">
      <c r="A53" s="779" t="s">
        <v>1029</v>
      </c>
      <c r="B53" s="780">
        <f>'ARQ. PAV'!O7</f>
        <v>14.89</v>
      </c>
      <c r="C53" s="781">
        <f t="shared" ref="C53:C56" si="9">B53/SUM($B$48:$B$57)*$B$47</f>
        <v>5.0660738702552821E-5</v>
      </c>
      <c r="D53" s="782">
        <f t="shared" si="8"/>
        <v>460.20215037398981</v>
      </c>
      <c r="E53" s="783"/>
      <c r="H53" s="768"/>
    </row>
    <row r="54" spans="1:10" ht="15.75" x14ac:dyDescent="0.25">
      <c r="A54" s="779" t="s">
        <v>1031</v>
      </c>
      <c r="B54" s="780">
        <f>'ARQ. PAV'!O8</f>
        <v>188.10000000000002</v>
      </c>
      <c r="C54" s="781">
        <f t="shared" si="9"/>
        <v>6.3997884150101994E-4</v>
      </c>
      <c r="D54" s="782">
        <f t="shared" si="8"/>
        <v>5813.5677961952651</v>
      </c>
      <c r="E54" s="783"/>
      <c r="H54" s="768"/>
    </row>
    <row r="55" spans="1:10" ht="15.75" x14ac:dyDescent="0.25">
      <c r="A55" s="779" t="s">
        <v>1030</v>
      </c>
      <c r="B55" s="780">
        <f>'ARQ. PAV'!O9</f>
        <v>17.02</v>
      </c>
      <c r="C55" s="781">
        <f t="shared" si="9"/>
        <v>5.7907708040124177E-5</v>
      </c>
      <c r="D55" s="782">
        <f t="shared" si="8"/>
        <v>526.03361983648801</v>
      </c>
      <c r="E55" s="783"/>
      <c r="H55" s="768"/>
    </row>
    <row r="56" spans="1:10" ht="15.75" x14ac:dyDescent="0.25">
      <c r="A56" s="779" t="s">
        <v>1033</v>
      </c>
      <c r="B56" s="780">
        <f>'ARQ. PAV'!O10</f>
        <v>23.69</v>
      </c>
      <c r="C56" s="781">
        <f t="shared" si="9"/>
        <v>8.0601269299091771E-5</v>
      </c>
      <c r="D56" s="782">
        <f t="shared" si="8"/>
        <v>732.1819303129497</v>
      </c>
      <c r="E56" s="783"/>
      <c r="H56" s="768"/>
    </row>
    <row r="57" spans="1:10" ht="15.75" x14ac:dyDescent="0.25">
      <c r="A57" s="797" t="s">
        <v>1032</v>
      </c>
      <c r="B57" s="798">
        <f>'ARQ. PAV'!O11</f>
        <v>25.19</v>
      </c>
      <c r="C57" s="802">
        <f>B57/SUM($B$48:$B$57)*$B$47</f>
        <v>8.5704768832592728E-5</v>
      </c>
      <c r="D57" s="800">
        <f t="shared" si="8"/>
        <v>778.54212007527235</v>
      </c>
      <c r="E57" s="801"/>
      <c r="H57" s="768"/>
    </row>
    <row r="58" spans="1:10" ht="15.75" x14ac:dyDescent="0.25">
      <c r="A58" s="856" t="s">
        <v>1012</v>
      </c>
      <c r="B58" s="925">
        <f>$B$35*$G$40</f>
        <v>1.352184E-2</v>
      </c>
      <c r="C58" s="858"/>
      <c r="D58" s="859">
        <f>SUM(D59:D68)</f>
        <v>122832.39455999997</v>
      </c>
      <c r="E58" s="860"/>
      <c r="G58" s="997">
        <f>IFERROR(D58/SUM(B59:B68),)</f>
        <v>28.827737398818549</v>
      </c>
      <c r="H58" s="768" t="s">
        <v>3509</v>
      </c>
      <c r="I58" s="766">
        <f>Ger_Executivo!$N$212</f>
        <v>122832.39455999994</v>
      </c>
      <c r="J58" s="766">
        <f>I58-D58</f>
        <v>0</v>
      </c>
    </row>
    <row r="59" spans="1:10" ht="15.75" x14ac:dyDescent="0.25">
      <c r="A59" s="774" t="s">
        <v>1004</v>
      </c>
      <c r="B59" s="775">
        <f>SUM('ARQ. PAV'!K2:L2)+0.03</f>
        <v>25.040000000000003</v>
      </c>
      <c r="C59" s="776">
        <f t="shared" ref="C59:C68" si="10">B59/SUM($B$59:$B$68)*$B$58</f>
        <v>7.9463512160547853E-5</v>
      </c>
      <c r="D59" s="777">
        <f>C59*$D$146</f>
        <v>721.84654446641673</v>
      </c>
      <c r="E59" s="778"/>
      <c r="G59" s="997"/>
    </row>
    <row r="60" spans="1:10" ht="15.75" x14ac:dyDescent="0.25">
      <c r="A60" s="779" t="s">
        <v>1005</v>
      </c>
      <c r="B60" s="780">
        <f>SUM('ARQ. PAV'!K3:L3)</f>
        <v>978.39</v>
      </c>
      <c r="C60" s="781">
        <f t="shared" si="10"/>
        <v>3.1048844114520131E-3</v>
      </c>
      <c r="D60" s="782">
        <f>C60*$D$146</f>
        <v>28204.769993630089</v>
      </c>
      <c r="E60" s="783"/>
      <c r="G60" s="768"/>
      <c r="H60" s="768"/>
    </row>
    <row r="61" spans="1:10" ht="15.75" x14ac:dyDescent="0.25">
      <c r="A61" s="779" t="s">
        <v>1006</v>
      </c>
      <c r="B61" s="780">
        <f>SUM('ARQ. PAV'!K4:L4)</f>
        <v>980.76</v>
      </c>
      <c r="C61" s="781">
        <f t="shared" si="10"/>
        <v>3.1124055186333432E-3</v>
      </c>
      <c r="D61" s="782">
        <f>C61*$D$146</f>
        <v>28273.091731265289</v>
      </c>
      <c r="E61" s="783"/>
      <c r="G61" s="768"/>
      <c r="H61" s="768"/>
    </row>
    <row r="62" spans="1:10" ht="15.75" x14ac:dyDescent="0.25">
      <c r="A62" s="779" t="s">
        <v>1007</v>
      </c>
      <c r="B62" s="780">
        <f>SUM('ARQ. PAV'!K5:L5)</f>
        <v>1035.21</v>
      </c>
      <c r="C62" s="781">
        <f t="shared" si="10"/>
        <v>3.2852005760271863E-3</v>
      </c>
      <c r="D62" s="782">
        <f>C62*$D$146</f>
        <v>29842.762032630959</v>
      </c>
      <c r="E62" s="783"/>
      <c r="G62" s="768"/>
      <c r="H62" s="768"/>
    </row>
    <row r="63" spans="1:10" ht="15.75" x14ac:dyDescent="0.25">
      <c r="A63" s="779" t="s">
        <v>1028</v>
      </c>
      <c r="B63" s="780">
        <f>SUM('ARQ. PAV'!K6:L6)</f>
        <v>980.81</v>
      </c>
      <c r="C63" s="781">
        <f t="shared" si="10"/>
        <v>3.1125641917806282E-3</v>
      </c>
      <c r="D63" s="782">
        <f>C63*$D$146</f>
        <v>28274.533118135227</v>
      </c>
      <c r="E63" s="783"/>
      <c r="G63" s="768"/>
      <c r="H63" s="768"/>
    </row>
    <row r="64" spans="1:10" ht="15.75" x14ac:dyDescent="0.25">
      <c r="A64" s="779" t="s">
        <v>1029</v>
      </c>
      <c r="B64" s="780">
        <f>SUM('ARQ. PAV'!K7:L7)</f>
        <v>13.07</v>
      </c>
      <c r="C64" s="781">
        <f t="shared" si="10"/>
        <v>4.147716070041376E-5</v>
      </c>
      <c r="D64" s="782">
        <f t="shared" ref="D64:D68" si="11">C64*$D$146</f>
        <v>376.77852780255859</v>
      </c>
      <c r="E64" s="783"/>
      <c r="H64" s="768"/>
    </row>
    <row r="65" spans="1:10" ht="15.75" x14ac:dyDescent="0.25">
      <c r="A65" s="779" t="s">
        <v>1031</v>
      </c>
      <c r="B65" s="780">
        <f>SUM('ARQ. PAV'!K8:L8)</f>
        <v>143.61999999999998</v>
      </c>
      <c r="C65" s="781">
        <f t="shared" si="10"/>
        <v>4.5577274826269493E-4</v>
      </c>
      <c r="D65" s="782">
        <f t="shared" si="11"/>
        <v>4140.2396452183211</v>
      </c>
      <c r="E65" s="783"/>
      <c r="H65" s="768"/>
    </row>
    <row r="66" spans="1:10" ht="15.75" x14ac:dyDescent="0.25">
      <c r="A66" s="779" t="s">
        <v>1030</v>
      </c>
      <c r="B66" s="780">
        <f>SUM('ARQ. PAV'!K9:L9)</f>
        <v>13.07</v>
      </c>
      <c r="C66" s="781">
        <f t="shared" si="10"/>
        <v>4.147716070041376E-5</v>
      </c>
      <c r="D66" s="782">
        <f t="shared" si="11"/>
        <v>376.77852780255859</v>
      </c>
      <c r="E66" s="783"/>
      <c r="H66" s="768"/>
    </row>
    <row r="67" spans="1:10" ht="15.75" x14ac:dyDescent="0.25">
      <c r="A67" s="779" t="s">
        <v>1033</v>
      </c>
      <c r="B67" s="780">
        <f>SUM('ARQ. PAV'!K10:L10)</f>
        <v>10.59</v>
      </c>
      <c r="C67" s="781">
        <f t="shared" si="10"/>
        <v>3.3606972595055975E-5</v>
      </c>
      <c r="D67" s="782">
        <f t="shared" si="11"/>
        <v>305.2857390534885</v>
      </c>
      <c r="E67" s="783"/>
      <c r="H67" s="768"/>
    </row>
    <row r="68" spans="1:10" ht="15.75" x14ac:dyDescent="0.25">
      <c r="A68" s="797" t="s">
        <v>1032</v>
      </c>
      <c r="B68" s="798">
        <f>SUM('ARQ. PAV'!K11:L11)</f>
        <v>80.349999999999994</v>
      </c>
      <c r="C68" s="802">
        <f t="shared" si="10"/>
        <v>2.5498774768770047E-4</v>
      </c>
      <c r="D68" s="800">
        <f t="shared" si="11"/>
        <v>2316.308699995071</v>
      </c>
      <c r="E68" s="801"/>
      <c r="H68" s="768"/>
    </row>
    <row r="69" spans="1:10" ht="15.75" x14ac:dyDescent="0.25">
      <c r="A69" s="856" t="s">
        <v>1013</v>
      </c>
      <c r="B69" s="925">
        <f>$B$35*$G$41</f>
        <v>6.563999999999999E-2</v>
      </c>
      <c r="C69" s="858"/>
      <c r="D69" s="859">
        <f>SUM(D70:D79)</f>
        <v>596273.76</v>
      </c>
      <c r="E69" s="860"/>
      <c r="G69" s="997">
        <f>D69/SUM(B70:B79)</f>
        <v>57.173544637694789</v>
      </c>
      <c r="H69" s="768" t="s">
        <v>3519</v>
      </c>
      <c r="I69" s="766">
        <f>Ger_Executivo!N244</f>
        <v>477155.53842459491</v>
      </c>
      <c r="J69" s="766">
        <f>SUM(I69:I72)-D69</f>
        <v>-19.43900517676957</v>
      </c>
    </row>
    <row r="70" spans="1:10" ht="15.75" x14ac:dyDescent="0.25">
      <c r="A70" s="774" t="s">
        <v>1004</v>
      </c>
      <c r="B70" s="775">
        <f>SUM('ARQ. PAV'!U2:V2)</f>
        <v>966.49</v>
      </c>
      <c r="C70" s="776">
        <f t="shared" ref="C70:C79" si="12">B70/SUM($B$70:$B$79)*$B$69</f>
        <v>6.0829655610838427E-3</v>
      </c>
      <c r="D70" s="777">
        <f t="shared" ref="D70:D79" si="13">C70*$D$146</f>
        <v>55257.659156885624</v>
      </c>
      <c r="E70" s="778"/>
      <c r="G70" s="997">
        <f>G69</f>
        <v>57.173544637694789</v>
      </c>
      <c r="H70" s="768" t="s">
        <v>3530</v>
      </c>
      <c r="I70" s="766">
        <f>Ger_Executivo!N245</f>
        <v>117354.41772333231</v>
      </c>
    </row>
    <row r="71" spans="1:10" ht="15.75" x14ac:dyDescent="0.25">
      <c r="A71" s="779" t="s">
        <v>1005</v>
      </c>
      <c r="B71" s="780">
        <f>SUM('ARQ. PAV'!U3:V3)</f>
        <v>32.340000000000003</v>
      </c>
      <c r="C71" s="781">
        <f t="shared" si="12"/>
        <v>2.0354386102851711E-4</v>
      </c>
      <c r="D71" s="782">
        <f t="shared" si="13"/>
        <v>1848.9924335830494</v>
      </c>
      <c r="E71" s="783"/>
      <c r="G71" s="768">
        <f>G70</f>
        <v>57.173544637694789</v>
      </c>
      <c r="H71" s="768" t="s">
        <v>3546</v>
      </c>
      <c r="I71" s="766">
        <f>Ger_Executivo!N246</f>
        <v>1082.8669354379394</v>
      </c>
    </row>
    <row r="72" spans="1:10" ht="15.75" x14ac:dyDescent="0.25">
      <c r="A72" s="779" t="s">
        <v>1006</v>
      </c>
      <c r="B72" s="780">
        <f>SUM('ARQ. PAV'!U4:V4)</f>
        <v>21.36</v>
      </c>
      <c r="C72" s="781">
        <f t="shared" si="12"/>
        <v>1.3443713270158084E-4</v>
      </c>
      <c r="D72" s="782">
        <f t="shared" si="13"/>
        <v>1221.2269134611604</v>
      </c>
      <c r="E72" s="783"/>
      <c r="G72" s="768">
        <f>G71</f>
        <v>57.173544637694789</v>
      </c>
      <c r="H72" s="768" t="s">
        <v>3547</v>
      </c>
      <c r="I72" s="766">
        <f>Ger_Executivo!N247</f>
        <v>661.49791145812878</v>
      </c>
    </row>
    <row r="73" spans="1:10" ht="15.75" x14ac:dyDescent="0.25">
      <c r="A73" s="779" t="s">
        <v>1007</v>
      </c>
      <c r="B73" s="780">
        <f>SUM('ARQ. PAV'!U5:V5)</f>
        <v>21.36</v>
      </c>
      <c r="C73" s="781">
        <f t="shared" si="12"/>
        <v>1.3443713270158084E-4</v>
      </c>
      <c r="D73" s="782">
        <f t="shared" si="13"/>
        <v>1221.2269134611604</v>
      </c>
      <c r="E73" s="783"/>
      <c r="G73" s="768"/>
      <c r="H73" s="768"/>
    </row>
    <row r="74" spans="1:10" ht="15.75" x14ac:dyDescent="0.25">
      <c r="A74" s="779" t="s">
        <v>1028</v>
      </c>
      <c r="B74" s="780">
        <f>SUM('ARQ. PAV'!U6:V6)</f>
        <v>10.51</v>
      </c>
      <c r="C74" s="781">
        <f t="shared" si="12"/>
        <v>6.6148607897641138E-5</v>
      </c>
      <c r="D74" s="782">
        <f t="shared" si="13"/>
        <v>600.89395414217211</v>
      </c>
      <c r="E74" s="783"/>
      <c r="G74" s="768"/>
      <c r="H74" s="768"/>
    </row>
    <row r="75" spans="1:10" ht="15.75" x14ac:dyDescent="0.25">
      <c r="A75" s="779" t="s">
        <v>1029</v>
      </c>
      <c r="B75" s="780">
        <f>SUM('ARQ. PAV'!U7:V7)</f>
        <v>661.41</v>
      </c>
      <c r="C75" s="781">
        <f t="shared" si="12"/>
        <v>4.1628307088086413E-3</v>
      </c>
      <c r="D75" s="782">
        <f t="shared" si="13"/>
        <v>37815.154158817699</v>
      </c>
      <c r="E75" s="783"/>
      <c r="H75" s="768"/>
    </row>
    <row r="76" spans="1:10" ht="15.75" x14ac:dyDescent="0.25">
      <c r="A76" s="779" t="s">
        <v>1031</v>
      </c>
      <c r="B76" s="780">
        <f>SUM('ARQ. PAV'!U8:V8)</f>
        <v>7029.2699999999986</v>
      </c>
      <c r="C76" s="781">
        <f t="shared" si="12"/>
        <v>4.4241334446874586E-2</v>
      </c>
      <c r="D76" s="782">
        <f t="shared" si="13"/>
        <v>401888.28211540874</v>
      </c>
      <c r="E76" s="783"/>
      <c r="H76" s="768"/>
    </row>
    <row r="77" spans="1:10" ht="15.75" x14ac:dyDescent="0.25">
      <c r="A77" s="779" t="s">
        <v>1030</v>
      </c>
      <c r="B77" s="780">
        <f>SUM('ARQ. PAV'!U9:V9)</f>
        <v>649.1099999999999</v>
      </c>
      <c r="C77" s="781">
        <f t="shared" si="12"/>
        <v>4.0854160677866631E-3</v>
      </c>
      <c r="D77" s="782">
        <f t="shared" si="13"/>
        <v>37111.919559774047</v>
      </c>
      <c r="E77" s="783"/>
      <c r="H77" s="768"/>
    </row>
    <row r="78" spans="1:10" ht="15.75" x14ac:dyDescent="0.25">
      <c r="A78" s="779" t="s">
        <v>1033</v>
      </c>
      <c r="B78" s="780">
        <f>SUM('ARQ. PAV'!U10:V10)</f>
        <v>653.79000000000008</v>
      </c>
      <c r="C78" s="781">
        <f t="shared" si="12"/>
        <v>4.1148713946145389E-3</v>
      </c>
      <c r="D78" s="782">
        <f t="shared" si="13"/>
        <v>37379.491748678469</v>
      </c>
      <c r="E78" s="783"/>
      <c r="H78" s="768"/>
    </row>
    <row r="79" spans="1:10" ht="15.75" x14ac:dyDescent="0.25">
      <c r="A79" s="779" t="s">
        <v>1032</v>
      </c>
      <c r="B79" s="780">
        <f>SUM('ARQ. PAV'!U11:V11)</f>
        <v>383.55000000000007</v>
      </c>
      <c r="C79" s="791">
        <f t="shared" si="12"/>
        <v>2.4140150865024036E-3</v>
      </c>
      <c r="D79" s="792">
        <f t="shared" si="13"/>
        <v>21928.913045787835</v>
      </c>
      <c r="E79" s="793"/>
      <c r="H79" s="768"/>
    </row>
    <row r="80" spans="1:10" ht="15.75" x14ac:dyDescent="0.25">
      <c r="A80" s="770" t="s">
        <v>1014</v>
      </c>
      <c r="B80" s="771">
        <v>7.4999999999999997E-2</v>
      </c>
      <c r="C80" s="772">
        <f>B80+C35</f>
        <v>0.83</v>
      </c>
      <c r="D80" s="773">
        <f>B80*$D$146</f>
        <v>681300</v>
      </c>
      <c r="E80" s="773">
        <f>C80*$E$146</f>
        <v>7539720</v>
      </c>
      <c r="G80" s="997"/>
      <c r="H80" s="768"/>
    </row>
    <row r="81" spans="1:10" ht="15.75" x14ac:dyDescent="0.25">
      <c r="A81" s="774" t="s">
        <v>1015</v>
      </c>
      <c r="B81" s="775">
        <f>Ger_Executivo!$L$359</f>
        <v>8753.81</v>
      </c>
      <c r="C81" s="777">
        <f>B80</f>
        <v>7.4999999999999997E-2</v>
      </c>
      <c r="D81" s="777">
        <f>C81*$D$146</f>
        <v>681300</v>
      </c>
      <c r="E81" s="778"/>
      <c r="G81" s="768">
        <f>D81/B81</f>
        <v>77.828968186423978</v>
      </c>
      <c r="H81" s="768" t="s">
        <v>590</v>
      </c>
      <c r="I81" s="766">
        <f>Ger_Executivo!$N$359</f>
        <v>681300</v>
      </c>
      <c r="J81" s="766">
        <f>SUM(I81)-D81</f>
        <v>0</v>
      </c>
    </row>
    <row r="82" spans="1:10" ht="15.75" x14ac:dyDescent="0.25">
      <c r="A82" s="770" t="s">
        <v>1016</v>
      </c>
      <c r="B82" s="771">
        <v>8.9999999999999993E-3</v>
      </c>
      <c r="C82" s="772">
        <f>B82+C80</f>
        <v>0.83899999999999997</v>
      </c>
      <c r="D82" s="773">
        <f>B82*$D$146</f>
        <v>81756</v>
      </c>
      <c r="E82" s="773">
        <f>C82*$E$146</f>
        <v>7621476</v>
      </c>
      <c r="G82" s="997"/>
    </row>
    <row r="83" spans="1:10" ht="15.75" x14ac:dyDescent="0.25">
      <c r="A83" s="774" t="s">
        <v>1016</v>
      </c>
      <c r="B83" s="775">
        <v>212.52</v>
      </c>
      <c r="C83" s="777">
        <f>B82</f>
        <v>8.9999999999999993E-3</v>
      </c>
      <c r="D83" s="777">
        <f>C83*$D$146</f>
        <v>81756</v>
      </c>
      <c r="E83" s="778"/>
      <c r="G83" s="768">
        <f>D83/B83</f>
        <v>384.6979107848673</v>
      </c>
      <c r="H83" s="768" t="s">
        <v>1023</v>
      </c>
      <c r="I83" s="766">
        <f>Ger_Executivo!$N$336</f>
        <v>81756</v>
      </c>
      <c r="J83" s="766">
        <f>SUM(I83)-D83</f>
        <v>0</v>
      </c>
    </row>
    <row r="84" spans="1:10" ht="15.75" x14ac:dyDescent="0.25">
      <c r="A84" s="770" t="s">
        <v>1017</v>
      </c>
      <c r="B84" s="771">
        <v>0.122</v>
      </c>
      <c r="C84" s="772">
        <f>B84+C82</f>
        <v>0.96099999999999997</v>
      </c>
      <c r="D84" s="773">
        <f>B84*$D$146</f>
        <v>1108248</v>
      </c>
      <c r="E84" s="773">
        <f>C84*$E$146</f>
        <v>8729724</v>
      </c>
      <c r="G84" s="768"/>
      <c r="H84" s="768"/>
      <c r="J84" s="766">
        <f>D84-SUM(I85:I139)</f>
        <v>0.31365054193884134</v>
      </c>
    </row>
    <row r="85" spans="1:10" ht="15.75" x14ac:dyDescent="0.25">
      <c r="A85" s="785" t="s">
        <v>3512</v>
      </c>
      <c r="B85" s="794">
        <f>B84*G88</f>
        <v>7.9299999999999998E-4</v>
      </c>
      <c r="C85" s="786"/>
      <c r="D85" s="787">
        <f>SUM(D86:D95)</f>
        <v>7203.6119999999983</v>
      </c>
      <c r="E85" s="788"/>
      <c r="G85" s="997">
        <f>D85/SUM(B86:B95)</f>
        <v>31.365054208211774</v>
      </c>
      <c r="H85" s="768" t="str">
        <f>Ger_Executivo!$J$202</f>
        <v>Mão de obra para colocação de peitoril e pingadeira</v>
      </c>
      <c r="I85" s="766">
        <f>Ger_Executivo!$N$202</f>
        <v>7203.2983494579157</v>
      </c>
      <c r="J85" s="766">
        <f>I85-D85</f>
        <v>-0.31365054208254151</v>
      </c>
    </row>
    <row r="86" spans="1:10" ht="15.75" x14ac:dyDescent="0.25">
      <c r="A86" s="774" t="s">
        <v>1004</v>
      </c>
      <c r="B86" s="775">
        <f>'ARQ. PAV'!S2</f>
        <v>23.52</v>
      </c>
      <c r="C86" s="795">
        <f t="shared" ref="C86:C95" si="14">B86/SUM($B$86:$B$95)*$B$85</f>
        <v>8.1209387381895755E-5</v>
      </c>
      <c r="D86" s="777">
        <f>C86*$D$146</f>
        <v>737.70607497714104</v>
      </c>
      <c r="E86" s="778"/>
      <c r="G86" s="768"/>
      <c r="H86" s="768"/>
    </row>
    <row r="87" spans="1:10" ht="15.75" x14ac:dyDescent="0.25">
      <c r="A87" s="779" t="s">
        <v>1005</v>
      </c>
      <c r="B87" s="780">
        <f>'ARQ. PAV'!S3</f>
        <v>14.25</v>
      </c>
      <c r="C87" s="796">
        <f t="shared" si="14"/>
        <v>4.9202116079592452E-5</v>
      </c>
      <c r="D87" s="782">
        <f>C87*$D$146</f>
        <v>446.95202246701785</v>
      </c>
      <c r="E87" s="783"/>
      <c r="G87" s="768"/>
    </row>
    <row r="88" spans="1:10" ht="15.75" x14ac:dyDescent="0.25">
      <c r="A88" s="779" t="s">
        <v>1006</v>
      </c>
      <c r="B88" s="780">
        <f>'ARQ. PAV'!S4</f>
        <v>14.38</v>
      </c>
      <c r="C88" s="796">
        <f t="shared" si="14"/>
        <v>4.9650977489441373E-5</v>
      </c>
      <c r="D88" s="782">
        <f>C88*$D$146</f>
        <v>451.02947951408544</v>
      </c>
      <c r="E88" s="783"/>
      <c r="G88" s="768">
        <v>6.4999999999999997E-3</v>
      </c>
      <c r="H88" s="768"/>
    </row>
    <row r="89" spans="1:10" ht="15.75" x14ac:dyDescent="0.25">
      <c r="A89" s="779" t="s">
        <v>1007</v>
      </c>
      <c r="B89" s="780">
        <f>'ARQ. PAV'!S5</f>
        <v>14.38</v>
      </c>
      <c r="C89" s="796">
        <f t="shared" si="14"/>
        <v>4.9650977489441373E-5</v>
      </c>
      <c r="D89" s="782">
        <f>C89*$D$146</f>
        <v>451.02947951408544</v>
      </c>
      <c r="E89" s="783"/>
      <c r="G89" s="768">
        <f>0.268</f>
        <v>0.26800000000000002</v>
      </c>
      <c r="H89" s="768"/>
    </row>
    <row r="90" spans="1:10" ht="15.75" x14ac:dyDescent="0.25">
      <c r="A90" s="779" t="s">
        <v>1028</v>
      </c>
      <c r="B90" s="780">
        <f>'ARQ. PAV'!S6</f>
        <v>14.29</v>
      </c>
      <c r="C90" s="799">
        <f t="shared" si="14"/>
        <v>4.9340227282622883E-5</v>
      </c>
      <c r="D90" s="800">
        <f>C90*$D$146</f>
        <v>448.20662463534626</v>
      </c>
      <c r="E90" s="801"/>
      <c r="G90" s="768">
        <v>4.6999999999999999E-4</v>
      </c>
      <c r="H90" s="768"/>
    </row>
    <row r="91" spans="1:10" ht="15.75" x14ac:dyDescent="0.25">
      <c r="A91" s="779" t="s">
        <v>1029</v>
      </c>
      <c r="B91" s="780">
        <f>'ARQ. PAV'!S7</f>
        <v>11.15</v>
      </c>
      <c r="C91" s="799">
        <f t="shared" si="14"/>
        <v>3.8498497844733743E-5</v>
      </c>
      <c r="D91" s="800">
        <f t="shared" ref="D91:D93" si="15">C91*$D$146</f>
        <v>349.7203544215613</v>
      </c>
      <c r="E91" s="801"/>
      <c r="G91" s="768">
        <v>0.71499999999999997</v>
      </c>
      <c r="H91" s="768"/>
    </row>
    <row r="92" spans="1:10" ht="15.75" x14ac:dyDescent="0.25">
      <c r="A92" s="779" t="s">
        <v>1031</v>
      </c>
      <c r="B92" s="780">
        <f>'ARQ. PAV'!S8</f>
        <v>122.7</v>
      </c>
      <c r="C92" s="799">
        <f t="shared" si="14"/>
        <v>4.2365611529585919E-4</v>
      </c>
      <c r="D92" s="800">
        <f t="shared" si="15"/>
        <v>3848.4921513475847</v>
      </c>
      <c r="E92" s="801"/>
      <c r="G92" s="768">
        <f>1-SUM(G88:G91)</f>
        <v>1.0029999999999983E-2</v>
      </c>
      <c r="H92" s="768"/>
    </row>
    <row r="93" spans="1:10" ht="15.75" x14ac:dyDescent="0.25">
      <c r="A93" s="779" t="s">
        <v>1030</v>
      </c>
      <c r="B93" s="780">
        <f>'ARQ. PAV'!S9</f>
        <v>11.15</v>
      </c>
      <c r="C93" s="799">
        <f t="shared" si="14"/>
        <v>3.8498497844733743E-5</v>
      </c>
      <c r="D93" s="800">
        <f t="shared" si="15"/>
        <v>349.7203544215613</v>
      </c>
      <c r="E93" s="801"/>
      <c r="G93" s="768"/>
      <c r="H93" s="768"/>
    </row>
    <row r="94" spans="1:10" ht="15.75" x14ac:dyDescent="0.25">
      <c r="A94" s="779" t="s">
        <v>1033</v>
      </c>
      <c r="B94" s="780">
        <f>'ARQ. PAV'!S10</f>
        <v>3.85</v>
      </c>
      <c r="C94" s="799">
        <f t="shared" si="14"/>
        <v>1.3293203291679365E-5</v>
      </c>
      <c r="D94" s="800">
        <f>C94*$D$146</f>
        <v>120.75545870161535</v>
      </c>
      <c r="E94" s="801"/>
      <c r="G94" s="768"/>
      <c r="H94" s="768"/>
    </row>
    <row r="95" spans="1:10" ht="15.75" x14ac:dyDescent="0.25">
      <c r="A95" s="797" t="s">
        <v>1032</v>
      </c>
      <c r="B95" s="798">
        <f>'ARQ. PAV'!S11</f>
        <v>0</v>
      </c>
      <c r="C95" s="799">
        <f t="shared" si="14"/>
        <v>0</v>
      </c>
      <c r="D95" s="800">
        <f>C95*$D$146</f>
        <v>0</v>
      </c>
      <c r="E95" s="801"/>
      <c r="G95" s="768"/>
      <c r="H95" s="768"/>
    </row>
    <row r="96" spans="1:10" ht="15.75" x14ac:dyDescent="0.25">
      <c r="A96" s="856" t="s">
        <v>1018</v>
      </c>
      <c r="B96" s="857">
        <f>B84*G89</f>
        <v>3.2696000000000003E-2</v>
      </c>
      <c r="C96" s="858"/>
      <c r="D96" s="859">
        <f>SUM(D97:D106)</f>
        <v>297010.46400000004</v>
      </c>
      <c r="E96" s="860"/>
      <c r="G96" s="997">
        <f>D96/SUM(B97:B106)</f>
        <v>153.87389209520163</v>
      </c>
      <c r="H96" s="768" t="s">
        <v>517</v>
      </c>
      <c r="I96" s="766">
        <f>Ger_Executivo!N199</f>
        <v>280113.57190902595</v>
      </c>
      <c r="J96" s="766">
        <f>SUM(I96:I98)-D96</f>
        <v>0</v>
      </c>
    </row>
    <row r="97" spans="1:11" ht="15.75" x14ac:dyDescent="0.25">
      <c r="A97" s="774" t="s">
        <v>1004</v>
      </c>
      <c r="B97" s="775">
        <f>SUM('ARQ. PAV'!P2:R2)</f>
        <v>147.01</v>
      </c>
      <c r="C97" s="795">
        <f>B97/SUM($B$97:$B$106)*$B$96</f>
        <v>2.4902026504750757E-3</v>
      </c>
      <c r="D97" s="777">
        <f>C97*$D$146</f>
        <v>22621.000876915587</v>
      </c>
      <c r="E97" s="778"/>
      <c r="G97" s="768">
        <f>G96</f>
        <v>153.87389209520163</v>
      </c>
      <c r="H97" s="768" t="s">
        <v>3533</v>
      </c>
      <c r="I97" s="766">
        <f>Ger_Executivo!N200</f>
        <v>4383.8671857922936</v>
      </c>
    </row>
    <row r="98" spans="1:11" ht="15.75" x14ac:dyDescent="0.25">
      <c r="A98" s="779" t="s">
        <v>1005</v>
      </c>
      <c r="B98" s="780">
        <f>SUM('ARQ. PAV'!P3:R3)</f>
        <v>0</v>
      </c>
      <c r="C98" s="796">
        <f>B98/SUM($B$97:$B$106)*$B$96</f>
        <v>0</v>
      </c>
      <c r="D98" s="782">
        <f>C98*$D$146</f>
        <v>0</v>
      </c>
      <c r="E98" s="783"/>
      <c r="G98" s="768"/>
      <c r="H98" s="768" t="s">
        <v>3499</v>
      </c>
      <c r="I98" s="766">
        <f>Ger_Executivo!N201</f>
        <v>12513.024905181795</v>
      </c>
    </row>
    <row r="99" spans="1:11" ht="15.75" x14ac:dyDescent="0.25">
      <c r="A99" s="779" t="s">
        <v>1006</v>
      </c>
      <c r="B99" s="780">
        <f>SUM('ARQ. PAV'!P4:R4)</f>
        <v>0</v>
      </c>
      <c r="C99" s="796">
        <f t="shared" ref="C99:C106" si="16">B99/SUM($B$97:$B$106)*$B$96</f>
        <v>0</v>
      </c>
      <c r="D99" s="782">
        <f>C99*$D$146</f>
        <v>0</v>
      </c>
      <c r="E99" s="783"/>
      <c r="G99" s="768"/>
      <c r="H99" s="768"/>
    </row>
    <row r="100" spans="1:11" ht="15.75" x14ac:dyDescent="0.25">
      <c r="A100" s="779" t="s">
        <v>1007</v>
      </c>
      <c r="B100" s="780">
        <f>SUM('ARQ. PAV'!P5:R5)</f>
        <v>0</v>
      </c>
      <c r="C100" s="796">
        <f>B100/SUM($B$97:$B$106)*$B$96</f>
        <v>0</v>
      </c>
      <c r="D100" s="782">
        <f>C100*$D$146</f>
        <v>0</v>
      </c>
      <c r="E100" s="783"/>
      <c r="G100" s="768"/>
      <c r="H100" s="768"/>
    </row>
    <row r="101" spans="1:11" ht="15.75" x14ac:dyDescent="0.25">
      <c r="A101" s="779" t="s">
        <v>1028</v>
      </c>
      <c r="B101" s="780">
        <f>SUM('ARQ. PAV'!P6:R6)</f>
        <v>0</v>
      </c>
      <c r="C101" s="799">
        <f t="shared" si="16"/>
        <v>0</v>
      </c>
      <c r="D101" s="800">
        <f>C101*$D$146</f>
        <v>0</v>
      </c>
      <c r="E101" s="801"/>
      <c r="G101" s="768"/>
      <c r="H101" s="768"/>
    </row>
    <row r="102" spans="1:11" ht="15.75" x14ac:dyDescent="0.25">
      <c r="A102" s="779" t="s">
        <v>1029</v>
      </c>
      <c r="B102" s="780">
        <f>SUM('ARQ. PAV'!P7:R7)</f>
        <v>119.22</v>
      </c>
      <c r="C102" s="799">
        <f>B102/SUM($B$97:$B$106)*$B$96</f>
        <v>2.0194677912362324E-3</v>
      </c>
      <c r="D102" s="800">
        <f t="shared" ref="D102:D104" si="17">C102*$D$146</f>
        <v>18344.845415589934</v>
      </c>
      <c r="E102" s="801"/>
      <c r="G102" s="768"/>
      <c r="H102" s="768"/>
    </row>
    <row r="103" spans="1:11" ht="15.75" x14ac:dyDescent="0.25">
      <c r="A103" s="779" t="s">
        <v>1031</v>
      </c>
      <c r="B103" s="780">
        <f>SUM('ARQ. PAV'!P8:R8)</f>
        <v>1309.4399999999998</v>
      </c>
      <c r="C103" s="799">
        <f t="shared" ref="C103:C104" si="18">B103/SUM($B$97:$B$106)*$B$96</f>
        <v>2.2180606480090355E-2</v>
      </c>
      <c r="D103" s="800">
        <f t="shared" si="17"/>
        <v>201488.62926514077</v>
      </c>
      <c r="E103" s="801"/>
      <c r="G103" s="768"/>
      <c r="H103" s="768"/>
    </row>
    <row r="104" spans="1:11" ht="15.75" x14ac:dyDescent="0.25">
      <c r="A104" s="779" t="s">
        <v>1030</v>
      </c>
      <c r="B104" s="780">
        <f>SUM('ARQ. PAV'!P9:R9)</f>
        <v>119.24</v>
      </c>
      <c r="C104" s="799">
        <f t="shared" si="18"/>
        <v>2.0198065712716687E-3</v>
      </c>
      <c r="D104" s="800">
        <f t="shared" si="17"/>
        <v>18347.922893431838</v>
      </c>
      <c r="E104" s="801"/>
      <c r="G104" s="768"/>
      <c r="H104" s="768"/>
    </row>
    <row r="105" spans="1:11" ht="15.75" x14ac:dyDescent="0.25">
      <c r="A105" s="779" t="s">
        <v>1033</v>
      </c>
      <c r="B105" s="780">
        <f>SUM('ARQ. PAV'!P10:R10)</f>
        <v>235.31</v>
      </c>
      <c r="C105" s="799">
        <f t="shared" si="16"/>
        <v>3.9859165069266725E-3</v>
      </c>
      <c r="D105" s="800">
        <f>C105*$D$146</f>
        <v>36208.065548921892</v>
      </c>
      <c r="E105" s="801"/>
      <c r="G105" s="768"/>
      <c r="H105" s="768"/>
    </row>
    <row r="106" spans="1:11" ht="15.75" x14ac:dyDescent="0.25">
      <c r="A106" s="797" t="s">
        <v>1032</v>
      </c>
      <c r="B106" s="798">
        <f>SUM('ARQ. PAV'!P11:R11)</f>
        <v>0</v>
      </c>
      <c r="C106" s="799">
        <f t="shared" si="16"/>
        <v>0</v>
      </c>
      <c r="D106" s="800">
        <f>C106*$D$146</f>
        <v>0</v>
      </c>
      <c r="E106" s="801"/>
      <c r="G106" s="768"/>
      <c r="H106" s="768"/>
    </row>
    <row r="107" spans="1:11" ht="15.75" x14ac:dyDescent="0.25">
      <c r="A107" s="856" t="s">
        <v>3513</v>
      </c>
      <c r="B107" s="857">
        <f>B84*G90</f>
        <v>5.7339999999999996E-5</v>
      </c>
      <c r="C107" s="858"/>
      <c r="D107" s="859">
        <f>SUM(D108:D117)</f>
        <v>520.87655999999993</v>
      </c>
      <c r="E107" s="860"/>
      <c r="G107" s="997">
        <f>D107/SUM(B108:B117)</f>
        <v>30.857616113744069</v>
      </c>
      <c r="H107" s="768" t="s">
        <v>539</v>
      </c>
      <c r="I107" s="766">
        <f>Ger_Executivo!$N$255</f>
        <v>520.87655999999981</v>
      </c>
      <c r="J107" s="766">
        <f>SUM(I107:I108)-D107</f>
        <v>0</v>
      </c>
    </row>
    <row r="108" spans="1:11" ht="15.75" x14ac:dyDescent="0.25">
      <c r="A108" s="774" t="s">
        <v>1004</v>
      </c>
      <c r="B108" s="775">
        <f>'ARQ. PAV'!T2</f>
        <v>0.75</v>
      </c>
      <c r="C108" s="776">
        <f t="shared" ref="C108:C117" si="19">B108/SUM($B$108:$B$117)*$B$107</f>
        <v>2.5476895734597152E-6</v>
      </c>
      <c r="D108" s="777">
        <f>C108*$D$146</f>
        <v>23.143212085308054</v>
      </c>
      <c r="E108" s="778"/>
      <c r="G108" s="768"/>
      <c r="H108" s="768"/>
      <c r="K108" s="784"/>
    </row>
    <row r="109" spans="1:11" ht="15.75" x14ac:dyDescent="0.25">
      <c r="A109" s="779" t="s">
        <v>1005</v>
      </c>
      <c r="B109" s="780">
        <f>'ARQ. PAV'!T3</f>
        <v>0.74</v>
      </c>
      <c r="C109" s="781">
        <f t="shared" si="19"/>
        <v>2.5137203791469188E-6</v>
      </c>
      <c r="D109" s="782">
        <f>C109*$D$146</f>
        <v>22.834635924170609</v>
      </c>
      <c r="E109" s="783"/>
      <c r="G109" s="768"/>
      <c r="K109" s="784"/>
    </row>
    <row r="110" spans="1:11" ht="15.75" x14ac:dyDescent="0.25">
      <c r="A110" s="779" t="s">
        <v>1006</v>
      </c>
      <c r="B110" s="780">
        <f>'ARQ. PAV'!T4</f>
        <v>0.74</v>
      </c>
      <c r="C110" s="781">
        <f t="shared" si="19"/>
        <v>2.5137203791469188E-6</v>
      </c>
      <c r="D110" s="782">
        <f>C110*$D$146</f>
        <v>22.834635924170609</v>
      </c>
      <c r="E110" s="783"/>
      <c r="G110" s="768"/>
      <c r="H110" s="768"/>
      <c r="K110" s="784"/>
    </row>
    <row r="111" spans="1:11" ht="15.75" x14ac:dyDescent="0.25">
      <c r="A111" s="779" t="s">
        <v>1007</v>
      </c>
      <c r="B111" s="780">
        <f>'ARQ. PAV'!T5</f>
        <v>0.72</v>
      </c>
      <c r="C111" s="781">
        <f t="shared" si="19"/>
        <v>2.4457819905213264E-6</v>
      </c>
      <c r="D111" s="782">
        <f>C111*$D$146</f>
        <v>22.217483601895729</v>
      </c>
      <c r="E111" s="783"/>
      <c r="G111" s="768"/>
      <c r="H111" s="768"/>
      <c r="K111" s="784"/>
    </row>
    <row r="112" spans="1:11" ht="15.75" x14ac:dyDescent="0.25">
      <c r="A112" s="779" t="s">
        <v>1028</v>
      </c>
      <c r="B112" s="798">
        <f>'ARQ. PAV'!T6</f>
        <v>0.74</v>
      </c>
      <c r="C112" s="781">
        <f t="shared" si="19"/>
        <v>2.5137203791469188E-6</v>
      </c>
      <c r="D112" s="782">
        <f t="shared" ref="D112" si="20">C112*$D$146</f>
        <v>22.834635924170609</v>
      </c>
      <c r="E112" s="801"/>
      <c r="G112" s="768"/>
      <c r="H112" s="768"/>
      <c r="K112" s="784"/>
    </row>
    <row r="113" spans="1:11" ht="15.75" x14ac:dyDescent="0.25">
      <c r="A113" s="779" t="s">
        <v>1029</v>
      </c>
      <c r="B113" s="798">
        <f>'ARQ. PAV'!T7</f>
        <v>0.72</v>
      </c>
      <c r="C113" s="781">
        <f t="shared" si="19"/>
        <v>2.4457819905213264E-6</v>
      </c>
      <c r="D113" s="782">
        <f>C113*$D$146</f>
        <v>22.217483601895729</v>
      </c>
      <c r="E113" s="801"/>
      <c r="G113" s="768"/>
      <c r="H113" s="768"/>
      <c r="K113" s="784"/>
    </row>
    <row r="114" spans="1:11" ht="15.75" x14ac:dyDescent="0.25">
      <c r="A114" s="779" t="s">
        <v>1031</v>
      </c>
      <c r="B114" s="798">
        <f>'ARQ. PAV'!T8</f>
        <v>8.14</v>
      </c>
      <c r="C114" s="781">
        <f t="shared" si="19"/>
        <v>2.7650924170616111E-5</v>
      </c>
      <c r="D114" s="782">
        <f>C114*$D$146</f>
        <v>251.18099516587674</v>
      </c>
      <c r="E114" s="801"/>
      <c r="G114" s="768"/>
      <c r="H114" s="768"/>
      <c r="K114" s="784"/>
    </row>
    <row r="115" spans="1:11" ht="15.75" x14ac:dyDescent="0.25">
      <c r="A115" s="779" t="s">
        <v>1030</v>
      </c>
      <c r="B115" s="798">
        <f>'ARQ. PAV'!T9</f>
        <v>0.74</v>
      </c>
      <c r="C115" s="781">
        <f t="shared" si="19"/>
        <v>2.5137203791469188E-6</v>
      </c>
      <c r="D115" s="782">
        <f>C115*$D$146</f>
        <v>22.834635924170609</v>
      </c>
      <c r="E115" s="801"/>
      <c r="G115" s="768"/>
      <c r="H115" s="768"/>
      <c r="K115" s="784"/>
    </row>
    <row r="116" spans="1:11" ht="15.75" x14ac:dyDescent="0.25">
      <c r="A116" s="779" t="s">
        <v>1033</v>
      </c>
      <c r="B116" s="798">
        <f>'ARQ. PAV'!T10</f>
        <v>3.59</v>
      </c>
      <c r="C116" s="781">
        <f t="shared" si="19"/>
        <v>1.2194940758293835E-5</v>
      </c>
      <c r="D116" s="782">
        <f>C116*$D$146</f>
        <v>110.7788418483412</v>
      </c>
      <c r="E116" s="801"/>
      <c r="G116" s="768"/>
      <c r="H116" s="768"/>
      <c r="K116" s="784"/>
    </row>
    <row r="117" spans="1:11" ht="15.75" x14ac:dyDescent="0.25">
      <c r="A117" s="779" t="s">
        <v>1032</v>
      </c>
      <c r="B117" s="790">
        <f>'ARQ. PAV'!T11</f>
        <v>0</v>
      </c>
      <c r="C117" s="791">
        <f t="shared" si="19"/>
        <v>0</v>
      </c>
      <c r="D117" s="792">
        <f>C117*$D$146</f>
        <v>0</v>
      </c>
      <c r="E117" s="793"/>
      <c r="G117" s="768"/>
      <c r="H117" s="768"/>
      <c r="K117" s="784"/>
    </row>
    <row r="118" spans="1:11" ht="15.75" x14ac:dyDescent="0.25">
      <c r="A118" s="856" t="s">
        <v>1019</v>
      </c>
      <c r="B118" s="857">
        <f>B84*G91</f>
        <v>8.7229999999999988E-2</v>
      </c>
      <c r="C118" s="858"/>
      <c r="D118" s="859">
        <f>SUM(D119:D128)</f>
        <v>792397.31999999972</v>
      </c>
      <c r="E118" s="860"/>
      <c r="G118" s="997">
        <f>D118/SUM(B119:B128)</f>
        <v>153.62134265972873</v>
      </c>
      <c r="H118" s="768" t="s">
        <v>536</v>
      </c>
      <c r="I118" s="766">
        <f>Ger_Executivo!N248</f>
        <v>785851.51458926883</v>
      </c>
      <c r="J118" s="766">
        <f>SUM(I118:I120)-D118</f>
        <v>0</v>
      </c>
    </row>
    <row r="119" spans="1:11" ht="15.75" x14ac:dyDescent="0.25">
      <c r="A119" s="774" t="s">
        <v>1004</v>
      </c>
      <c r="B119" s="775">
        <f>'ARQ. PAV'!W2</f>
        <v>696.56999999999994</v>
      </c>
      <c r="C119" s="776">
        <f>B119/SUM($B$119:$B$128)*$B$118</f>
        <v>1.1779834726605818E-2</v>
      </c>
      <c r="D119" s="777">
        <f>C119*$D$146</f>
        <v>107008.01865648726</v>
      </c>
      <c r="E119" s="778"/>
      <c r="G119" s="768">
        <f>G118</f>
        <v>153.62134265972873</v>
      </c>
      <c r="H119" s="768" t="s">
        <v>3533</v>
      </c>
      <c r="I119" s="766">
        <f>Ger_Executivo!N249</f>
        <v>4768.4064761579793</v>
      </c>
      <c r="K119" s="784"/>
    </row>
    <row r="120" spans="1:11" ht="15.75" x14ac:dyDescent="0.25">
      <c r="A120" s="779" t="s">
        <v>1005</v>
      </c>
      <c r="B120" s="780">
        <f>'ARQ. PAV'!W3</f>
        <v>8.49</v>
      </c>
      <c r="C120" s="781">
        <f t="shared" ref="C120:C128" si="21">B120/SUM($B$119:$B$128)*$B$118</f>
        <v>1.4357608973812166E-4</v>
      </c>
      <c r="D120" s="782">
        <f>C120*$D$146</f>
        <v>1304.2451991810972</v>
      </c>
      <c r="E120" s="783"/>
      <c r="G120" s="768">
        <f>G119</f>
        <v>153.62134265972873</v>
      </c>
      <c r="H120" s="768" t="s">
        <v>3544</v>
      </c>
      <c r="I120" s="766">
        <f>Ger_Executivo!$N$250</f>
        <v>1777.3989345730613</v>
      </c>
      <c r="K120" s="784"/>
    </row>
    <row r="121" spans="1:11" ht="15.75" x14ac:dyDescent="0.25">
      <c r="A121" s="779" t="s">
        <v>1006</v>
      </c>
      <c r="B121" s="780">
        <f>'ARQ. PAV'!W4</f>
        <v>0</v>
      </c>
      <c r="C121" s="781">
        <f t="shared" si="21"/>
        <v>0</v>
      </c>
      <c r="D121" s="782">
        <f>C121*$D$146</f>
        <v>0</v>
      </c>
      <c r="E121" s="783"/>
      <c r="G121" s="768"/>
      <c r="H121" s="768"/>
      <c r="K121" s="784"/>
    </row>
    <row r="122" spans="1:11" ht="15.75" x14ac:dyDescent="0.25">
      <c r="A122" s="779" t="s">
        <v>1007</v>
      </c>
      <c r="B122" s="780">
        <f>'ARQ. PAV'!W5</f>
        <v>0</v>
      </c>
      <c r="C122" s="781">
        <f t="shared" ref="C122:C126" si="22">B122/SUM($B$119:$B$128)*$B$118</f>
        <v>0</v>
      </c>
      <c r="D122" s="782">
        <f t="shared" ref="D122:D127" si="23">C122*$D$146</f>
        <v>0</v>
      </c>
      <c r="E122" s="783"/>
      <c r="G122" s="768"/>
      <c r="H122" s="768"/>
      <c r="K122" s="784"/>
    </row>
    <row r="123" spans="1:11" ht="15.75" x14ac:dyDescent="0.25">
      <c r="A123" s="779" t="s">
        <v>1028</v>
      </c>
      <c r="B123" s="798">
        <f>'ARQ. PAV'!W6</f>
        <v>0</v>
      </c>
      <c r="C123" s="781">
        <f t="shared" si="22"/>
        <v>0</v>
      </c>
      <c r="D123" s="782">
        <f t="shared" si="23"/>
        <v>0</v>
      </c>
      <c r="E123" s="801"/>
      <c r="G123" s="768"/>
      <c r="H123" s="768"/>
      <c r="K123" s="784"/>
    </row>
    <row r="124" spans="1:11" ht="15.75" x14ac:dyDescent="0.25">
      <c r="A124" s="779" t="s">
        <v>1029</v>
      </c>
      <c r="B124" s="798">
        <f>'ARQ. PAV'!W7</f>
        <v>309.11</v>
      </c>
      <c r="C124" s="781">
        <f t="shared" si="22"/>
        <v>5.2274210952827777E-3</v>
      </c>
      <c r="D124" s="782">
        <f t="shared" si="23"/>
        <v>47485.893229548754</v>
      </c>
      <c r="E124" s="801"/>
      <c r="G124" s="768"/>
      <c r="H124" s="768"/>
      <c r="K124" s="784"/>
    </row>
    <row r="125" spans="1:11" ht="15.75" x14ac:dyDescent="0.25">
      <c r="A125" s="779" t="s">
        <v>1031</v>
      </c>
      <c r="B125" s="798">
        <f>'ARQ. PAV'!W8</f>
        <v>3402.5999999999985</v>
      </c>
      <c r="C125" s="781">
        <f>B125/SUM($B$119:$B$128)*$B$118</f>
        <v>5.754204981659982E-2</v>
      </c>
      <c r="D125" s="782">
        <f t="shared" si="23"/>
        <v>522711.98053399276</v>
      </c>
      <c r="E125" s="801"/>
      <c r="G125" s="768"/>
      <c r="H125" s="768"/>
      <c r="K125" s="784"/>
    </row>
    <row r="126" spans="1:11" ht="15.75" x14ac:dyDescent="0.25">
      <c r="A126" s="779" t="s">
        <v>1030</v>
      </c>
      <c r="B126" s="798">
        <f>'ARQ. PAV'!W9</f>
        <v>297.39</v>
      </c>
      <c r="C126" s="781">
        <f t="shared" si="22"/>
        <v>5.029221828883392E-3</v>
      </c>
      <c r="D126" s="782">
        <f t="shared" si="23"/>
        <v>45685.451093576732</v>
      </c>
      <c r="E126" s="801"/>
      <c r="G126" s="768"/>
      <c r="H126" s="768"/>
      <c r="K126" s="784"/>
    </row>
    <row r="127" spans="1:11" ht="15.75" x14ac:dyDescent="0.25">
      <c r="A127" s="779" t="s">
        <v>1033</v>
      </c>
      <c r="B127" s="798">
        <f>'ARQ. PAV'!W10</f>
        <v>443.96</v>
      </c>
      <c r="C127" s="781">
        <f>B127/SUM($B$119:$B$128)*$B$118</f>
        <v>7.507896442890045E-3</v>
      </c>
      <c r="D127" s="782">
        <f t="shared" si="23"/>
        <v>68201.731287213173</v>
      </c>
      <c r="E127" s="801"/>
      <c r="G127" s="768"/>
      <c r="H127" s="768"/>
      <c r="K127" s="784"/>
    </row>
    <row r="128" spans="1:11" ht="15.75" x14ac:dyDescent="0.25">
      <c r="A128" s="779" t="s">
        <v>1032</v>
      </c>
      <c r="B128" s="790">
        <f>'ARQ. PAV'!W11</f>
        <v>0</v>
      </c>
      <c r="C128" s="791">
        <f t="shared" si="21"/>
        <v>0</v>
      </c>
      <c r="D128" s="792">
        <f>C128*$D$146</f>
        <v>0</v>
      </c>
      <c r="E128" s="793"/>
      <c r="G128" s="768"/>
      <c r="H128" s="768"/>
      <c r="K128" s="784"/>
    </row>
    <row r="129" spans="1:10" ht="15.75" x14ac:dyDescent="0.25">
      <c r="A129" s="856" t="s">
        <v>1020</v>
      </c>
      <c r="B129" s="857">
        <f>B84*G92</f>
        <v>1.2236599999999979E-3</v>
      </c>
      <c r="C129" s="858"/>
      <c r="D129" s="859">
        <f>SUM(D130:D139)</f>
        <v>11115.727439999981</v>
      </c>
      <c r="E129" s="860"/>
      <c r="G129" s="997"/>
      <c r="H129" s="768"/>
      <c r="J129" s="766">
        <f>SUM(I129:I133)-D129</f>
        <v>0</v>
      </c>
    </row>
    <row r="130" spans="1:10" ht="15.75" x14ac:dyDescent="0.25">
      <c r="A130" s="774" t="s">
        <v>1004</v>
      </c>
      <c r="B130" s="775">
        <f>'ARQ. PAV'!X2</f>
        <v>280.92</v>
      </c>
      <c r="C130" s="776">
        <f>B130/SUM($B$130:$B$139)*$B$129</f>
        <v>1.1718503006749826E-3</v>
      </c>
      <c r="D130" s="777">
        <f>C130*$D$146</f>
        <v>10645.088131331542</v>
      </c>
      <c r="E130" s="778"/>
      <c r="G130" s="768">
        <f>D129/SUM(B130:B139)</f>
        <v>37.893664143996659</v>
      </c>
      <c r="H130" s="768" t="s">
        <v>3541</v>
      </c>
      <c r="I130" s="766">
        <f>Ger_Executivo!N252</f>
        <v>684.73851108201961</v>
      </c>
    </row>
    <row r="131" spans="1:10" ht="15.75" x14ac:dyDescent="0.25">
      <c r="A131" s="779" t="s">
        <v>1005</v>
      </c>
      <c r="B131" s="780">
        <f>'ARQ. PAV'!X3</f>
        <v>0</v>
      </c>
      <c r="C131" s="781">
        <f t="shared" ref="C131:C139" si="24">B131/SUM($B$130:$B$139)*$B$129</f>
        <v>0</v>
      </c>
      <c r="D131" s="782">
        <f>C131*$D$146</f>
        <v>0</v>
      </c>
      <c r="E131" s="783"/>
      <c r="G131" s="768"/>
      <c r="H131" s="768"/>
    </row>
    <row r="132" spans="1:10" ht="15.75" x14ac:dyDescent="0.25">
      <c r="A132" s="779" t="s">
        <v>1006</v>
      </c>
      <c r="B132" s="780">
        <f>'ARQ. PAV'!X4</f>
        <v>0</v>
      </c>
      <c r="C132" s="781">
        <f t="shared" si="24"/>
        <v>0</v>
      </c>
      <c r="D132" s="782">
        <f>C132*$D$146</f>
        <v>0</v>
      </c>
      <c r="E132" s="783"/>
      <c r="G132" s="768">
        <f>D129/SUM(B130:B139)</f>
        <v>37.893664143996659</v>
      </c>
      <c r="H132" s="768" t="s">
        <v>537</v>
      </c>
      <c r="I132" s="766">
        <f>Ger_Executivo!N254</f>
        <v>10430.988928917959</v>
      </c>
    </row>
    <row r="133" spans="1:10" ht="15.75" x14ac:dyDescent="0.25">
      <c r="A133" s="779" t="s">
        <v>1007</v>
      </c>
      <c r="B133" s="780">
        <f>'ARQ. PAV'!X5</f>
        <v>0</v>
      </c>
      <c r="C133" s="781">
        <f t="shared" si="24"/>
        <v>0</v>
      </c>
      <c r="D133" s="782">
        <f>C133*$D$146</f>
        <v>0</v>
      </c>
      <c r="E133" s="783"/>
      <c r="G133" s="768"/>
      <c r="H133" s="768"/>
    </row>
    <row r="134" spans="1:10" ht="15.75" x14ac:dyDescent="0.25">
      <c r="A134" s="779" t="s">
        <v>1028</v>
      </c>
      <c r="B134" s="780">
        <f>'ARQ. PAV'!X6</f>
        <v>0</v>
      </c>
      <c r="C134" s="781">
        <f t="shared" si="24"/>
        <v>0</v>
      </c>
      <c r="D134" s="782">
        <f>C134*$D$146</f>
        <v>0</v>
      </c>
      <c r="E134" s="783"/>
      <c r="G134" s="768"/>
      <c r="H134" s="768"/>
    </row>
    <row r="135" spans="1:10" ht="15.75" x14ac:dyDescent="0.25">
      <c r="A135" s="779" t="s">
        <v>1029</v>
      </c>
      <c r="B135" s="780">
        <f>'ARQ. PAV'!X7</f>
        <v>0</v>
      </c>
      <c r="C135" s="781">
        <f t="shared" ref="C135:C136" si="25">B135/SUM($B$130:$B$139)*$B$129</f>
        <v>0</v>
      </c>
      <c r="D135" s="782">
        <f t="shared" ref="D135:D136" si="26">C135*$D$146</f>
        <v>0</v>
      </c>
      <c r="E135" s="783"/>
      <c r="G135" s="768"/>
      <c r="H135" s="768"/>
    </row>
    <row r="136" spans="1:10" ht="15.75" x14ac:dyDescent="0.25">
      <c r="A136" s="779" t="s">
        <v>1031</v>
      </c>
      <c r="B136" s="780">
        <f>'ARQ. PAV'!X8</f>
        <v>0</v>
      </c>
      <c r="C136" s="781">
        <f t="shared" si="25"/>
        <v>0</v>
      </c>
      <c r="D136" s="782">
        <f t="shared" si="26"/>
        <v>0</v>
      </c>
      <c r="E136" s="783"/>
      <c r="G136" s="768"/>
      <c r="H136" s="768"/>
    </row>
    <row r="137" spans="1:10" ht="15.75" x14ac:dyDescent="0.25">
      <c r="A137" s="779" t="s">
        <v>1030</v>
      </c>
      <c r="B137" s="780">
        <f>'ARQ. PAV'!X9</f>
        <v>0</v>
      </c>
      <c r="C137" s="781">
        <f t="shared" si="24"/>
        <v>0</v>
      </c>
      <c r="D137" s="782">
        <f>C137*$D$146</f>
        <v>0</v>
      </c>
      <c r="E137" s="783"/>
      <c r="G137" s="768"/>
      <c r="H137" s="768"/>
    </row>
    <row r="138" spans="1:10" ht="15.75" x14ac:dyDescent="0.25">
      <c r="A138" s="779" t="s">
        <v>1033</v>
      </c>
      <c r="B138" s="780">
        <f>'ARQ. PAV'!X10</f>
        <v>12.42</v>
      </c>
      <c r="C138" s="781">
        <f t="shared" si="24"/>
        <v>5.1809699325015246E-5</v>
      </c>
      <c r="D138" s="782">
        <f>C138*$D$146</f>
        <v>470.6393086684385</v>
      </c>
      <c r="E138" s="783"/>
      <c r="G138" s="768">
        <f>B141/SUM($B$141:$B$143)</f>
        <v>1.9435518215958809E-2</v>
      </c>
      <c r="H138" s="768"/>
    </row>
    <row r="139" spans="1:10" ht="15.75" x14ac:dyDescent="0.25">
      <c r="A139" s="779" t="s">
        <v>1032</v>
      </c>
      <c r="B139" s="790">
        <f>'ARQ. PAV'!X11</f>
        <v>0</v>
      </c>
      <c r="C139" s="791">
        <f t="shared" si="24"/>
        <v>0</v>
      </c>
      <c r="D139" s="792">
        <f>C139*$D$146</f>
        <v>0</v>
      </c>
      <c r="E139" s="793"/>
      <c r="G139" s="768">
        <f>B142/SUM($B$141:$B$143)</f>
        <v>0.91676023074838375</v>
      </c>
      <c r="H139" s="768"/>
    </row>
    <row r="140" spans="1:10" ht="15.75" x14ac:dyDescent="0.25">
      <c r="A140" s="770" t="s">
        <v>1021</v>
      </c>
      <c r="B140" s="771">
        <v>1.6E-2</v>
      </c>
      <c r="C140" s="772">
        <f>B140+C84</f>
        <v>0.97699999999999998</v>
      </c>
      <c r="D140" s="773">
        <f>B140*$D$146</f>
        <v>145344</v>
      </c>
      <c r="E140" s="773">
        <f>C140*$E$146</f>
        <v>8875068</v>
      </c>
      <c r="G140" s="768">
        <f>B143/SUM($B$141:$B$143)</f>
        <v>6.3804251035657594E-2</v>
      </c>
    </row>
    <row r="141" spans="1:10" ht="15.75" x14ac:dyDescent="0.25">
      <c r="A141" s="774" t="s">
        <v>3571</v>
      </c>
      <c r="B141" s="775">
        <v>15.06</v>
      </c>
      <c r="C141" s="803">
        <f>$B$140*G138</f>
        <v>3.1096829145534094E-4</v>
      </c>
      <c r="D141" s="777">
        <f>C141*$D$146</f>
        <v>2824.8359595803172</v>
      </c>
      <c r="E141" s="778"/>
      <c r="G141" s="768">
        <f>D141/B141</f>
        <v>187.57210886987497</v>
      </c>
      <c r="H141" s="768" t="s">
        <v>3567</v>
      </c>
      <c r="I141" s="766">
        <f>Ger_Executivo!N362</f>
        <v>2824.8359595803172</v>
      </c>
      <c r="J141" s="766">
        <f>SUM(I141:I143)-D140</f>
        <v>0</v>
      </c>
    </row>
    <row r="142" spans="1:10" ht="15.75" x14ac:dyDescent="0.25">
      <c r="A142" s="774" t="s">
        <v>3572</v>
      </c>
      <c r="B142" s="775">
        <v>710.37</v>
      </c>
      <c r="C142" s="803">
        <f t="shared" ref="C142:C143" si="27">$B$140*G139</f>
        <v>1.4668163691974141E-2</v>
      </c>
      <c r="D142" s="777">
        <f t="shared" ref="D142:D143" si="28">C142*$D$146</f>
        <v>133245.5989778931</v>
      </c>
      <c r="E142" s="778"/>
      <c r="G142" s="768">
        <f t="shared" ref="G142:G143" si="29">D142/B142</f>
        <v>187.572108869875</v>
      </c>
      <c r="H142" s="768" t="s">
        <v>3568</v>
      </c>
      <c r="I142" s="766">
        <f>Ger_Executivo!N363</f>
        <v>133245.5989778931</v>
      </c>
    </row>
    <row r="143" spans="1:10" ht="15.75" x14ac:dyDescent="0.25">
      <c r="A143" s="774" t="s">
        <v>3573</v>
      </c>
      <c r="B143" s="775">
        <v>49.44</v>
      </c>
      <c r="C143" s="803">
        <f t="shared" si="27"/>
        <v>1.0208680165705215E-3</v>
      </c>
      <c r="D143" s="777">
        <f t="shared" si="28"/>
        <v>9273.5650625266171</v>
      </c>
      <c r="E143" s="778"/>
      <c r="G143" s="768">
        <f t="shared" si="29"/>
        <v>187.57210886987494</v>
      </c>
      <c r="H143" s="768" t="s">
        <v>3569</v>
      </c>
      <c r="I143" s="766">
        <f>Ger_Executivo!N364</f>
        <v>9273.5650625266171</v>
      </c>
    </row>
    <row r="144" spans="1:10" ht="15.75" x14ac:dyDescent="0.25">
      <c r="A144" s="770" t="s">
        <v>603</v>
      </c>
      <c r="B144" s="771">
        <v>8.0000000000000002E-3</v>
      </c>
      <c r="C144" s="772">
        <f>B144+C139</f>
        <v>8.0000000000000002E-3</v>
      </c>
      <c r="D144" s="773">
        <f>B144*$D$146</f>
        <v>72672</v>
      </c>
      <c r="E144" s="773">
        <f>C144*$E$146</f>
        <v>72672</v>
      </c>
      <c r="G144" s="768">
        <f>D144</f>
        <v>72672</v>
      </c>
      <c r="H144" s="768" t="s">
        <v>603</v>
      </c>
      <c r="I144" s="766">
        <f>Ger_Executivo!$N$388</f>
        <v>72672</v>
      </c>
      <c r="J144" s="766">
        <f>SUM(I144)-D144</f>
        <v>0</v>
      </c>
    </row>
    <row r="145" spans="1:10" ht="15.75" x14ac:dyDescent="0.25">
      <c r="A145" s="770" t="s">
        <v>1022</v>
      </c>
      <c r="B145" s="771">
        <v>1.4999999999999999E-2</v>
      </c>
      <c r="C145" s="772">
        <f>B145+C140</f>
        <v>0.99199999999999999</v>
      </c>
      <c r="D145" s="773">
        <f>B145*$D$146</f>
        <v>136260</v>
      </c>
      <c r="E145" s="773">
        <f>C145*$E$146</f>
        <v>9011328</v>
      </c>
      <c r="G145" s="768">
        <f>D145</f>
        <v>136260</v>
      </c>
      <c r="H145" s="768" t="s">
        <v>1024</v>
      </c>
      <c r="I145" s="766">
        <f>Ger_Executivo!$N$389</f>
        <v>136260</v>
      </c>
      <c r="J145" s="766">
        <f>SUM(I145)-D145</f>
        <v>0</v>
      </c>
    </row>
    <row r="146" spans="1:10" ht="15.75" x14ac:dyDescent="0.25">
      <c r="A146" s="804"/>
      <c r="B146" s="804"/>
      <c r="C146" s="804"/>
      <c r="D146" s="805">
        <v>9084000</v>
      </c>
      <c r="E146" s="805">
        <v>9084000</v>
      </c>
      <c r="G146" s="997"/>
      <c r="H146" s="768"/>
    </row>
    <row r="147" spans="1:10" ht="15.75" x14ac:dyDescent="0.25">
      <c r="G147" s="768"/>
      <c r="H147" s="768">
        <f>SUM(I2:I146)</f>
        <v>9083981.005503159</v>
      </c>
    </row>
    <row r="148" spans="1:10" ht="15.75" x14ac:dyDescent="0.25">
      <c r="B148" s="806">
        <v>1</v>
      </c>
      <c r="C148" s="806">
        <f>B148-C145</f>
        <v>8.0000000000000071E-3</v>
      </c>
      <c r="G148" s="997"/>
      <c r="H148" s="768">
        <f>E146-H147</f>
        <v>18.994496840983629</v>
      </c>
    </row>
    <row r="149" spans="1:10" ht="15.75" x14ac:dyDescent="0.25">
      <c r="G149" s="768"/>
      <c r="H149" s="768"/>
    </row>
    <row r="150" spans="1:10" ht="15.75" x14ac:dyDescent="0.25">
      <c r="G150" s="997"/>
      <c r="H150" s="768"/>
    </row>
  </sheetData>
  <autoFilter ref="A2:E146" xr:uid="{00000000-0009-0000-0000-000004000000}"/>
  <mergeCells count="1">
    <mergeCell ref="A1:E1"/>
  </mergeCells>
  <phoneticPr fontId="23" type="noConversion"/>
  <pageMargins left="0.511811024" right="0.511811024" top="0.78740157499999996" bottom="0.78740157499999996" header="0.31496062000000002" footer="0.31496062000000002"/>
  <pageSetup paperSize="9" orientation="portrait" r:id="rId1"/>
  <ignoredErrors>
    <ignoredError sqref="D21:D146"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333FF"/>
    <pageSetUpPr fitToPage="1"/>
  </sheetPr>
  <dimension ref="A1:N65"/>
  <sheetViews>
    <sheetView showGridLines="0" view="pageBreakPreview" zoomScale="85" zoomScaleNormal="100" zoomScaleSheetLayoutView="85" workbookViewId="0">
      <pane ySplit="4" topLeftCell="A5" activePane="bottomLeft" state="frozen"/>
      <selection activeCell="C1" sqref="C1:C3"/>
      <selection pane="bottomLeft" activeCell="B20" sqref="B20"/>
    </sheetView>
  </sheetViews>
  <sheetFormatPr defaultColWidth="14.42578125" defaultRowHeight="15" customHeight="1" x14ac:dyDescent="0.25"/>
  <cols>
    <col min="1" max="1" width="10.7109375" customWidth="1"/>
    <col min="2" max="2" width="83.7109375" customWidth="1"/>
    <col min="3" max="4" width="11.28515625" customWidth="1"/>
    <col min="5" max="5" width="2.140625" customWidth="1"/>
    <col min="6" max="6" width="11.140625" customWidth="1"/>
    <col min="7" max="7" width="32" customWidth="1"/>
    <col min="8" max="8" width="3.28515625" customWidth="1"/>
    <col min="9" max="10" width="2" customWidth="1"/>
    <col min="11" max="11" width="19.140625" bestFit="1" customWidth="1"/>
    <col min="12" max="12" width="9.5703125" bestFit="1" customWidth="1"/>
    <col min="13" max="14" width="9.85546875" bestFit="1" customWidth="1"/>
  </cols>
  <sheetData>
    <row r="1" spans="1:14" ht="18" customHeight="1" x14ac:dyDescent="0.6">
      <c r="A1" s="1" t="s">
        <v>0</v>
      </c>
      <c r="B1" s="2" t="str">
        <f>Obra!D1</f>
        <v>Atlantia</v>
      </c>
      <c r="C1" s="3"/>
      <c r="D1" s="4"/>
      <c r="E1" s="28"/>
      <c r="F1" s="28"/>
      <c r="G1" s="198"/>
      <c r="H1" s="196"/>
    </row>
    <row r="2" spans="1:14" ht="18" customHeight="1" x14ac:dyDescent="0.6">
      <c r="A2" s="6" t="s">
        <v>1</v>
      </c>
      <c r="B2" s="7" t="str">
        <f>Obra!D2</f>
        <v>H empreendimentos</v>
      </c>
      <c r="C2" s="8"/>
      <c r="D2" s="9"/>
      <c r="E2" s="30"/>
      <c r="F2" s="30"/>
      <c r="G2" s="199"/>
      <c r="H2" s="197"/>
    </row>
    <row r="3" spans="1:14" ht="18" customHeight="1" thickBot="1" x14ac:dyDescent="0.65">
      <c r="A3" s="6" t="s">
        <v>2</v>
      </c>
      <c r="B3" s="7" t="str">
        <f>Obra!D3</f>
        <v>R03 - Valquiria</v>
      </c>
      <c r="C3" s="8"/>
      <c r="D3" s="9"/>
      <c r="E3" s="30"/>
      <c r="F3" s="30"/>
      <c r="G3" s="200"/>
      <c r="H3" s="197"/>
    </row>
    <row r="4" spans="1:14" ht="30.75" thickBot="1" x14ac:dyDescent="0.3">
      <c r="A4" s="1037" t="s">
        <v>81</v>
      </c>
      <c r="B4" s="1038"/>
      <c r="C4" s="1038"/>
      <c r="D4" s="1038"/>
      <c r="E4" s="1038"/>
      <c r="F4" s="1038"/>
      <c r="G4" s="1038"/>
      <c r="H4" s="1039"/>
      <c r="K4" s="376" t="s">
        <v>332</v>
      </c>
      <c r="L4" s="376" t="s">
        <v>400</v>
      </c>
      <c r="M4" s="376" t="s">
        <v>401</v>
      </c>
      <c r="N4" s="376" t="s">
        <v>402</v>
      </c>
    </row>
    <row r="5" spans="1:14" ht="21.75" customHeight="1" thickTop="1" x14ac:dyDescent="0.6">
      <c r="A5" s="33" t="s">
        <v>82</v>
      </c>
      <c r="B5" s="34"/>
      <c r="C5" s="34"/>
      <c r="D5" s="35"/>
      <c r="E5" s="36"/>
      <c r="F5" s="36"/>
      <c r="G5" s="36"/>
      <c r="H5" s="37"/>
      <c r="K5" s="375"/>
      <c r="L5" s="375"/>
      <c r="M5" s="375"/>
      <c r="N5" s="375"/>
    </row>
    <row r="6" spans="1:14" ht="21.75" customHeight="1" thickBot="1" x14ac:dyDescent="0.65">
      <c r="A6" s="12"/>
      <c r="B6" s="40"/>
      <c r="C6" s="40"/>
      <c r="D6" s="41"/>
      <c r="E6" s="42"/>
      <c r="F6" s="42"/>
      <c r="G6" s="42"/>
      <c r="H6" s="11"/>
      <c r="K6" s="375" t="s">
        <v>391</v>
      </c>
      <c r="L6" s="377">
        <v>60.980400000000003</v>
      </c>
      <c r="M6" s="377">
        <v>40.908499999999997</v>
      </c>
      <c r="N6" s="377">
        <v>2.88</v>
      </c>
    </row>
    <row r="7" spans="1:14" ht="21.75" customHeight="1" x14ac:dyDescent="0.6">
      <c r="A7" s="12"/>
      <c r="B7" s="13" t="s">
        <v>3</v>
      </c>
      <c r="C7" s="14" t="s">
        <v>4</v>
      </c>
      <c r="D7" s="15" t="s">
        <v>5</v>
      </c>
      <c r="E7" s="42"/>
      <c r="F7" s="1035" t="s">
        <v>259</v>
      </c>
      <c r="G7" s="1036"/>
      <c r="H7" s="11"/>
      <c r="K7" s="375" t="s">
        <v>390</v>
      </c>
      <c r="L7" s="377">
        <v>50.388300000000001</v>
      </c>
      <c r="M7" s="377">
        <v>30.2256</v>
      </c>
      <c r="N7" s="377">
        <v>2.2000000000000002</v>
      </c>
    </row>
    <row r="8" spans="1:14" ht="21.75" customHeight="1" x14ac:dyDescent="0.6">
      <c r="A8" s="12"/>
      <c r="B8" s="19" t="s">
        <v>260</v>
      </c>
      <c r="C8" s="20" t="s">
        <v>54</v>
      </c>
      <c r="D8" s="18">
        <v>167.89349999999999</v>
      </c>
      <c r="E8" s="42"/>
      <c r="F8" s="201"/>
      <c r="G8" s="202"/>
      <c r="H8" s="11"/>
      <c r="K8" s="375" t="s">
        <v>404</v>
      </c>
      <c r="L8" s="377">
        <v>405.40280000000001</v>
      </c>
      <c r="M8" s="377">
        <v>128.81610000000001</v>
      </c>
      <c r="N8" s="377">
        <v>2.2000000000000002</v>
      </c>
    </row>
    <row r="9" spans="1:14" ht="21.75" customHeight="1" x14ac:dyDescent="0.6">
      <c r="A9" s="373"/>
      <c r="B9" s="19" t="s">
        <v>398</v>
      </c>
      <c r="C9" s="20" t="s">
        <v>54</v>
      </c>
      <c r="D9" s="134">
        <v>146.59</v>
      </c>
      <c r="E9" s="42"/>
      <c r="F9" s="201"/>
      <c r="G9" s="202"/>
      <c r="H9" s="94"/>
      <c r="K9" s="375" t="s">
        <v>405</v>
      </c>
      <c r="L9" s="377">
        <v>546.57749999999999</v>
      </c>
      <c r="M9" s="377">
        <v>146.59</v>
      </c>
      <c r="N9" s="377">
        <v>3.96</v>
      </c>
    </row>
    <row r="10" spans="1:14" ht="21.75" customHeight="1" x14ac:dyDescent="0.6">
      <c r="A10" s="12"/>
      <c r="B10" s="19" t="s">
        <v>261</v>
      </c>
      <c r="C10" s="20" t="s">
        <v>54</v>
      </c>
      <c r="D10" s="134">
        <f>D9*5</f>
        <v>732.95</v>
      </c>
      <c r="E10" s="42"/>
      <c r="F10" s="201"/>
      <c r="G10" s="202"/>
      <c r="H10" s="11"/>
      <c r="K10" s="375" t="s">
        <v>406</v>
      </c>
      <c r="L10" s="377">
        <v>546.57749999999999</v>
      </c>
      <c r="M10" s="377">
        <v>146.59</v>
      </c>
      <c r="N10" s="377">
        <v>3.06</v>
      </c>
    </row>
    <row r="11" spans="1:14" ht="21.75" customHeight="1" thickBot="1" x14ac:dyDescent="0.65">
      <c r="A11" s="12"/>
      <c r="B11" s="77" t="s">
        <v>84</v>
      </c>
      <c r="C11" s="78" t="s">
        <v>54</v>
      </c>
      <c r="D11" s="207">
        <f>D8+D9</f>
        <v>314.48349999999999</v>
      </c>
      <c r="E11" s="42"/>
      <c r="F11" s="201"/>
      <c r="G11" s="202"/>
      <c r="H11" s="11"/>
      <c r="K11" s="375" t="s">
        <v>407</v>
      </c>
      <c r="L11" s="377">
        <v>546.57749999999999</v>
      </c>
      <c r="M11" s="377">
        <v>146.59</v>
      </c>
      <c r="N11" s="377">
        <v>3.06</v>
      </c>
    </row>
    <row r="12" spans="1:14" ht="21.75" customHeight="1" thickBot="1" x14ac:dyDescent="0.65">
      <c r="A12" s="12"/>
      <c r="B12" s="77" t="s">
        <v>85</v>
      </c>
      <c r="C12" s="78" t="s">
        <v>54</v>
      </c>
      <c r="D12" s="207">
        <f>D10</f>
        <v>732.95</v>
      </c>
      <c r="E12" s="42"/>
      <c r="F12" s="201"/>
      <c r="G12" s="202"/>
      <c r="H12" s="11"/>
      <c r="K12" s="375" t="s">
        <v>408</v>
      </c>
      <c r="L12" s="377">
        <v>546.57749999999999</v>
      </c>
      <c r="M12" s="377">
        <v>146.59</v>
      </c>
      <c r="N12" s="377">
        <v>3.06</v>
      </c>
    </row>
    <row r="13" spans="1:14" ht="21.75" customHeight="1" thickBot="1" x14ac:dyDescent="0.65">
      <c r="A13" s="59"/>
      <c r="B13" s="374" t="s">
        <v>399</v>
      </c>
      <c r="C13" s="40"/>
      <c r="D13" s="41"/>
      <c r="E13" s="135"/>
      <c r="F13" s="203"/>
      <c r="G13" s="204"/>
      <c r="H13" s="136"/>
      <c r="K13" s="375" t="s">
        <v>409</v>
      </c>
      <c r="L13" s="377">
        <v>546.57749999999999</v>
      </c>
      <c r="M13" s="377">
        <v>146.59</v>
      </c>
      <c r="N13" s="377">
        <v>3.06</v>
      </c>
    </row>
    <row r="14" spans="1:14" ht="21.75" customHeight="1" x14ac:dyDescent="0.6">
      <c r="A14" s="33" t="s">
        <v>198</v>
      </c>
      <c r="B14" s="34"/>
      <c r="C14" s="34"/>
      <c r="D14" s="35"/>
      <c r="E14" s="36"/>
      <c r="F14" s="36"/>
      <c r="G14" s="36"/>
      <c r="H14" s="37"/>
      <c r="K14" s="375" t="s">
        <v>410</v>
      </c>
      <c r="L14" s="377">
        <v>546.57749999999999</v>
      </c>
      <c r="M14" s="377">
        <v>146.59</v>
      </c>
      <c r="N14" s="377">
        <v>3.06</v>
      </c>
    </row>
    <row r="15" spans="1:14" ht="21.75" customHeight="1" thickBot="1" x14ac:dyDescent="0.65">
      <c r="A15" s="59"/>
      <c r="B15" s="40"/>
      <c r="C15" s="40"/>
      <c r="D15" s="41"/>
      <c r="E15" s="42"/>
      <c r="F15" s="42"/>
      <c r="G15" s="42"/>
      <c r="H15" s="11"/>
      <c r="K15" s="375" t="s">
        <v>411</v>
      </c>
      <c r="L15" s="377">
        <v>546.57749999999999</v>
      </c>
      <c r="M15" s="377">
        <v>146.59</v>
      </c>
      <c r="N15" s="377">
        <v>3.06</v>
      </c>
    </row>
    <row r="16" spans="1:14" ht="21.75" customHeight="1" x14ac:dyDescent="0.6">
      <c r="A16" s="59"/>
      <c r="B16" s="85" t="s">
        <v>3</v>
      </c>
      <c r="C16" s="86" t="s">
        <v>4</v>
      </c>
      <c r="D16" s="87" t="s">
        <v>5</v>
      </c>
      <c r="E16" s="42"/>
      <c r="F16" s="1035" t="s">
        <v>259</v>
      </c>
      <c r="G16" s="1036"/>
      <c r="H16" s="11"/>
      <c r="K16" s="375" t="s">
        <v>412</v>
      </c>
      <c r="L16" s="377">
        <v>546.57749999999999</v>
      </c>
      <c r="M16" s="377">
        <v>146.59</v>
      </c>
      <c r="N16" s="377">
        <v>3.06</v>
      </c>
    </row>
    <row r="17" spans="1:14" ht="21.75" customHeight="1" x14ac:dyDescent="0.6">
      <c r="A17" s="59"/>
      <c r="B17" s="208" t="s">
        <v>200</v>
      </c>
      <c r="C17" s="209" t="s">
        <v>54</v>
      </c>
      <c r="D17" s="210">
        <f>(2.16*20+3.3+5.1+4.51*2+2.52+2.64+2.35*2+6.72)*18</f>
        <v>1389.6000000000001</v>
      </c>
      <c r="E17" s="42"/>
      <c r="F17" s="201"/>
      <c r="G17" s="202"/>
      <c r="H17" s="11"/>
      <c r="K17" s="375" t="s">
        <v>417</v>
      </c>
      <c r="L17" s="377">
        <v>546.57749999999999</v>
      </c>
      <c r="M17" s="377">
        <v>146.59</v>
      </c>
      <c r="N17" s="377">
        <v>3.06</v>
      </c>
    </row>
    <row r="18" spans="1:14" ht="21.75" customHeight="1" x14ac:dyDescent="0.6">
      <c r="A18" s="59"/>
      <c r="B18" s="211" t="s">
        <v>198</v>
      </c>
      <c r="C18" s="212" t="s">
        <v>54</v>
      </c>
      <c r="D18" s="213">
        <f>D17</f>
        <v>1389.6000000000001</v>
      </c>
      <c r="E18" s="42"/>
      <c r="F18" s="201"/>
      <c r="G18" s="202"/>
      <c r="H18" s="11"/>
      <c r="K18" s="375" t="s">
        <v>413</v>
      </c>
      <c r="L18" s="377">
        <v>546.57749999999999</v>
      </c>
      <c r="M18" s="377">
        <v>146.59</v>
      </c>
      <c r="N18" s="377">
        <v>3.06</v>
      </c>
    </row>
    <row r="19" spans="1:14" ht="21.75" customHeight="1" thickBot="1" x14ac:dyDescent="0.65">
      <c r="A19" s="59"/>
      <c r="B19" s="40"/>
      <c r="C19" s="40"/>
      <c r="D19" s="41"/>
      <c r="E19" s="42"/>
      <c r="F19" s="203"/>
      <c r="G19" s="204"/>
      <c r="H19" s="11"/>
      <c r="K19" s="375" t="s">
        <v>414</v>
      </c>
      <c r="L19" s="377">
        <v>546.57749999999999</v>
      </c>
      <c r="M19" s="377">
        <v>146.59</v>
      </c>
      <c r="N19" s="377">
        <v>3.06</v>
      </c>
    </row>
    <row r="20" spans="1:14" ht="21.75" customHeight="1" x14ac:dyDescent="0.6">
      <c r="A20" s="33" t="s">
        <v>86</v>
      </c>
      <c r="B20" s="34"/>
      <c r="C20" s="34"/>
      <c r="D20" s="35"/>
      <c r="E20" s="137"/>
      <c r="F20" s="137"/>
      <c r="G20" s="137"/>
      <c r="H20" s="138"/>
      <c r="K20" s="375" t="s">
        <v>415</v>
      </c>
      <c r="L20" s="377">
        <v>546.57749999999999</v>
      </c>
      <c r="M20" s="377">
        <v>146.59</v>
      </c>
      <c r="N20" s="377">
        <v>3.06</v>
      </c>
    </row>
    <row r="21" spans="1:14" ht="21.75" customHeight="1" thickBot="1" x14ac:dyDescent="0.65">
      <c r="A21" s="59"/>
      <c r="B21" s="40"/>
      <c r="C21" s="40"/>
      <c r="D21" s="41"/>
      <c r="E21" s="42"/>
      <c r="F21" s="42"/>
      <c r="G21" s="42"/>
      <c r="H21" s="11"/>
      <c r="K21" s="375" t="s">
        <v>416</v>
      </c>
      <c r="L21" s="377">
        <v>546.57749999999999</v>
      </c>
      <c r="M21" s="377">
        <v>146.59</v>
      </c>
      <c r="N21" s="377">
        <v>3.06</v>
      </c>
    </row>
    <row r="22" spans="1:14" ht="21.75" customHeight="1" x14ac:dyDescent="0.6">
      <c r="A22" s="59"/>
      <c r="B22" s="13" t="s">
        <v>3</v>
      </c>
      <c r="C22" s="14" t="s">
        <v>4</v>
      </c>
      <c r="D22" s="15" t="s">
        <v>5</v>
      </c>
      <c r="E22" s="42"/>
      <c r="F22" s="1035" t="s">
        <v>259</v>
      </c>
      <c r="G22" s="1036"/>
      <c r="H22" s="11"/>
      <c r="K22" s="375" t="s">
        <v>418</v>
      </c>
      <c r="L22" s="377">
        <v>546.57749999999999</v>
      </c>
      <c r="M22" s="377">
        <v>146.59</v>
      </c>
      <c r="N22" s="377">
        <v>3.06</v>
      </c>
    </row>
    <row r="23" spans="1:14" ht="21.75" customHeight="1" x14ac:dyDescent="0.6">
      <c r="A23" s="59"/>
      <c r="B23" s="214" t="s">
        <v>87</v>
      </c>
      <c r="C23" s="215" t="s">
        <v>54</v>
      </c>
      <c r="D23" s="216">
        <f>M22</f>
        <v>146.59</v>
      </c>
      <c r="E23" s="42"/>
      <c r="F23" s="201"/>
      <c r="G23" s="202"/>
      <c r="H23" s="11"/>
      <c r="K23" s="375" t="s">
        <v>419</v>
      </c>
      <c r="L23" s="377">
        <v>1055.6769999999999</v>
      </c>
      <c r="M23" s="377">
        <v>167.89349999999999</v>
      </c>
      <c r="N23" s="377">
        <v>3.06</v>
      </c>
    </row>
    <row r="24" spans="1:14" ht="21.75" customHeight="1" x14ac:dyDescent="0.6">
      <c r="A24" s="93"/>
      <c r="B24" s="217" t="s">
        <v>88</v>
      </c>
      <c r="C24" s="218" t="s">
        <v>31</v>
      </c>
      <c r="D24" s="219">
        <v>4</v>
      </c>
      <c r="E24" s="42"/>
      <c r="F24" s="201"/>
      <c r="G24" s="202"/>
      <c r="H24" s="94"/>
      <c r="K24" s="375" t="s">
        <v>420</v>
      </c>
      <c r="L24" s="377">
        <v>1055.6769999999999</v>
      </c>
      <c r="M24" s="377">
        <v>167.89349999999999</v>
      </c>
      <c r="N24" s="377">
        <v>2.88</v>
      </c>
    </row>
    <row r="25" spans="1:14" ht="21.75" customHeight="1" x14ac:dyDescent="0.6">
      <c r="A25" s="59"/>
      <c r="B25" s="220" t="s">
        <v>265</v>
      </c>
      <c r="C25" s="221" t="s">
        <v>54</v>
      </c>
      <c r="D25" s="222">
        <f>(D23*D24)</f>
        <v>586.36</v>
      </c>
      <c r="E25" s="42"/>
      <c r="F25" s="201"/>
      <c r="G25" s="202"/>
      <c r="H25" s="11"/>
      <c r="K25" s="375" t="s">
        <v>421</v>
      </c>
      <c r="L25" s="377">
        <v>1055.6769999999999</v>
      </c>
      <c r="M25" s="377">
        <v>167.89349999999999</v>
      </c>
      <c r="N25" s="377">
        <v>2.88</v>
      </c>
    </row>
    <row r="26" spans="1:14" ht="21.75" customHeight="1" thickBot="1" x14ac:dyDescent="0.5">
      <c r="A26" s="12"/>
      <c r="B26" s="42"/>
      <c r="C26" s="42"/>
      <c r="D26" s="83"/>
      <c r="E26" s="42"/>
      <c r="F26" s="203"/>
      <c r="G26" s="204"/>
      <c r="H26" s="84"/>
      <c r="K26" s="375" t="s">
        <v>422</v>
      </c>
      <c r="L26" s="377">
        <v>1055.6769999999999</v>
      </c>
      <c r="M26" s="377">
        <v>167.89349999999999</v>
      </c>
      <c r="N26" s="377">
        <v>2.88</v>
      </c>
    </row>
    <row r="27" spans="1:14" ht="21.75" customHeight="1" x14ac:dyDescent="0.6">
      <c r="A27" s="33" t="s">
        <v>91</v>
      </c>
      <c r="B27" s="34"/>
      <c r="C27" s="34"/>
      <c r="D27" s="35"/>
      <c r="E27" s="36"/>
      <c r="F27" s="36"/>
      <c r="G27" s="36"/>
      <c r="H27" s="37"/>
      <c r="K27" s="375" t="s">
        <v>403</v>
      </c>
      <c r="L27" s="377">
        <v>905.0992</v>
      </c>
      <c r="M27" s="377">
        <v>162.2782</v>
      </c>
      <c r="N27" s="377">
        <v>4.32</v>
      </c>
    </row>
    <row r="28" spans="1:14" ht="21.75" customHeight="1" thickBot="1" x14ac:dyDescent="0.65">
      <c r="A28" s="59"/>
      <c r="B28" s="40"/>
      <c r="C28" s="40"/>
      <c r="D28" s="41"/>
      <c r="E28" s="42"/>
      <c r="F28" s="42"/>
      <c r="G28" s="42"/>
      <c r="H28" s="11"/>
    </row>
    <row r="29" spans="1:14" ht="21.75" customHeight="1" x14ac:dyDescent="0.6">
      <c r="A29" s="59"/>
      <c r="B29" s="85" t="s">
        <v>3</v>
      </c>
      <c r="C29" s="86" t="s">
        <v>4</v>
      </c>
      <c r="D29" s="87" t="s">
        <v>5</v>
      </c>
      <c r="E29" s="42"/>
      <c r="F29" s="1035" t="s">
        <v>259</v>
      </c>
      <c r="G29" s="1036"/>
      <c r="H29" s="11"/>
    </row>
    <row r="30" spans="1:14" ht="21.75" customHeight="1" x14ac:dyDescent="0.6">
      <c r="A30" s="59"/>
      <c r="B30" s="19" t="s">
        <v>92</v>
      </c>
      <c r="C30" s="20" t="s">
        <v>66</v>
      </c>
      <c r="D30" s="22">
        <f>0.9*2.1</f>
        <v>1.8900000000000001</v>
      </c>
      <c r="E30" s="42"/>
      <c r="F30" s="201"/>
      <c r="G30" s="202"/>
      <c r="H30" s="11"/>
    </row>
    <row r="31" spans="1:14" ht="21.75" customHeight="1" x14ac:dyDescent="0.6">
      <c r="A31" s="59"/>
      <c r="B31" s="19" t="s">
        <v>93</v>
      </c>
      <c r="C31" s="20" t="s">
        <v>31</v>
      </c>
      <c r="D31" s="22">
        <v>3</v>
      </c>
      <c r="E31" s="42"/>
      <c r="F31" s="201"/>
      <c r="G31" s="202"/>
      <c r="H31" s="11"/>
    </row>
    <row r="32" spans="1:14" ht="21.75" customHeight="1" x14ac:dyDescent="0.6">
      <c r="A32" s="59"/>
      <c r="B32" s="19" t="s">
        <v>94</v>
      </c>
      <c r="C32" s="20" t="s">
        <v>31</v>
      </c>
      <c r="D32" s="22">
        <f>19*D31</f>
        <v>57</v>
      </c>
      <c r="E32" s="42"/>
      <c r="F32" s="201"/>
      <c r="G32" s="202"/>
      <c r="H32" s="11"/>
    </row>
    <row r="33" spans="1:11" ht="21.75" customHeight="1" x14ac:dyDescent="0.6">
      <c r="A33" s="59"/>
      <c r="B33" s="88" t="s">
        <v>91</v>
      </c>
      <c r="C33" s="89" t="s">
        <v>66</v>
      </c>
      <c r="D33" s="90">
        <f>D30*D32</f>
        <v>107.73</v>
      </c>
      <c r="E33" s="42"/>
      <c r="F33" s="201"/>
      <c r="G33" s="202"/>
      <c r="H33" s="11"/>
    </row>
    <row r="34" spans="1:11" ht="21.75" hidden="1" customHeight="1" x14ac:dyDescent="0.6">
      <c r="A34" s="59"/>
      <c r="B34" s="19" t="s">
        <v>262</v>
      </c>
      <c r="C34" s="20" t="s">
        <v>66</v>
      </c>
      <c r="D34" s="22"/>
      <c r="E34" s="42"/>
      <c r="F34" s="201"/>
      <c r="G34" s="202"/>
      <c r="H34" s="11"/>
    </row>
    <row r="35" spans="1:11" ht="21.75" hidden="1" customHeight="1" x14ac:dyDescent="0.6">
      <c r="A35" s="59"/>
      <c r="B35" s="19" t="s">
        <v>263</v>
      </c>
      <c r="C35" s="20" t="s">
        <v>31</v>
      </c>
      <c r="D35" s="22"/>
      <c r="E35" s="42"/>
      <c r="F35" s="201"/>
      <c r="G35" s="202"/>
      <c r="H35" s="11"/>
    </row>
    <row r="36" spans="1:11" ht="21.75" hidden="1" customHeight="1" x14ac:dyDescent="0.6">
      <c r="A36" s="59"/>
      <c r="B36" s="88" t="str">
        <f>A27</f>
        <v xml:space="preserve">Fechamento removível de vãos em madeira </v>
      </c>
      <c r="C36" s="89" t="s">
        <v>66</v>
      </c>
      <c r="D36" s="90">
        <f>D34*D35</f>
        <v>0</v>
      </c>
      <c r="E36" s="42"/>
      <c r="F36" s="201"/>
      <c r="G36" s="202"/>
      <c r="H36" s="11"/>
    </row>
    <row r="37" spans="1:11" ht="21.75" customHeight="1" thickBot="1" x14ac:dyDescent="0.65">
      <c r="A37" s="59"/>
      <c r="B37" s="40"/>
      <c r="C37" s="40"/>
      <c r="D37" s="41"/>
      <c r="E37" s="42"/>
      <c r="F37" s="203"/>
      <c r="G37" s="204"/>
      <c r="H37" s="11"/>
    </row>
    <row r="38" spans="1:11" ht="21.75" customHeight="1" x14ac:dyDescent="0.6">
      <c r="A38" s="33" t="s">
        <v>89</v>
      </c>
      <c r="B38" s="34"/>
      <c r="C38" s="34"/>
      <c r="D38" s="35"/>
      <c r="E38" s="36"/>
      <c r="F38" s="36"/>
      <c r="G38" s="36"/>
      <c r="H38" s="37"/>
    </row>
    <row r="39" spans="1:11" ht="21.75" customHeight="1" thickBot="1" x14ac:dyDescent="0.65">
      <c r="A39" s="59"/>
      <c r="B39" s="40"/>
      <c r="C39" s="40"/>
      <c r="D39" s="41"/>
      <c r="E39" s="42"/>
      <c r="F39" s="42"/>
      <c r="G39" s="42"/>
      <c r="H39" s="11"/>
    </row>
    <row r="40" spans="1:11" ht="21.75" customHeight="1" x14ac:dyDescent="0.6">
      <c r="A40" s="59"/>
      <c r="B40" s="13" t="s">
        <v>3</v>
      </c>
      <c r="C40" s="14" t="s">
        <v>4</v>
      </c>
      <c r="D40" s="15" t="s">
        <v>5</v>
      </c>
      <c r="E40" s="42"/>
      <c r="F40" s="1035" t="s">
        <v>259</v>
      </c>
      <c r="G40" s="1036"/>
      <c r="H40" s="11"/>
    </row>
    <row r="41" spans="1:11" ht="21.75" customHeight="1" x14ac:dyDescent="0.6">
      <c r="A41" s="59"/>
      <c r="B41" s="16" t="s">
        <v>90</v>
      </c>
      <c r="C41" s="17" t="s">
        <v>41</v>
      </c>
      <c r="D41" s="79">
        <f>SUMPRODUCT($M$9:$M$22,$N$9:$N$22)</f>
        <v>6411.8466000000017</v>
      </c>
      <c r="E41" s="42"/>
      <c r="F41" s="201"/>
      <c r="G41" s="202"/>
      <c r="H41" s="11"/>
    </row>
    <row r="42" spans="1:11" ht="21.75" customHeight="1" x14ac:dyDescent="0.6">
      <c r="A42" s="59"/>
      <c r="B42" s="80" t="str">
        <f>A38</f>
        <v>Tela fachadeira</v>
      </c>
      <c r="C42" s="81" t="s">
        <v>66</v>
      </c>
      <c r="D42" s="82">
        <f>D41</f>
        <v>6411.8466000000017</v>
      </c>
      <c r="E42" s="42"/>
      <c r="F42" s="201"/>
      <c r="G42" s="202"/>
      <c r="H42" s="11"/>
      <c r="K42" s="159"/>
    </row>
    <row r="43" spans="1:11" ht="21.75" customHeight="1" thickBot="1" x14ac:dyDescent="0.65">
      <c r="A43" s="59"/>
      <c r="B43" s="40"/>
      <c r="C43" s="40"/>
      <c r="D43" s="41"/>
      <c r="E43" s="42"/>
      <c r="F43" s="203"/>
      <c r="G43" s="204"/>
      <c r="H43" s="11"/>
    </row>
    <row r="44" spans="1:11" ht="21.75" customHeight="1" x14ac:dyDescent="0.6">
      <c r="A44" s="33" t="s">
        <v>95</v>
      </c>
      <c r="B44" s="34"/>
      <c r="C44" s="34"/>
      <c r="D44" s="35"/>
      <c r="E44" s="36"/>
      <c r="F44" s="36"/>
      <c r="G44" s="36"/>
      <c r="H44" s="37"/>
    </row>
    <row r="45" spans="1:11" ht="21.75" customHeight="1" thickBot="1" x14ac:dyDescent="0.65">
      <c r="A45" s="59"/>
      <c r="B45" s="40"/>
      <c r="C45" s="40"/>
      <c r="D45" s="41"/>
      <c r="E45" s="42"/>
      <c r="F45" s="42"/>
      <c r="G45" s="42"/>
      <c r="H45" s="11"/>
    </row>
    <row r="46" spans="1:11" ht="21.75" customHeight="1" x14ac:dyDescent="0.6">
      <c r="A46" s="59"/>
      <c r="B46" s="13" t="s">
        <v>3</v>
      </c>
      <c r="C46" s="14" t="s">
        <v>4</v>
      </c>
      <c r="D46" s="15" t="s">
        <v>5</v>
      </c>
      <c r="E46" s="42"/>
      <c r="F46" s="1035" t="s">
        <v>259</v>
      </c>
      <c r="G46" s="1036"/>
      <c r="H46" s="11"/>
    </row>
    <row r="47" spans="1:11" ht="21.75" customHeight="1" x14ac:dyDescent="0.6">
      <c r="A47" s="59"/>
      <c r="B47" s="16" t="s">
        <v>96</v>
      </c>
      <c r="C47" s="17" t="s">
        <v>54</v>
      </c>
      <c r="D47" s="18">
        <f>215.27-54.4</f>
        <v>160.87</v>
      </c>
      <c r="E47" s="42"/>
      <c r="F47" s="201"/>
      <c r="G47" s="202"/>
      <c r="H47" s="11"/>
    </row>
    <row r="48" spans="1:11" ht="21.75" customHeight="1" x14ac:dyDescent="0.6">
      <c r="A48" s="59"/>
      <c r="B48" s="44" t="s">
        <v>97</v>
      </c>
      <c r="C48" s="45" t="s">
        <v>54</v>
      </c>
      <c r="D48" s="79">
        <v>2.4</v>
      </c>
      <c r="E48" s="42"/>
      <c r="F48" s="201"/>
      <c r="G48" s="202"/>
      <c r="H48" s="11"/>
    </row>
    <row r="49" spans="1:8" ht="21.75" customHeight="1" x14ac:dyDescent="0.6">
      <c r="A49" s="59"/>
      <c r="B49" s="80" t="str">
        <f>A44</f>
        <v>Tapume</v>
      </c>
      <c r="C49" s="81" t="s">
        <v>66</v>
      </c>
      <c r="D49" s="82">
        <f>D48*D47</f>
        <v>386.08800000000002</v>
      </c>
      <c r="E49" s="42"/>
      <c r="F49" s="201"/>
      <c r="G49" s="202"/>
      <c r="H49" s="11"/>
    </row>
    <row r="50" spans="1:8" ht="21.75" customHeight="1" thickBot="1" x14ac:dyDescent="0.65">
      <c r="A50" s="59"/>
      <c r="B50" s="40"/>
      <c r="C50" s="40"/>
      <c r="D50" s="41"/>
      <c r="E50" s="42"/>
      <c r="F50" s="203"/>
      <c r="G50" s="204"/>
      <c r="H50" s="11"/>
    </row>
    <row r="51" spans="1:8" ht="21.75" customHeight="1" x14ac:dyDescent="0.6">
      <c r="A51" s="33" t="s">
        <v>172</v>
      </c>
      <c r="B51" s="34"/>
      <c r="C51" s="34"/>
      <c r="D51" s="35"/>
      <c r="E51" s="36"/>
      <c r="F51" s="36"/>
      <c r="G51" s="36"/>
      <c r="H51" s="37"/>
    </row>
    <row r="52" spans="1:8" ht="21.75" customHeight="1" thickBot="1" x14ac:dyDescent="0.65">
      <c r="A52" s="59"/>
      <c r="B52" s="40"/>
      <c r="C52" s="40"/>
      <c r="D52" s="41"/>
      <c r="E52" s="42"/>
      <c r="F52" s="42"/>
      <c r="G52" s="42"/>
      <c r="H52" s="11"/>
    </row>
    <row r="53" spans="1:8" ht="21.75" customHeight="1" x14ac:dyDescent="0.6">
      <c r="A53" s="59"/>
      <c r="B53" s="13" t="s">
        <v>3</v>
      </c>
      <c r="C53" s="14" t="s">
        <v>4</v>
      </c>
      <c r="D53" s="15" t="s">
        <v>5</v>
      </c>
      <c r="E53" s="42"/>
      <c r="F53" s="1035" t="s">
        <v>259</v>
      </c>
      <c r="G53" s="1036"/>
      <c r="H53" s="11"/>
    </row>
    <row r="54" spans="1:8" ht="21.75" customHeight="1" x14ac:dyDescent="0.6">
      <c r="A54" s="59"/>
      <c r="B54" s="19" t="s">
        <v>196</v>
      </c>
      <c r="C54" s="20" t="s">
        <v>54</v>
      </c>
      <c r="D54" s="21">
        <f>$D$25</f>
        <v>586.36</v>
      </c>
      <c r="E54" s="42"/>
      <c r="F54" s="201"/>
      <c r="G54" s="202"/>
      <c r="H54" s="11"/>
    </row>
    <row r="55" spans="1:8" ht="21.75" customHeight="1" x14ac:dyDescent="0.6">
      <c r="A55" s="59"/>
      <c r="B55" s="80" t="str">
        <f>A51</f>
        <v>Linha de Vida</v>
      </c>
      <c r="C55" s="81" t="s">
        <v>54</v>
      </c>
      <c r="D55" s="82">
        <f>D54</f>
        <v>586.36</v>
      </c>
      <c r="E55" s="42"/>
      <c r="F55" s="201"/>
      <c r="G55" s="202"/>
      <c r="H55" s="11"/>
    </row>
    <row r="56" spans="1:8" ht="21.75" customHeight="1" thickBot="1" x14ac:dyDescent="0.65">
      <c r="A56" s="59"/>
      <c r="B56" s="40"/>
      <c r="C56" s="40"/>
      <c r="D56" s="41"/>
      <c r="E56" s="42"/>
      <c r="F56" s="203"/>
      <c r="G56" s="204"/>
      <c r="H56" s="11"/>
    </row>
    <row r="57" spans="1:8" ht="21.75" hidden="1" customHeight="1" x14ac:dyDescent="0.6">
      <c r="A57" s="33" t="s">
        <v>173</v>
      </c>
      <c r="B57" s="34"/>
      <c r="C57" s="34"/>
      <c r="D57" s="35"/>
      <c r="E57" s="36"/>
      <c r="F57" s="36"/>
      <c r="G57" s="36"/>
      <c r="H57" s="37"/>
    </row>
    <row r="58" spans="1:8" ht="21.75" hidden="1" customHeight="1" thickBot="1" x14ac:dyDescent="0.65">
      <c r="A58" s="59"/>
      <c r="B58" s="40"/>
      <c r="C58" s="40"/>
      <c r="D58" s="41"/>
      <c r="E58" s="42"/>
      <c r="F58" s="42"/>
      <c r="G58" s="42"/>
      <c r="H58" s="11"/>
    </row>
    <row r="59" spans="1:8" ht="21.75" hidden="1" customHeight="1" x14ac:dyDescent="0.6">
      <c r="A59" s="59"/>
      <c r="B59" s="85" t="s">
        <v>3</v>
      </c>
      <c r="C59" s="86" t="s">
        <v>4</v>
      </c>
      <c r="D59" s="87" t="s">
        <v>5</v>
      </c>
      <c r="E59" s="42"/>
      <c r="F59" s="1035" t="s">
        <v>259</v>
      </c>
      <c r="G59" s="1036"/>
      <c r="H59" s="11"/>
    </row>
    <row r="60" spans="1:8" ht="21.75" hidden="1" customHeight="1" x14ac:dyDescent="0.6">
      <c r="A60" s="59"/>
      <c r="B60" s="19" t="s">
        <v>83</v>
      </c>
      <c r="C60" s="20" t="s">
        <v>54</v>
      </c>
      <c r="D60" s="22"/>
      <c r="E60" s="42"/>
      <c r="F60" s="201"/>
      <c r="G60" s="202"/>
      <c r="H60" s="11"/>
    </row>
    <row r="61" spans="1:8" ht="21.75" hidden="1" customHeight="1" x14ac:dyDescent="0.6">
      <c r="A61" s="59"/>
      <c r="B61" s="19" t="s">
        <v>264</v>
      </c>
      <c r="C61" s="20" t="s">
        <v>54</v>
      </c>
      <c r="D61" s="22"/>
      <c r="E61" s="42"/>
      <c r="F61" s="201"/>
      <c r="G61" s="202"/>
      <c r="H61" s="11"/>
    </row>
    <row r="62" spans="1:8" ht="21.75" hidden="1" customHeight="1" x14ac:dyDescent="0.6">
      <c r="A62" s="59"/>
      <c r="B62" s="88" t="s">
        <v>173</v>
      </c>
      <c r="C62" s="89" t="s">
        <v>66</v>
      </c>
      <c r="D62" s="90">
        <f>D60*D61</f>
        <v>0</v>
      </c>
      <c r="E62" s="42"/>
      <c r="F62" s="201"/>
      <c r="G62" s="202"/>
      <c r="H62" s="11"/>
    </row>
    <row r="63" spans="1:8" ht="21.75" hidden="1" customHeight="1" thickBot="1" x14ac:dyDescent="0.65">
      <c r="A63" s="93"/>
      <c r="B63" s="42"/>
      <c r="C63" s="42"/>
      <c r="D63" s="42"/>
      <c r="E63" s="42"/>
      <c r="F63" s="203"/>
      <c r="G63" s="204"/>
      <c r="H63" s="94"/>
    </row>
    <row r="64" spans="1:8" ht="21.75" customHeight="1" thickBot="1" x14ac:dyDescent="0.65">
      <c r="A64" s="24"/>
      <c r="B64" s="25"/>
      <c r="C64" s="25"/>
      <c r="D64" s="26"/>
      <c r="E64" s="91"/>
      <c r="F64" s="91"/>
      <c r="G64" s="91"/>
      <c r="H64" s="27"/>
    </row>
    <row r="65" ht="9.75" customHeight="1" x14ac:dyDescent="0.25"/>
  </sheetData>
  <mergeCells count="9">
    <mergeCell ref="F59:G59"/>
    <mergeCell ref="F16:G16"/>
    <mergeCell ref="F46:G46"/>
    <mergeCell ref="F53:G53"/>
    <mergeCell ref="A4:H4"/>
    <mergeCell ref="F7:G7"/>
    <mergeCell ref="F22:G22"/>
    <mergeCell ref="F40:G40"/>
    <mergeCell ref="F29:G29"/>
  </mergeCells>
  <pageMargins left="0.51181102362204722" right="0.51181102362204722" top="0.78740157480314965" bottom="0.78740157480314965" header="0" footer="0"/>
  <pageSetup paperSize="9" scale="55" fitToHeight="0" orientation="portrait" r:id="rId1"/>
  <rowBreaks count="1" manualBreakCount="1">
    <brk id="43" max="8"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333FF"/>
  </sheetPr>
  <dimension ref="A1:U70"/>
  <sheetViews>
    <sheetView showGridLines="0" zoomScaleNormal="100" workbookViewId="0">
      <pane ySplit="4" topLeftCell="A5" activePane="bottomLeft" state="frozen"/>
      <selection activeCell="C1" sqref="C1:C3"/>
      <selection pane="bottomLeft" activeCell="F63" sqref="F63"/>
    </sheetView>
  </sheetViews>
  <sheetFormatPr defaultColWidth="14.42578125" defaultRowHeight="15" customHeight="1" x14ac:dyDescent="0.25"/>
  <cols>
    <col min="1" max="1" width="12" customWidth="1"/>
    <col min="2" max="2" width="41" bestFit="1" customWidth="1"/>
    <col min="3" max="3" width="15.5703125" customWidth="1"/>
    <col min="4" max="4" width="12.42578125" customWidth="1"/>
    <col min="5" max="5" width="12.7109375" customWidth="1"/>
    <col min="6" max="7" width="10.42578125" customWidth="1"/>
    <col min="8" max="8" width="36" customWidth="1"/>
    <col min="9" max="14" width="16.28515625" customWidth="1"/>
    <col min="15" max="15" width="21.85546875" customWidth="1"/>
    <col min="16" max="16" width="11.28515625" customWidth="1"/>
    <col min="17" max="17" width="20" customWidth="1"/>
    <col min="18" max="18" width="10.28515625" customWidth="1"/>
    <col min="19" max="19" width="8.7109375" customWidth="1"/>
    <col min="20" max="20" width="13" customWidth="1"/>
    <col min="21" max="30" width="8.7109375" customWidth="1"/>
  </cols>
  <sheetData>
    <row r="1" spans="1:21" ht="21.75" x14ac:dyDescent="0.6">
      <c r="A1" s="1" t="s">
        <v>0</v>
      </c>
      <c r="B1" s="2" t="str">
        <f>Obra!D1</f>
        <v>Atlantia</v>
      </c>
      <c r="C1" s="3"/>
      <c r="D1" s="4"/>
      <c r="E1" s="28"/>
      <c r="F1" s="28"/>
      <c r="G1" s="28"/>
      <c r="H1" s="5"/>
      <c r="P1" s="29"/>
      <c r="Q1" s="29"/>
    </row>
    <row r="2" spans="1:21" ht="21.75" x14ac:dyDescent="0.6">
      <c r="A2" s="6" t="s">
        <v>1</v>
      </c>
      <c r="B2" s="7" t="str">
        <f>Obra!D2</f>
        <v>H empreendimentos</v>
      </c>
      <c r="C2" s="8"/>
      <c r="D2" s="9"/>
      <c r="E2" s="30"/>
      <c r="F2" s="30"/>
      <c r="G2" s="30"/>
      <c r="H2" s="10"/>
      <c r="P2" s="29"/>
      <c r="Q2" s="29"/>
    </row>
    <row r="3" spans="1:21" ht="22.5" thickBot="1" x14ac:dyDescent="0.65">
      <c r="A3" s="6" t="s">
        <v>2</v>
      </c>
      <c r="B3" s="7" t="str">
        <f>Obra!D3</f>
        <v>R03 - Valquiria</v>
      </c>
      <c r="C3" s="8"/>
      <c r="D3" s="9"/>
      <c r="E3" s="30"/>
      <c r="F3" s="31"/>
      <c r="G3" s="31"/>
      <c r="H3" s="10"/>
      <c r="O3" s="1046" t="s">
        <v>13</v>
      </c>
      <c r="P3" s="1047"/>
      <c r="Q3" s="1047"/>
      <c r="S3" s="1046" t="s">
        <v>14</v>
      </c>
      <c r="T3" s="1047"/>
      <c r="U3" s="1047"/>
    </row>
    <row r="4" spans="1:21" ht="30.75" thickBot="1" x14ac:dyDescent="0.3">
      <c r="A4" s="1037" t="s">
        <v>21</v>
      </c>
      <c r="B4" s="1038"/>
      <c r="C4" s="1038"/>
      <c r="D4" s="1038"/>
      <c r="E4" s="1038"/>
      <c r="F4" s="1038"/>
      <c r="G4" s="1038"/>
      <c r="H4" s="1039"/>
      <c r="O4" s="32" t="s">
        <v>15</v>
      </c>
      <c r="P4" s="29">
        <v>6601.277</v>
      </c>
      <c r="Q4" s="29"/>
      <c r="S4" s="32" t="s">
        <v>16</v>
      </c>
      <c r="T4" s="29">
        <f>P4/P5</f>
        <v>235.75989285714286</v>
      </c>
    </row>
    <row r="5" spans="1:21" ht="22.5" thickTop="1" x14ac:dyDescent="0.6">
      <c r="A5" s="33" t="s">
        <v>21</v>
      </c>
      <c r="B5" s="34"/>
      <c r="C5" s="34"/>
      <c r="D5" s="35"/>
      <c r="E5" s="36"/>
      <c r="F5" s="36"/>
      <c r="G5" s="141"/>
      <c r="H5" s="37"/>
      <c r="O5" s="32" t="s">
        <v>17</v>
      </c>
      <c r="P5" s="29">
        <v>28</v>
      </c>
      <c r="Q5" s="29" t="s">
        <v>18</v>
      </c>
      <c r="S5" s="32" t="s">
        <v>19</v>
      </c>
      <c r="T5" s="32">
        <v>49</v>
      </c>
      <c r="U5" s="32" t="s">
        <v>20</v>
      </c>
    </row>
    <row r="6" spans="1:21" ht="22.5" thickBot="1" x14ac:dyDescent="0.65">
      <c r="A6" s="12"/>
      <c r="B6" s="40"/>
      <c r="C6" s="40"/>
      <c r="D6" s="41"/>
      <c r="E6" s="42"/>
      <c r="F6" s="42"/>
      <c r="G6" s="42"/>
      <c r="H6" s="11"/>
      <c r="O6" s="32" t="s">
        <v>22</v>
      </c>
      <c r="P6" s="29">
        <f>ROUNDUP((P4*T5)/P5/180,)</f>
        <v>65</v>
      </c>
      <c r="Q6" s="29" t="s">
        <v>23</v>
      </c>
    </row>
    <row r="7" spans="1:21" ht="21.75" x14ac:dyDescent="0.6">
      <c r="A7" s="12"/>
      <c r="B7" s="13" t="s">
        <v>3</v>
      </c>
      <c r="C7" s="14" t="s">
        <v>4</v>
      </c>
      <c r="D7" s="15" t="s">
        <v>5</v>
      </c>
      <c r="E7" s="42"/>
      <c r="F7" s="42"/>
      <c r="G7" s="42"/>
      <c r="H7" s="11"/>
      <c r="O7" s="32" t="s">
        <v>24</v>
      </c>
      <c r="P7" s="29">
        <v>10</v>
      </c>
      <c r="Q7" s="29"/>
      <c r="R7" s="29"/>
    </row>
    <row r="8" spans="1:21" ht="21.75" x14ac:dyDescent="0.6">
      <c r="A8" s="12"/>
      <c r="B8" s="16" t="s">
        <v>26</v>
      </c>
      <c r="C8" s="17" t="s">
        <v>27</v>
      </c>
      <c r="D8" s="43">
        <f>Obra!$E$9/Obra!$E$7</f>
        <v>197.35892307692311</v>
      </c>
      <c r="E8" s="42"/>
      <c r="F8" s="42"/>
      <c r="G8" s="42"/>
      <c r="H8" s="11"/>
      <c r="O8" s="38" t="s">
        <v>25</v>
      </c>
      <c r="P8" s="39">
        <v>5</v>
      </c>
      <c r="Q8" s="39" t="s">
        <v>23</v>
      </c>
      <c r="R8" s="29"/>
    </row>
    <row r="9" spans="1:21" ht="21.75" x14ac:dyDescent="0.6">
      <c r="A9" s="12"/>
      <c r="B9" s="44" t="s">
        <v>19</v>
      </c>
      <c r="C9" s="45" t="s">
        <v>20</v>
      </c>
      <c r="D9" s="46">
        <v>41</v>
      </c>
      <c r="E9" s="42"/>
      <c r="F9" s="42"/>
      <c r="G9" s="42"/>
      <c r="H9" s="11"/>
      <c r="P9" s="29"/>
      <c r="Q9" s="29"/>
    </row>
    <row r="10" spans="1:21" ht="21.75" x14ac:dyDescent="0.6">
      <c r="A10" s="12"/>
      <c r="B10" s="47" t="s">
        <v>30</v>
      </c>
      <c r="C10" s="48" t="s">
        <v>31</v>
      </c>
      <c r="D10" s="49">
        <f>ROUNDUP((D9*Obra!$E$9)/Obra!$E$7/180,)</f>
        <v>45</v>
      </c>
      <c r="E10" s="42"/>
      <c r="F10" s="42"/>
      <c r="G10" s="42"/>
      <c r="H10" s="11"/>
      <c r="P10" s="29"/>
      <c r="Q10" s="29"/>
    </row>
    <row r="11" spans="1:21" ht="21.75" x14ac:dyDescent="0.6">
      <c r="A11" s="12"/>
      <c r="B11" s="50" t="s">
        <v>25</v>
      </c>
      <c r="C11" s="51" t="s">
        <v>31</v>
      </c>
      <c r="D11" s="52">
        <v>5</v>
      </c>
      <c r="E11" s="42"/>
      <c r="F11" s="42"/>
      <c r="G11" s="42"/>
      <c r="H11" s="11"/>
      <c r="O11" s="32" t="s">
        <v>28</v>
      </c>
      <c r="P11" s="29">
        <f>450+(P4-13000)/1000*16</f>
        <v>347.62043199999999</v>
      </c>
      <c r="Q11" s="29"/>
      <c r="R11" s="29"/>
    </row>
    <row r="12" spans="1:21" ht="21.75" x14ac:dyDescent="0.6">
      <c r="A12" s="12"/>
      <c r="B12" s="54" t="s">
        <v>32</v>
      </c>
      <c r="C12" s="55" t="s">
        <v>31</v>
      </c>
      <c r="D12" s="56">
        <f>ROUNDUP($D$10/20,0)</f>
        <v>3</v>
      </c>
      <c r="E12" s="57" t="s">
        <v>33</v>
      </c>
      <c r="F12" s="57"/>
      <c r="G12" s="57"/>
      <c r="H12" s="11"/>
      <c r="O12" s="32" t="s">
        <v>29</v>
      </c>
      <c r="P12" s="29">
        <f>P11*0.4</f>
        <v>139.0481728</v>
      </c>
      <c r="Q12" s="29"/>
      <c r="R12" s="29"/>
    </row>
    <row r="13" spans="1:21" ht="21.75" x14ac:dyDescent="0.6">
      <c r="A13" s="12"/>
      <c r="B13" s="19" t="s">
        <v>34</v>
      </c>
      <c r="C13" s="55" t="s">
        <v>31</v>
      </c>
      <c r="D13" s="58">
        <f>ROUNDUP(Obra!$E$13/5,0)</f>
        <v>4</v>
      </c>
      <c r="E13" s="57" t="s">
        <v>35</v>
      </c>
      <c r="F13" s="57"/>
      <c r="G13" s="57"/>
      <c r="H13" s="11"/>
      <c r="P13" s="29"/>
      <c r="Q13" s="29"/>
      <c r="R13" s="29"/>
    </row>
    <row r="14" spans="1:21" ht="21.75" x14ac:dyDescent="0.6">
      <c r="A14" s="59"/>
      <c r="B14" s="54" t="s">
        <v>38</v>
      </c>
      <c r="C14" s="55" t="s">
        <v>39</v>
      </c>
      <c r="D14" s="60">
        <f>800*D10</f>
        <v>36000</v>
      </c>
      <c r="E14" s="57" t="s">
        <v>40</v>
      </c>
      <c r="F14" s="57"/>
      <c r="G14" s="57"/>
      <c r="H14" s="11"/>
      <c r="P14" s="53">
        <f>SUM(P11:P13)</f>
        <v>486.66860480000003</v>
      </c>
      <c r="Q14" s="29"/>
    </row>
    <row r="15" spans="1:21" ht="18" x14ac:dyDescent="0.45">
      <c r="A15" s="61"/>
      <c r="B15" s="54" t="s">
        <v>42</v>
      </c>
      <c r="C15" s="55" t="s">
        <v>39</v>
      </c>
      <c r="D15" s="60">
        <f>500*D10</f>
        <v>22500</v>
      </c>
      <c r="E15" s="57" t="s">
        <v>43</v>
      </c>
      <c r="F15" s="92"/>
      <c r="G15" s="92"/>
      <c r="H15" s="62"/>
      <c r="P15" s="29"/>
      <c r="Q15" s="29"/>
    </row>
    <row r="16" spans="1:21" ht="18.75" thickBot="1" x14ac:dyDescent="0.5">
      <c r="A16" s="61"/>
      <c r="B16" s="63" t="s">
        <v>44</v>
      </c>
      <c r="C16" s="64" t="s">
        <v>31</v>
      </c>
      <c r="D16" s="65">
        <f>ROUNDUP($D$10/20,0)</f>
        <v>3</v>
      </c>
      <c r="E16" s="57" t="s">
        <v>45</v>
      </c>
      <c r="F16" s="57"/>
      <c r="G16" s="57"/>
      <c r="H16" s="62"/>
      <c r="O16" s="32" t="s">
        <v>36</v>
      </c>
      <c r="P16" s="29">
        <v>1</v>
      </c>
      <c r="Q16" s="29" t="s">
        <v>37</v>
      </c>
    </row>
    <row r="17" spans="1:18" x14ac:dyDescent="0.25">
      <c r="A17" s="61"/>
      <c r="B17" s="66"/>
      <c r="C17" s="66"/>
      <c r="D17" s="66"/>
      <c r="E17" s="66"/>
      <c r="F17" s="66"/>
      <c r="G17" s="66"/>
      <c r="H17" s="62"/>
      <c r="P17" s="29">
        <f>P16*P6</f>
        <v>65</v>
      </c>
      <c r="Q17" s="29" t="s">
        <v>41</v>
      </c>
    </row>
    <row r="18" spans="1:18" ht="21.75" x14ac:dyDescent="0.6">
      <c r="A18" s="33" t="s">
        <v>47</v>
      </c>
      <c r="B18" s="34"/>
      <c r="C18" s="34"/>
      <c r="D18" s="35"/>
      <c r="E18" s="36"/>
      <c r="F18" s="36"/>
      <c r="G18" s="141"/>
      <c r="H18" s="37"/>
      <c r="P18" s="29"/>
      <c r="Q18" s="29"/>
    </row>
    <row r="19" spans="1:18" ht="22.5" thickBot="1" x14ac:dyDescent="0.65">
      <c r="A19" s="12"/>
      <c r="B19" s="40"/>
      <c r="C19" s="40"/>
      <c r="D19" s="41"/>
      <c r="E19" s="42"/>
      <c r="F19" s="42"/>
      <c r="G19" s="42"/>
      <c r="H19" s="11"/>
      <c r="O19" s="32" t="s">
        <v>46</v>
      </c>
      <c r="P19" s="29">
        <v>1.5</v>
      </c>
      <c r="Q19" s="29" t="s">
        <v>37</v>
      </c>
    </row>
    <row r="20" spans="1:18" ht="21.75" x14ac:dyDescent="0.6">
      <c r="A20" s="12"/>
      <c r="B20" s="13" t="s">
        <v>3</v>
      </c>
      <c r="C20" s="14" t="s">
        <v>4</v>
      </c>
      <c r="D20" s="14" t="s">
        <v>5</v>
      </c>
      <c r="E20" s="14" t="s">
        <v>48</v>
      </c>
      <c r="F20" s="67" t="s">
        <v>49</v>
      </c>
      <c r="G20" s="42"/>
      <c r="H20" s="11"/>
      <c r="P20" s="29">
        <f>P19*P6</f>
        <v>97.5</v>
      </c>
      <c r="Q20" s="29" t="s">
        <v>41</v>
      </c>
    </row>
    <row r="21" spans="1:18" ht="15.75" customHeight="1" x14ac:dyDescent="0.6">
      <c r="A21" s="12"/>
      <c r="B21" s="16" t="s">
        <v>50</v>
      </c>
      <c r="C21" s="17" t="s">
        <v>31</v>
      </c>
      <c r="D21" s="55">
        <f>ROUNDUP(D11*1.5,)</f>
        <v>8</v>
      </c>
      <c r="E21" s="55">
        <v>200</v>
      </c>
      <c r="F21" s="56">
        <f>D21*E21</f>
        <v>1600</v>
      </c>
      <c r="G21" s="42"/>
      <c r="H21" s="11"/>
      <c r="P21" s="29"/>
      <c r="Q21" s="29"/>
    </row>
    <row r="22" spans="1:18" ht="15.75" customHeight="1" x14ac:dyDescent="0.6">
      <c r="A22" s="12"/>
      <c r="B22" s="19" t="s">
        <v>51</v>
      </c>
      <c r="C22" s="55" t="s">
        <v>31</v>
      </c>
      <c r="D22" s="55">
        <v>1</v>
      </c>
      <c r="E22" s="55">
        <v>1000</v>
      </c>
      <c r="F22" s="56">
        <f t="shared" ref="F22:F25" si="0">E22*D22</f>
        <v>1000</v>
      </c>
      <c r="G22" s="42"/>
      <c r="H22" s="11"/>
      <c r="P22" s="29"/>
      <c r="Q22" s="29"/>
    </row>
    <row r="23" spans="1:18" ht="15.75" customHeight="1" x14ac:dyDescent="0.45">
      <c r="A23" s="61"/>
      <c r="B23" s="19" t="s">
        <v>52</v>
      </c>
      <c r="C23" s="55" t="s">
        <v>31</v>
      </c>
      <c r="D23" s="55">
        <v>2</v>
      </c>
      <c r="E23" s="55">
        <v>5000</v>
      </c>
      <c r="F23" s="56">
        <f t="shared" si="0"/>
        <v>10000</v>
      </c>
      <c r="G23" s="42"/>
      <c r="H23" s="62"/>
      <c r="P23" s="29"/>
      <c r="Q23" s="29"/>
    </row>
    <row r="24" spans="1:18" ht="15.75" customHeight="1" x14ac:dyDescent="0.45">
      <c r="A24" s="61"/>
      <c r="B24" s="19" t="s">
        <v>53</v>
      </c>
      <c r="C24" s="55" t="s">
        <v>54</v>
      </c>
      <c r="D24" s="55">
        <v>4</v>
      </c>
      <c r="E24" s="55">
        <v>900</v>
      </c>
      <c r="F24" s="56">
        <f t="shared" si="0"/>
        <v>3600</v>
      </c>
      <c r="G24" s="42"/>
      <c r="H24" s="62"/>
      <c r="P24" s="29"/>
      <c r="Q24" s="29"/>
    </row>
    <row r="25" spans="1:18" ht="15.75" customHeight="1" thickBot="1" x14ac:dyDescent="0.5">
      <c r="A25" s="61"/>
      <c r="B25" s="23" t="s">
        <v>55</v>
      </c>
      <c r="C25" s="64" t="s">
        <v>31</v>
      </c>
      <c r="D25" s="64">
        <f>D11</f>
        <v>5</v>
      </c>
      <c r="E25" s="64">
        <v>800</v>
      </c>
      <c r="F25" s="65">
        <f t="shared" si="0"/>
        <v>4000</v>
      </c>
      <c r="G25" s="42"/>
      <c r="H25" s="62"/>
      <c r="P25" s="29"/>
      <c r="Q25" s="29"/>
    </row>
    <row r="26" spans="1:18" ht="15.75" customHeight="1" thickBot="1" x14ac:dyDescent="0.5">
      <c r="A26" s="61"/>
      <c r="B26" s="1043" t="s">
        <v>56</v>
      </c>
      <c r="C26" s="1044"/>
      <c r="D26" s="1044"/>
      <c r="E26" s="1045"/>
      <c r="F26" s="68">
        <f>F23+F24+F25+F22+F21</f>
        <v>20200</v>
      </c>
      <c r="G26" s="42"/>
      <c r="H26" s="62"/>
      <c r="P26" s="29"/>
      <c r="Q26" s="29"/>
    </row>
    <row r="27" spans="1:18" ht="15.75" customHeight="1" x14ac:dyDescent="0.45">
      <c r="A27" s="61"/>
      <c r="B27" s="13" t="s">
        <v>3</v>
      </c>
      <c r="C27" s="14" t="s">
        <v>4</v>
      </c>
      <c r="D27" s="14" t="s">
        <v>5</v>
      </c>
      <c r="E27" s="14" t="s">
        <v>48</v>
      </c>
      <c r="F27" s="67" t="s">
        <v>49</v>
      </c>
      <c r="G27" s="42"/>
      <c r="H27" s="62"/>
      <c r="P27" s="29"/>
      <c r="Q27" s="29"/>
    </row>
    <row r="28" spans="1:18" ht="15.75" customHeight="1" x14ac:dyDescent="0.45">
      <c r="A28" s="61"/>
      <c r="B28" s="16" t="s">
        <v>57</v>
      </c>
      <c r="C28" s="17" t="s">
        <v>31</v>
      </c>
      <c r="D28" s="55">
        <f>D11</f>
        <v>5</v>
      </c>
      <c r="E28" s="55">
        <v>6500</v>
      </c>
      <c r="F28" s="56">
        <f>D28*E28</f>
        <v>32500</v>
      </c>
      <c r="G28" s="42"/>
      <c r="H28" s="62"/>
      <c r="P28" s="29"/>
      <c r="Q28" s="29"/>
    </row>
    <row r="29" spans="1:18" ht="15.75" customHeight="1" x14ac:dyDescent="0.45">
      <c r="A29" s="61"/>
      <c r="B29" s="19" t="s">
        <v>59</v>
      </c>
      <c r="C29" s="55" t="s">
        <v>31</v>
      </c>
      <c r="D29" s="55">
        <v>1</v>
      </c>
      <c r="E29" s="55">
        <v>2000</v>
      </c>
      <c r="F29" s="56">
        <f t="shared" ref="F29:F30" si="1">E29*D29</f>
        <v>2000</v>
      </c>
      <c r="G29" s="42"/>
      <c r="H29" s="62"/>
      <c r="P29" s="29"/>
      <c r="Q29" s="29"/>
    </row>
    <row r="30" spans="1:18" ht="15.75" customHeight="1" thickBot="1" x14ac:dyDescent="0.5">
      <c r="A30" s="61"/>
      <c r="B30" s="69" t="s">
        <v>60</v>
      </c>
      <c r="C30" s="70" t="s">
        <v>31</v>
      </c>
      <c r="D30" s="70">
        <v>2</v>
      </c>
      <c r="E30" s="70">
        <v>500</v>
      </c>
      <c r="F30" s="71">
        <f t="shared" si="1"/>
        <v>1000</v>
      </c>
      <c r="G30" s="42"/>
      <c r="H30" s="62"/>
      <c r="P30" s="29"/>
      <c r="Q30" s="29"/>
    </row>
    <row r="31" spans="1:18" ht="15.75" customHeight="1" thickBot="1" x14ac:dyDescent="0.5">
      <c r="A31" s="72"/>
      <c r="B31" s="1043" t="s">
        <v>56</v>
      </c>
      <c r="C31" s="1044"/>
      <c r="D31" s="1044"/>
      <c r="E31" s="1045"/>
      <c r="F31" s="68">
        <f>+F28+F29+F30</f>
        <v>35500</v>
      </c>
      <c r="G31" s="42"/>
      <c r="H31" s="73"/>
      <c r="O31" s="32" t="s">
        <v>58</v>
      </c>
      <c r="P31" s="29">
        <f>1*ROUNDUP(P6/20,)</f>
        <v>4</v>
      </c>
      <c r="Q31" s="29" t="s">
        <v>41</v>
      </c>
    </row>
    <row r="32" spans="1:18" ht="15.75" customHeight="1" x14ac:dyDescent="0.45">
      <c r="A32" s="61"/>
      <c r="B32" s="66"/>
      <c r="C32" s="66"/>
      <c r="D32" s="66"/>
      <c r="E32" s="66"/>
      <c r="F32" s="66"/>
      <c r="G32" s="42"/>
      <c r="H32" s="62"/>
      <c r="P32" s="29"/>
      <c r="Q32" s="29"/>
      <c r="R32" s="29"/>
    </row>
    <row r="33" spans="1:18" ht="15.75" customHeight="1" x14ac:dyDescent="0.6">
      <c r="A33" s="33" t="s">
        <v>622</v>
      </c>
      <c r="B33" s="34"/>
      <c r="C33" s="34"/>
      <c r="D33" s="35"/>
      <c r="E33" s="36"/>
      <c r="F33" s="36"/>
      <c r="G33" s="141"/>
      <c r="H33" s="37"/>
      <c r="O33" s="32" t="s">
        <v>61</v>
      </c>
      <c r="P33" s="29">
        <f>0.6*ROUNDUP(P6/20,)</f>
        <v>2.4</v>
      </c>
      <c r="Q33" s="29" t="s">
        <v>41</v>
      </c>
    </row>
    <row r="34" spans="1:18" ht="15.75" customHeight="1" thickBot="1" x14ac:dyDescent="0.65">
      <c r="A34" s="12"/>
      <c r="B34" s="40"/>
      <c r="C34" s="40"/>
      <c r="D34" s="41"/>
      <c r="E34" s="42"/>
      <c r="F34" s="42"/>
      <c r="G34" s="42"/>
      <c r="H34" s="11"/>
      <c r="O34" s="32" t="s">
        <v>62</v>
      </c>
      <c r="P34" s="29">
        <f>0.8*ROUNDUP(P6/10,)</f>
        <v>5.6000000000000005</v>
      </c>
      <c r="Q34" s="29" t="s">
        <v>41</v>
      </c>
    </row>
    <row r="35" spans="1:18" ht="31.5" x14ac:dyDescent="0.6">
      <c r="A35" s="12"/>
      <c r="B35" s="149" t="s">
        <v>3</v>
      </c>
      <c r="C35" s="150" t="s">
        <v>4</v>
      </c>
      <c r="D35" s="150" t="s">
        <v>207</v>
      </c>
      <c r="E35" s="150" t="s">
        <v>5</v>
      </c>
      <c r="F35" s="150" t="s">
        <v>48</v>
      </c>
      <c r="G35" s="151" t="s">
        <v>49</v>
      </c>
      <c r="H35" s="11"/>
      <c r="P35" s="29"/>
      <c r="Q35" s="29"/>
    </row>
    <row r="36" spans="1:18" ht="15.75" customHeight="1" x14ac:dyDescent="0.6">
      <c r="A36" s="12"/>
      <c r="B36" s="152" t="s">
        <v>201</v>
      </c>
      <c r="C36" s="55" t="s">
        <v>66</v>
      </c>
      <c r="D36" s="55" t="s">
        <v>208</v>
      </c>
      <c r="E36" s="142">
        <f>IF(D36="Sim",15,0)</f>
        <v>15</v>
      </c>
      <c r="F36" s="55">
        <v>115.4849</v>
      </c>
      <c r="G36" s="153">
        <f>IF(D36="sim",E36*F36,0)</f>
        <v>1732.2735</v>
      </c>
      <c r="H36" s="11"/>
      <c r="P36" s="29"/>
      <c r="Q36" s="29"/>
    </row>
    <row r="37" spans="1:18" ht="15.75" customHeight="1" x14ac:dyDescent="0.6">
      <c r="A37" s="12"/>
      <c r="B37" s="154" t="s">
        <v>202</v>
      </c>
      <c r="C37" s="55" t="s">
        <v>66</v>
      </c>
      <c r="D37" s="55" t="s">
        <v>208</v>
      </c>
      <c r="E37" s="142">
        <f t="shared" ref="E37:E38" si="2">IF(D37="Sim",15,0)</f>
        <v>15</v>
      </c>
      <c r="F37" s="55">
        <v>115.4849</v>
      </c>
      <c r="G37" s="153">
        <f t="shared" ref="G37:G45" si="3">IF(D37="sim",E37*F37,0)</f>
        <v>1732.2735</v>
      </c>
      <c r="H37" s="11"/>
      <c r="P37" s="29"/>
      <c r="Q37" s="29"/>
    </row>
    <row r="38" spans="1:18" ht="15.75" customHeight="1" x14ac:dyDescent="0.25">
      <c r="A38" s="61"/>
      <c r="B38" s="154" t="s">
        <v>203</v>
      </c>
      <c r="C38" s="55" t="s">
        <v>66</v>
      </c>
      <c r="D38" s="55" t="s">
        <v>208</v>
      </c>
      <c r="E38" s="142">
        <f t="shared" si="2"/>
        <v>15</v>
      </c>
      <c r="F38" s="55">
        <v>115.4849</v>
      </c>
      <c r="G38" s="153">
        <f t="shared" si="3"/>
        <v>1732.2735</v>
      </c>
      <c r="H38" s="62"/>
      <c r="P38" s="29"/>
      <c r="Q38" s="29"/>
    </row>
    <row r="39" spans="1:18" ht="15.75" customHeight="1" x14ac:dyDescent="0.25">
      <c r="A39" s="61"/>
      <c r="B39" s="154" t="s">
        <v>210</v>
      </c>
      <c r="C39" s="55" t="s">
        <v>66</v>
      </c>
      <c r="D39" s="55" t="s">
        <v>208</v>
      </c>
      <c r="E39" s="142">
        <f>IF(D39="não",0,ROUNDUP(3*Obra!$E$10/COUNTIFS($D$39:$D$47,"Sim"),))</f>
        <v>51</v>
      </c>
      <c r="F39" s="55">
        <v>201.22489000000002</v>
      </c>
      <c r="G39" s="153">
        <f t="shared" si="3"/>
        <v>10262.46939</v>
      </c>
      <c r="H39" s="62"/>
      <c r="P39" s="29"/>
      <c r="Q39" s="29"/>
    </row>
    <row r="40" spans="1:18" ht="15.75" customHeight="1" x14ac:dyDescent="0.25">
      <c r="A40" s="61"/>
      <c r="B40" s="154" t="s">
        <v>211</v>
      </c>
      <c r="C40" s="55" t="s">
        <v>66</v>
      </c>
      <c r="D40" s="55" t="s">
        <v>209</v>
      </c>
      <c r="E40" s="142">
        <f>IF(D40="não",0,ROUNDUP(3*Obra!$E$10/COUNTIFS($D$39:$D$47,"Sim"),))</f>
        <v>0</v>
      </c>
      <c r="F40" s="55">
        <v>201.22489000000002</v>
      </c>
      <c r="G40" s="153">
        <f t="shared" si="3"/>
        <v>0</v>
      </c>
      <c r="H40" s="62"/>
      <c r="P40" s="29"/>
      <c r="Q40" s="29"/>
    </row>
    <row r="41" spans="1:18" ht="15.75" customHeight="1" x14ac:dyDescent="0.25">
      <c r="A41" s="61"/>
      <c r="B41" s="154" t="s">
        <v>212</v>
      </c>
      <c r="C41" s="55" t="s">
        <v>66</v>
      </c>
      <c r="D41" s="55" t="s">
        <v>208</v>
      </c>
      <c r="E41" s="142">
        <f>IF(D41="não",0,ROUNDUP(3*Obra!$E$10/COUNTIFS($D$39:$D$47,"Sim"),))</f>
        <v>51</v>
      </c>
      <c r="F41" s="55">
        <v>201.22489000000002</v>
      </c>
      <c r="G41" s="153">
        <f t="shared" si="3"/>
        <v>10262.46939</v>
      </c>
      <c r="H41" s="62"/>
      <c r="P41" s="29"/>
      <c r="Q41" s="29"/>
    </row>
    <row r="42" spans="1:18" ht="15.75" customHeight="1" x14ac:dyDescent="0.25">
      <c r="A42" s="61"/>
      <c r="B42" s="154" t="s">
        <v>213</v>
      </c>
      <c r="C42" s="55" t="s">
        <v>66</v>
      </c>
      <c r="D42" s="55" t="s">
        <v>208</v>
      </c>
      <c r="E42" s="142">
        <f>IF(D42="não",0,ROUNDUP(3*Obra!$E$10/COUNTIFS($D$39:$D$47,"Sim"),))</f>
        <v>51</v>
      </c>
      <c r="F42" s="55">
        <v>201.22489000000002</v>
      </c>
      <c r="G42" s="153">
        <f t="shared" si="3"/>
        <v>10262.46939</v>
      </c>
      <c r="H42" s="62"/>
      <c r="P42" s="29"/>
      <c r="Q42" s="29"/>
    </row>
    <row r="43" spans="1:18" ht="15.75" customHeight="1" x14ac:dyDescent="0.25">
      <c r="A43" s="61"/>
      <c r="B43" s="154" t="s">
        <v>214</v>
      </c>
      <c r="C43" s="55" t="s">
        <v>66</v>
      </c>
      <c r="D43" s="55" t="s">
        <v>208</v>
      </c>
      <c r="E43" s="142">
        <f>IF(D43="não",0,ROUNDUP(3*Obra!$E$10/COUNTIFS($D$39:$D$47,"Sim"),))</f>
        <v>51</v>
      </c>
      <c r="F43" s="55">
        <v>201.22489000000002</v>
      </c>
      <c r="G43" s="153">
        <f t="shared" si="3"/>
        <v>10262.46939</v>
      </c>
      <c r="H43" s="62"/>
      <c r="P43" s="29"/>
      <c r="Q43" s="29"/>
    </row>
    <row r="44" spans="1:18" ht="15.75" customHeight="1" x14ac:dyDescent="0.25">
      <c r="A44" s="61"/>
      <c r="B44" s="154" t="s">
        <v>215</v>
      </c>
      <c r="C44" s="55" t="s">
        <v>66</v>
      </c>
      <c r="D44" s="55" t="s">
        <v>209</v>
      </c>
      <c r="E44" s="142">
        <f>IF(D44="não",0,ROUNDUP(3*Obra!$E$10/COUNTIFS($D$39:$D$47,"Sim"),))</f>
        <v>0</v>
      </c>
      <c r="F44" s="55">
        <v>201.22489000000002</v>
      </c>
      <c r="G44" s="153">
        <f t="shared" si="3"/>
        <v>0</v>
      </c>
      <c r="H44" s="62"/>
      <c r="P44" s="29"/>
      <c r="Q44" s="29"/>
    </row>
    <row r="45" spans="1:18" ht="15.75" customHeight="1" x14ac:dyDescent="0.25">
      <c r="A45" s="139"/>
      <c r="B45" s="155" t="s">
        <v>216</v>
      </c>
      <c r="C45" s="55" t="s">
        <v>66</v>
      </c>
      <c r="D45" s="55" t="s">
        <v>208</v>
      </c>
      <c r="E45" s="142">
        <f>IF(D45="não",0,ROUNDUP(3*Obra!$E$10/COUNTIFS($D$39:$D$47,"Sim"),))</f>
        <v>51</v>
      </c>
      <c r="F45" s="55">
        <v>201.22489000000002</v>
      </c>
      <c r="G45" s="153">
        <f t="shared" si="3"/>
        <v>10262.46939</v>
      </c>
      <c r="H45" s="140"/>
      <c r="P45" s="29"/>
      <c r="Q45" s="29"/>
    </row>
    <row r="46" spans="1:18" ht="15.75" customHeight="1" x14ac:dyDescent="0.25">
      <c r="A46" s="139"/>
      <c r="B46" s="155" t="s">
        <v>217</v>
      </c>
      <c r="C46" s="55" t="s">
        <v>66</v>
      </c>
      <c r="D46" s="55" t="s">
        <v>208</v>
      </c>
      <c r="E46" s="142">
        <f>IF(D46="não",0,ROUNDUP(3*Obra!$E$10/COUNTIFS($D$39:$D$47,"Sim"),))</f>
        <v>51</v>
      </c>
      <c r="F46" s="55">
        <v>201.22489000000002</v>
      </c>
      <c r="G46" s="153">
        <f>IF(D46="sim",E46*F46,0)</f>
        <v>10262.46939</v>
      </c>
      <c r="H46" s="140"/>
      <c r="P46" s="29"/>
      <c r="Q46" s="29"/>
    </row>
    <row r="47" spans="1:18" ht="15.75" customHeight="1" x14ac:dyDescent="0.25">
      <c r="A47" s="139"/>
      <c r="B47" s="155" t="s">
        <v>205</v>
      </c>
      <c r="C47" s="55" t="s">
        <v>66</v>
      </c>
      <c r="D47" s="55" t="s">
        <v>208</v>
      </c>
      <c r="E47" s="142">
        <f>IF(D47="não",0,ROUNDUP(3*Obra!$E$10/COUNTIFS($D$39:$D$47,"Sim"),))</f>
        <v>51</v>
      </c>
      <c r="F47" s="55">
        <v>272.87529999999998</v>
      </c>
      <c r="G47" s="153">
        <f t="shared" ref="G47" si="4">IF(D47="sim",E47*F47,0)</f>
        <v>13916.640299999999</v>
      </c>
      <c r="H47" s="140"/>
      <c r="P47" s="29"/>
      <c r="Q47" s="29"/>
      <c r="R47" s="29"/>
    </row>
    <row r="48" spans="1:18" ht="15.75" customHeight="1" x14ac:dyDescent="0.25">
      <c r="A48" s="139"/>
      <c r="B48" s="155" t="s">
        <v>204</v>
      </c>
      <c r="C48" s="55" t="s">
        <v>66</v>
      </c>
      <c r="D48" s="55" t="s">
        <v>208</v>
      </c>
      <c r="E48" s="142">
        <f>IF(D48="Sim",10*15,0)</f>
        <v>150</v>
      </c>
      <c r="F48" s="55">
        <v>272.87529999999998</v>
      </c>
      <c r="G48" s="153">
        <f>IF(D48="sim",E48*F48,0)</f>
        <v>40931.294999999998</v>
      </c>
      <c r="H48" s="140"/>
      <c r="P48" s="29"/>
      <c r="Q48" s="29"/>
      <c r="R48" s="29"/>
    </row>
    <row r="49" spans="1:18" ht="15.75" customHeight="1" x14ac:dyDescent="0.25">
      <c r="A49" s="61"/>
      <c r="B49" s="155" t="s">
        <v>206</v>
      </c>
      <c r="C49" s="55" t="s">
        <v>66</v>
      </c>
      <c r="D49" s="55" t="s">
        <v>209</v>
      </c>
      <c r="E49" s="142">
        <f>IF(D49="Sim",ROUNDUP(25,),0)</f>
        <v>0</v>
      </c>
      <c r="F49" s="55">
        <v>0</v>
      </c>
      <c r="G49" s="153">
        <f>IF(D49="sim",E49*F49,0)</f>
        <v>0</v>
      </c>
      <c r="H49" s="140"/>
      <c r="P49" s="29"/>
      <c r="Q49" s="29"/>
      <c r="R49" s="29"/>
    </row>
    <row r="50" spans="1:18" ht="15.75" customHeight="1" thickBot="1" x14ac:dyDescent="0.3">
      <c r="A50" s="139"/>
      <c r="B50" s="155" t="s">
        <v>219</v>
      </c>
      <c r="C50" s="55" t="s">
        <v>66</v>
      </c>
      <c r="D50" s="55" t="s">
        <v>208</v>
      </c>
      <c r="E50" s="142">
        <f>IF(D50="Sim",ROUNDUP(25,),0)</f>
        <v>25</v>
      </c>
      <c r="F50" s="55">
        <v>0</v>
      </c>
      <c r="G50" s="153">
        <f>IF(D50="sim",E50*F50,0)</f>
        <v>0</v>
      </c>
      <c r="H50" s="140"/>
      <c r="P50" s="29"/>
      <c r="Q50" s="29"/>
      <c r="R50" s="29"/>
    </row>
    <row r="51" spans="1:18" ht="15.75" customHeight="1" thickBot="1" x14ac:dyDescent="0.3">
      <c r="A51" s="72"/>
      <c r="B51" s="1040" t="s">
        <v>56</v>
      </c>
      <c r="C51" s="1041"/>
      <c r="D51" s="1041"/>
      <c r="E51" s="1041"/>
      <c r="F51" s="1042"/>
      <c r="G51" s="156">
        <f>SUM(G36:G50)</f>
        <v>121619.57213999999</v>
      </c>
      <c r="H51" s="140"/>
      <c r="P51" s="29"/>
      <c r="Q51" s="29"/>
      <c r="R51" s="29"/>
    </row>
    <row r="52" spans="1:18" ht="15.75" customHeight="1" x14ac:dyDescent="0.25">
      <c r="A52" s="143"/>
      <c r="B52" s="144"/>
      <c r="C52" s="144"/>
      <c r="D52" s="144"/>
      <c r="E52" s="157"/>
      <c r="F52" s="144"/>
      <c r="G52" s="145"/>
      <c r="H52" s="140"/>
      <c r="O52" s="32" t="s">
        <v>61</v>
      </c>
      <c r="P52" s="29">
        <f>0.6*ROUNDUP(P21/20,)</f>
        <v>0</v>
      </c>
      <c r="Q52" s="29" t="s">
        <v>41</v>
      </c>
    </row>
    <row r="53" spans="1:18" ht="15.75" customHeight="1" x14ac:dyDescent="0.25">
      <c r="A53" s="143"/>
      <c r="B53" s="158" t="s">
        <v>218</v>
      </c>
      <c r="C53" s="144"/>
      <c r="D53" s="144"/>
      <c r="E53" s="157"/>
      <c r="F53" s="144"/>
      <c r="G53" s="145"/>
      <c r="H53" s="140"/>
      <c r="O53" s="32"/>
      <c r="P53" s="29"/>
      <c r="Q53" s="29"/>
    </row>
    <row r="54" spans="1:18" ht="15.75" customHeight="1" x14ac:dyDescent="0.25">
      <c r="A54" s="143"/>
      <c r="B54" s="158"/>
      <c r="C54" s="144"/>
      <c r="D54" s="144"/>
      <c r="E54" s="157"/>
      <c r="F54" s="144"/>
      <c r="G54" s="145"/>
      <c r="H54" s="140"/>
      <c r="O54" s="32" t="s">
        <v>62</v>
      </c>
      <c r="P54" s="29">
        <f>0.8*ROUNDUP(P21/10,)</f>
        <v>0</v>
      </c>
      <c r="Q54" s="29" t="s">
        <v>41</v>
      </c>
    </row>
    <row r="55" spans="1:18" s="146" customFormat="1" ht="15.75" customHeight="1" x14ac:dyDescent="0.6">
      <c r="A55" s="33" t="s">
        <v>395</v>
      </c>
      <c r="B55" s="34"/>
      <c r="C55" s="34"/>
      <c r="D55" s="35"/>
      <c r="E55" s="36"/>
      <c r="F55" s="36"/>
      <c r="G55" s="141"/>
      <c r="H55" s="37"/>
      <c r="O55" s="147"/>
      <c r="P55" s="148"/>
      <c r="Q55" s="148"/>
    </row>
    <row r="56" spans="1:18" s="146" customFormat="1" ht="15.75" customHeight="1" thickBot="1" x14ac:dyDescent="0.65">
      <c r="A56" s="12"/>
      <c r="B56" s="40"/>
      <c r="C56" s="40"/>
      <c r="D56" s="41"/>
      <c r="E56" s="42"/>
      <c r="F56" s="42"/>
      <c r="G56" s="42"/>
      <c r="H56" s="11"/>
      <c r="O56" s="147"/>
      <c r="P56" s="148"/>
      <c r="Q56" s="148"/>
    </row>
    <row r="57" spans="1:18" ht="15.75" customHeight="1" x14ac:dyDescent="0.6">
      <c r="A57" s="12"/>
      <c r="B57" s="149" t="s">
        <v>3</v>
      </c>
      <c r="C57" s="150" t="s">
        <v>4</v>
      </c>
      <c r="D57" s="150" t="s">
        <v>207</v>
      </c>
      <c r="E57" s="150" t="s">
        <v>5</v>
      </c>
      <c r="F57" s="150" t="s">
        <v>48</v>
      </c>
      <c r="G57" s="151" t="s">
        <v>49</v>
      </c>
      <c r="H57" s="11"/>
      <c r="P57" s="29"/>
      <c r="Q57" s="29"/>
    </row>
    <row r="58" spans="1:18" ht="15.75" customHeight="1" x14ac:dyDescent="0.6">
      <c r="A58" s="12"/>
      <c r="B58" s="155" t="s">
        <v>984</v>
      </c>
      <c r="C58" s="55" t="s">
        <v>127</v>
      </c>
      <c r="D58" s="55" t="s">
        <v>208</v>
      </c>
      <c r="E58" s="142">
        <v>1</v>
      </c>
      <c r="F58" s="55">
        <v>7891.02</v>
      </c>
      <c r="G58" s="153">
        <f>IF(D58="sim",E58*F58,0)</f>
        <v>7891.02</v>
      </c>
      <c r="H58" s="11"/>
      <c r="O58" s="32" t="s">
        <v>63</v>
      </c>
      <c r="P58" s="29">
        <v>8</v>
      </c>
      <c r="Q58" s="29" t="s">
        <v>64</v>
      </c>
    </row>
    <row r="59" spans="1:18" ht="15.75" customHeight="1" x14ac:dyDescent="0.6">
      <c r="A59" s="12"/>
      <c r="B59" s="155" t="s">
        <v>983</v>
      </c>
      <c r="C59" s="55" t="s">
        <v>66</v>
      </c>
      <c r="D59" s="55" t="s">
        <v>209</v>
      </c>
      <c r="E59" s="142"/>
      <c r="F59" s="55"/>
      <c r="G59" s="153">
        <f t="shared" ref="G59:G62" si="5">IF(D59="sim",E59*F59,0)</f>
        <v>0</v>
      </c>
      <c r="H59" s="11"/>
      <c r="P59" s="29">
        <f>P58*P8</f>
        <v>40</v>
      </c>
      <c r="Q59" s="29" t="s">
        <v>41</v>
      </c>
    </row>
    <row r="60" spans="1:18" ht="15.75" customHeight="1" x14ac:dyDescent="0.25">
      <c r="A60" s="61"/>
      <c r="B60" s="155" t="s">
        <v>396</v>
      </c>
      <c r="C60" s="55" t="s">
        <v>66</v>
      </c>
      <c r="D60" s="55" t="s">
        <v>209</v>
      </c>
      <c r="E60" s="142"/>
      <c r="F60" s="55"/>
      <c r="G60" s="153">
        <f t="shared" si="5"/>
        <v>0</v>
      </c>
      <c r="H60" s="62"/>
      <c r="P60" s="29"/>
      <c r="Q60" s="29"/>
    </row>
    <row r="61" spans="1:18" ht="15.75" customHeight="1" x14ac:dyDescent="0.25">
      <c r="A61" s="61"/>
      <c r="B61" s="155" t="s">
        <v>982</v>
      </c>
      <c r="C61" s="55" t="s">
        <v>66</v>
      </c>
      <c r="D61" s="55" t="s">
        <v>209</v>
      </c>
      <c r="E61" s="142"/>
      <c r="F61" s="55"/>
      <c r="G61" s="153">
        <f t="shared" si="5"/>
        <v>0</v>
      </c>
      <c r="H61" s="62"/>
      <c r="O61" s="32" t="s">
        <v>65</v>
      </c>
      <c r="P61" s="29">
        <f>IF(P4&lt;20000,100,100+((P4-20000)/1000)*5)</f>
        <v>100</v>
      </c>
      <c r="Q61" s="29" t="s">
        <v>66</v>
      </c>
    </row>
    <row r="62" spans="1:18" ht="15.75" customHeight="1" x14ac:dyDescent="0.25">
      <c r="A62" s="61"/>
      <c r="B62" s="155" t="s">
        <v>985</v>
      </c>
      <c r="C62" s="55" t="s">
        <v>66</v>
      </c>
      <c r="D62" s="55" t="s">
        <v>209</v>
      </c>
      <c r="E62" s="142"/>
      <c r="F62" s="55"/>
      <c r="G62" s="153">
        <f t="shared" si="5"/>
        <v>0</v>
      </c>
      <c r="H62" s="62"/>
      <c r="P62" s="29"/>
      <c r="Q62" s="29"/>
    </row>
    <row r="63" spans="1:18" ht="15.75" customHeight="1" thickBot="1" x14ac:dyDescent="0.3">
      <c r="A63" s="139"/>
      <c r="B63" s="155" t="s">
        <v>4174</v>
      </c>
      <c r="C63" s="55" t="s">
        <v>127</v>
      </c>
      <c r="D63" s="55" t="s">
        <v>208</v>
      </c>
      <c r="E63" s="142"/>
      <c r="F63" s="55" t="s">
        <v>4175</v>
      </c>
      <c r="G63" s="153"/>
      <c r="H63" s="140"/>
      <c r="P63" s="29"/>
      <c r="Q63" s="29"/>
    </row>
    <row r="64" spans="1:18" ht="15.75" customHeight="1" thickBot="1" x14ac:dyDescent="0.3">
      <c r="A64" s="72"/>
      <c r="B64" s="1040" t="s">
        <v>56</v>
      </c>
      <c r="C64" s="1041"/>
      <c r="D64" s="1041"/>
      <c r="E64" s="1041"/>
      <c r="F64" s="1042"/>
      <c r="G64" s="156">
        <f>SUM(G58:G63)</f>
        <v>7891.02</v>
      </c>
      <c r="H64" s="140"/>
      <c r="O64" s="32" t="s">
        <v>38</v>
      </c>
      <c r="P64" s="29">
        <f>P6*800</f>
        <v>52000</v>
      </c>
      <c r="Q64" s="29" t="s">
        <v>68</v>
      </c>
    </row>
    <row r="65" spans="1:19" ht="15.75" customHeight="1" x14ac:dyDescent="0.25">
      <c r="A65" s="143"/>
      <c r="B65" s="144"/>
      <c r="C65" s="144"/>
      <c r="D65" s="144"/>
      <c r="E65" s="157"/>
      <c r="F65" s="144"/>
      <c r="G65" s="145"/>
      <c r="H65" s="140"/>
      <c r="P65" s="29"/>
      <c r="Q65" s="29"/>
    </row>
    <row r="66" spans="1:19" ht="15.75" customHeight="1" x14ac:dyDescent="0.25">
      <c r="A66" s="143"/>
      <c r="B66" s="158"/>
      <c r="C66" s="144"/>
      <c r="D66" s="144"/>
      <c r="E66" s="157"/>
      <c r="F66" s="144"/>
      <c r="G66" s="145"/>
      <c r="H66" s="140"/>
      <c r="O66" s="32" t="s">
        <v>42</v>
      </c>
      <c r="P66" s="29">
        <f>P6*500</f>
        <v>32500</v>
      </c>
      <c r="Q66" s="29" t="s">
        <v>69</v>
      </c>
      <c r="R66" s="32" t="s">
        <v>70</v>
      </c>
    </row>
    <row r="67" spans="1:19" ht="15.75" customHeight="1" thickBot="1" x14ac:dyDescent="0.3">
      <c r="A67" s="74"/>
      <c r="B67" s="75"/>
      <c r="C67" s="75"/>
      <c r="D67" s="75"/>
      <c r="E67" s="75"/>
      <c r="F67" s="75"/>
      <c r="G67" s="75"/>
      <c r="H67" s="76"/>
      <c r="P67" s="29"/>
      <c r="Q67" s="29"/>
    </row>
    <row r="68" spans="1:19" ht="15.75" customHeight="1" x14ac:dyDescent="0.25">
      <c r="P68" s="29"/>
      <c r="Q68" s="29"/>
    </row>
    <row r="69" spans="1:19" ht="15.75" customHeight="1" x14ac:dyDescent="0.25">
      <c r="O69" s="32" t="s">
        <v>44</v>
      </c>
      <c r="P69" s="29">
        <v>1</v>
      </c>
      <c r="Q69" s="29" t="s">
        <v>71</v>
      </c>
      <c r="R69" s="32">
        <v>20</v>
      </c>
      <c r="S69" s="32" t="s">
        <v>72</v>
      </c>
    </row>
    <row r="70" spans="1:19" ht="15.75" customHeight="1" x14ac:dyDescent="0.25">
      <c r="P70" s="29">
        <f>ROUNDUP(P6/R69,)</f>
        <v>4</v>
      </c>
      <c r="Q70" s="29"/>
    </row>
  </sheetData>
  <mergeCells count="7">
    <mergeCell ref="B64:F64"/>
    <mergeCell ref="B51:F51"/>
    <mergeCell ref="B31:E31"/>
    <mergeCell ref="O3:Q3"/>
    <mergeCell ref="S3:U3"/>
    <mergeCell ref="A4:H4"/>
    <mergeCell ref="B26:E26"/>
  </mergeCells>
  <dataValidations count="1">
    <dataValidation type="list" allowBlank="1" showInputMessage="1" showErrorMessage="1" sqref="D36:D50 D58:D63" xr:uid="{00000000-0002-0000-0700-000000000000}">
      <formula1>"Sim,Não"</formula1>
    </dataValidation>
  </dataValidations>
  <pageMargins left="0.511811024" right="0.511811024" top="0.78740157499999996" bottom="0.78740157499999996" header="0" footer="0"/>
  <pageSetup paperSize="9" scale="6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pageSetUpPr fitToPage="1"/>
  </sheetPr>
  <dimension ref="A1:F228"/>
  <sheetViews>
    <sheetView showGridLines="0" zoomScale="85" zoomScaleNormal="85" zoomScalePageLayoutView="55" workbookViewId="0">
      <pane ySplit="11" topLeftCell="A12" activePane="bottomLeft" state="frozen"/>
      <selection pane="bottomLeft" activeCell="D12" sqref="D12"/>
    </sheetView>
  </sheetViews>
  <sheetFormatPr defaultColWidth="11.5703125" defaultRowHeight="12.75" x14ac:dyDescent="0.2"/>
  <cols>
    <col min="1" max="1" width="12.28515625" style="754" customWidth="1"/>
    <col min="2" max="2" width="83.85546875" style="754" customWidth="1"/>
    <col min="3" max="3" width="8.140625" style="836" customWidth="1"/>
    <col min="4" max="4" width="11.7109375" style="755" customWidth="1"/>
    <col min="5" max="16384" width="11.5703125" style="754"/>
  </cols>
  <sheetData>
    <row r="1" spans="1:6" x14ac:dyDescent="0.2">
      <c r="A1" s="1048" t="s">
        <v>1037</v>
      </c>
      <c r="B1" s="1049"/>
      <c r="C1" s="1049"/>
      <c r="D1" s="1049"/>
    </row>
    <row r="2" spans="1:6" ht="15" x14ac:dyDescent="0.2">
      <c r="A2" s="807" t="s">
        <v>1038</v>
      </c>
      <c r="B2" s="808" t="s">
        <v>1039</v>
      </c>
      <c r="C2" s="809"/>
      <c r="D2" s="810"/>
    </row>
    <row r="3" spans="1:6" x14ac:dyDescent="0.2">
      <c r="A3" s="807" t="s">
        <v>0</v>
      </c>
      <c r="B3" s="808" t="s">
        <v>392</v>
      </c>
      <c r="C3" s="811"/>
      <c r="D3" s="812"/>
    </row>
    <row r="4" spans="1:6" x14ac:dyDescent="0.2">
      <c r="A4" s="807" t="s">
        <v>1040</v>
      </c>
      <c r="B4" s="808" t="s">
        <v>1041</v>
      </c>
      <c r="C4" s="813"/>
      <c r="D4" s="814"/>
    </row>
    <row r="5" spans="1:6" x14ac:dyDescent="0.2">
      <c r="A5" s="807" t="s">
        <v>1042</v>
      </c>
      <c r="B5" s="808" t="s">
        <v>1043</v>
      </c>
      <c r="C5" s="813"/>
      <c r="D5" s="814"/>
    </row>
    <row r="6" spans="1:6" x14ac:dyDescent="0.2">
      <c r="A6" s="807" t="s">
        <v>1044</v>
      </c>
      <c r="B6" s="808" t="s">
        <v>1045</v>
      </c>
      <c r="C6" s="815"/>
      <c r="D6" s="816"/>
    </row>
    <row r="7" spans="1:6" x14ac:dyDescent="0.2">
      <c r="A7" s="807" t="s">
        <v>3</v>
      </c>
      <c r="B7" s="808" t="s">
        <v>1045</v>
      </c>
      <c r="C7" s="817"/>
      <c r="D7" s="818"/>
    </row>
    <row r="8" spans="1:6" x14ac:dyDescent="0.2">
      <c r="A8" s="1050"/>
      <c r="B8" s="1051"/>
      <c r="C8" s="1051"/>
      <c r="D8" s="1052"/>
    </row>
    <row r="9" spans="1:6" x14ac:dyDescent="0.2">
      <c r="A9" s="1053" t="s">
        <v>1046</v>
      </c>
      <c r="B9" s="1054"/>
      <c r="C9" s="1054"/>
      <c r="D9" s="1054"/>
    </row>
    <row r="10" spans="1:6" x14ac:dyDescent="0.2">
      <c r="A10" s="1055" t="s">
        <v>183</v>
      </c>
      <c r="B10" s="1055" t="s">
        <v>3</v>
      </c>
      <c r="C10" s="1055" t="s">
        <v>192</v>
      </c>
      <c r="D10" s="1055" t="s">
        <v>5</v>
      </c>
    </row>
    <row r="11" spans="1:6" x14ac:dyDescent="0.2">
      <c r="A11" s="1055"/>
      <c r="B11" s="1055"/>
      <c r="C11" s="1055"/>
      <c r="D11" s="1055"/>
    </row>
    <row r="12" spans="1:6" x14ac:dyDescent="0.2">
      <c r="A12" s="819" t="s">
        <v>1047</v>
      </c>
      <c r="B12" s="820" t="s">
        <v>1048</v>
      </c>
      <c r="C12" s="821"/>
      <c r="D12" s="822"/>
    </row>
    <row r="13" spans="1:6" x14ac:dyDescent="0.2">
      <c r="A13" s="823" t="s">
        <v>1049</v>
      </c>
      <c r="B13" s="824" t="s">
        <v>457</v>
      </c>
      <c r="C13" s="825"/>
      <c r="D13" s="826"/>
    </row>
    <row r="14" spans="1:6" x14ac:dyDescent="0.2">
      <c r="A14" s="827" t="s">
        <v>1050</v>
      </c>
      <c r="B14" s="828" t="s">
        <v>1051</v>
      </c>
      <c r="C14" s="829" t="s">
        <v>41</v>
      </c>
      <c r="D14" s="841">
        <v>111.45</v>
      </c>
      <c r="F14" s="831"/>
    </row>
    <row r="15" spans="1:6" x14ac:dyDescent="0.2">
      <c r="A15" s="832" t="s">
        <v>1052</v>
      </c>
      <c r="B15" s="833" t="s">
        <v>1053</v>
      </c>
      <c r="C15" s="834" t="s">
        <v>41</v>
      </c>
      <c r="D15" s="841">
        <v>9206.56</v>
      </c>
      <c r="F15" s="831"/>
    </row>
    <row r="16" spans="1:6" x14ac:dyDescent="0.2">
      <c r="A16" s="827" t="s">
        <v>1054</v>
      </c>
      <c r="B16" s="828" t="s">
        <v>1055</v>
      </c>
      <c r="C16" s="829" t="s">
        <v>41</v>
      </c>
      <c r="D16" s="841">
        <v>2448.61</v>
      </c>
      <c r="F16" s="831"/>
    </row>
    <row r="17" spans="1:6" x14ac:dyDescent="0.2">
      <c r="A17" s="823" t="s">
        <v>1056</v>
      </c>
      <c r="B17" s="824" t="s">
        <v>1057</v>
      </c>
      <c r="C17" s="825"/>
      <c r="D17" s="826"/>
    </row>
    <row r="18" spans="1:6" x14ac:dyDescent="0.2">
      <c r="A18" s="832" t="s">
        <v>1058</v>
      </c>
      <c r="B18" s="833" t="s">
        <v>1059</v>
      </c>
      <c r="C18" s="834" t="s">
        <v>41</v>
      </c>
      <c r="D18" s="841">
        <v>1252.81</v>
      </c>
      <c r="F18" s="831"/>
    </row>
    <row r="19" spans="1:6" x14ac:dyDescent="0.2">
      <c r="A19" s="823" t="s">
        <v>1060</v>
      </c>
      <c r="B19" s="824" t="s">
        <v>1061</v>
      </c>
      <c r="C19" s="825"/>
      <c r="D19" s="826"/>
    </row>
    <row r="20" spans="1:6" x14ac:dyDescent="0.2">
      <c r="A20" s="827" t="s">
        <v>1062</v>
      </c>
      <c r="B20" s="828" t="s">
        <v>1063</v>
      </c>
      <c r="C20" s="829" t="s">
        <v>54</v>
      </c>
      <c r="D20" s="841">
        <v>77.42</v>
      </c>
    </row>
    <row r="21" spans="1:6" x14ac:dyDescent="0.2">
      <c r="A21" s="827" t="s">
        <v>1064</v>
      </c>
      <c r="B21" s="903" t="s">
        <v>3598</v>
      </c>
      <c r="C21" s="904" t="s">
        <v>41</v>
      </c>
      <c r="D21" s="905">
        <v>8.07</v>
      </c>
    </row>
    <row r="22" spans="1:6" x14ac:dyDescent="0.2">
      <c r="A22" s="827" t="s">
        <v>3596</v>
      </c>
      <c r="B22" s="828" t="s">
        <v>1065</v>
      </c>
      <c r="C22" s="829" t="s">
        <v>54</v>
      </c>
      <c r="D22" s="841">
        <v>48.25</v>
      </c>
    </row>
    <row r="23" spans="1:6" x14ac:dyDescent="0.2">
      <c r="A23" s="827" t="s">
        <v>3597</v>
      </c>
      <c r="B23" s="903" t="s">
        <v>3599</v>
      </c>
      <c r="C23" s="904" t="s">
        <v>41</v>
      </c>
      <c r="D23" s="905">
        <v>311</v>
      </c>
    </row>
    <row r="24" spans="1:6" x14ac:dyDescent="0.2">
      <c r="A24" s="823" t="s">
        <v>1066</v>
      </c>
      <c r="B24" s="824" t="s">
        <v>1067</v>
      </c>
      <c r="C24" s="825"/>
      <c r="D24" s="826"/>
    </row>
    <row r="25" spans="1:6" x14ac:dyDescent="0.2">
      <c r="A25" s="827" t="s">
        <v>1068</v>
      </c>
      <c r="B25" s="828" t="s">
        <v>1069</v>
      </c>
      <c r="C25" s="829" t="s">
        <v>54</v>
      </c>
      <c r="D25" s="841">
        <v>6970.07</v>
      </c>
    </row>
    <row r="26" spans="1:6" x14ac:dyDescent="0.2">
      <c r="A26" s="832" t="s">
        <v>1070</v>
      </c>
      <c r="B26" s="833" t="s">
        <v>1071</v>
      </c>
      <c r="C26" s="834" t="s">
        <v>54</v>
      </c>
      <c r="D26" s="841">
        <v>7999</v>
      </c>
    </row>
    <row r="27" spans="1:6" x14ac:dyDescent="0.2">
      <c r="A27" s="823" t="s">
        <v>1072</v>
      </c>
      <c r="B27" s="824" t="s">
        <v>1073</v>
      </c>
      <c r="C27" s="825"/>
      <c r="D27" s="826"/>
    </row>
    <row r="28" spans="1:6" x14ac:dyDescent="0.2">
      <c r="A28" s="827" t="s">
        <v>1074</v>
      </c>
      <c r="B28" s="828" t="s">
        <v>1085</v>
      </c>
      <c r="C28" s="829" t="s">
        <v>41</v>
      </c>
      <c r="D28" s="841">
        <v>67.19</v>
      </c>
      <c r="E28" s="831"/>
    </row>
    <row r="29" spans="1:6" x14ac:dyDescent="0.2">
      <c r="A29" s="827" t="s">
        <v>1074</v>
      </c>
      <c r="B29" s="828" t="s">
        <v>1075</v>
      </c>
      <c r="C29" s="829" t="s">
        <v>41</v>
      </c>
      <c r="D29" s="841">
        <v>148.83000000000001</v>
      </c>
      <c r="E29" s="831"/>
    </row>
    <row r="30" spans="1:6" x14ac:dyDescent="0.2">
      <c r="A30" s="832" t="s">
        <v>1076</v>
      </c>
      <c r="B30" s="833" t="s">
        <v>1077</v>
      </c>
      <c r="C30" s="834" t="s">
        <v>41</v>
      </c>
      <c r="D30" s="841">
        <v>1547.93</v>
      </c>
    </row>
    <row r="31" spans="1:6" x14ac:dyDescent="0.2">
      <c r="A31" s="827" t="s">
        <v>1078</v>
      </c>
      <c r="B31" s="828" t="s">
        <v>1079</v>
      </c>
      <c r="C31" s="829" t="s">
        <v>41</v>
      </c>
      <c r="D31" s="841">
        <v>31.37</v>
      </c>
    </row>
    <row r="32" spans="1:6" x14ac:dyDescent="0.2">
      <c r="A32" s="832" t="s">
        <v>1080</v>
      </c>
      <c r="B32" s="833" t="s">
        <v>1081</v>
      </c>
      <c r="C32" s="834" t="s">
        <v>41</v>
      </c>
      <c r="D32" s="841">
        <v>25.09</v>
      </c>
    </row>
    <row r="33" spans="1:5" x14ac:dyDescent="0.2">
      <c r="A33" s="832" t="s">
        <v>3526</v>
      </c>
      <c r="B33" s="833" t="s">
        <v>1194</v>
      </c>
      <c r="C33" s="834" t="s">
        <v>41</v>
      </c>
      <c r="D33" s="841">
        <v>28.49</v>
      </c>
    </row>
    <row r="34" spans="1:5" x14ac:dyDescent="0.2">
      <c r="A34" s="823" t="s">
        <v>1082</v>
      </c>
      <c r="B34" s="824" t="s">
        <v>1083</v>
      </c>
      <c r="C34" s="825"/>
      <c r="D34" s="826"/>
    </row>
    <row r="35" spans="1:5" x14ac:dyDescent="0.2">
      <c r="A35" s="827" t="s">
        <v>1084</v>
      </c>
      <c r="B35" s="833" t="s">
        <v>1087</v>
      </c>
      <c r="C35" s="834" t="s">
        <v>41</v>
      </c>
      <c r="D35" s="841">
        <v>81.319999999999993</v>
      </c>
    </row>
    <row r="36" spans="1:5" x14ac:dyDescent="0.2">
      <c r="A36" s="832" t="s">
        <v>1086</v>
      </c>
      <c r="B36" s="828" t="s">
        <v>1088</v>
      </c>
      <c r="C36" s="829" t="s">
        <v>41</v>
      </c>
      <c r="D36" s="841">
        <v>272.20999999999998</v>
      </c>
    </row>
    <row r="37" spans="1:5" x14ac:dyDescent="0.2">
      <c r="A37" s="823" t="s">
        <v>1089</v>
      </c>
      <c r="B37" s="824" t="s">
        <v>468</v>
      </c>
      <c r="C37" s="825"/>
      <c r="D37" s="826"/>
    </row>
    <row r="38" spans="1:5" x14ac:dyDescent="0.2">
      <c r="A38" s="832" t="s">
        <v>1090</v>
      </c>
      <c r="B38" s="833" t="s">
        <v>1091</v>
      </c>
      <c r="C38" s="834" t="s">
        <v>41</v>
      </c>
      <c r="D38" s="842">
        <v>261.08999999999997</v>
      </c>
    </row>
    <row r="39" spans="1:5" x14ac:dyDescent="0.2">
      <c r="A39" s="827" t="s">
        <v>1092</v>
      </c>
      <c r="B39" s="828" t="s">
        <v>1093</v>
      </c>
      <c r="C39" s="829" t="s">
        <v>41</v>
      </c>
      <c r="D39" s="842">
        <v>2153.2399999999998</v>
      </c>
    </row>
    <row r="40" spans="1:5" x14ac:dyDescent="0.2">
      <c r="A40" s="823" t="s">
        <v>1094</v>
      </c>
      <c r="B40" s="824" t="s">
        <v>1095</v>
      </c>
      <c r="C40" s="825"/>
      <c r="D40" s="826"/>
    </row>
    <row r="41" spans="1:5" x14ac:dyDescent="0.2">
      <c r="A41" s="832" t="s">
        <v>1096</v>
      </c>
      <c r="B41" s="833" t="s">
        <v>1097</v>
      </c>
      <c r="C41" s="834" t="s">
        <v>41</v>
      </c>
      <c r="D41" s="841">
        <v>71.92</v>
      </c>
      <c r="E41" s="831"/>
    </row>
    <row r="42" spans="1:5" x14ac:dyDescent="0.2">
      <c r="A42" s="827" t="s">
        <v>1098</v>
      </c>
      <c r="B42" s="828" t="s">
        <v>1099</v>
      </c>
      <c r="C42" s="829" t="s">
        <v>41</v>
      </c>
      <c r="D42" s="841">
        <v>260.06</v>
      </c>
    </row>
    <row r="43" spans="1:5" x14ac:dyDescent="0.2">
      <c r="A43" s="832" t="s">
        <v>1100</v>
      </c>
      <c r="B43" s="833" t="s">
        <v>1101</v>
      </c>
      <c r="C43" s="834" t="s">
        <v>41</v>
      </c>
      <c r="D43" s="841">
        <v>504.58</v>
      </c>
    </row>
    <row r="44" spans="1:5" x14ac:dyDescent="0.2">
      <c r="A44" s="827" t="s">
        <v>1102</v>
      </c>
      <c r="B44" s="828" t="s">
        <v>1103</v>
      </c>
      <c r="C44" s="829" t="s">
        <v>41</v>
      </c>
      <c r="D44" s="841">
        <v>1227.03</v>
      </c>
    </row>
    <row r="45" spans="1:5" x14ac:dyDescent="0.2">
      <c r="A45" s="832" t="s">
        <v>1104</v>
      </c>
      <c r="B45" s="833" t="s">
        <v>1105</v>
      </c>
      <c r="C45" s="834" t="s">
        <v>41</v>
      </c>
      <c r="D45" s="841">
        <v>16.87</v>
      </c>
    </row>
    <row r="46" spans="1:5" x14ac:dyDescent="0.2">
      <c r="A46" s="827" t="s">
        <v>1106</v>
      </c>
      <c r="B46" s="828" t="s">
        <v>1107</v>
      </c>
      <c r="C46" s="829" t="s">
        <v>41</v>
      </c>
      <c r="D46" s="841">
        <v>384.79</v>
      </c>
    </row>
    <row r="47" spans="1:5" x14ac:dyDescent="0.2">
      <c r="A47" s="832" t="s">
        <v>1108</v>
      </c>
      <c r="B47" s="833" t="s">
        <v>1109</v>
      </c>
      <c r="C47" s="834" t="s">
        <v>41</v>
      </c>
      <c r="D47" s="841">
        <v>216.84</v>
      </c>
    </row>
    <row r="48" spans="1:5" x14ac:dyDescent="0.2">
      <c r="A48" s="827" t="s">
        <v>1110</v>
      </c>
      <c r="B48" s="828" t="s">
        <v>1111</v>
      </c>
      <c r="C48" s="829" t="s">
        <v>41</v>
      </c>
      <c r="D48" s="841">
        <v>153.6</v>
      </c>
    </row>
    <row r="49" spans="1:5" x14ac:dyDescent="0.2">
      <c r="A49" s="832" t="s">
        <v>1112</v>
      </c>
      <c r="B49" s="833" t="s">
        <v>1113</v>
      </c>
      <c r="C49" s="834" t="s">
        <v>41</v>
      </c>
      <c r="D49" s="841">
        <v>32.979999999999997</v>
      </c>
    </row>
    <row r="50" spans="1:5" x14ac:dyDescent="0.2">
      <c r="A50" s="827" t="s">
        <v>1114</v>
      </c>
      <c r="B50" s="828" t="s">
        <v>1115</v>
      </c>
      <c r="C50" s="829" t="s">
        <v>41</v>
      </c>
      <c r="D50" s="841">
        <v>153.28</v>
      </c>
    </row>
    <row r="51" spans="1:5" x14ac:dyDescent="0.2">
      <c r="A51" s="832" t="s">
        <v>1116</v>
      </c>
      <c r="B51" s="833" t="s">
        <v>1117</v>
      </c>
      <c r="C51" s="834" t="s">
        <v>41</v>
      </c>
      <c r="D51" s="841">
        <v>165.8</v>
      </c>
    </row>
    <row r="52" spans="1:5" x14ac:dyDescent="0.2">
      <c r="A52" s="827" t="s">
        <v>1118</v>
      </c>
      <c r="B52" s="828" t="s">
        <v>1119</v>
      </c>
      <c r="C52" s="829" t="s">
        <v>41</v>
      </c>
      <c r="D52" s="841">
        <v>1121.7</v>
      </c>
      <c r="E52" s="831"/>
    </row>
    <row r="53" spans="1:5" x14ac:dyDescent="0.2">
      <c r="A53" s="832" t="s">
        <v>1120</v>
      </c>
      <c r="B53" s="833" t="s">
        <v>1121</v>
      </c>
      <c r="C53" s="834" t="s">
        <v>41</v>
      </c>
      <c r="D53" s="841">
        <v>48.79</v>
      </c>
    </row>
    <row r="54" spans="1:5" x14ac:dyDescent="0.2">
      <c r="A54" s="827" t="s">
        <v>1122</v>
      </c>
      <c r="B54" s="828" t="s">
        <v>1123</v>
      </c>
      <c r="C54" s="829" t="s">
        <v>41</v>
      </c>
      <c r="D54" s="841">
        <v>70.03</v>
      </c>
    </row>
    <row r="55" spans="1:5" x14ac:dyDescent="0.2">
      <c r="A55" s="832" t="s">
        <v>1124</v>
      </c>
      <c r="B55" s="833" t="s">
        <v>1125</v>
      </c>
      <c r="C55" s="834" t="s">
        <v>41</v>
      </c>
      <c r="D55" s="842">
        <v>90.68</v>
      </c>
      <c r="E55" s="754" t="s">
        <v>3495</v>
      </c>
    </row>
    <row r="56" spans="1:5" x14ac:dyDescent="0.2">
      <c r="A56" s="823" t="s">
        <v>1126</v>
      </c>
      <c r="B56" s="824" t="s">
        <v>1127</v>
      </c>
      <c r="C56" s="825"/>
      <c r="D56" s="826"/>
    </row>
    <row r="57" spans="1:5" x14ac:dyDescent="0.2">
      <c r="A57" s="827" t="s">
        <v>1128</v>
      </c>
      <c r="B57" s="828" t="s">
        <v>1129</v>
      </c>
      <c r="C57" s="829" t="s">
        <v>41</v>
      </c>
      <c r="D57" s="841">
        <v>20245.580000000002</v>
      </c>
    </row>
    <row r="58" spans="1:5" x14ac:dyDescent="0.2">
      <c r="A58" s="832" t="s">
        <v>1130</v>
      </c>
      <c r="B58" s="833" t="s">
        <v>1131</v>
      </c>
      <c r="C58" s="834" t="s">
        <v>41</v>
      </c>
      <c r="D58" s="841">
        <v>4961.99</v>
      </c>
    </row>
    <row r="59" spans="1:5" x14ac:dyDescent="0.2">
      <c r="A59" s="823" t="s">
        <v>1132</v>
      </c>
      <c r="B59" s="824" t="s">
        <v>1133</v>
      </c>
      <c r="C59" s="825"/>
      <c r="D59" s="826"/>
    </row>
    <row r="60" spans="1:5" x14ac:dyDescent="0.2">
      <c r="A60" s="827" t="s">
        <v>1134</v>
      </c>
      <c r="B60" s="828" t="s">
        <v>1135</v>
      </c>
      <c r="C60" s="829" t="s">
        <v>41</v>
      </c>
      <c r="D60" s="841">
        <v>7056.9</v>
      </c>
    </row>
    <row r="61" spans="1:5" x14ac:dyDescent="0.2">
      <c r="A61" s="823" t="s">
        <v>1136</v>
      </c>
      <c r="B61" s="824" t="s">
        <v>1137</v>
      </c>
      <c r="C61" s="825"/>
      <c r="D61" s="826"/>
    </row>
    <row r="62" spans="1:5" x14ac:dyDescent="0.2">
      <c r="A62" s="832" t="s">
        <v>1138</v>
      </c>
      <c r="B62" s="833" t="s">
        <v>1139</v>
      </c>
      <c r="C62" s="834" t="s">
        <v>41</v>
      </c>
      <c r="D62" s="841">
        <v>25207.57</v>
      </c>
    </row>
    <row r="63" spans="1:5" x14ac:dyDescent="0.2">
      <c r="A63" s="823" t="s">
        <v>1140</v>
      </c>
      <c r="B63" s="824" t="s">
        <v>1141</v>
      </c>
      <c r="C63" s="825"/>
      <c r="D63" s="826"/>
    </row>
    <row r="64" spans="1:5" x14ac:dyDescent="0.2">
      <c r="A64" s="827" t="s">
        <v>1142</v>
      </c>
      <c r="B64" s="828" t="s">
        <v>1143</v>
      </c>
      <c r="C64" s="829" t="s">
        <v>41</v>
      </c>
      <c r="D64" s="841">
        <v>1897.11</v>
      </c>
    </row>
    <row r="65" spans="1:4" x14ac:dyDescent="0.2">
      <c r="A65" s="823" t="s">
        <v>1144</v>
      </c>
      <c r="B65" s="824" t="s">
        <v>1145</v>
      </c>
      <c r="C65" s="825"/>
      <c r="D65" s="826"/>
    </row>
    <row r="66" spans="1:4" x14ac:dyDescent="0.2">
      <c r="A66" s="832" t="s">
        <v>1146</v>
      </c>
      <c r="B66" s="833" t="s">
        <v>1147</v>
      </c>
      <c r="C66" s="834" t="s">
        <v>41</v>
      </c>
      <c r="D66" s="841">
        <v>45.29</v>
      </c>
    </row>
    <row r="67" spans="1:4" x14ac:dyDescent="0.2">
      <c r="A67" s="823" t="s">
        <v>1148</v>
      </c>
      <c r="B67" s="824" t="s">
        <v>1149</v>
      </c>
      <c r="C67" s="825"/>
      <c r="D67" s="826"/>
    </row>
    <row r="68" spans="1:4" x14ac:dyDescent="0.2">
      <c r="A68" s="827" t="s">
        <v>1150</v>
      </c>
      <c r="B68" s="828" t="s">
        <v>1151</v>
      </c>
      <c r="C68" s="829" t="s">
        <v>41</v>
      </c>
      <c r="D68" s="841">
        <v>229.66</v>
      </c>
    </row>
    <row r="69" spans="1:4" x14ac:dyDescent="0.2">
      <c r="A69" s="823" t="s">
        <v>1152</v>
      </c>
      <c r="B69" s="824" t="s">
        <v>1153</v>
      </c>
      <c r="C69" s="825"/>
      <c r="D69" s="826"/>
    </row>
    <row r="70" spans="1:4" x14ac:dyDescent="0.2">
      <c r="A70" s="832" t="s">
        <v>1154</v>
      </c>
      <c r="B70" s="833" t="s">
        <v>1155</v>
      </c>
      <c r="C70" s="834" t="s">
        <v>41</v>
      </c>
      <c r="D70" s="841">
        <v>33.71</v>
      </c>
    </row>
    <row r="71" spans="1:4" x14ac:dyDescent="0.2">
      <c r="A71" s="832" t="s">
        <v>4172</v>
      </c>
      <c r="B71" s="833" t="s">
        <v>1156</v>
      </c>
      <c r="C71" s="834" t="s">
        <v>41</v>
      </c>
      <c r="D71" s="841">
        <v>4227.2</v>
      </c>
    </row>
    <row r="72" spans="1:4" x14ac:dyDescent="0.2">
      <c r="A72" s="823" t="s">
        <v>1157</v>
      </c>
      <c r="B72" s="824" t="s">
        <v>1158</v>
      </c>
      <c r="C72" s="825"/>
      <c r="D72" s="826"/>
    </row>
    <row r="73" spans="1:4" x14ac:dyDescent="0.2">
      <c r="A73" s="832" t="s">
        <v>1159</v>
      </c>
      <c r="B73" s="833" t="s">
        <v>1160</v>
      </c>
      <c r="C73" s="834" t="s">
        <v>41</v>
      </c>
      <c r="D73" s="841">
        <v>18.940000000000001</v>
      </c>
    </row>
    <row r="74" spans="1:4" x14ac:dyDescent="0.2">
      <c r="A74" s="823" t="s">
        <v>1161</v>
      </c>
      <c r="B74" s="824" t="s">
        <v>529</v>
      </c>
      <c r="C74" s="825"/>
      <c r="D74" s="826"/>
    </row>
    <row r="75" spans="1:4" x14ac:dyDescent="0.2">
      <c r="A75" s="827" t="s">
        <v>1162</v>
      </c>
      <c r="B75" s="828" t="s">
        <v>1163</v>
      </c>
      <c r="C75" s="829" t="s">
        <v>41</v>
      </c>
      <c r="D75" s="841">
        <v>9.4</v>
      </c>
    </row>
    <row r="76" spans="1:4" x14ac:dyDescent="0.2">
      <c r="A76" s="832" t="s">
        <v>1164</v>
      </c>
      <c r="B76" s="833" t="s">
        <v>1165</v>
      </c>
      <c r="C76" s="834" t="s">
        <v>41</v>
      </c>
      <c r="D76" s="841">
        <v>101.03</v>
      </c>
    </row>
    <row r="77" spans="1:4" x14ac:dyDescent="0.2">
      <c r="A77" s="827" t="s">
        <v>1166</v>
      </c>
      <c r="B77" s="828" t="s">
        <v>1167</v>
      </c>
      <c r="C77" s="829" t="s">
        <v>41</v>
      </c>
      <c r="D77" s="841">
        <v>311.56</v>
      </c>
    </row>
    <row r="78" spans="1:4" x14ac:dyDescent="0.2">
      <c r="A78" s="832" t="s">
        <v>1168</v>
      </c>
      <c r="B78" s="833" t="s">
        <v>1169</v>
      </c>
      <c r="C78" s="834" t="s">
        <v>41</v>
      </c>
      <c r="D78" s="841">
        <v>59.08</v>
      </c>
    </row>
    <row r="79" spans="1:4" x14ac:dyDescent="0.2">
      <c r="A79" s="827" t="s">
        <v>1170</v>
      </c>
      <c r="B79" s="828" t="s">
        <v>1171</v>
      </c>
      <c r="C79" s="829" t="s">
        <v>41</v>
      </c>
      <c r="D79" s="841">
        <v>2586.27</v>
      </c>
    </row>
    <row r="80" spans="1:4" x14ac:dyDescent="0.2">
      <c r="A80" s="832" t="s">
        <v>1172</v>
      </c>
      <c r="B80" s="833" t="s">
        <v>1173</v>
      </c>
      <c r="C80" s="834" t="s">
        <v>41</v>
      </c>
      <c r="D80" s="841">
        <v>16.309999999999999</v>
      </c>
    </row>
    <row r="81" spans="1:4" x14ac:dyDescent="0.2">
      <c r="A81" s="827" t="s">
        <v>1174</v>
      </c>
      <c r="B81" s="828" t="s">
        <v>1175</v>
      </c>
      <c r="C81" s="829" t="s">
        <v>41</v>
      </c>
      <c r="D81" s="841">
        <v>673.41</v>
      </c>
    </row>
    <row r="82" spans="1:4" x14ac:dyDescent="0.2">
      <c r="A82" s="832" t="s">
        <v>1176</v>
      </c>
      <c r="B82" s="833" t="s">
        <v>1177</v>
      </c>
      <c r="C82" s="834" t="s">
        <v>41</v>
      </c>
      <c r="D82" s="841">
        <v>764.49</v>
      </c>
    </row>
    <row r="83" spans="1:4" x14ac:dyDescent="0.2">
      <c r="A83" s="827" t="s">
        <v>1178</v>
      </c>
      <c r="B83" s="828" t="s">
        <v>1179</v>
      </c>
      <c r="C83" s="829" t="s">
        <v>41</v>
      </c>
      <c r="D83" s="841">
        <v>38.99</v>
      </c>
    </row>
    <row r="84" spans="1:4" x14ac:dyDescent="0.2">
      <c r="A84" s="832" t="s">
        <v>1180</v>
      </c>
      <c r="B84" s="833" t="s">
        <v>1181</v>
      </c>
      <c r="C84" s="834" t="s">
        <v>41</v>
      </c>
      <c r="D84" s="841">
        <v>554.91</v>
      </c>
    </row>
    <row r="85" spans="1:4" x14ac:dyDescent="0.2">
      <c r="A85" s="823" t="s">
        <v>1182</v>
      </c>
      <c r="B85" s="824" t="s">
        <v>1183</v>
      </c>
      <c r="C85" s="825"/>
      <c r="D85" s="826"/>
    </row>
    <row r="86" spans="1:4" x14ac:dyDescent="0.2">
      <c r="A86" s="827" t="s">
        <v>1184</v>
      </c>
      <c r="B86" s="828" t="s">
        <v>1185</v>
      </c>
      <c r="C86" s="829" t="s">
        <v>41</v>
      </c>
      <c r="D86" s="841">
        <v>11.57</v>
      </c>
    </row>
    <row r="87" spans="1:4" x14ac:dyDescent="0.2">
      <c r="A87" s="823" t="s">
        <v>1186</v>
      </c>
      <c r="B87" s="824" t="s">
        <v>540</v>
      </c>
      <c r="C87" s="825"/>
      <c r="D87" s="826"/>
    </row>
    <row r="88" spans="1:4" x14ac:dyDescent="0.2">
      <c r="A88" s="832" t="s">
        <v>1187</v>
      </c>
      <c r="B88" s="833" t="s">
        <v>1192</v>
      </c>
      <c r="C88" s="834" t="s">
        <v>41</v>
      </c>
      <c r="D88" s="841">
        <v>43.3</v>
      </c>
    </row>
    <row r="89" spans="1:4" x14ac:dyDescent="0.2">
      <c r="A89" s="827" t="s">
        <v>1189</v>
      </c>
      <c r="B89" s="828" t="s">
        <v>1194</v>
      </c>
      <c r="C89" s="829" t="s">
        <v>41</v>
      </c>
      <c r="D89" s="841">
        <v>31.04</v>
      </c>
    </row>
    <row r="90" spans="1:4" x14ac:dyDescent="0.2">
      <c r="A90" s="832" t="s">
        <v>1191</v>
      </c>
      <c r="B90" s="833" t="s">
        <v>1196</v>
      </c>
      <c r="C90" s="834" t="s">
        <v>41</v>
      </c>
      <c r="D90" s="835">
        <v>8.06</v>
      </c>
    </row>
    <row r="91" spans="1:4" x14ac:dyDescent="0.2">
      <c r="A91" s="827" t="s">
        <v>1193</v>
      </c>
      <c r="B91" s="828" t="s">
        <v>1197</v>
      </c>
      <c r="C91" s="829" t="s">
        <v>41</v>
      </c>
      <c r="D91" s="841">
        <v>9.7799999999999994</v>
      </c>
    </row>
    <row r="92" spans="1:4" x14ac:dyDescent="0.2">
      <c r="A92" s="832" t="s">
        <v>1195</v>
      </c>
      <c r="B92" s="833" t="s">
        <v>1198</v>
      </c>
      <c r="C92" s="834" t="s">
        <v>41</v>
      </c>
      <c r="D92" s="841">
        <v>1962.64</v>
      </c>
    </row>
    <row r="93" spans="1:4" x14ac:dyDescent="0.2">
      <c r="A93" s="823" t="s">
        <v>1199</v>
      </c>
      <c r="B93" s="824" t="s">
        <v>526</v>
      </c>
      <c r="C93" s="825"/>
      <c r="D93" s="826"/>
    </row>
    <row r="94" spans="1:4" x14ac:dyDescent="0.2">
      <c r="A94" s="827" t="s">
        <v>1200</v>
      </c>
      <c r="B94" s="828" t="s">
        <v>1201</v>
      </c>
      <c r="C94" s="829" t="s">
        <v>41</v>
      </c>
      <c r="D94" s="841">
        <v>52.35</v>
      </c>
    </row>
    <row r="95" spans="1:4" x14ac:dyDescent="0.2">
      <c r="A95" s="832" t="s">
        <v>1202</v>
      </c>
      <c r="B95" s="833" t="s">
        <v>1203</v>
      </c>
      <c r="C95" s="834" t="s">
        <v>41</v>
      </c>
      <c r="D95" s="841">
        <v>503</v>
      </c>
    </row>
    <row r="96" spans="1:4" x14ac:dyDescent="0.2">
      <c r="A96" s="827" t="s">
        <v>1204</v>
      </c>
      <c r="B96" s="828" t="s">
        <v>1205</v>
      </c>
      <c r="C96" s="829" t="s">
        <v>41</v>
      </c>
      <c r="D96" s="841">
        <v>2838.32</v>
      </c>
    </row>
    <row r="97" spans="1:5" x14ac:dyDescent="0.2">
      <c r="A97" s="832" t="s">
        <v>1206</v>
      </c>
      <c r="B97" s="833" t="s">
        <v>1451</v>
      </c>
      <c r="C97" s="834" t="s">
        <v>41</v>
      </c>
      <c r="D97" s="841">
        <v>432.8</v>
      </c>
    </row>
    <row r="98" spans="1:5" x14ac:dyDescent="0.2">
      <c r="A98" s="827" t="s">
        <v>1207</v>
      </c>
      <c r="B98" s="828" t="s">
        <v>1208</v>
      </c>
      <c r="C98" s="829" t="s">
        <v>41</v>
      </c>
      <c r="D98" s="841">
        <v>4521.41</v>
      </c>
    </row>
    <row r="99" spans="1:5" x14ac:dyDescent="0.2">
      <c r="A99" s="832" t="s">
        <v>1209</v>
      </c>
      <c r="B99" s="833" t="s">
        <v>1210</v>
      </c>
      <c r="C99" s="834" t="s">
        <v>41</v>
      </c>
      <c r="D99" s="842">
        <v>641.36</v>
      </c>
      <c r="E99" s="754" t="s">
        <v>3514</v>
      </c>
    </row>
    <row r="100" spans="1:5" x14ac:dyDescent="0.2">
      <c r="A100" s="823" t="s">
        <v>1211</v>
      </c>
      <c r="B100" s="824" t="s">
        <v>1212</v>
      </c>
      <c r="C100" s="825"/>
      <c r="D100" s="826"/>
    </row>
    <row r="101" spans="1:5" x14ac:dyDescent="0.2">
      <c r="A101" s="827" t="s">
        <v>1213</v>
      </c>
      <c r="B101" s="828" t="s">
        <v>1214</v>
      </c>
      <c r="C101" s="829" t="s">
        <v>41</v>
      </c>
      <c r="D101" s="841">
        <v>2052.6</v>
      </c>
    </row>
    <row r="102" spans="1:5" x14ac:dyDescent="0.2">
      <c r="A102" s="823" t="s">
        <v>1215</v>
      </c>
      <c r="B102" s="824" t="s">
        <v>1216</v>
      </c>
      <c r="C102" s="825"/>
      <c r="D102" s="826"/>
    </row>
    <row r="103" spans="1:5" x14ac:dyDescent="0.2">
      <c r="A103" s="832" t="s">
        <v>1217</v>
      </c>
      <c r="B103" s="833" t="s">
        <v>1218</v>
      </c>
      <c r="C103" s="834" t="s">
        <v>54</v>
      </c>
      <c r="D103" s="841">
        <v>4530.84</v>
      </c>
    </row>
    <row r="104" spans="1:5" x14ac:dyDescent="0.2">
      <c r="A104" s="827" t="s">
        <v>1219</v>
      </c>
      <c r="B104" s="828" t="s">
        <v>1220</v>
      </c>
      <c r="C104" s="829" t="s">
        <v>54</v>
      </c>
      <c r="D104" s="841">
        <v>18.07</v>
      </c>
    </row>
    <row r="105" spans="1:5" x14ac:dyDescent="0.2">
      <c r="A105" s="832" t="s">
        <v>1221</v>
      </c>
      <c r="B105" s="833" t="s">
        <v>1222</v>
      </c>
      <c r="C105" s="834" t="s">
        <v>54</v>
      </c>
      <c r="D105" s="841">
        <v>634.63</v>
      </c>
    </row>
    <row r="106" spans="1:5" x14ac:dyDescent="0.2">
      <c r="A106" s="827" t="s">
        <v>1223</v>
      </c>
      <c r="B106" s="828" t="s">
        <v>1224</v>
      </c>
      <c r="C106" s="829" t="s">
        <v>54</v>
      </c>
      <c r="D106" s="841">
        <v>734.39</v>
      </c>
    </row>
    <row r="107" spans="1:5" x14ac:dyDescent="0.2">
      <c r="A107" s="832" t="s">
        <v>1225</v>
      </c>
      <c r="B107" s="833" t="s">
        <v>1226</v>
      </c>
      <c r="C107" s="834" t="s">
        <v>54</v>
      </c>
      <c r="D107" s="841">
        <v>250.92</v>
      </c>
    </row>
    <row r="108" spans="1:5" x14ac:dyDescent="0.2">
      <c r="A108" s="827" t="s">
        <v>1227</v>
      </c>
      <c r="B108" s="828" t="s">
        <v>1228</v>
      </c>
      <c r="C108" s="829" t="s">
        <v>54</v>
      </c>
      <c r="D108" s="841">
        <v>24.35</v>
      </c>
    </row>
    <row r="109" spans="1:5" x14ac:dyDescent="0.2">
      <c r="A109" s="823" t="s">
        <v>1229</v>
      </c>
      <c r="B109" s="824" t="s">
        <v>1230</v>
      </c>
      <c r="C109" s="825"/>
      <c r="D109" s="826"/>
    </row>
    <row r="110" spans="1:5" x14ac:dyDescent="0.2">
      <c r="A110" s="832" t="s">
        <v>1231</v>
      </c>
      <c r="B110" s="833" t="s">
        <v>1232</v>
      </c>
      <c r="C110" s="834" t="s">
        <v>41</v>
      </c>
      <c r="D110" s="841">
        <v>16.809999999999999</v>
      </c>
    </row>
    <row r="111" spans="1:5" x14ac:dyDescent="0.2">
      <c r="A111" s="823" t="s">
        <v>1233</v>
      </c>
      <c r="B111" s="824" t="s">
        <v>541</v>
      </c>
      <c r="C111" s="825"/>
      <c r="D111" s="826"/>
    </row>
    <row r="112" spans="1:5" x14ac:dyDescent="0.2">
      <c r="A112" s="832" t="s">
        <v>1234</v>
      </c>
      <c r="B112" s="833" t="s">
        <v>1236</v>
      </c>
      <c r="C112" s="834" t="s">
        <v>41</v>
      </c>
      <c r="D112" s="841">
        <v>49.05</v>
      </c>
    </row>
    <row r="113" spans="1:4" x14ac:dyDescent="0.2">
      <c r="A113" s="827" t="s">
        <v>1235</v>
      </c>
      <c r="B113" s="828" t="s">
        <v>1238</v>
      </c>
      <c r="C113" s="829" t="s">
        <v>41</v>
      </c>
      <c r="D113" s="841">
        <v>201.49</v>
      </c>
    </row>
    <row r="114" spans="1:4" x14ac:dyDescent="0.2">
      <c r="A114" s="832" t="s">
        <v>1237</v>
      </c>
      <c r="B114" s="833" t="s">
        <v>1240</v>
      </c>
      <c r="C114" s="834" t="s">
        <v>41</v>
      </c>
      <c r="D114" s="841">
        <v>11.12</v>
      </c>
    </row>
    <row r="115" spans="1:4" x14ac:dyDescent="0.2">
      <c r="A115" s="827" t="s">
        <v>1239</v>
      </c>
      <c r="B115" s="828" t="s">
        <v>1242</v>
      </c>
      <c r="C115" s="829" t="s">
        <v>41</v>
      </c>
      <c r="D115" s="841">
        <v>171.14</v>
      </c>
    </row>
    <row r="116" spans="1:4" x14ac:dyDescent="0.2">
      <c r="A116" s="832" t="s">
        <v>1241</v>
      </c>
      <c r="B116" s="833" t="s">
        <v>1244</v>
      </c>
      <c r="C116" s="834" t="s">
        <v>41</v>
      </c>
      <c r="D116" s="841">
        <v>374.36</v>
      </c>
    </row>
    <row r="117" spans="1:4" x14ac:dyDescent="0.2">
      <c r="A117" s="832" t="s">
        <v>1243</v>
      </c>
      <c r="B117" s="833" t="s">
        <v>1246</v>
      </c>
      <c r="C117" s="834" t="s">
        <v>41</v>
      </c>
      <c r="D117" s="841">
        <v>3836.98</v>
      </c>
    </row>
    <row r="118" spans="1:4" x14ac:dyDescent="0.2">
      <c r="A118" s="827" t="s">
        <v>1245</v>
      </c>
      <c r="B118" s="828" t="s">
        <v>1248</v>
      </c>
      <c r="C118" s="829" t="s">
        <v>41</v>
      </c>
      <c r="D118" s="841">
        <v>1.1299999999999999</v>
      </c>
    </row>
    <row r="119" spans="1:4" x14ac:dyDescent="0.2">
      <c r="A119" s="832" t="s">
        <v>1247</v>
      </c>
      <c r="B119" s="833" t="s">
        <v>1160</v>
      </c>
      <c r="C119" s="834" t="s">
        <v>191</v>
      </c>
      <c r="D119" s="841">
        <v>3.26</v>
      </c>
    </row>
    <row r="120" spans="1:4" x14ac:dyDescent="0.2">
      <c r="A120" s="823" t="s">
        <v>1249</v>
      </c>
      <c r="B120" s="824" t="s">
        <v>1250</v>
      </c>
      <c r="C120" s="825"/>
      <c r="D120" s="826"/>
    </row>
    <row r="121" spans="1:4" x14ac:dyDescent="0.2">
      <c r="A121" s="827" t="s">
        <v>1251</v>
      </c>
      <c r="B121" s="828" t="s">
        <v>1252</v>
      </c>
      <c r="C121" s="829" t="s">
        <v>41</v>
      </c>
      <c r="D121" s="841">
        <v>924.31</v>
      </c>
    </row>
    <row r="122" spans="1:4" x14ac:dyDescent="0.2">
      <c r="A122" s="832" t="s">
        <v>1253</v>
      </c>
      <c r="B122" s="833" t="s">
        <v>1254</v>
      </c>
      <c r="C122" s="834" t="s">
        <v>41</v>
      </c>
      <c r="D122" s="841">
        <v>14279.97</v>
      </c>
    </row>
    <row r="123" spans="1:4" x14ac:dyDescent="0.2">
      <c r="A123" s="827" t="s">
        <v>1255</v>
      </c>
      <c r="B123" s="828" t="s">
        <v>1256</v>
      </c>
      <c r="C123" s="829" t="s">
        <v>41</v>
      </c>
      <c r="D123" s="841">
        <v>101.02</v>
      </c>
    </row>
    <row r="124" spans="1:4" x14ac:dyDescent="0.2">
      <c r="A124" s="832" t="s">
        <v>1257</v>
      </c>
      <c r="B124" s="833" t="s">
        <v>1258</v>
      </c>
      <c r="C124" s="834" t="s">
        <v>41</v>
      </c>
      <c r="D124" s="841">
        <v>88.42</v>
      </c>
    </row>
    <row r="125" spans="1:4" x14ac:dyDescent="0.2">
      <c r="A125" s="827" t="s">
        <v>1259</v>
      </c>
      <c r="B125" s="828" t="s">
        <v>1260</v>
      </c>
      <c r="C125" s="829" t="s">
        <v>41</v>
      </c>
      <c r="D125" s="841">
        <v>263.20999999999998</v>
      </c>
    </row>
    <row r="126" spans="1:4" x14ac:dyDescent="0.2">
      <c r="A126" s="832" t="s">
        <v>1261</v>
      </c>
      <c r="B126" s="833" t="s">
        <v>1262</v>
      </c>
      <c r="C126" s="834" t="s">
        <v>41</v>
      </c>
      <c r="D126" s="841">
        <v>1131.92</v>
      </c>
    </row>
    <row r="127" spans="1:4" x14ac:dyDescent="0.2">
      <c r="A127" s="827" t="s">
        <v>1263</v>
      </c>
      <c r="B127" s="828" t="s">
        <v>1264</v>
      </c>
      <c r="C127" s="829" t="s">
        <v>41</v>
      </c>
      <c r="D127" s="841">
        <v>2759.94</v>
      </c>
    </row>
    <row r="128" spans="1:4" x14ac:dyDescent="0.2">
      <c r="A128" s="832" t="s">
        <v>1265</v>
      </c>
      <c r="B128" s="833" t="s">
        <v>1266</v>
      </c>
      <c r="C128" s="834" t="s">
        <v>41</v>
      </c>
      <c r="D128" s="841">
        <v>1131.58</v>
      </c>
    </row>
    <row r="129" spans="1:4" x14ac:dyDescent="0.2">
      <c r="A129" s="827" t="s">
        <v>1267</v>
      </c>
      <c r="B129" s="828" t="s">
        <v>1268</v>
      </c>
      <c r="C129" s="829" t="s">
        <v>41</v>
      </c>
      <c r="D129" s="841">
        <v>96.62</v>
      </c>
    </row>
    <row r="130" spans="1:4" x14ac:dyDescent="0.2">
      <c r="A130" s="832" t="s">
        <v>1269</v>
      </c>
      <c r="B130" s="833" t="s">
        <v>1270</v>
      </c>
      <c r="C130" s="834" t="s">
        <v>41</v>
      </c>
      <c r="D130" s="841">
        <v>221.86</v>
      </c>
    </row>
    <row r="131" spans="1:4" x14ac:dyDescent="0.2">
      <c r="A131" s="827" t="s">
        <v>1271</v>
      </c>
      <c r="B131" s="828" t="s">
        <v>1272</v>
      </c>
      <c r="C131" s="829" t="s">
        <v>41</v>
      </c>
      <c r="D131" s="841">
        <v>1461.08</v>
      </c>
    </row>
    <row r="132" spans="1:4" x14ac:dyDescent="0.2">
      <c r="A132" s="832" t="s">
        <v>1273</v>
      </c>
      <c r="B132" s="833" t="s">
        <v>1274</v>
      </c>
      <c r="C132" s="834" t="s">
        <v>41</v>
      </c>
      <c r="D132" s="841">
        <v>3706.97</v>
      </c>
    </row>
    <row r="133" spans="1:4" x14ac:dyDescent="0.2">
      <c r="A133" s="827" t="s">
        <v>1275</v>
      </c>
      <c r="B133" s="828" t="s">
        <v>1276</v>
      </c>
      <c r="C133" s="829" t="s">
        <v>41</v>
      </c>
      <c r="D133" s="841">
        <v>3.5</v>
      </c>
    </row>
    <row r="134" spans="1:4" x14ac:dyDescent="0.2">
      <c r="A134" s="823" t="s">
        <v>1277</v>
      </c>
      <c r="B134" s="824" t="s">
        <v>1278</v>
      </c>
      <c r="C134" s="825"/>
      <c r="D134" s="826"/>
    </row>
    <row r="135" spans="1:4" x14ac:dyDescent="0.2">
      <c r="A135" s="832" t="s">
        <v>1279</v>
      </c>
      <c r="B135" s="833" t="s">
        <v>1280</v>
      </c>
      <c r="C135" s="834" t="s">
        <v>41</v>
      </c>
      <c r="D135" s="841">
        <v>7056.9</v>
      </c>
    </row>
    <row r="136" spans="1:4" x14ac:dyDescent="0.2">
      <c r="A136" s="827" t="s">
        <v>1281</v>
      </c>
      <c r="B136" s="828" t="s">
        <v>1282</v>
      </c>
      <c r="C136" s="829" t="s">
        <v>41</v>
      </c>
      <c r="D136" s="841">
        <v>4227.2</v>
      </c>
    </row>
    <row r="137" spans="1:4" x14ac:dyDescent="0.2">
      <c r="A137" s="823" t="s">
        <v>1283</v>
      </c>
      <c r="B137" s="824" t="s">
        <v>557</v>
      </c>
      <c r="C137" s="825"/>
      <c r="D137" s="826"/>
    </row>
    <row r="138" spans="1:4" x14ac:dyDescent="0.2">
      <c r="A138" s="832" t="s">
        <v>1284</v>
      </c>
      <c r="B138" s="869" t="s">
        <v>1285</v>
      </c>
      <c r="C138" s="834" t="s">
        <v>41</v>
      </c>
      <c r="D138" s="835">
        <v>1.82</v>
      </c>
    </row>
    <row r="139" spans="1:4" x14ac:dyDescent="0.2">
      <c r="A139" s="827" t="s">
        <v>1286</v>
      </c>
      <c r="B139" s="828" t="s">
        <v>1287</v>
      </c>
      <c r="C139" s="829" t="s">
        <v>54</v>
      </c>
      <c r="D139" s="830">
        <v>7380.63</v>
      </c>
    </row>
    <row r="140" spans="1:4" x14ac:dyDescent="0.2">
      <c r="A140" s="832" t="s">
        <v>1288</v>
      </c>
      <c r="B140" s="869" t="s">
        <v>1289</v>
      </c>
      <c r="C140" s="834" t="s">
        <v>41</v>
      </c>
      <c r="D140" s="835">
        <v>906.77</v>
      </c>
    </row>
    <row r="141" spans="1:4" x14ac:dyDescent="0.2">
      <c r="A141" s="827" t="s">
        <v>1290</v>
      </c>
      <c r="B141" s="869" t="s">
        <v>1291</v>
      </c>
      <c r="C141" s="829" t="s">
        <v>54</v>
      </c>
      <c r="D141" s="830">
        <v>16.34</v>
      </c>
    </row>
    <row r="142" spans="1:4" x14ac:dyDescent="0.2">
      <c r="A142" s="832" t="s">
        <v>1292</v>
      </c>
      <c r="B142" s="869" t="s">
        <v>1293</v>
      </c>
      <c r="C142" s="834" t="s">
        <v>54</v>
      </c>
      <c r="D142" s="835">
        <v>232.59</v>
      </c>
    </row>
    <row r="143" spans="1:4" x14ac:dyDescent="0.2">
      <c r="A143" s="827" t="s">
        <v>1294</v>
      </c>
      <c r="B143" s="869" t="s">
        <v>1295</v>
      </c>
      <c r="C143" s="829" t="s">
        <v>54</v>
      </c>
      <c r="D143" s="830">
        <v>16.05</v>
      </c>
    </row>
    <row r="144" spans="1:4" x14ac:dyDescent="0.2">
      <c r="A144" s="832" t="s">
        <v>1296</v>
      </c>
      <c r="B144" s="869" t="s">
        <v>1297</v>
      </c>
      <c r="C144" s="834" t="s">
        <v>54</v>
      </c>
      <c r="D144" s="835">
        <v>36.75</v>
      </c>
    </row>
    <row r="145" spans="1:4" x14ac:dyDescent="0.2">
      <c r="A145" s="827" t="s">
        <v>1298</v>
      </c>
      <c r="B145" s="869" t="s">
        <v>1299</v>
      </c>
      <c r="C145" s="829" t="s">
        <v>54</v>
      </c>
      <c r="D145" s="830">
        <v>6.89</v>
      </c>
    </row>
    <row r="146" spans="1:4" x14ac:dyDescent="0.2">
      <c r="A146" s="832" t="s">
        <v>1300</v>
      </c>
      <c r="B146" s="869" t="s">
        <v>1301</v>
      </c>
      <c r="C146" s="834" t="s">
        <v>41</v>
      </c>
      <c r="D146" s="835">
        <v>95.64</v>
      </c>
    </row>
    <row r="147" spans="1:4" x14ac:dyDescent="0.2">
      <c r="A147" s="827" t="s">
        <v>1302</v>
      </c>
      <c r="B147" s="869" t="s">
        <v>1303</v>
      </c>
      <c r="C147" s="829" t="s">
        <v>41</v>
      </c>
      <c r="D147" s="830">
        <v>238.36</v>
      </c>
    </row>
    <row r="148" spans="1:4" x14ac:dyDescent="0.2">
      <c r="A148" s="832" t="s">
        <v>1304</v>
      </c>
      <c r="B148" s="869" t="s">
        <v>1305</v>
      </c>
      <c r="C148" s="834" t="s">
        <v>41</v>
      </c>
      <c r="D148" s="835">
        <v>7.94</v>
      </c>
    </row>
    <row r="149" spans="1:4" x14ac:dyDescent="0.2">
      <c r="A149" s="827" t="s">
        <v>1306</v>
      </c>
      <c r="B149" s="869" t="s">
        <v>1307</v>
      </c>
      <c r="C149" s="829" t="s">
        <v>41</v>
      </c>
      <c r="D149" s="830">
        <v>19.63</v>
      </c>
    </row>
    <row r="150" spans="1:4" x14ac:dyDescent="0.2">
      <c r="A150" s="832" t="s">
        <v>1308</v>
      </c>
      <c r="B150" s="869" t="s">
        <v>1309</v>
      </c>
      <c r="C150" s="834" t="s">
        <v>41</v>
      </c>
      <c r="D150" s="835">
        <v>34.799999999999997</v>
      </c>
    </row>
    <row r="151" spans="1:4" x14ac:dyDescent="0.2">
      <c r="A151" s="827" t="s">
        <v>1310</v>
      </c>
      <c r="B151" s="869" t="s">
        <v>1311</v>
      </c>
      <c r="C151" s="829" t="s">
        <v>41</v>
      </c>
      <c r="D151" s="830">
        <v>7.67</v>
      </c>
    </row>
    <row r="152" spans="1:4" x14ac:dyDescent="0.2">
      <c r="A152" s="832" t="s">
        <v>1312</v>
      </c>
      <c r="B152" s="869" t="s">
        <v>1313</v>
      </c>
      <c r="C152" s="834" t="s">
        <v>41</v>
      </c>
      <c r="D152" s="835">
        <v>614.29</v>
      </c>
    </row>
    <row r="153" spans="1:4" x14ac:dyDescent="0.2">
      <c r="A153" s="827" t="s">
        <v>1314</v>
      </c>
      <c r="B153" s="869" t="s">
        <v>1315</v>
      </c>
      <c r="C153" s="829" t="s">
        <v>41</v>
      </c>
      <c r="D153" s="830">
        <v>1.34</v>
      </c>
    </row>
    <row r="154" spans="1:4" x14ac:dyDescent="0.2">
      <c r="A154" s="832" t="s">
        <v>1316</v>
      </c>
      <c r="B154" s="869" t="s">
        <v>1317</v>
      </c>
      <c r="C154" s="834" t="s">
        <v>41</v>
      </c>
      <c r="D154" s="835">
        <v>1.77</v>
      </c>
    </row>
    <row r="155" spans="1:4" x14ac:dyDescent="0.2">
      <c r="A155" s="827" t="s">
        <v>1318</v>
      </c>
      <c r="B155" s="869" t="s">
        <v>1319</v>
      </c>
      <c r="C155" s="829" t="s">
        <v>41</v>
      </c>
      <c r="D155" s="830">
        <v>1.55</v>
      </c>
    </row>
    <row r="156" spans="1:4" x14ac:dyDescent="0.2">
      <c r="A156" s="832" t="s">
        <v>1320</v>
      </c>
      <c r="B156" s="869" t="s">
        <v>1321</v>
      </c>
      <c r="C156" s="834" t="s">
        <v>41</v>
      </c>
      <c r="D156" s="835">
        <v>1.72</v>
      </c>
    </row>
    <row r="157" spans="1:4" x14ac:dyDescent="0.2">
      <c r="A157" s="827" t="s">
        <v>1322</v>
      </c>
      <c r="B157" s="869" t="s">
        <v>1323</v>
      </c>
      <c r="C157" s="829" t="s">
        <v>41</v>
      </c>
      <c r="D157" s="830">
        <v>121.92</v>
      </c>
    </row>
    <row r="158" spans="1:4" x14ac:dyDescent="0.2">
      <c r="A158" s="832" t="s">
        <v>1324</v>
      </c>
      <c r="B158" s="869" t="s">
        <v>1325</v>
      </c>
      <c r="C158" s="834" t="s">
        <v>41</v>
      </c>
      <c r="D158" s="835">
        <v>76.64</v>
      </c>
    </row>
    <row r="159" spans="1:4" x14ac:dyDescent="0.2">
      <c r="A159" s="827" t="s">
        <v>1326</v>
      </c>
      <c r="B159" s="869" t="s">
        <v>1327</v>
      </c>
      <c r="C159" s="829" t="s">
        <v>41</v>
      </c>
      <c r="D159" s="830">
        <v>4.26</v>
      </c>
    </row>
    <row r="160" spans="1:4" x14ac:dyDescent="0.2">
      <c r="A160" s="832" t="s">
        <v>1328</v>
      </c>
      <c r="B160" s="869" t="s">
        <v>1329</v>
      </c>
      <c r="C160" s="834" t="s">
        <v>41</v>
      </c>
      <c r="D160" s="835">
        <v>368.23</v>
      </c>
    </row>
    <row r="161" spans="1:4" x14ac:dyDescent="0.2">
      <c r="A161" s="827" t="s">
        <v>1330</v>
      </c>
      <c r="B161" s="869" t="s">
        <v>1331</v>
      </c>
      <c r="C161" s="829" t="s">
        <v>41</v>
      </c>
      <c r="D161" s="830">
        <v>1</v>
      </c>
    </row>
    <row r="162" spans="1:4" x14ac:dyDescent="0.2">
      <c r="A162" s="832" t="s">
        <v>1332</v>
      </c>
      <c r="B162" s="869" t="s">
        <v>1333</v>
      </c>
      <c r="C162" s="834" t="s">
        <v>41</v>
      </c>
      <c r="D162" s="835">
        <v>12.09</v>
      </c>
    </row>
    <row r="163" spans="1:4" x14ac:dyDescent="0.2">
      <c r="A163" s="827" t="s">
        <v>1334</v>
      </c>
      <c r="B163" s="869" t="s">
        <v>1335</v>
      </c>
      <c r="C163" s="829" t="s">
        <v>41</v>
      </c>
      <c r="D163" s="830">
        <v>1.3</v>
      </c>
    </row>
    <row r="164" spans="1:4" x14ac:dyDescent="0.2">
      <c r="A164" s="832" t="s">
        <v>1336</v>
      </c>
      <c r="B164" s="869" t="s">
        <v>1337</v>
      </c>
      <c r="C164" s="834" t="s">
        <v>41</v>
      </c>
      <c r="D164" s="835">
        <v>3.06</v>
      </c>
    </row>
    <row r="165" spans="1:4" x14ac:dyDescent="0.2">
      <c r="A165" s="827" t="s">
        <v>1338</v>
      </c>
      <c r="B165" s="869" t="s">
        <v>1339</v>
      </c>
      <c r="C165" s="829" t="s">
        <v>41</v>
      </c>
      <c r="D165" s="830">
        <v>1.65</v>
      </c>
    </row>
    <row r="166" spans="1:4" x14ac:dyDescent="0.2">
      <c r="A166" s="832" t="s">
        <v>1340</v>
      </c>
      <c r="B166" s="869" t="s">
        <v>1341</v>
      </c>
      <c r="C166" s="834" t="s">
        <v>41</v>
      </c>
      <c r="D166" s="835">
        <v>3.69</v>
      </c>
    </row>
    <row r="167" spans="1:4" x14ac:dyDescent="0.2">
      <c r="A167" s="827" t="s">
        <v>1342</v>
      </c>
      <c r="B167" s="869" t="s">
        <v>1343</v>
      </c>
      <c r="C167" s="829" t="s">
        <v>41</v>
      </c>
      <c r="D167" s="830">
        <v>3.44</v>
      </c>
    </row>
    <row r="168" spans="1:4" x14ac:dyDescent="0.2">
      <c r="A168" s="832" t="s">
        <v>1344</v>
      </c>
      <c r="B168" s="869" t="s">
        <v>1345</v>
      </c>
      <c r="C168" s="834" t="s">
        <v>41</v>
      </c>
      <c r="D168" s="835">
        <v>3.11</v>
      </c>
    </row>
    <row r="169" spans="1:4" x14ac:dyDescent="0.2">
      <c r="A169" s="827" t="s">
        <v>1346</v>
      </c>
      <c r="B169" s="869" t="s">
        <v>1347</v>
      </c>
      <c r="C169" s="829" t="s">
        <v>41</v>
      </c>
      <c r="D169" s="830">
        <v>9.24</v>
      </c>
    </row>
    <row r="170" spans="1:4" x14ac:dyDescent="0.2">
      <c r="A170" s="832" t="s">
        <v>1348</v>
      </c>
      <c r="B170" s="869" t="s">
        <v>1349</v>
      </c>
      <c r="C170" s="834" t="s">
        <v>41</v>
      </c>
      <c r="D170" s="835">
        <v>20.309999999999999</v>
      </c>
    </row>
    <row r="171" spans="1:4" x14ac:dyDescent="0.2">
      <c r="A171" s="827" t="s">
        <v>1350</v>
      </c>
      <c r="B171" s="869" t="s">
        <v>1351</v>
      </c>
      <c r="C171" s="829" t="s">
        <v>41</v>
      </c>
      <c r="D171" s="830">
        <v>8.83</v>
      </c>
    </row>
    <row r="172" spans="1:4" x14ac:dyDescent="0.2">
      <c r="A172" s="832" t="s">
        <v>1352</v>
      </c>
      <c r="B172" s="869" t="s">
        <v>1353</v>
      </c>
      <c r="C172" s="834" t="s">
        <v>41</v>
      </c>
      <c r="D172" s="835">
        <v>16.63</v>
      </c>
    </row>
    <row r="173" spans="1:4" x14ac:dyDescent="0.2">
      <c r="A173" s="827" t="s">
        <v>1354</v>
      </c>
      <c r="B173" s="869" t="s">
        <v>1355</v>
      </c>
      <c r="C173" s="829" t="s">
        <v>41</v>
      </c>
      <c r="D173" s="830">
        <v>2.09</v>
      </c>
    </row>
    <row r="174" spans="1:4" x14ac:dyDescent="0.2">
      <c r="A174" s="832" t="s">
        <v>1356</v>
      </c>
      <c r="B174" s="869" t="s">
        <v>1357</v>
      </c>
      <c r="C174" s="834" t="s">
        <v>41</v>
      </c>
      <c r="D174" s="835">
        <v>2.35</v>
      </c>
    </row>
    <row r="175" spans="1:4" x14ac:dyDescent="0.2">
      <c r="A175" s="827" t="s">
        <v>1358</v>
      </c>
      <c r="B175" s="869" t="s">
        <v>1359</v>
      </c>
      <c r="C175" s="829" t="s">
        <v>41</v>
      </c>
      <c r="D175" s="830">
        <v>65.37</v>
      </c>
    </row>
    <row r="176" spans="1:4" x14ac:dyDescent="0.2">
      <c r="A176" s="832" t="s">
        <v>1360</v>
      </c>
      <c r="B176" s="869" t="s">
        <v>1361</v>
      </c>
      <c r="C176" s="834" t="s">
        <v>41</v>
      </c>
      <c r="D176" s="835">
        <v>78.680000000000007</v>
      </c>
    </row>
    <row r="177" spans="1:4" x14ac:dyDescent="0.2">
      <c r="A177" s="827" t="s">
        <v>1362</v>
      </c>
      <c r="B177" s="869" t="s">
        <v>1363</v>
      </c>
      <c r="C177" s="829" t="s">
        <v>41</v>
      </c>
      <c r="D177" s="830">
        <v>234.22</v>
      </c>
    </row>
    <row r="178" spans="1:4" x14ac:dyDescent="0.2">
      <c r="A178" s="832" t="s">
        <v>1364</v>
      </c>
      <c r="B178" s="869" t="s">
        <v>1365</v>
      </c>
      <c r="C178" s="834" t="s">
        <v>41</v>
      </c>
      <c r="D178" s="835">
        <v>6.42</v>
      </c>
    </row>
    <row r="179" spans="1:4" x14ac:dyDescent="0.2">
      <c r="A179" s="827" t="s">
        <v>1366</v>
      </c>
      <c r="B179" s="869" t="s">
        <v>1367</v>
      </c>
      <c r="C179" s="829" t="s">
        <v>41</v>
      </c>
      <c r="D179" s="830">
        <v>16.829999999999998</v>
      </c>
    </row>
    <row r="180" spans="1:4" x14ac:dyDescent="0.2">
      <c r="A180" s="832" t="s">
        <v>1368</v>
      </c>
      <c r="B180" s="869" t="s">
        <v>1369</v>
      </c>
      <c r="C180" s="834" t="s">
        <v>41</v>
      </c>
      <c r="D180" s="835">
        <v>18.64</v>
      </c>
    </row>
    <row r="181" spans="1:4" x14ac:dyDescent="0.2">
      <c r="A181" s="827" t="s">
        <v>1370</v>
      </c>
      <c r="B181" s="869" t="s">
        <v>1371</v>
      </c>
      <c r="C181" s="829" t="s">
        <v>41</v>
      </c>
      <c r="D181" s="830">
        <v>20.71</v>
      </c>
    </row>
    <row r="182" spans="1:4" x14ac:dyDescent="0.2">
      <c r="A182" s="832" t="s">
        <v>1372</v>
      </c>
      <c r="B182" s="869" t="s">
        <v>1373</v>
      </c>
      <c r="C182" s="834" t="s">
        <v>41</v>
      </c>
      <c r="D182" s="835">
        <v>23.13</v>
      </c>
    </row>
    <row r="183" spans="1:4" x14ac:dyDescent="0.2">
      <c r="A183" s="827" t="s">
        <v>1374</v>
      </c>
      <c r="B183" s="869" t="s">
        <v>1375</v>
      </c>
      <c r="C183" s="829" t="s">
        <v>41</v>
      </c>
      <c r="D183" s="830">
        <v>26.57</v>
      </c>
    </row>
    <row r="184" spans="1:4" x14ac:dyDescent="0.2">
      <c r="A184" s="823" t="s">
        <v>1376</v>
      </c>
      <c r="B184" s="824" t="s">
        <v>563</v>
      </c>
      <c r="C184" s="825"/>
      <c r="D184" s="826"/>
    </row>
    <row r="185" spans="1:4" x14ac:dyDescent="0.2">
      <c r="A185" s="832" t="s">
        <v>1377</v>
      </c>
      <c r="B185" s="869" t="s">
        <v>1378</v>
      </c>
      <c r="C185" s="834" t="s">
        <v>54</v>
      </c>
      <c r="D185" s="835">
        <v>4.0199999999999996</v>
      </c>
    </row>
    <row r="186" spans="1:4" x14ac:dyDescent="0.2">
      <c r="A186" s="827" t="s">
        <v>1379</v>
      </c>
      <c r="B186" s="869" t="s">
        <v>1380</v>
      </c>
      <c r="C186" s="829" t="s">
        <v>54</v>
      </c>
      <c r="D186" s="830">
        <v>17.68</v>
      </c>
    </row>
    <row r="187" spans="1:4" x14ac:dyDescent="0.2">
      <c r="A187" s="832" t="s">
        <v>1381</v>
      </c>
      <c r="B187" s="869" t="s">
        <v>1382</v>
      </c>
      <c r="C187" s="834" t="s">
        <v>54</v>
      </c>
      <c r="D187" s="835">
        <v>2.0699999999999998</v>
      </c>
    </row>
    <row r="188" spans="1:4" x14ac:dyDescent="0.2">
      <c r="A188" s="827" t="s">
        <v>1383</v>
      </c>
      <c r="B188" s="869" t="s">
        <v>1384</v>
      </c>
      <c r="C188" s="829" t="s">
        <v>54</v>
      </c>
      <c r="D188" s="830">
        <v>0.21</v>
      </c>
    </row>
    <row r="189" spans="1:4" x14ac:dyDescent="0.2">
      <c r="A189" s="832" t="s">
        <v>1385</v>
      </c>
      <c r="B189" s="869" t="s">
        <v>1386</v>
      </c>
      <c r="C189" s="834" t="s">
        <v>54</v>
      </c>
      <c r="D189" s="835">
        <v>24.37</v>
      </c>
    </row>
    <row r="190" spans="1:4" x14ac:dyDescent="0.2">
      <c r="A190" s="827" t="s">
        <v>1387</v>
      </c>
      <c r="B190" s="869" t="s">
        <v>1388</v>
      </c>
      <c r="C190" s="829" t="s">
        <v>54</v>
      </c>
      <c r="D190" s="830">
        <v>41.4</v>
      </c>
    </row>
    <row r="191" spans="1:4" x14ac:dyDescent="0.2">
      <c r="A191" s="832" t="s">
        <v>1389</v>
      </c>
      <c r="B191" s="869" t="s">
        <v>1390</v>
      </c>
      <c r="C191" s="834" t="s">
        <v>54</v>
      </c>
      <c r="D191" s="835">
        <v>59.64</v>
      </c>
    </row>
    <row r="192" spans="1:4" x14ac:dyDescent="0.2">
      <c r="A192" s="827" t="s">
        <v>1391</v>
      </c>
      <c r="B192" s="869" t="s">
        <v>1392</v>
      </c>
      <c r="C192" s="829" t="s">
        <v>54</v>
      </c>
      <c r="D192" s="830">
        <v>32</v>
      </c>
    </row>
    <row r="193" spans="1:5" x14ac:dyDescent="0.2">
      <c r="A193" s="832" t="s">
        <v>1393</v>
      </c>
      <c r="B193" s="869" t="s">
        <v>1394</v>
      </c>
      <c r="C193" s="834" t="s">
        <v>54</v>
      </c>
      <c r="D193" s="835">
        <v>265.14</v>
      </c>
    </row>
    <row r="194" spans="1:5" x14ac:dyDescent="0.2">
      <c r="A194" s="827" t="s">
        <v>1395</v>
      </c>
      <c r="B194" s="869" t="s">
        <v>1396</v>
      </c>
      <c r="C194" s="829" t="s">
        <v>31</v>
      </c>
      <c r="D194" s="830">
        <v>120</v>
      </c>
    </row>
    <row r="195" spans="1:5" x14ac:dyDescent="0.2">
      <c r="A195" s="832" t="s">
        <v>1397</v>
      </c>
      <c r="B195" s="869" t="s">
        <v>1398</v>
      </c>
      <c r="C195" s="834" t="s">
        <v>31</v>
      </c>
      <c r="D195" s="835">
        <v>151</v>
      </c>
    </row>
    <row r="196" spans="1:5" x14ac:dyDescent="0.2">
      <c r="A196" s="827" t="s">
        <v>1399</v>
      </c>
      <c r="B196" s="869" t="s">
        <v>1400</v>
      </c>
      <c r="C196" s="829" t="s">
        <v>31</v>
      </c>
      <c r="D196" s="830">
        <v>217</v>
      </c>
    </row>
    <row r="197" spans="1:5" x14ac:dyDescent="0.2">
      <c r="A197" s="832" t="s">
        <v>1401</v>
      </c>
      <c r="B197" s="869" t="s">
        <v>1402</v>
      </c>
      <c r="C197" s="834" t="s">
        <v>31</v>
      </c>
      <c r="D197" s="835">
        <v>26</v>
      </c>
    </row>
    <row r="198" spans="1:5" x14ac:dyDescent="0.2">
      <c r="A198" s="823" t="s">
        <v>1403</v>
      </c>
      <c r="B198" s="824" t="s">
        <v>571</v>
      </c>
      <c r="C198" s="825"/>
      <c r="D198" s="826"/>
    </row>
    <row r="199" spans="1:5" x14ac:dyDescent="0.2">
      <c r="A199" s="827" t="s">
        <v>1404</v>
      </c>
      <c r="B199" s="869" t="s">
        <v>1405</v>
      </c>
      <c r="C199" s="829" t="s">
        <v>31</v>
      </c>
      <c r="D199" s="830">
        <v>5</v>
      </c>
    </row>
    <row r="200" spans="1:5" x14ac:dyDescent="0.2">
      <c r="A200" s="832" t="s">
        <v>1406</v>
      </c>
      <c r="B200" s="869" t="s">
        <v>1407</v>
      </c>
      <c r="C200" s="834" t="s">
        <v>31</v>
      </c>
      <c r="D200" s="835">
        <v>36</v>
      </c>
    </row>
    <row r="201" spans="1:5" x14ac:dyDescent="0.2">
      <c r="A201" s="827" t="s">
        <v>1408</v>
      </c>
      <c r="B201" s="869" t="s">
        <v>1409</v>
      </c>
      <c r="C201" s="829" t="s">
        <v>31</v>
      </c>
      <c r="D201" s="830">
        <v>4</v>
      </c>
    </row>
    <row r="202" spans="1:5" x14ac:dyDescent="0.2">
      <c r="A202" s="832" t="s">
        <v>1410</v>
      </c>
      <c r="B202" s="833" t="s">
        <v>1411</v>
      </c>
      <c r="C202" s="834" t="s">
        <v>31</v>
      </c>
      <c r="D202" s="835">
        <v>57</v>
      </c>
      <c r="E202" s="754" t="s">
        <v>3574</v>
      </c>
    </row>
    <row r="203" spans="1:5" x14ac:dyDescent="0.2">
      <c r="A203" s="823" t="s">
        <v>1412</v>
      </c>
      <c r="B203" s="824" t="s">
        <v>1413</v>
      </c>
      <c r="C203" s="825"/>
      <c r="D203" s="826"/>
    </row>
    <row r="204" spans="1:5" x14ac:dyDescent="0.2">
      <c r="A204" s="827" t="s">
        <v>1414</v>
      </c>
      <c r="B204" s="828" t="s">
        <v>1415</v>
      </c>
      <c r="C204" s="829" t="s">
        <v>41</v>
      </c>
      <c r="D204" s="841">
        <v>5964.79</v>
      </c>
    </row>
    <row r="205" spans="1:5" x14ac:dyDescent="0.2">
      <c r="A205" s="832" t="s">
        <v>1416</v>
      </c>
      <c r="B205" s="833" t="s">
        <v>1417</v>
      </c>
      <c r="C205" s="834" t="s">
        <v>41</v>
      </c>
      <c r="D205" s="841">
        <v>2789.02</v>
      </c>
    </row>
    <row r="206" spans="1:5" x14ac:dyDescent="0.2">
      <c r="A206" s="823" t="s">
        <v>1418</v>
      </c>
      <c r="B206" s="824" t="s">
        <v>589</v>
      </c>
      <c r="C206" s="825"/>
      <c r="D206" s="826"/>
    </row>
    <row r="207" spans="1:5" x14ac:dyDescent="0.2">
      <c r="A207" s="827" t="s">
        <v>1419</v>
      </c>
      <c r="B207" s="828" t="s">
        <v>4210</v>
      </c>
      <c r="C207" s="829" t="s">
        <v>54</v>
      </c>
      <c r="D207" s="841">
        <v>1441.81</v>
      </c>
    </row>
    <row r="208" spans="1:5" x14ac:dyDescent="0.2">
      <c r="A208" s="827" t="s">
        <v>1419</v>
      </c>
      <c r="B208" s="828" t="s">
        <v>4211</v>
      </c>
      <c r="C208" s="829" t="s">
        <v>54</v>
      </c>
      <c r="D208" s="841">
        <v>42.28</v>
      </c>
    </row>
    <row r="209" spans="1:4" x14ac:dyDescent="0.2">
      <c r="A209" s="827" t="s">
        <v>1419</v>
      </c>
      <c r="B209" s="828" t="s">
        <v>3700</v>
      </c>
      <c r="C209" s="829" t="s">
        <v>54</v>
      </c>
      <c r="D209" s="841">
        <v>66.77</v>
      </c>
    </row>
    <row r="210" spans="1:4" x14ac:dyDescent="0.2">
      <c r="A210" s="827" t="s">
        <v>1421</v>
      </c>
      <c r="B210" s="828" t="s">
        <v>3701</v>
      </c>
      <c r="C210" s="829" t="s">
        <v>41</v>
      </c>
      <c r="D210" s="841">
        <v>605.73</v>
      </c>
    </row>
    <row r="211" spans="1:4" x14ac:dyDescent="0.2">
      <c r="A211" s="827" t="s">
        <v>1423</v>
      </c>
      <c r="B211" s="828" t="s">
        <v>1420</v>
      </c>
      <c r="C211" s="829" t="s">
        <v>41</v>
      </c>
      <c r="D211" s="841">
        <v>64.31</v>
      </c>
    </row>
    <row r="212" spans="1:4" x14ac:dyDescent="0.2">
      <c r="A212" s="832" t="s">
        <v>1425</v>
      </c>
      <c r="B212" s="833" t="s">
        <v>1422</v>
      </c>
      <c r="C212" s="834" t="s">
        <v>41</v>
      </c>
      <c r="D212" s="841">
        <v>15.06</v>
      </c>
    </row>
    <row r="213" spans="1:4" x14ac:dyDescent="0.2">
      <c r="A213" s="827" t="s">
        <v>1427</v>
      </c>
      <c r="B213" s="828" t="s">
        <v>1424</v>
      </c>
      <c r="C213" s="829" t="s">
        <v>41</v>
      </c>
      <c r="D213" s="841">
        <v>30.58</v>
      </c>
    </row>
    <row r="214" spans="1:4" x14ac:dyDescent="0.2">
      <c r="A214" s="832" t="s">
        <v>3702</v>
      </c>
      <c r="B214" s="833" t="s">
        <v>1426</v>
      </c>
      <c r="C214" s="834" t="s">
        <v>41</v>
      </c>
      <c r="D214" s="841">
        <v>710.37</v>
      </c>
    </row>
    <row r="215" spans="1:4" x14ac:dyDescent="0.2">
      <c r="A215" s="827" t="s">
        <v>3703</v>
      </c>
      <c r="B215" s="828" t="s">
        <v>1428</v>
      </c>
      <c r="C215" s="829" t="s">
        <v>41</v>
      </c>
      <c r="D215" s="841">
        <v>18.86</v>
      </c>
    </row>
    <row r="216" spans="1:4" x14ac:dyDescent="0.2">
      <c r="A216" s="823" t="s">
        <v>1429</v>
      </c>
      <c r="B216" s="824" t="s">
        <v>1430</v>
      </c>
      <c r="C216" s="825"/>
      <c r="D216" s="826"/>
    </row>
    <row r="217" spans="1:4" x14ac:dyDescent="0.2">
      <c r="A217" s="832" t="s">
        <v>1431</v>
      </c>
      <c r="B217" s="833" t="s">
        <v>1432</v>
      </c>
      <c r="C217" s="834" t="s">
        <v>41</v>
      </c>
      <c r="D217" s="841">
        <v>8753.81</v>
      </c>
    </row>
    <row r="218" spans="1:4" x14ac:dyDescent="0.2">
      <c r="A218" s="823" t="s">
        <v>1433</v>
      </c>
      <c r="B218" s="824" t="s">
        <v>585</v>
      </c>
      <c r="C218" s="825"/>
      <c r="D218" s="826"/>
    </row>
    <row r="219" spans="1:4" x14ac:dyDescent="0.2">
      <c r="A219" s="827" t="s">
        <v>1434</v>
      </c>
      <c r="B219" s="828" t="s">
        <v>1435</v>
      </c>
      <c r="C219" s="829" t="s">
        <v>41</v>
      </c>
      <c r="D219" s="841">
        <v>961.16</v>
      </c>
    </row>
    <row r="220" spans="1:4" x14ac:dyDescent="0.2">
      <c r="A220" s="832" t="s">
        <v>1436</v>
      </c>
      <c r="B220" s="833" t="s">
        <v>1437</v>
      </c>
      <c r="C220" s="834" t="s">
        <v>41</v>
      </c>
      <c r="D220" s="841">
        <v>108.42</v>
      </c>
    </row>
    <row r="221" spans="1:4" x14ac:dyDescent="0.2">
      <c r="A221" s="827" t="s">
        <v>1438</v>
      </c>
      <c r="B221" s="828" t="s">
        <v>1439</v>
      </c>
      <c r="C221" s="829" t="s">
        <v>41</v>
      </c>
      <c r="D221" s="841">
        <v>2833.47</v>
      </c>
    </row>
    <row r="222" spans="1:4" x14ac:dyDescent="0.2">
      <c r="A222" s="832" t="s">
        <v>1440</v>
      </c>
      <c r="B222" s="833" t="s">
        <v>1441</v>
      </c>
      <c r="C222" s="834" t="s">
        <v>41</v>
      </c>
      <c r="D222" s="841">
        <v>4345.8999999999996</v>
      </c>
    </row>
    <row r="223" spans="1:4" x14ac:dyDescent="0.2">
      <c r="A223" s="827" t="s">
        <v>1442</v>
      </c>
      <c r="B223" s="828" t="s">
        <v>1443</v>
      </c>
      <c r="C223" s="829" t="s">
        <v>41</v>
      </c>
      <c r="D223" s="841">
        <v>572.20000000000005</v>
      </c>
    </row>
    <row r="224" spans="1:4" x14ac:dyDescent="0.2">
      <c r="A224" s="823" t="s">
        <v>1444</v>
      </c>
      <c r="B224" s="824" t="s">
        <v>1445</v>
      </c>
      <c r="C224" s="825"/>
      <c r="D224" s="826"/>
    </row>
    <row r="225" spans="1:4" x14ac:dyDescent="0.2">
      <c r="A225" s="832" t="s">
        <v>1446</v>
      </c>
      <c r="B225" s="833" t="s">
        <v>1188</v>
      </c>
      <c r="C225" s="834" t="s">
        <v>41</v>
      </c>
      <c r="D225" s="841">
        <v>625.62</v>
      </c>
    </row>
    <row r="226" spans="1:4" x14ac:dyDescent="0.2">
      <c r="A226" s="827" t="s">
        <v>1447</v>
      </c>
      <c r="B226" s="828" t="s">
        <v>1190</v>
      </c>
      <c r="C226" s="829" t="s">
        <v>41</v>
      </c>
      <c r="D226" s="841">
        <v>43.39</v>
      </c>
    </row>
    <row r="227" spans="1:4" x14ac:dyDescent="0.2">
      <c r="A227" s="823" t="s">
        <v>1448</v>
      </c>
      <c r="B227" s="824" t="s">
        <v>598</v>
      </c>
      <c r="C227" s="825"/>
      <c r="D227" s="826"/>
    </row>
    <row r="228" spans="1:4" x14ac:dyDescent="0.2">
      <c r="A228" s="832" t="s">
        <v>1449</v>
      </c>
      <c r="B228" s="833" t="s">
        <v>1450</v>
      </c>
      <c r="C228" s="834" t="s">
        <v>41</v>
      </c>
      <c r="D228" s="835">
        <v>151.38</v>
      </c>
    </row>
  </sheetData>
  <autoFilter ref="A10:D228" xr:uid="{00000000-0009-0000-0000-000008000000}"/>
  <mergeCells count="7">
    <mergeCell ref="A1:D1"/>
    <mergeCell ref="A8:D8"/>
    <mergeCell ref="A9:D9"/>
    <mergeCell ref="A10:A11"/>
    <mergeCell ref="B10:B11"/>
    <mergeCell ref="C10:C11"/>
    <mergeCell ref="D10:D11"/>
  </mergeCells>
  <phoneticPr fontId="23" type="noConversion"/>
  <pageMargins left="0.78749999999999998" right="0.78749999999999998" top="1.05277777777778" bottom="1.05277777777778" header="0.78749999999999998" footer="0.78749999999999998"/>
  <pageSetup paperSize="9" scale="15" orientation="landscape" useFirstPageNumber="1" horizontalDpi="300" verticalDpi="300" r:id="rId1"/>
  <headerFooter>
    <oddHeader>&amp;C&amp;"Times New Roman,Normal"&amp;12&amp;A</oddHeader>
    <oddFooter>&amp;C&amp;"Times New Roman,Normal"&amp;12Página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FF"/>
    <pageSetUpPr fitToPage="1"/>
  </sheetPr>
  <dimension ref="A1:AF2113"/>
  <sheetViews>
    <sheetView showGridLines="0" zoomScale="85" zoomScaleNormal="85" zoomScalePageLayoutView="55" workbookViewId="0">
      <pane xSplit="4" ySplit="11" topLeftCell="E12" activePane="bottomRight" state="frozen"/>
      <selection activeCell="AA7" sqref="AA7"/>
      <selection pane="topRight" activeCell="AA7" sqref="AA7"/>
      <selection pane="bottomLeft" activeCell="AA7" sqref="AA7"/>
      <selection pane="bottomRight" activeCell="F13" sqref="F13"/>
    </sheetView>
  </sheetViews>
  <sheetFormatPr defaultColWidth="11.5703125" defaultRowHeight="12.75" x14ac:dyDescent="0.2"/>
  <cols>
    <col min="1" max="1" width="12.28515625" style="754" customWidth="1"/>
    <col min="2" max="2" width="76.42578125" style="754" customWidth="1"/>
    <col min="3" max="3" width="8.140625" style="836" customWidth="1"/>
    <col min="4" max="4" width="11.7109375" style="755" customWidth="1"/>
    <col min="5" max="7" width="7.140625" style="754" customWidth="1"/>
    <col min="8" max="8" width="28.7109375" style="754" customWidth="1"/>
    <col min="9" max="10" width="11.5703125" style="754" customWidth="1"/>
    <col min="11" max="11" width="12.5703125" style="754" customWidth="1"/>
    <col min="12" max="12" width="13.5703125" style="754" customWidth="1"/>
    <col min="13" max="14" width="17.5703125" style="754" customWidth="1"/>
    <col min="15" max="15" width="11.5703125" style="754" customWidth="1"/>
    <col min="16" max="18" width="16.140625" style="754" customWidth="1"/>
    <col min="19" max="33" width="11.5703125" style="754" customWidth="1"/>
    <col min="34" max="16384" width="11.5703125" style="754"/>
  </cols>
  <sheetData>
    <row r="1" spans="1:32" s="851" customFormat="1" ht="45" x14ac:dyDescent="0.25">
      <c r="A1" s="1056" t="s">
        <v>1037</v>
      </c>
      <c r="B1" s="1057"/>
      <c r="C1" s="1057"/>
      <c r="D1" s="1057"/>
      <c r="H1" s="852" t="s">
        <v>626</v>
      </c>
      <c r="I1" s="853" t="s">
        <v>3500</v>
      </c>
      <c r="J1" s="854" t="s">
        <v>3506</v>
      </c>
      <c r="K1" s="854" t="s">
        <v>1155</v>
      </c>
      <c r="L1" s="854" t="s">
        <v>1156</v>
      </c>
      <c r="M1" s="854" t="s">
        <v>1131</v>
      </c>
      <c r="N1" s="854" t="s">
        <v>1088</v>
      </c>
      <c r="O1" s="854" t="s">
        <v>1143</v>
      </c>
      <c r="P1" s="854" t="s">
        <v>3510</v>
      </c>
      <c r="Q1" s="854" t="s">
        <v>3529</v>
      </c>
      <c r="R1" s="854" t="s">
        <v>3511</v>
      </c>
      <c r="S1" s="854" t="s">
        <v>1151</v>
      </c>
      <c r="T1" s="854" t="s">
        <v>1232</v>
      </c>
      <c r="U1" s="855" t="s">
        <v>526</v>
      </c>
      <c r="V1" s="855" t="s">
        <v>1212</v>
      </c>
      <c r="W1" s="855" t="s">
        <v>3542</v>
      </c>
      <c r="X1" s="855" t="s">
        <v>530</v>
      </c>
      <c r="Y1" s="855" t="s">
        <v>3548</v>
      </c>
      <c r="Z1" s="855" t="s">
        <v>3549</v>
      </c>
      <c r="AA1" s="855" t="s">
        <v>3550</v>
      </c>
      <c r="AB1" s="855" t="s">
        <v>3551</v>
      </c>
      <c r="AC1" s="855" t="s">
        <v>3552</v>
      </c>
      <c r="AD1" s="855" t="s">
        <v>3553</v>
      </c>
      <c r="AE1" s="855"/>
      <c r="AF1" s="855"/>
    </row>
    <row r="2" spans="1:32" ht="15" x14ac:dyDescent="0.2">
      <c r="A2" s="807" t="s">
        <v>1038</v>
      </c>
      <c r="B2" s="808" t="s">
        <v>1039</v>
      </c>
      <c r="C2" s="809"/>
      <c r="D2" s="810"/>
      <c r="H2" s="843" t="s">
        <v>1004</v>
      </c>
      <c r="I2" s="846">
        <f>SUM(D15:D17,D92)</f>
        <v>1126.8899999999999</v>
      </c>
      <c r="J2" s="846"/>
      <c r="K2" s="846"/>
      <c r="L2" s="846">
        <f>D733</f>
        <v>25.01</v>
      </c>
      <c r="M2" s="846">
        <f>$D$597</f>
        <v>2219.7800000000002</v>
      </c>
      <c r="N2" s="846">
        <f>D245</f>
        <v>23.69</v>
      </c>
      <c r="O2" s="846">
        <f>$D$642</f>
        <v>29.47</v>
      </c>
      <c r="P2" s="846">
        <f>SUM(D211:D213)</f>
        <v>79.820000000000007</v>
      </c>
      <c r="Q2" s="846">
        <f>D210</f>
        <v>67.19</v>
      </c>
      <c r="R2" s="774"/>
      <c r="S2" s="846">
        <f>$D$694</f>
        <v>23.52</v>
      </c>
      <c r="T2" s="846">
        <f>$D$1085</f>
        <v>0.75</v>
      </c>
      <c r="U2" s="861">
        <f>SUM(D896:D899)+D865+D778</f>
        <v>966.49</v>
      </c>
      <c r="V2" s="861"/>
      <c r="W2" s="861">
        <f>SUM(D781:D786)</f>
        <v>696.56999999999994</v>
      </c>
      <c r="X2" s="861">
        <f>SUM(D1024:D1026)</f>
        <v>280.92</v>
      </c>
      <c r="Y2" s="861">
        <f>SUM(D1124:D1129)</f>
        <v>171.12999999999997</v>
      </c>
      <c r="Z2" s="861">
        <f>SUM(D1193:D1201)</f>
        <v>2033.25</v>
      </c>
      <c r="AA2" s="861">
        <f>SUM(D1331:D1332)</f>
        <v>763.81</v>
      </c>
      <c r="AB2" s="861">
        <f>D1972</f>
        <v>861.62</v>
      </c>
      <c r="AC2" s="861">
        <f>D2017</f>
        <v>243.2</v>
      </c>
      <c r="AD2" s="861">
        <f>SUM(D2018:D2020)</f>
        <v>609.02</v>
      </c>
      <c r="AE2" s="861"/>
      <c r="AF2" s="861"/>
    </row>
    <row r="3" spans="1:32" x14ac:dyDescent="0.2">
      <c r="A3" s="807" t="s">
        <v>0</v>
      </c>
      <c r="B3" s="808" t="s">
        <v>392</v>
      </c>
      <c r="C3" s="811"/>
      <c r="D3" s="812"/>
      <c r="H3" s="844" t="s">
        <v>1005</v>
      </c>
      <c r="I3" s="847">
        <f>SUM(D19:D20,D94)</f>
        <v>279.97000000000003</v>
      </c>
      <c r="J3" s="850"/>
      <c r="K3" s="847"/>
      <c r="L3" s="847">
        <f>D735</f>
        <v>978.39</v>
      </c>
      <c r="M3" s="847">
        <f>$D$599</f>
        <v>628.82000000000005</v>
      </c>
      <c r="N3" s="847">
        <f>D247</f>
        <v>9.94</v>
      </c>
      <c r="O3" s="847">
        <f>$D$644</f>
        <v>310.42</v>
      </c>
      <c r="P3" s="847"/>
      <c r="Q3" s="779"/>
      <c r="R3" s="779"/>
      <c r="S3" s="847">
        <f>$D$696</f>
        <v>14.25</v>
      </c>
      <c r="T3" s="847">
        <f>$D$1087</f>
        <v>0.74</v>
      </c>
      <c r="U3" s="862">
        <f>SUM(D902:D903)</f>
        <v>32.340000000000003</v>
      </c>
      <c r="V3" s="862"/>
      <c r="W3" s="862">
        <f>D788</f>
        <v>8.49</v>
      </c>
      <c r="X3" s="862"/>
      <c r="Y3" s="862">
        <f>SUM(D1131:D1133)</f>
        <v>1017.8</v>
      </c>
      <c r="Z3" s="862">
        <f>SUM(D1203:D1208)</f>
        <v>1047.3800000000001</v>
      </c>
      <c r="AA3" s="862">
        <f>SUM(D1334:D1335)</f>
        <v>982.88</v>
      </c>
      <c r="AB3" s="862">
        <f>D1974</f>
        <v>843.28</v>
      </c>
      <c r="AC3" s="862">
        <f>D2022</f>
        <v>164.14</v>
      </c>
      <c r="AD3" s="862">
        <f>SUM(D2023:D2024)</f>
        <v>660.45999999999992</v>
      </c>
      <c r="AE3" s="862"/>
      <c r="AF3" s="862"/>
    </row>
    <row r="4" spans="1:32" x14ac:dyDescent="0.2">
      <c r="A4" s="807" t="s">
        <v>1040</v>
      </c>
      <c r="B4" s="808" t="s">
        <v>1041</v>
      </c>
      <c r="C4" s="813"/>
      <c r="D4" s="814"/>
      <c r="H4" s="844" t="s">
        <v>1006</v>
      </c>
      <c r="I4" s="847">
        <f>SUM(D22:D23,D96)</f>
        <v>242.28000000000003</v>
      </c>
      <c r="J4" s="779"/>
      <c r="K4" s="847"/>
      <c r="L4" s="847">
        <f>D737</f>
        <v>980.76</v>
      </c>
      <c r="M4" s="847">
        <f>$D$601</f>
        <v>564.62</v>
      </c>
      <c r="N4" s="847">
        <f>D249</f>
        <v>9.94</v>
      </c>
      <c r="O4" s="847">
        <f>$D$646</f>
        <v>308.47000000000003</v>
      </c>
      <c r="P4" s="847"/>
      <c r="Q4" s="779"/>
      <c r="R4" s="779"/>
      <c r="S4" s="847">
        <f>$D$698</f>
        <v>14.38</v>
      </c>
      <c r="T4" s="847">
        <f>$D$1089</f>
        <v>0.74</v>
      </c>
      <c r="U4" s="862">
        <f>SUM(D905:D906)</f>
        <v>21.36</v>
      </c>
      <c r="V4" s="862"/>
      <c r="W4" s="862"/>
      <c r="X4" s="862"/>
      <c r="Y4" s="862">
        <f>SUM(D1135:D1137)</f>
        <v>1029.1200000000001</v>
      </c>
      <c r="Z4" s="862">
        <f>SUM(D1210:D1214)</f>
        <v>980.21</v>
      </c>
      <c r="AA4" s="862">
        <f>SUM(D1337:D1338)</f>
        <v>985.25</v>
      </c>
      <c r="AB4" s="862">
        <f>D1976</f>
        <v>701.94</v>
      </c>
      <c r="AC4" s="862">
        <f>D2026</f>
        <v>164.06</v>
      </c>
      <c r="AD4" s="862">
        <f>SUM(D2027:D2028)</f>
        <v>519.26</v>
      </c>
      <c r="AE4" s="862"/>
      <c r="AF4" s="862"/>
    </row>
    <row r="5" spans="1:32" x14ac:dyDescent="0.2">
      <c r="A5" s="807" t="s">
        <v>1042</v>
      </c>
      <c r="B5" s="808" t="s">
        <v>1043</v>
      </c>
      <c r="C5" s="813"/>
      <c r="D5" s="814"/>
      <c r="H5" s="844" t="s">
        <v>1007</v>
      </c>
      <c r="I5" s="847">
        <f>SUM(D25:D26,D98)</f>
        <v>241.76</v>
      </c>
      <c r="J5" s="849"/>
      <c r="K5" s="847"/>
      <c r="L5" s="847">
        <f>D739</f>
        <v>1035.21</v>
      </c>
      <c r="M5" s="847">
        <f>$D$603</f>
        <v>543.51</v>
      </c>
      <c r="N5" s="847">
        <f>D251</f>
        <v>9.94</v>
      </c>
      <c r="O5" s="847">
        <f>$D$648</f>
        <v>308.47000000000003</v>
      </c>
      <c r="P5" s="847"/>
      <c r="Q5" s="779"/>
      <c r="R5" s="779"/>
      <c r="S5" s="847">
        <f>$D$700</f>
        <v>14.38</v>
      </c>
      <c r="T5" s="847">
        <f>$D$1091</f>
        <v>0.72</v>
      </c>
      <c r="U5" s="862">
        <f>SUM(D908:D909)</f>
        <v>21.36</v>
      </c>
      <c r="V5" s="862"/>
      <c r="W5" s="862"/>
      <c r="X5" s="862"/>
      <c r="Y5" s="862">
        <f>SUM(D1139:D1141)</f>
        <v>1029.5899999999999</v>
      </c>
      <c r="Z5" s="862">
        <f>SUM(D1216:D1220)</f>
        <v>959.09999999999991</v>
      </c>
      <c r="AA5" s="862">
        <f>SUM(D1340:D1341)</f>
        <v>1039.7</v>
      </c>
      <c r="AB5" s="862">
        <f>D1978</f>
        <v>701.63</v>
      </c>
      <c r="AC5" s="862">
        <f>D2030</f>
        <v>164.06</v>
      </c>
      <c r="AD5" s="862">
        <f>SUM(D2031:D2032)</f>
        <v>518.95000000000005</v>
      </c>
      <c r="AE5" s="862"/>
      <c r="AF5" s="862"/>
    </row>
    <row r="6" spans="1:32" x14ac:dyDescent="0.2">
      <c r="A6" s="807" t="s">
        <v>1044</v>
      </c>
      <c r="B6" s="808" t="s">
        <v>1045</v>
      </c>
      <c r="C6" s="815"/>
      <c r="D6" s="816"/>
      <c r="H6" s="844" t="s">
        <v>1028</v>
      </c>
      <c r="I6" s="847">
        <f>SUM(D28,D100)</f>
        <v>436.34999999999997</v>
      </c>
      <c r="J6" s="849"/>
      <c r="K6" s="847"/>
      <c r="L6" s="847">
        <f>D741</f>
        <v>980.81</v>
      </c>
      <c r="M6" s="847">
        <f>$D$605</f>
        <v>684.01</v>
      </c>
      <c r="N6" s="847">
        <f>D253</f>
        <v>16.12</v>
      </c>
      <c r="O6" s="847">
        <f>$D$650</f>
        <v>671.39</v>
      </c>
      <c r="P6" s="847"/>
      <c r="Q6" s="779"/>
      <c r="R6" s="779"/>
      <c r="S6" s="847">
        <f>$D$702</f>
        <v>14.29</v>
      </c>
      <c r="T6" s="847">
        <f>$D$1093</f>
        <v>0.74</v>
      </c>
      <c r="U6" s="862">
        <f>D911</f>
        <v>10.51</v>
      </c>
      <c r="V6" s="862"/>
      <c r="W6" s="862"/>
      <c r="X6" s="862"/>
      <c r="Y6" s="862">
        <f>SUM(D1143:D1145)</f>
        <v>916.71</v>
      </c>
      <c r="Z6" s="862">
        <f>SUM(D1222:D1226)</f>
        <v>1473.96</v>
      </c>
      <c r="AA6" s="862">
        <f>SUM(D1343:D1344)</f>
        <v>982.55</v>
      </c>
      <c r="AB6" s="862">
        <f>D1980</f>
        <v>784.98</v>
      </c>
      <c r="AC6" s="862">
        <f>D2034</f>
        <v>225.7</v>
      </c>
      <c r="AD6" s="862">
        <f>SUM(D2035:D2036)</f>
        <v>533.22</v>
      </c>
      <c r="AE6" s="862"/>
      <c r="AF6" s="862"/>
    </row>
    <row r="7" spans="1:32" x14ac:dyDescent="0.2">
      <c r="A7" s="807" t="s">
        <v>3</v>
      </c>
      <c r="B7" s="808" t="s">
        <v>1045</v>
      </c>
      <c r="C7" s="817"/>
      <c r="D7" s="818"/>
      <c r="H7" s="864" t="s">
        <v>3502</v>
      </c>
      <c r="I7" s="865">
        <f>SUM(D30:D32,D102)</f>
        <v>760.17000000000007</v>
      </c>
      <c r="J7" s="866">
        <f>7*((0.751+0.73)*2+(0.751*0.73))</f>
        <v>24.57161</v>
      </c>
      <c r="K7" s="865"/>
      <c r="L7" s="865">
        <f>D743</f>
        <v>13.07</v>
      </c>
      <c r="M7" s="865">
        <f>$D$607</f>
        <v>1488.22</v>
      </c>
      <c r="N7" s="865">
        <f>D255</f>
        <v>10.82</v>
      </c>
      <c r="O7" s="865">
        <f>$D$652</f>
        <v>14.89</v>
      </c>
      <c r="P7" s="865">
        <f>D215</f>
        <v>119.22</v>
      </c>
      <c r="Q7" s="867"/>
      <c r="R7" s="867"/>
      <c r="S7" s="865">
        <f>$D$704</f>
        <v>11.15</v>
      </c>
      <c r="T7" s="865">
        <f>$D$1095</f>
        <v>0.72</v>
      </c>
      <c r="U7" s="868">
        <f>SUM(D913:D917)</f>
        <v>503.69</v>
      </c>
      <c r="V7" s="868">
        <f>$D$996</f>
        <v>157.72</v>
      </c>
      <c r="W7" s="868">
        <f>SUM(D790:D793)</f>
        <v>309.11</v>
      </c>
      <c r="X7" s="868"/>
      <c r="Y7" s="868">
        <f>SUM(D1147:D1148)</f>
        <v>33.64</v>
      </c>
      <c r="Z7" s="868">
        <f>SUM(D1228:D1232)</f>
        <v>1427.8200000000002</v>
      </c>
      <c r="AA7" s="868">
        <f>SUM(D1346:D1347)</f>
        <v>475.87</v>
      </c>
      <c r="AB7" s="868">
        <f>D1982</f>
        <v>288.7</v>
      </c>
      <c r="AC7" s="868"/>
      <c r="AD7" s="868">
        <f>SUM(D2038:D2039)</f>
        <v>332.08</v>
      </c>
      <c r="AE7" s="868"/>
      <c r="AF7" s="868"/>
    </row>
    <row r="8" spans="1:32" x14ac:dyDescent="0.2">
      <c r="A8" s="1050"/>
      <c r="B8" s="1051"/>
      <c r="C8" s="1051"/>
      <c r="D8" s="1052"/>
      <c r="H8" s="844" t="s">
        <v>3501</v>
      </c>
      <c r="I8" s="847">
        <f>SUM(D34:D36,D38:D40,D42:D44,D46:D48,D50:D52,D54:D56,D58:D60,D62:D64,D66:D68,D70:D72,D74:D76,D104,D106,D108,D110,D112,D114,D116,D118,D120,D122+D124)</f>
        <v>8350.369999999999</v>
      </c>
      <c r="J8" s="849">
        <f>7*11*((0.751+0.73)*2+(0.751*0.73))</f>
        <v>270.28771</v>
      </c>
      <c r="K8" s="847"/>
      <c r="L8" s="847">
        <f>D745+D747+D749+D751+D753+D755+D757+D759+D761+D763+D765</f>
        <v>143.61999999999998</v>
      </c>
      <c r="M8" s="847">
        <f>D609+D611+D613+D615+D617+D619+D621+D623+D625+D627+D629</f>
        <v>16308.130000000001</v>
      </c>
      <c r="N8" s="847">
        <f>D257+D259+D261+D263+D265+D267+D269+D271+D273+D275+D277</f>
        <v>142.35000000000002</v>
      </c>
      <c r="O8" s="847">
        <f>D654+D656+D658+D660+D662+D664+D666+D668+D670+D672+D674</f>
        <v>188.10000000000002</v>
      </c>
      <c r="P8" s="847">
        <f>D217+D219+D221+D223+D225+D227+D229+D231+D233+D235+D237</f>
        <v>1309.4399999999998</v>
      </c>
      <c r="Q8" s="779"/>
      <c r="R8" s="779"/>
      <c r="S8" s="847">
        <f>D706+D708+D710+D712+D714+D716+D718+D720+D722+D724+D726</f>
        <v>122.7</v>
      </c>
      <c r="T8" s="847">
        <f>D1097+D1099+D1101+D1103+D1105+D1107+D1109+D1111+D1113+D1115+D1117</f>
        <v>8.14</v>
      </c>
      <c r="U8" s="862">
        <f>SUM(D919:D922,D924:D927,D929:D933,D935:D938,D940:D944,D946:L949,D951:D954,D956:D960,D962:D965,D967:D971,D973:D976,)</f>
        <v>5450.2699999999986</v>
      </c>
      <c r="V8" s="862">
        <f>SUM($D$998:$D$1016)</f>
        <v>1579.0000000000002</v>
      </c>
      <c r="W8" s="862">
        <f>SUM($D$795:$D$847)</f>
        <v>3402.5999999999985</v>
      </c>
      <c r="X8" s="862"/>
      <c r="Y8" s="862">
        <f>SUM($D$1150:$D$1181)</f>
        <v>371.89</v>
      </c>
      <c r="Z8" s="862">
        <f>SUM($D$1234:$D$1303)</f>
        <v>15646.589999999998</v>
      </c>
      <c r="AA8" s="862">
        <f>SUM($D$1349:$D$1380)</f>
        <v>5189.32</v>
      </c>
      <c r="AB8" s="862">
        <f>SUM($D$1984:$D$2004)</f>
        <v>3186.29</v>
      </c>
      <c r="AC8" s="862"/>
      <c r="AD8" s="862">
        <f>SUM(D2041:D2072)</f>
        <v>3835.8499999999995</v>
      </c>
      <c r="AE8" s="862"/>
      <c r="AF8" s="862"/>
    </row>
    <row r="9" spans="1:32" ht="18" customHeight="1" x14ac:dyDescent="0.2">
      <c r="A9" s="1053" t="s">
        <v>1046</v>
      </c>
      <c r="B9" s="1054"/>
      <c r="C9" s="1054"/>
      <c r="D9" s="1054"/>
      <c r="H9" s="844" t="s">
        <v>3503</v>
      </c>
      <c r="I9" s="847">
        <f>SUM(D78:D80,D126)</f>
        <v>758.25</v>
      </c>
      <c r="J9" s="849">
        <f>7*((0.751+0.73)*2+(0.751*0.73))</f>
        <v>24.57161</v>
      </c>
      <c r="K9" s="847"/>
      <c r="L9" s="847">
        <f>D767</f>
        <v>13.07</v>
      </c>
      <c r="M9" s="847">
        <f>D631</f>
        <v>1487.47</v>
      </c>
      <c r="N9" s="847">
        <f>D279</f>
        <v>12.9</v>
      </c>
      <c r="O9" s="847">
        <f>D676</f>
        <v>17.02</v>
      </c>
      <c r="P9" s="847">
        <f>D239</f>
        <v>119.24</v>
      </c>
      <c r="Q9" s="779"/>
      <c r="R9" s="779"/>
      <c r="S9" s="847">
        <f>D728</f>
        <v>11.15</v>
      </c>
      <c r="T9" s="847">
        <f>D1119</f>
        <v>0.74</v>
      </c>
      <c r="U9" s="862">
        <f>SUM(D978:D981)</f>
        <v>490.93999999999994</v>
      </c>
      <c r="V9" s="862">
        <f>D1018</f>
        <v>158.16999999999999</v>
      </c>
      <c r="W9" s="862">
        <f>SUM(D849:D852)</f>
        <v>297.39</v>
      </c>
      <c r="X9" s="862"/>
      <c r="Y9" s="862">
        <f>SUM(D1183:D1184)</f>
        <v>33.64</v>
      </c>
      <c r="Z9" s="862">
        <f>SUM(D1305:D1309)</f>
        <v>1427.1100000000001</v>
      </c>
      <c r="AA9" s="862">
        <f>SUM(D1382:D1383)</f>
        <v>475.87</v>
      </c>
      <c r="AB9" s="862">
        <f>D2006</f>
        <v>292.01</v>
      </c>
      <c r="AC9" s="862"/>
      <c r="AD9" s="862">
        <f>SUM(D2074:D2075)</f>
        <v>355.03</v>
      </c>
      <c r="AE9" s="862"/>
      <c r="AF9" s="862"/>
    </row>
    <row r="10" spans="1:32" ht="21.75" customHeight="1" x14ac:dyDescent="0.2">
      <c r="A10" s="1055" t="s">
        <v>183</v>
      </c>
      <c r="B10" s="1055" t="s">
        <v>3</v>
      </c>
      <c r="C10" s="1055" t="s">
        <v>192</v>
      </c>
      <c r="D10" s="1055" t="s">
        <v>5</v>
      </c>
      <c r="H10" s="844" t="s">
        <v>3504</v>
      </c>
      <c r="I10" s="847">
        <f>SUM(D82:D83,D128)</f>
        <v>483.2</v>
      </c>
      <c r="J10" s="849">
        <f>2*((0.751+0.73)*2+(0.751*0.73))</f>
        <v>7.0204599999999999</v>
      </c>
      <c r="K10" s="847"/>
      <c r="L10" s="847">
        <f>D769</f>
        <v>10.59</v>
      </c>
      <c r="M10" s="847">
        <f>D633</f>
        <v>920.79</v>
      </c>
      <c r="N10" s="847">
        <f>D282</f>
        <v>15.52</v>
      </c>
      <c r="O10" s="847">
        <f>D678</f>
        <v>23.69</v>
      </c>
      <c r="P10" s="847">
        <f>SUM(D241)+0.03</f>
        <v>125.5</v>
      </c>
      <c r="Q10" s="847">
        <f>D242</f>
        <v>28.49</v>
      </c>
      <c r="R10" s="847">
        <f>$D$281</f>
        <v>81.319999999999993</v>
      </c>
      <c r="S10" s="847">
        <f>D730</f>
        <v>3.85</v>
      </c>
      <c r="T10" s="847">
        <f>D1121</f>
        <v>3.59</v>
      </c>
      <c r="U10" s="862">
        <f>SUM(D983:D987)</f>
        <v>496.07000000000005</v>
      </c>
      <c r="V10" s="862">
        <f>D1020</f>
        <v>157.72</v>
      </c>
      <c r="W10" s="862">
        <f>SUM(D854:D857)+D860+D893</f>
        <v>443.96</v>
      </c>
      <c r="X10" s="862">
        <f>$D$1082</f>
        <v>12.42</v>
      </c>
      <c r="Y10" s="862">
        <f>SUM(D1186:D1187)</f>
        <v>26.53</v>
      </c>
      <c r="Z10" s="862">
        <f>SUM(D1311:D1316)</f>
        <v>766.81999999999994</v>
      </c>
      <c r="AA10" s="862">
        <f>SUM(D1385:D1386)</f>
        <v>342.17999999999995</v>
      </c>
      <c r="AB10" s="862">
        <f>D2008</f>
        <v>549.84</v>
      </c>
      <c r="AC10" s="862"/>
      <c r="AD10" s="862">
        <f>SUM(D2077:D2078)</f>
        <v>496.12</v>
      </c>
      <c r="AE10" s="862"/>
      <c r="AF10" s="862"/>
    </row>
    <row r="11" spans="1:32" ht="17.25" customHeight="1" x14ac:dyDescent="0.2">
      <c r="A11" s="1055"/>
      <c r="B11" s="1055"/>
      <c r="C11" s="1055"/>
      <c r="D11" s="1055"/>
      <c r="H11" s="845" t="s">
        <v>3505</v>
      </c>
      <c r="I11" s="848">
        <f>SUM(D85,D87,D89,D130,D132)</f>
        <v>340.21000000000004</v>
      </c>
      <c r="J11" s="789"/>
      <c r="K11" s="848">
        <f>D775</f>
        <v>33.71</v>
      </c>
      <c r="L11" s="848">
        <f>D771+D773</f>
        <v>46.64</v>
      </c>
      <c r="M11" s="848">
        <f>D635+D637+D639</f>
        <v>362.23</v>
      </c>
      <c r="N11" s="848">
        <f>D284+D286</f>
        <v>21.04</v>
      </c>
      <c r="O11" s="848">
        <f>D680+D682+0.02</f>
        <v>25.19</v>
      </c>
      <c r="P11" s="789"/>
      <c r="Q11" s="789"/>
      <c r="R11" s="789"/>
      <c r="S11" s="789"/>
      <c r="T11" s="789"/>
      <c r="U11" s="863">
        <f>SUM(D989:D991,D993)</f>
        <v>383.55000000000007</v>
      </c>
      <c r="V11" s="863"/>
      <c r="W11" s="863"/>
      <c r="X11" s="863"/>
      <c r="Y11" s="863">
        <f>SUM(D1189:D1190)</f>
        <v>18.48</v>
      </c>
      <c r="Z11" s="863">
        <f>SUM(D1317:D1328)</f>
        <v>408.17</v>
      </c>
      <c r="AA11" s="863">
        <f>SUM(D1388:D1390)</f>
        <v>46.64</v>
      </c>
      <c r="AB11" s="863">
        <f>SUM(D2010:D2014)</f>
        <v>543.53</v>
      </c>
      <c r="AC11" s="863"/>
      <c r="AD11" s="863"/>
      <c r="AE11" s="863"/>
      <c r="AF11" s="863"/>
    </row>
    <row r="12" spans="1:32" x14ac:dyDescent="0.2">
      <c r="A12" s="819" t="s">
        <v>1047</v>
      </c>
      <c r="B12" s="820" t="s">
        <v>1048</v>
      </c>
      <c r="C12" s="821"/>
      <c r="D12" s="822"/>
    </row>
    <row r="13" spans="1:32" x14ac:dyDescent="0.2">
      <c r="A13" s="823" t="s">
        <v>1049</v>
      </c>
      <c r="B13" s="824" t="s">
        <v>457</v>
      </c>
      <c r="C13" s="825"/>
      <c r="D13" s="826"/>
    </row>
    <row r="14" spans="1:32" x14ac:dyDescent="0.2">
      <c r="A14" s="837" t="s">
        <v>1452</v>
      </c>
      <c r="B14" s="838" t="s">
        <v>1453</v>
      </c>
      <c r="C14" s="839"/>
      <c r="D14" s="840"/>
      <c r="E14" s="831"/>
      <c r="F14" s="831"/>
    </row>
    <row r="15" spans="1:32" x14ac:dyDescent="0.2">
      <c r="A15" s="827" t="s">
        <v>1454</v>
      </c>
      <c r="B15" s="828" t="s">
        <v>1051</v>
      </c>
      <c r="C15" s="829" t="s">
        <v>41</v>
      </c>
      <c r="D15" s="830">
        <v>86.14</v>
      </c>
    </row>
    <row r="16" spans="1:32" x14ac:dyDescent="0.2">
      <c r="A16" s="832" t="s">
        <v>1455</v>
      </c>
      <c r="B16" s="833" t="s">
        <v>1053</v>
      </c>
      <c r="C16" s="834" t="s">
        <v>41</v>
      </c>
      <c r="D16" s="835">
        <v>558.54999999999995</v>
      </c>
    </row>
    <row r="17" spans="1:6" x14ac:dyDescent="0.2">
      <c r="A17" s="827" t="s">
        <v>1456</v>
      </c>
      <c r="B17" s="828" t="s">
        <v>1055</v>
      </c>
      <c r="C17" s="829" t="s">
        <v>41</v>
      </c>
      <c r="D17" s="830">
        <v>386.76</v>
      </c>
    </row>
    <row r="18" spans="1:6" x14ac:dyDescent="0.2">
      <c r="A18" s="837" t="s">
        <v>1457</v>
      </c>
      <c r="B18" s="838" t="s">
        <v>1458</v>
      </c>
      <c r="C18" s="839"/>
      <c r="D18" s="840"/>
      <c r="E18" s="831"/>
      <c r="F18" s="831"/>
    </row>
    <row r="19" spans="1:6" x14ac:dyDescent="0.2">
      <c r="A19" s="832" t="s">
        <v>1459</v>
      </c>
      <c r="B19" s="833" t="s">
        <v>1053</v>
      </c>
      <c r="C19" s="834" t="s">
        <v>41</v>
      </c>
      <c r="D19" s="835">
        <v>48.46</v>
      </c>
    </row>
    <row r="20" spans="1:6" x14ac:dyDescent="0.2">
      <c r="A20" s="827" t="s">
        <v>1460</v>
      </c>
      <c r="B20" s="828" t="s">
        <v>1055</v>
      </c>
      <c r="C20" s="829" t="s">
        <v>41</v>
      </c>
      <c r="D20" s="830">
        <v>174.32</v>
      </c>
    </row>
    <row r="21" spans="1:6" x14ac:dyDescent="0.2">
      <c r="A21" s="837" t="s">
        <v>1461</v>
      </c>
      <c r="B21" s="838" t="s">
        <v>1462</v>
      </c>
      <c r="C21" s="839"/>
      <c r="D21" s="840"/>
      <c r="E21" s="831"/>
      <c r="F21" s="831"/>
    </row>
    <row r="22" spans="1:6" x14ac:dyDescent="0.2">
      <c r="A22" s="832" t="s">
        <v>1463</v>
      </c>
      <c r="B22" s="833" t="s">
        <v>1053</v>
      </c>
      <c r="C22" s="834" t="s">
        <v>41</v>
      </c>
      <c r="D22" s="835">
        <v>18.34</v>
      </c>
    </row>
    <row r="23" spans="1:6" x14ac:dyDescent="0.2">
      <c r="A23" s="827" t="s">
        <v>1464</v>
      </c>
      <c r="B23" s="828" t="s">
        <v>1055</v>
      </c>
      <c r="C23" s="829" t="s">
        <v>41</v>
      </c>
      <c r="D23" s="830">
        <v>169.33</v>
      </c>
    </row>
    <row r="24" spans="1:6" x14ac:dyDescent="0.2">
      <c r="A24" s="837" t="s">
        <v>1465</v>
      </c>
      <c r="B24" s="838" t="s">
        <v>1466</v>
      </c>
      <c r="C24" s="839"/>
      <c r="D24" s="840"/>
      <c r="E24" s="831"/>
      <c r="F24" s="831"/>
    </row>
    <row r="25" spans="1:6" x14ac:dyDescent="0.2">
      <c r="A25" s="832" t="s">
        <v>1467</v>
      </c>
      <c r="B25" s="833" t="s">
        <v>1053</v>
      </c>
      <c r="C25" s="834" t="s">
        <v>41</v>
      </c>
      <c r="D25" s="835">
        <v>18.34</v>
      </c>
    </row>
    <row r="26" spans="1:6" x14ac:dyDescent="0.2">
      <c r="A26" s="827" t="s">
        <v>1468</v>
      </c>
      <c r="B26" s="828" t="s">
        <v>1055</v>
      </c>
      <c r="C26" s="829" t="s">
        <v>41</v>
      </c>
      <c r="D26" s="830">
        <v>168.81</v>
      </c>
    </row>
    <row r="27" spans="1:6" x14ac:dyDescent="0.2">
      <c r="A27" s="837" t="s">
        <v>1469</v>
      </c>
      <c r="B27" s="838" t="s">
        <v>1470</v>
      </c>
      <c r="C27" s="839"/>
      <c r="D27" s="840"/>
      <c r="E27" s="831"/>
      <c r="F27" s="831"/>
    </row>
    <row r="28" spans="1:6" x14ac:dyDescent="0.2">
      <c r="A28" s="832" t="s">
        <v>1471</v>
      </c>
      <c r="B28" s="833" t="s">
        <v>1055</v>
      </c>
      <c r="C28" s="834" t="s">
        <v>41</v>
      </c>
      <c r="D28" s="835">
        <v>350.21</v>
      </c>
    </row>
    <row r="29" spans="1:6" x14ac:dyDescent="0.2">
      <c r="A29" s="837" t="s">
        <v>1472</v>
      </c>
      <c r="B29" s="838" t="s">
        <v>1473</v>
      </c>
      <c r="C29" s="839"/>
      <c r="D29" s="840"/>
      <c r="E29" s="831"/>
      <c r="F29" s="831"/>
    </row>
    <row r="30" spans="1:6" x14ac:dyDescent="0.2">
      <c r="A30" s="827" t="s">
        <v>1474</v>
      </c>
      <c r="B30" s="828" t="s">
        <v>1051</v>
      </c>
      <c r="C30" s="829" t="s">
        <v>41</v>
      </c>
      <c r="D30" s="830">
        <v>1</v>
      </c>
    </row>
    <row r="31" spans="1:6" x14ac:dyDescent="0.2">
      <c r="A31" s="832" t="s">
        <v>1475</v>
      </c>
      <c r="B31" s="833" t="s">
        <v>1053</v>
      </c>
      <c r="C31" s="834" t="s">
        <v>41</v>
      </c>
      <c r="D31" s="835">
        <v>610.04</v>
      </c>
    </row>
    <row r="32" spans="1:6" x14ac:dyDescent="0.2">
      <c r="A32" s="827" t="s">
        <v>1476</v>
      </c>
      <c r="B32" s="828" t="s">
        <v>1055</v>
      </c>
      <c r="C32" s="829" t="s">
        <v>41</v>
      </c>
      <c r="D32" s="830">
        <v>93.68</v>
      </c>
    </row>
    <row r="33" spans="1:6" x14ac:dyDescent="0.2">
      <c r="A33" s="837" t="s">
        <v>1477</v>
      </c>
      <c r="B33" s="838" t="s">
        <v>1478</v>
      </c>
      <c r="C33" s="839"/>
      <c r="D33" s="840"/>
      <c r="E33" s="831"/>
      <c r="F33" s="831"/>
    </row>
    <row r="34" spans="1:6" x14ac:dyDescent="0.2">
      <c r="A34" s="832" t="s">
        <v>1479</v>
      </c>
      <c r="B34" s="833" t="s">
        <v>1051</v>
      </c>
      <c r="C34" s="834" t="s">
        <v>41</v>
      </c>
      <c r="D34" s="835">
        <v>0.99</v>
      </c>
    </row>
    <row r="35" spans="1:6" x14ac:dyDescent="0.2">
      <c r="A35" s="827" t="s">
        <v>1480</v>
      </c>
      <c r="B35" s="828" t="s">
        <v>1053</v>
      </c>
      <c r="C35" s="829" t="s">
        <v>41</v>
      </c>
      <c r="D35" s="830">
        <v>609.38</v>
      </c>
    </row>
    <row r="36" spans="1:6" x14ac:dyDescent="0.2">
      <c r="A36" s="832" t="s">
        <v>1481</v>
      </c>
      <c r="B36" s="833" t="s">
        <v>1055</v>
      </c>
      <c r="C36" s="834" t="s">
        <v>41</v>
      </c>
      <c r="D36" s="835">
        <v>91.58</v>
      </c>
    </row>
    <row r="37" spans="1:6" x14ac:dyDescent="0.2">
      <c r="A37" s="837" t="s">
        <v>1482</v>
      </c>
      <c r="B37" s="838" t="s">
        <v>1483</v>
      </c>
      <c r="C37" s="839"/>
      <c r="D37" s="840"/>
    </row>
    <row r="38" spans="1:6" x14ac:dyDescent="0.2">
      <c r="A38" s="827" t="s">
        <v>1484</v>
      </c>
      <c r="B38" s="828" t="s">
        <v>1051</v>
      </c>
      <c r="C38" s="829" t="s">
        <v>41</v>
      </c>
      <c r="D38" s="830">
        <v>1</v>
      </c>
    </row>
    <row r="39" spans="1:6" x14ac:dyDescent="0.2">
      <c r="A39" s="832" t="s">
        <v>1485</v>
      </c>
      <c r="B39" s="833" t="s">
        <v>1053</v>
      </c>
      <c r="C39" s="834" t="s">
        <v>41</v>
      </c>
      <c r="D39" s="835">
        <v>610.05999999999995</v>
      </c>
    </row>
    <row r="40" spans="1:6" x14ac:dyDescent="0.2">
      <c r="A40" s="827" t="s">
        <v>1486</v>
      </c>
      <c r="B40" s="828" t="s">
        <v>1055</v>
      </c>
      <c r="C40" s="829" t="s">
        <v>41</v>
      </c>
      <c r="D40" s="830">
        <v>91.58</v>
      </c>
    </row>
    <row r="41" spans="1:6" x14ac:dyDescent="0.2">
      <c r="A41" s="837" t="s">
        <v>1487</v>
      </c>
      <c r="B41" s="838" t="s">
        <v>1488</v>
      </c>
      <c r="C41" s="839"/>
      <c r="D41" s="840"/>
    </row>
    <row r="42" spans="1:6" x14ac:dyDescent="0.2">
      <c r="A42" s="832" t="s">
        <v>1489</v>
      </c>
      <c r="B42" s="833" t="s">
        <v>1051</v>
      </c>
      <c r="C42" s="834" t="s">
        <v>41</v>
      </c>
      <c r="D42" s="835">
        <v>0.91</v>
      </c>
    </row>
    <row r="43" spans="1:6" x14ac:dyDescent="0.2">
      <c r="A43" s="827" t="s">
        <v>1490</v>
      </c>
      <c r="B43" s="828" t="s">
        <v>1053</v>
      </c>
      <c r="C43" s="829" t="s">
        <v>41</v>
      </c>
      <c r="D43" s="830">
        <v>608.23</v>
      </c>
    </row>
    <row r="44" spans="1:6" x14ac:dyDescent="0.2">
      <c r="A44" s="832" t="s">
        <v>1491</v>
      </c>
      <c r="B44" s="833" t="s">
        <v>1055</v>
      </c>
      <c r="C44" s="834" t="s">
        <v>41</v>
      </c>
      <c r="D44" s="835">
        <v>93.31</v>
      </c>
    </row>
    <row r="45" spans="1:6" x14ac:dyDescent="0.2">
      <c r="A45" s="837" t="s">
        <v>1492</v>
      </c>
      <c r="B45" s="838" t="s">
        <v>1493</v>
      </c>
      <c r="C45" s="839"/>
      <c r="D45" s="840"/>
    </row>
    <row r="46" spans="1:6" x14ac:dyDescent="0.2">
      <c r="A46" s="827" t="s">
        <v>1494</v>
      </c>
      <c r="B46" s="828" t="s">
        <v>1051</v>
      </c>
      <c r="C46" s="829" t="s">
        <v>41</v>
      </c>
      <c r="D46" s="830">
        <v>1</v>
      </c>
    </row>
    <row r="47" spans="1:6" x14ac:dyDescent="0.2">
      <c r="A47" s="832" t="s">
        <v>1495</v>
      </c>
      <c r="B47" s="833" t="s">
        <v>1053</v>
      </c>
      <c r="C47" s="834" t="s">
        <v>41</v>
      </c>
      <c r="D47" s="835">
        <v>610.05999999999995</v>
      </c>
    </row>
    <row r="48" spans="1:6" x14ac:dyDescent="0.2">
      <c r="A48" s="827" t="s">
        <v>1496</v>
      </c>
      <c r="B48" s="828" t="s">
        <v>1055</v>
      </c>
      <c r="C48" s="829" t="s">
        <v>41</v>
      </c>
      <c r="D48" s="830">
        <v>91.58</v>
      </c>
    </row>
    <row r="49" spans="1:4" x14ac:dyDescent="0.2">
      <c r="A49" s="837" t="s">
        <v>1497</v>
      </c>
      <c r="B49" s="838" t="s">
        <v>1498</v>
      </c>
      <c r="C49" s="839"/>
      <c r="D49" s="840"/>
    </row>
    <row r="50" spans="1:4" x14ac:dyDescent="0.2">
      <c r="A50" s="832" t="s">
        <v>1499</v>
      </c>
      <c r="B50" s="833" t="s">
        <v>1051</v>
      </c>
      <c r="C50" s="834" t="s">
        <v>41</v>
      </c>
      <c r="D50" s="835">
        <v>0.92</v>
      </c>
    </row>
    <row r="51" spans="1:4" x14ac:dyDescent="0.2">
      <c r="A51" s="827" t="s">
        <v>1500</v>
      </c>
      <c r="B51" s="828" t="s">
        <v>1053</v>
      </c>
      <c r="C51" s="829" t="s">
        <v>41</v>
      </c>
      <c r="D51" s="830">
        <v>608.14</v>
      </c>
    </row>
    <row r="52" spans="1:4" x14ac:dyDescent="0.2">
      <c r="A52" s="832" t="s">
        <v>1501</v>
      </c>
      <c r="B52" s="833" t="s">
        <v>1055</v>
      </c>
      <c r="C52" s="834" t="s">
        <v>41</v>
      </c>
      <c r="D52" s="835">
        <v>93.31</v>
      </c>
    </row>
    <row r="53" spans="1:4" x14ac:dyDescent="0.2">
      <c r="A53" s="837" t="s">
        <v>1502</v>
      </c>
      <c r="B53" s="838" t="s">
        <v>1503</v>
      </c>
      <c r="C53" s="839"/>
      <c r="D53" s="840"/>
    </row>
    <row r="54" spans="1:4" x14ac:dyDescent="0.2">
      <c r="A54" s="827" t="s">
        <v>1504</v>
      </c>
      <c r="B54" s="828" t="s">
        <v>1051</v>
      </c>
      <c r="C54" s="829" t="s">
        <v>41</v>
      </c>
      <c r="D54" s="830">
        <v>1</v>
      </c>
    </row>
    <row r="55" spans="1:4" x14ac:dyDescent="0.2">
      <c r="A55" s="832" t="s">
        <v>1505</v>
      </c>
      <c r="B55" s="833" t="s">
        <v>1053</v>
      </c>
      <c r="C55" s="834" t="s">
        <v>41</v>
      </c>
      <c r="D55" s="835">
        <v>610.05999999999995</v>
      </c>
    </row>
    <row r="56" spans="1:4" x14ac:dyDescent="0.2">
      <c r="A56" s="827" t="s">
        <v>1506</v>
      </c>
      <c r="B56" s="828" t="s">
        <v>1055</v>
      </c>
      <c r="C56" s="829" t="s">
        <v>41</v>
      </c>
      <c r="D56" s="830">
        <v>91.58</v>
      </c>
    </row>
    <row r="57" spans="1:4" x14ac:dyDescent="0.2">
      <c r="A57" s="837" t="s">
        <v>1507</v>
      </c>
      <c r="B57" s="838" t="s">
        <v>1508</v>
      </c>
      <c r="C57" s="839"/>
      <c r="D57" s="840"/>
    </row>
    <row r="58" spans="1:4" x14ac:dyDescent="0.2">
      <c r="A58" s="832" t="s">
        <v>1509</v>
      </c>
      <c r="B58" s="833" t="s">
        <v>1051</v>
      </c>
      <c r="C58" s="834" t="s">
        <v>41</v>
      </c>
      <c r="D58" s="835">
        <v>0.91</v>
      </c>
    </row>
    <row r="59" spans="1:4" x14ac:dyDescent="0.2">
      <c r="A59" s="827" t="s">
        <v>1510</v>
      </c>
      <c r="B59" s="828" t="s">
        <v>1053</v>
      </c>
      <c r="C59" s="829" t="s">
        <v>41</v>
      </c>
      <c r="D59" s="830">
        <v>608.24</v>
      </c>
    </row>
    <row r="60" spans="1:4" x14ac:dyDescent="0.2">
      <c r="A60" s="832" t="s">
        <v>1511</v>
      </c>
      <c r="B60" s="833" t="s">
        <v>1055</v>
      </c>
      <c r="C60" s="834" t="s">
        <v>41</v>
      </c>
      <c r="D60" s="835">
        <v>91.21</v>
      </c>
    </row>
    <row r="61" spans="1:4" x14ac:dyDescent="0.2">
      <c r="A61" s="837" t="s">
        <v>1512</v>
      </c>
      <c r="B61" s="838" t="s">
        <v>1513</v>
      </c>
      <c r="C61" s="839"/>
      <c r="D61" s="840"/>
    </row>
    <row r="62" spans="1:4" x14ac:dyDescent="0.2">
      <c r="A62" s="827" t="s">
        <v>1514</v>
      </c>
      <c r="B62" s="828" t="s">
        <v>1051</v>
      </c>
      <c r="C62" s="829" t="s">
        <v>41</v>
      </c>
      <c r="D62" s="830">
        <v>1</v>
      </c>
    </row>
    <row r="63" spans="1:4" x14ac:dyDescent="0.2">
      <c r="A63" s="832" t="s">
        <v>1515</v>
      </c>
      <c r="B63" s="833" t="s">
        <v>1053</v>
      </c>
      <c r="C63" s="834" t="s">
        <v>41</v>
      </c>
      <c r="D63" s="835">
        <v>610.05999999999995</v>
      </c>
    </row>
    <row r="64" spans="1:4" x14ac:dyDescent="0.2">
      <c r="A64" s="827" t="s">
        <v>1516</v>
      </c>
      <c r="B64" s="828" t="s">
        <v>1055</v>
      </c>
      <c r="C64" s="829" t="s">
        <v>41</v>
      </c>
      <c r="D64" s="830">
        <v>93.68</v>
      </c>
    </row>
    <row r="65" spans="1:6" x14ac:dyDescent="0.2">
      <c r="A65" s="837" t="s">
        <v>1517</v>
      </c>
      <c r="B65" s="838" t="s">
        <v>1518</v>
      </c>
      <c r="C65" s="839"/>
      <c r="D65" s="840"/>
    </row>
    <row r="66" spans="1:6" x14ac:dyDescent="0.2">
      <c r="A66" s="832" t="s">
        <v>1519</v>
      </c>
      <c r="B66" s="833" t="s">
        <v>1051</v>
      </c>
      <c r="C66" s="834" t="s">
        <v>41</v>
      </c>
      <c r="D66" s="835">
        <v>0.91</v>
      </c>
    </row>
    <row r="67" spans="1:6" x14ac:dyDescent="0.2">
      <c r="A67" s="827" t="s">
        <v>1520</v>
      </c>
      <c r="B67" s="828" t="s">
        <v>1053</v>
      </c>
      <c r="C67" s="829" t="s">
        <v>41</v>
      </c>
      <c r="D67" s="830">
        <v>608.24</v>
      </c>
    </row>
    <row r="68" spans="1:6" x14ac:dyDescent="0.2">
      <c r="A68" s="832" t="s">
        <v>1521</v>
      </c>
      <c r="B68" s="833" t="s">
        <v>1055</v>
      </c>
      <c r="C68" s="834" t="s">
        <v>41</v>
      </c>
      <c r="D68" s="835">
        <v>91.21</v>
      </c>
    </row>
    <row r="69" spans="1:6" x14ac:dyDescent="0.2">
      <c r="A69" s="837" t="s">
        <v>1522</v>
      </c>
      <c r="B69" s="838" t="s">
        <v>1523</v>
      </c>
      <c r="C69" s="839"/>
      <c r="D69" s="840"/>
    </row>
    <row r="70" spans="1:6" x14ac:dyDescent="0.2">
      <c r="A70" s="827" t="s">
        <v>1524</v>
      </c>
      <c r="B70" s="828" t="s">
        <v>1051</v>
      </c>
      <c r="C70" s="829" t="s">
        <v>41</v>
      </c>
      <c r="D70" s="830">
        <v>1</v>
      </c>
    </row>
    <row r="71" spans="1:6" x14ac:dyDescent="0.2">
      <c r="A71" s="832" t="s">
        <v>1525</v>
      </c>
      <c r="B71" s="833" t="s">
        <v>1053</v>
      </c>
      <c r="C71" s="834" t="s">
        <v>41</v>
      </c>
      <c r="D71" s="835">
        <v>610.05999999999995</v>
      </c>
    </row>
    <row r="72" spans="1:6" x14ac:dyDescent="0.2">
      <c r="A72" s="827" t="s">
        <v>1526</v>
      </c>
      <c r="B72" s="828" t="s">
        <v>1055</v>
      </c>
      <c r="C72" s="829" t="s">
        <v>41</v>
      </c>
      <c r="D72" s="830">
        <v>93.68</v>
      </c>
    </row>
    <row r="73" spans="1:6" x14ac:dyDescent="0.2">
      <c r="A73" s="837" t="s">
        <v>1527</v>
      </c>
      <c r="B73" s="838" t="s">
        <v>1528</v>
      </c>
      <c r="C73" s="839"/>
      <c r="D73" s="840"/>
    </row>
    <row r="74" spans="1:6" x14ac:dyDescent="0.2">
      <c r="A74" s="832" t="s">
        <v>1529</v>
      </c>
      <c r="B74" s="833" t="s">
        <v>1051</v>
      </c>
      <c r="C74" s="834" t="s">
        <v>41</v>
      </c>
      <c r="D74" s="835">
        <v>0.91</v>
      </c>
    </row>
    <row r="75" spans="1:6" x14ac:dyDescent="0.2">
      <c r="A75" s="827" t="s">
        <v>1530</v>
      </c>
      <c r="B75" s="828" t="s">
        <v>1053</v>
      </c>
      <c r="C75" s="829" t="s">
        <v>41</v>
      </c>
      <c r="D75" s="830">
        <v>608.24</v>
      </c>
    </row>
    <row r="76" spans="1:6" x14ac:dyDescent="0.2">
      <c r="A76" s="832" t="s">
        <v>1531</v>
      </c>
      <c r="B76" s="833" t="s">
        <v>1055</v>
      </c>
      <c r="C76" s="834" t="s">
        <v>41</v>
      </c>
      <c r="D76" s="835">
        <v>91.21</v>
      </c>
    </row>
    <row r="77" spans="1:6" x14ac:dyDescent="0.2">
      <c r="A77" s="837" t="s">
        <v>1532</v>
      </c>
      <c r="B77" s="838" t="s">
        <v>1533</v>
      </c>
      <c r="C77" s="839"/>
      <c r="D77" s="840"/>
      <c r="E77" s="831"/>
      <c r="F77" s="831"/>
    </row>
    <row r="78" spans="1:6" x14ac:dyDescent="0.2">
      <c r="A78" s="827" t="s">
        <v>1534</v>
      </c>
      <c r="B78" s="828" t="s">
        <v>1051</v>
      </c>
      <c r="C78" s="829" t="s">
        <v>41</v>
      </c>
      <c r="D78" s="830">
        <v>1</v>
      </c>
    </row>
    <row r="79" spans="1:6" x14ac:dyDescent="0.2">
      <c r="A79" s="832" t="s">
        <v>1535</v>
      </c>
      <c r="B79" s="833" t="s">
        <v>1053</v>
      </c>
      <c r="C79" s="834" t="s">
        <v>41</v>
      </c>
      <c r="D79" s="835">
        <v>610.05999999999995</v>
      </c>
    </row>
    <row r="80" spans="1:6" x14ac:dyDescent="0.2">
      <c r="A80" s="827" t="s">
        <v>1536</v>
      </c>
      <c r="B80" s="828" t="s">
        <v>1055</v>
      </c>
      <c r="C80" s="829" t="s">
        <v>41</v>
      </c>
      <c r="D80" s="830">
        <v>91.58</v>
      </c>
    </row>
    <row r="81" spans="1:6" x14ac:dyDescent="0.2">
      <c r="A81" s="837" t="s">
        <v>1537</v>
      </c>
      <c r="B81" s="838" t="s">
        <v>1538</v>
      </c>
      <c r="C81" s="839"/>
      <c r="D81" s="840"/>
      <c r="E81" s="831"/>
      <c r="F81" s="831"/>
    </row>
    <row r="82" spans="1:6" x14ac:dyDescent="0.2">
      <c r="A82" s="832" t="s">
        <v>1539</v>
      </c>
      <c r="B82" s="833" t="s">
        <v>1051</v>
      </c>
      <c r="C82" s="834" t="s">
        <v>41</v>
      </c>
      <c r="D82" s="835">
        <v>12.78</v>
      </c>
    </row>
    <row r="83" spans="1:6" x14ac:dyDescent="0.2">
      <c r="A83" s="827" t="s">
        <v>1540</v>
      </c>
      <c r="B83" s="828" t="s">
        <v>1053</v>
      </c>
      <c r="C83" s="829" t="s">
        <v>41</v>
      </c>
      <c r="D83" s="830">
        <v>390.92</v>
      </c>
    </row>
    <row r="84" spans="1:6" x14ac:dyDescent="0.2">
      <c r="A84" s="837" t="s">
        <v>1541</v>
      </c>
      <c r="B84" s="838" t="s">
        <v>1542</v>
      </c>
      <c r="C84" s="839"/>
      <c r="D84" s="840"/>
      <c r="E84" s="831"/>
      <c r="F84" s="831"/>
    </row>
    <row r="85" spans="1:6" x14ac:dyDescent="0.2">
      <c r="A85" s="832" t="s">
        <v>1543</v>
      </c>
      <c r="B85" s="833" t="s">
        <v>1053</v>
      </c>
      <c r="C85" s="834" t="s">
        <v>41</v>
      </c>
      <c r="D85" s="835">
        <v>193.52</v>
      </c>
    </row>
    <row r="86" spans="1:6" x14ac:dyDescent="0.2">
      <c r="A86" s="837" t="s">
        <v>1544</v>
      </c>
      <c r="B86" s="838" t="s">
        <v>1545</v>
      </c>
      <c r="C86" s="839"/>
      <c r="D86" s="840"/>
    </row>
    <row r="87" spans="1:6" x14ac:dyDescent="0.2">
      <c r="A87" s="827" t="s">
        <v>1546</v>
      </c>
      <c r="B87" s="828" t="s">
        <v>1053</v>
      </c>
      <c r="C87" s="829" t="s">
        <v>41</v>
      </c>
      <c r="D87" s="830">
        <v>31.58</v>
      </c>
    </row>
    <row r="88" spans="1:6" x14ac:dyDescent="0.2">
      <c r="A88" s="837" t="s">
        <v>1547</v>
      </c>
      <c r="B88" s="838" t="s">
        <v>1548</v>
      </c>
      <c r="C88" s="839"/>
      <c r="D88" s="840"/>
    </row>
    <row r="89" spans="1:6" x14ac:dyDescent="0.2">
      <c r="A89" s="832" t="s">
        <v>1549</v>
      </c>
      <c r="B89" s="833" t="s">
        <v>1053</v>
      </c>
      <c r="C89" s="834" t="s">
        <v>41</v>
      </c>
      <c r="D89" s="835">
        <v>25.99</v>
      </c>
    </row>
    <row r="90" spans="1:6" x14ac:dyDescent="0.2">
      <c r="A90" s="823" t="s">
        <v>1056</v>
      </c>
      <c r="B90" s="824" t="s">
        <v>1057</v>
      </c>
      <c r="C90" s="825"/>
      <c r="D90" s="826"/>
    </row>
    <row r="91" spans="1:6" x14ac:dyDescent="0.2">
      <c r="A91" s="837" t="s">
        <v>1550</v>
      </c>
      <c r="B91" s="838" t="s">
        <v>1453</v>
      </c>
      <c r="C91" s="839"/>
      <c r="D91" s="840"/>
      <c r="E91" s="831"/>
      <c r="F91" s="831"/>
    </row>
    <row r="92" spans="1:6" x14ac:dyDescent="0.2">
      <c r="A92" s="827" t="s">
        <v>1551</v>
      </c>
      <c r="B92" s="828" t="s">
        <v>1059</v>
      </c>
      <c r="C92" s="829" t="s">
        <v>41</v>
      </c>
      <c r="D92" s="830">
        <v>95.44</v>
      </c>
    </row>
    <row r="93" spans="1:6" x14ac:dyDescent="0.2">
      <c r="A93" s="837" t="s">
        <v>1552</v>
      </c>
      <c r="B93" s="838" t="s">
        <v>1458</v>
      </c>
      <c r="C93" s="839"/>
      <c r="D93" s="840"/>
      <c r="E93" s="831"/>
      <c r="F93" s="831"/>
    </row>
    <row r="94" spans="1:6" x14ac:dyDescent="0.2">
      <c r="A94" s="832" t="s">
        <v>1553</v>
      </c>
      <c r="B94" s="833" t="s">
        <v>1059</v>
      </c>
      <c r="C94" s="834" t="s">
        <v>41</v>
      </c>
      <c r="D94" s="835">
        <v>57.19</v>
      </c>
    </row>
    <row r="95" spans="1:6" x14ac:dyDescent="0.2">
      <c r="A95" s="837" t="s">
        <v>1554</v>
      </c>
      <c r="B95" s="838" t="s">
        <v>1462</v>
      </c>
      <c r="C95" s="839"/>
      <c r="D95" s="840"/>
      <c r="E95" s="831"/>
      <c r="F95" s="831"/>
    </row>
    <row r="96" spans="1:6" x14ac:dyDescent="0.2">
      <c r="A96" s="827" t="s">
        <v>1555</v>
      </c>
      <c r="B96" s="828" t="s">
        <v>1059</v>
      </c>
      <c r="C96" s="829" t="s">
        <v>41</v>
      </c>
      <c r="D96" s="830">
        <v>54.61</v>
      </c>
    </row>
    <row r="97" spans="1:4" x14ac:dyDescent="0.2">
      <c r="A97" s="837" t="s">
        <v>1556</v>
      </c>
      <c r="B97" s="838" t="s">
        <v>1466</v>
      </c>
      <c r="C97" s="839"/>
      <c r="D97" s="840"/>
    </row>
    <row r="98" spans="1:4" x14ac:dyDescent="0.2">
      <c r="A98" s="832" t="s">
        <v>1557</v>
      </c>
      <c r="B98" s="833" t="s">
        <v>1059</v>
      </c>
      <c r="C98" s="834" t="s">
        <v>41</v>
      </c>
      <c r="D98" s="835">
        <v>54.61</v>
      </c>
    </row>
    <row r="99" spans="1:4" x14ac:dyDescent="0.2">
      <c r="A99" s="837" t="s">
        <v>1558</v>
      </c>
      <c r="B99" s="838" t="s">
        <v>1470</v>
      </c>
      <c r="C99" s="839"/>
      <c r="D99" s="840"/>
    </row>
    <row r="100" spans="1:4" x14ac:dyDescent="0.2">
      <c r="A100" s="827" t="s">
        <v>1559</v>
      </c>
      <c r="B100" s="828" t="s">
        <v>1059</v>
      </c>
      <c r="C100" s="829" t="s">
        <v>41</v>
      </c>
      <c r="D100" s="830">
        <v>86.14</v>
      </c>
    </row>
    <row r="101" spans="1:4" x14ac:dyDescent="0.2">
      <c r="A101" s="837" t="s">
        <v>1560</v>
      </c>
      <c r="B101" s="838" t="s">
        <v>1473</v>
      </c>
      <c r="C101" s="839"/>
      <c r="D101" s="840"/>
    </row>
    <row r="102" spans="1:4" x14ac:dyDescent="0.2">
      <c r="A102" s="832" t="s">
        <v>1561</v>
      </c>
      <c r="B102" s="833" t="s">
        <v>1059</v>
      </c>
      <c r="C102" s="834" t="s">
        <v>41</v>
      </c>
      <c r="D102" s="835">
        <v>55.45</v>
      </c>
    </row>
    <row r="103" spans="1:4" x14ac:dyDescent="0.2">
      <c r="A103" s="837" t="s">
        <v>1562</v>
      </c>
      <c r="B103" s="838" t="s">
        <v>1478</v>
      </c>
      <c r="C103" s="839"/>
      <c r="D103" s="840"/>
    </row>
    <row r="104" spans="1:4" x14ac:dyDescent="0.2">
      <c r="A104" s="827" t="s">
        <v>1563</v>
      </c>
      <c r="B104" s="828" t="s">
        <v>1059</v>
      </c>
      <c r="C104" s="829" t="s">
        <v>41</v>
      </c>
      <c r="D104" s="830">
        <v>55.45</v>
      </c>
    </row>
    <row r="105" spans="1:4" x14ac:dyDescent="0.2">
      <c r="A105" s="837" t="s">
        <v>1564</v>
      </c>
      <c r="B105" s="838" t="s">
        <v>1483</v>
      </c>
      <c r="C105" s="839"/>
      <c r="D105" s="840"/>
    </row>
    <row r="106" spans="1:4" x14ac:dyDescent="0.2">
      <c r="A106" s="832" t="s">
        <v>1565</v>
      </c>
      <c r="B106" s="833" t="s">
        <v>1059</v>
      </c>
      <c r="C106" s="834" t="s">
        <v>41</v>
      </c>
      <c r="D106" s="835">
        <v>55.54</v>
      </c>
    </row>
    <row r="107" spans="1:4" x14ac:dyDescent="0.2">
      <c r="A107" s="837" t="s">
        <v>1566</v>
      </c>
      <c r="B107" s="838" t="s">
        <v>1488</v>
      </c>
      <c r="C107" s="839"/>
      <c r="D107" s="840"/>
    </row>
    <row r="108" spans="1:4" x14ac:dyDescent="0.2">
      <c r="A108" s="827" t="s">
        <v>1567</v>
      </c>
      <c r="B108" s="828" t="s">
        <v>1059</v>
      </c>
      <c r="C108" s="829" t="s">
        <v>41</v>
      </c>
      <c r="D108" s="830">
        <v>58.34</v>
      </c>
    </row>
    <row r="109" spans="1:4" x14ac:dyDescent="0.2">
      <c r="A109" s="837" t="s">
        <v>1568</v>
      </c>
      <c r="B109" s="838" t="s">
        <v>1493</v>
      </c>
      <c r="C109" s="839"/>
      <c r="D109" s="840"/>
    </row>
    <row r="110" spans="1:4" x14ac:dyDescent="0.2">
      <c r="A110" s="832" t="s">
        <v>1569</v>
      </c>
      <c r="B110" s="833" t="s">
        <v>1059</v>
      </c>
      <c r="C110" s="834" t="s">
        <v>41</v>
      </c>
      <c r="D110" s="835">
        <v>55.61</v>
      </c>
    </row>
    <row r="111" spans="1:4" x14ac:dyDescent="0.2">
      <c r="A111" s="837" t="s">
        <v>1570</v>
      </c>
      <c r="B111" s="838" t="s">
        <v>1498</v>
      </c>
      <c r="C111" s="839"/>
      <c r="D111" s="840"/>
    </row>
    <row r="112" spans="1:4" x14ac:dyDescent="0.2">
      <c r="A112" s="827" t="s">
        <v>1571</v>
      </c>
      <c r="B112" s="828" t="s">
        <v>1059</v>
      </c>
      <c r="C112" s="829" t="s">
        <v>41</v>
      </c>
      <c r="D112" s="830">
        <v>58.33</v>
      </c>
    </row>
    <row r="113" spans="1:4" x14ac:dyDescent="0.2">
      <c r="A113" s="837" t="s">
        <v>1572</v>
      </c>
      <c r="B113" s="838" t="s">
        <v>1503</v>
      </c>
      <c r="C113" s="839"/>
      <c r="D113" s="840"/>
    </row>
    <row r="114" spans="1:4" x14ac:dyDescent="0.2">
      <c r="A114" s="832" t="s">
        <v>1573</v>
      </c>
      <c r="B114" s="833" t="s">
        <v>1059</v>
      </c>
      <c r="C114" s="834" t="s">
        <v>41</v>
      </c>
      <c r="D114" s="835">
        <v>55.61</v>
      </c>
    </row>
    <row r="115" spans="1:4" x14ac:dyDescent="0.2">
      <c r="A115" s="837" t="s">
        <v>1574</v>
      </c>
      <c r="B115" s="838" t="s">
        <v>1508</v>
      </c>
      <c r="C115" s="839"/>
      <c r="D115" s="840"/>
    </row>
    <row r="116" spans="1:4" x14ac:dyDescent="0.2">
      <c r="A116" s="827" t="s">
        <v>1575</v>
      </c>
      <c r="B116" s="828" t="s">
        <v>1059</v>
      </c>
      <c r="C116" s="829" t="s">
        <v>41</v>
      </c>
      <c r="D116" s="830">
        <v>58.34</v>
      </c>
    </row>
    <row r="117" spans="1:4" x14ac:dyDescent="0.2">
      <c r="A117" s="837" t="s">
        <v>1576</v>
      </c>
      <c r="B117" s="838" t="s">
        <v>1513</v>
      </c>
      <c r="C117" s="839"/>
      <c r="D117" s="840"/>
    </row>
    <row r="118" spans="1:4" x14ac:dyDescent="0.2">
      <c r="A118" s="832" t="s">
        <v>1577</v>
      </c>
      <c r="B118" s="833" t="s">
        <v>1059</v>
      </c>
      <c r="C118" s="834" t="s">
        <v>41</v>
      </c>
      <c r="D118" s="835">
        <v>55.61</v>
      </c>
    </row>
    <row r="119" spans="1:4" x14ac:dyDescent="0.2">
      <c r="A119" s="837" t="s">
        <v>1578</v>
      </c>
      <c r="B119" s="838" t="s">
        <v>1518</v>
      </c>
      <c r="C119" s="839"/>
      <c r="D119" s="840"/>
    </row>
    <row r="120" spans="1:4" x14ac:dyDescent="0.2">
      <c r="A120" s="827" t="s">
        <v>1579</v>
      </c>
      <c r="B120" s="828" t="s">
        <v>1059</v>
      </c>
      <c r="C120" s="829" t="s">
        <v>41</v>
      </c>
      <c r="D120" s="830">
        <v>58.34</v>
      </c>
    </row>
    <row r="121" spans="1:4" x14ac:dyDescent="0.2">
      <c r="A121" s="837" t="s">
        <v>1580</v>
      </c>
      <c r="B121" s="838" t="s">
        <v>1523</v>
      </c>
      <c r="C121" s="839"/>
      <c r="D121" s="840"/>
    </row>
    <row r="122" spans="1:4" x14ac:dyDescent="0.2">
      <c r="A122" s="832" t="s">
        <v>1581</v>
      </c>
      <c r="B122" s="833" t="s">
        <v>1059</v>
      </c>
      <c r="C122" s="834" t="s">
        <v>41</v>
      </c>
      <c r="D122" s="835">
        <v>55.61</v>
      </c>
    </row>
    <row r="123" spans="1:4" x14ac:dyDescent="0.2">
      <c r="A123" s="837" t="s">
        <v>1582</v>
      </c>
      <c r="B123" s="838" t="s">
        <v>1528</v>
      </c>
      <c r="C123" s="839"/>
      <c r="D123" s="840"/>
    </row>
    <row r="124" spans="1:4" x14ac:dyDescent="0.2">
      <c r="A124" s="827" t="s">
        <v>1583</v>
      </c>
      <c r="B124" s="828" t="s">
        <v>1059</v>
      </c>
      <c r="C124" s="829" t="s">
        <v>41</v>
      </c>
      <c r="D124" s="830">
        <v>58.34</v>
      </c>
    </row>
    <row r="125" spans="1:4" x14ac:dyDescent="0.2">
      <c r="A125" s="837" t="s">
        <v>1584</v>
      </c>
      <c r="B125" s="838" t="s">
        <v>1533</v>
      </c>
      <c r="C125" s="839"/>
      <c r="D125" s="840"/>
    </row>
    <row r="126" spans="1:4" x14ac:dyDescent="0.2">
      <c r="A126" s="832" t="s">
        <v>1585</v>
      </c>
      <c r="B126" s="833" t="s">
        <v>1059</v>
      </c>
      <c r="C126" s="834" t="s">
        <v>41</v>
      </c>
      <c r="D126" s="835">
        <v>55.61</v>
      </c>
    </row>
    <row r="127" spans="1:4" x14ac:dyDescent="0.2">
      <c r="A127" s="837" t="s">
        <v>1586</v>
      </c>
      <c r="B127" s="838" t="s">
        <v>1538</v>
      </c>
      <c r="C127" s="839"/>
      <c r="D127" s="840"/>
    </row>
    <row r="128" spans="1:4" x14ac:dyDescent="0.2">
      <c r="A128" s="827" t="s">
        <v>1587</v>
      </c>
      <c r="B128" s="828" t="s">
        <v>1059</v>
      </c>
      <c r="C128" s="829" t="s">
        <v>41</v>
      </c>
      <c r="D128" s="830">
        <v>79.5</v>
      </c>
    </row>
    <row r="129" spans="1:4" x14ac:dyDescent="0.2">
      <c r="A129" s="837" t="s">
        <v>1588</v>
      </c>
      <c r="B129" s="838" t="s">
        <v>1542</v>
      </c>
      <c r="C129" s="839"/>
      <c r="D129" s="840"/>
    </row>
    <row r="130" spans="1:4" x14ac:dyDescent="0.2">
      <c r="A130" s="832" t="s">
        <v>1589</v>
      </c>
      <c r="B130" s="833" t="s">
        <v>1059</v>
      </c>
      <c r="C130" s="834" t="s">
        <v>41</v>
      </c>
      <c r="D130" s="835">
        <v>50.76</v>
      </c>
    </row>
    <row r="131" spans="1:4" x14ac:dyDescent="0.2">
      <c r="A131" s="837" t="s">
        <v>1590</v>
      </c>
      <c r="B131" s="838" t="s">
        <v>1545</v>
      </c>
      <c r="C131" s="839"/>
      <c r="D131" s="840"/>
    </row>
    <row r="132" spans="1:4" x14ac:dyDescent="0.2">
      <c r="A132" s="827" t="s">
        <v>1591</v>
      </c>
      <c r="B132" s="828" t="s">
        <v>1059</v>
      </c>
      <c r="C132" s="829" t="s">
        <v>41</v>
      </c>
      <c r="D132" s="830">
        <v>38.36</v>
      </c>
    </row>
    <row r="133" spans="1:4" x14ac:dyDescent="0.2">
      <c r="A133" s="823" t="s">
        <v>1060</v>
      </c>
      <c r="B133" s="824" t="s">
        <v>1061</v>
      </c>
      <c r="C133" s="825"/>
      <c r="D133" s="826"/>
    </row>
    <row r="134" spans="1:4" x14ac:dyDescent="0.2">
      <c r="A134" s="837" t="s">
        <v>1592</v>
      </c>
      <c r="B134" s="838" t="s">
        <v>1538</v>
      </c>
      <c r="C134" s="839"/>
      <c r="D134" s="840"/>
    </row>
    <row r="135" spans="1:4" x14ac:dyDescent="0.2">
      <c r="A135" s="832" t="s">
        <v>1593</v>
      </c>
      <c r="B135" s="833" t="s">
        <v>1063</v>
      </c>
      <c r="C135" s="834" t="s">
        <v>54</v>
      </c>
      <c r="D135" s="835">
        <v>3.24</v>
      </c>
    </row>
    <row r="136" spans="1:4" x14ac:dyDescent="0.2">
      <c r="A136" s="837" t="s">
        <v>1594</v>
      </c>
      <c r="B136" s="838" t="s">
        <v>1542</v>
      </c>
      <c r="C136" s="839"/>
      <c r="D136" s="840"/>
    </row>
    <row r="137" spans="1:4" x14ac:dyDescent="0.2">
      <c r="A137" s="827" t="s">
        <v>1062</v>
      </c>
      <c r="B137" s="828" t="s">
        <v>1063</v>
      </c>
      <c r="C137" s="829" t="s">
        <v>54</v>
      </c>
      <c r="D137" s="830">
        <v>74.180000000000007</v>
      </c>
    </row>
    <row r="138" spans="1:4" x14ac:dyDescent="0.2">
      <c r="A138" s="832" t="s">
        <v>1064</v>
      </c>
      <c r="B138" s="833" t="s">
        <v>3598</v>
      </c>
      <c r="C138" s="834" t="s">
        <v>41</v>
      </c>
      <c r="D138" s="835">
        <v>8.07</v>
      </c>
    </row>
    <row r="139" spans="1:4" x14ac:dyDescent="0.2">
      <c r="A139" s="827" t="s">
        <v>3596</v>
      </c>
      <c r="B139" s="828" t="s">
        <v>1065</v>
      </c>
      <c r="C139" s="829" t="s">
        <v>54</v>
      </c>
      <c r="D139" s="830">
        <v>48.25</v>
      </c>
    </row>
    <row r="140" spans="1:4" x14ac:dyDescent="0.2">
      <c r="A140" s="832" t="s">
        <v>3597</v>
      </c>
      <c r="B140" s="833" t="s">
        <v>3599</v>
      </c>
      <c r="C140" s="834" t="s">
        <v>41</v>
      </c>
      <c r="D140" s="835">
        <v>311</v>
      </c>
    </row>
    <row r="141" spans="1:4" x14ac:dyDescent="0.2">
      <c r="A141" s="823" t="s">
        <v>1066</v>
      </c>
      <c r="B141" s="824" t="s">
        <v>1067</v>
      </c>
      <c r="C141" s="825"/>
      <c r="D141" s="826"/>
    </row>
    <row r="142" spans="1:4" x14ac:dyDescent="0.2">
      <c r="A142" s="837" t="s">
        <v>1595</v>
      </c>
      <c r="B142" s="838" t="s">
        <v>1453</v>
      </c>
      <c r="C142" s="839"/>
      <c r="D142" s="840"/>
    </row>
    <row r="143" spans="1:4" x14ac:dyDescent="0.2">
      <c r="A143" s="827" t="s">
        <v>1596</v>
      </c>
      <c r="B143" s="828" t="s">
        <v>1069</v>
      </c>
      <c r="C143" s="829" t="s">
        <v>54</v>
      </c>
      <c r="D143" s="830">
        <v>545.23</v>
      </c>
    </row>
    <row r="144" spans="1:4" x14ac:dyDescent="0.2">
      <c r="A144" s="832" t="s">
        <v>1597</v>
      </c>
      <c r="B144" s="833" t="s">
        <v>1071</v>
      </c>
      <c r="C144" s="834" t="s">
        <v>54</v>
      </c>
      <c r="D144" s="835">
        <v>220.04</v>
      </c>
    </row>
    <row r="145" spans="1:4" x14ac:dyDescent="0.2">
      <c r="A145" s="837" t="s">
        <v>1598</v>
      </c>
      <c r="B145" s="838" t="s">
        <v>1458</v>
      </c>
      <c r="C145" s="839"/>
      <c r="D145" s="840"/>
    </row>
    <row r="146" spans="1:4" x14ac:dyDescent="0.2">
      <c r="A146" s="827" t="s">
        <v>1599</v>
      </c>
      <c r="B146" s="828" t="s">
        <v>1069</v>
      </c>
      <c r="C146" s="829" t="s">
        <v>54</v>
      </c>
      <c r="D146" s="830">
        <v>251.91</v>
      </c>
    </row>
    <row r="147" spans="1:4" x14ac:dyDescent="0.2">
      <c r="A147" s="832" t="s">
        <v>1600</v>
      </c>
      <c r="B147" s="833" t="s">
        <v>1071</v>
      </c>
      <c r="C147" s="834" t="s">
        <v>54</v>
      </c>
      <c r="D147" s="835">
        <v>775</v>
      </c>
    </row>
    <row r="148" spans="1:4" x14ac:dyDescent="0.2">
      <c r="A148" s="837" t="s">
        <v>1601</v>
      </c>
      <c r="B148" s="838" t="s">
        <v>1462</v>
      </c>
      <c r="C148" s="839"/>
      <c r="D148" s="840"/>
    </row>
    <row r="149" spans="1:4" x14ac:dyDescent="0.2">
      <c r="A149" s="827" t="s">
        <v>1602</v>
      </c>
      <c r="B149" s="828" t="s">
        <v>1069</v>
      </c>
      <c r="C149" s="829" t="s">
        <v>54</v>
      </c>
      <c r="D149" s="830">
        <v>225.47</v>
      </c>
    </row>
    <row r="150" spans="1:4" x14ac:dyDescent="0.2">
      <c r="A150" s="832" t="s">
        <v>1603</v>
      </c>
      <c r="B150" s="833" t="s">
        <v>1071</v>
      </c>
      <c r="C150" s="834" t="s">
        <v>54</v>
      </c>
      <c r="D150" s="835">
        <v>769.15</v>
      </c>
    </row>
    <row r="151" spans="1:4" x14ac:dyDescent="0.2">
      <c r="A151" s="837" t="s">
        <v>1604</v>
      </c>
      <c r="B151" s="838" t="s">
        <v>1466</v>
      </c>
      <c r="C151" s="839"/>
      <c r="D151" s="840"/>
    </row>
    <row r="152" spans="1:4" x14ac:dyDescent="0.2">
      <c r="A152" s="827" t="s">
        <v>1605</v>
      </c>
      <c r="B152" s="828" t="s">
        <v>1069</v>
      </c>
      <c r="C152" s="829" t="s">
        <v>54</v>
      </c>
      <c r="D152" s="830">
        <v>225.47</v>
      </c>
    </row>
    <row r="153" spans="1:4" x14ac:dyDescent="0.2">
      <c r="A153" s="832" t="s">
        <v>1606</v>
      </c>
      <c r="B153" s="833" t="s">
        <v>1071</v>
      </c>
      <c r="C153" s="834" t="s">
        <v>54</v>
      </c>
      <c r="D153" s="835">
        <v>769.15</v>
      </c>
    </row>
    <row r="154" spans="1:4" x14ac:dyDescent="0.2">
      <c r="A154" s="837" t="s">
        <v>1607</v>
      </c>
      <c r="B154" s="838" t="s">
        <v>1470</v>
      </c>
      <c r="C154" s="839"/>
      <c r="D154" s="840"/>
    </row>
    <row r="155" spans="1:4" x14ac:dyDescent="0.2">
      <c r="A155" s="827" t="s">
        <v>1608</v>
      </c>
      <c r="B155" s="828" t="s">
        <v>1069</v>
      </c>
      <c r="C155" s="829" t="s">
        <v>54</v>
      </c>
      <c r="D155" s="830">
        <v>193.35</v>
      </c>
    </row>
    <row r="156" spans="1:4" x14ac:dyDescent="0.2">
      <c r="A156" s="832" t="s">
        <v>1609</v>
      </c>
      <c r="B156" s="833" t="s">
        <v>1071</v>
      </c>
      <c r="C156" s="834" t="s">
        <v>54</v>
      </c>
      <c r="D156" s="835">
        <v>762.89</v>
      </c>
    </row>
    <row r="157" spans="1:4" x14ac:dyDescent="0.2">
      <c r="A157" s="837" t="s">
        <v>1610</v>
      </c>
      <c r="B157" s="838" t="s">
        <v>1473</v>
      </c>
      <c r="C157" s="839"/>
      <c r="D157" s="840"/>
    </row>
    <row r="158" spans="1:4" x14ac:dyDescent="0.2">
      <c r="A158" s="827" t="s">
        <v>1611</v>
      </c>
      <c r="B158" s="828" t="s">
        <v>1069</v>
      </c>
      <c r="C158" s="829" t="s">
        <v>54</v>
      </c>
      <c r="D158" s="830">
        <v>391.28</v>
      </c>
    </row>
    <row r="159" spans="1:4" x14ac:dyDescent="0.2">
      <c r="A159" s="832" t="s">
        <v>1612</v>
      </c>
      <c r="B159" s="833" t="s">
        <v>1071</v>
      </c>
      <c r="C159" s="834" t="s">
        <v>54</v>
      </c>
      <c r="D159" s="835">
        <v>343.85</v>
      </c>
    </row>
    <row r="160" spans="1:4" x14ac:dyDescent="0.2">
      <c r="A160" s="837" t="s">
        <v>1613</v>
      </c>
      <c r="B160" s="838" t="s">
        <v>1478</v>
      </c>
      <c r="C160" s="839"/>
      <c r="D160" s="840"/>
    </row>
    <row r="161" spans="1:4" x14ac:dyDescent="0.2">
      <c r="A161" s="827" t="s">
        <v>1614</v>
      </c>
      <c r="B161" s="828" t="s">
        <v>1069</v>
      </c>
      <c r="C161" s="829" t="s">
        <v>54</v>
      </c>
      <c r="D161" s="830">
        <v>386.83</v>
      </c>
    </row>
    <row r="162" spans="1:4" x14ac:dyDescent="0.2">
      <c r="A162" s="832" t="s">
        <v>1615</v>
      </c>
      <c r="B162" s="833" t="s">
        <v>1071</v>
      </c>
      <c r="C162" s="834" t="s">
        <v>54</v>
      </c>
      <c r="D162" s="835">
        <v>343.85</v>
      </c>
    </row>
    <row r="163" spans="1:4" x14ac:dyDescent="0.2">
      <c r="A163" s="837" t="s">
        <v>1616</v>
      </c>
      <c r="B163" s="838" t="s">
        <v>1483</v>
      </c>
      <c r="C163" s="839"/>
      <c r="D163" s="840"/>
    </row>
    <row r="164" spans="1:4" x14ac:dyDescent="0.2">
      <c r="A164" s="827" t="s">
        <v>1617</v>
      </c>
      <c r="B164" s="828" t="s">
        <v>1069</v>
      </c>
      <c r="C164" s="829" t="s">
        <v>54</v>
      </c>
      <c r="D164" s="830">
        <v>387.17</v>
      </c>
    </row>
    <row r="165" spans="1:4" x14ac:dyDescent="0.2">
      <c r="A165" s="832" t="s">
        <v>1618</v>
      </c>
      <c r="B165" s="833" t="s">
        <v>1071</v>
      </c>
      <c r="C165" s="834" t="s">
        <v>54</v>
      </c>
      <c r="D165" s="835">
        <v>343.85</v>
      </c>
    </row>
    <row r="166" spans="1:4" x14ac:dyDescent="0.2">
      <c r="A166" s="837" t="s">
        <v>1619</v>
      </c>
      <c r="B166" s="838" t="s">
        <v>1488</v>
      </c>
      <c r="C166" s="839"/>
      <c r="D166" s="840"/>
    </row>
    <row r="167" spans="1:4" x14ac:dyDescent="0.2">
      <c r="A167" s="827" t="s">
        <v>1620</v>
      </c>
      <c r="B167" s="828" t="s">
        <v>1069</v>
      </c>
      <c r="C167" s="829" t="s">
        <v>54</v>
      </c>
      <c r="D167" s="830">
        <v>390.26</v>
      </c>
    </row>
    <row r="168" spans="1:4" x14ac:dyDescent="0.2">
      <c r="A168" s="832" t="s">
        <v>1621</v>
      </c>
      <c r="B168" s="833" t="s">
        <v>1071</v>
      </c>
      <c r="C168" s="834" t="s">
        <v>54</v>
      </c>
      <c r="D168" s="835">
        <v>348.25</v>
      </c>
    </row>
    <row r="169" spans="1:4" x14ac:dyDescent="0.2">
      <c r="A169" s="837" t="s">
        <v>1622</v>
      </c>
      <c r="B169" s="838" t="s">
        <v>1493</v>
      </c>
      <c r="C169" s="839"/>
      <c r="D169" s="840"/>
    </row>
    <row r="170" spans="1:4" x14ac:dyDescent="0.2">
      <c r="A170" s="827" t="s">
        <v>1623</v>
      </c>
      <c r="B170" s="828" t="s">
        <v>1069</v>
      </c>
      <c r="C170" s="829" t="s">
        <v>54</v>
      </c>
      <c r="D170" s="830">
        <v>387.2</v>
      </c>
    </row>
    <row r="171" spans="1:4" x14ac:dyDescent="0.2">
      <c r="A171" s="832" t="s">
        <v>1624</v>
      </c>
      <c r="B171" s="833" t="s">
        <v>1071</v>
      </c>
      <c r="C171" s="834" t="s">
        <v>54</v>
      </c>
      <c r="D171" s="835">
        <v>343.85</v>
      </c>
    </row>
    <row r="172" spans="1:4" x14ac:dyDescent="0.2">
      <c r="A172" s="837" t="s">
        <v>1625</v>
      </c>
      <c r="B172" s="838" t="s">
        <v>1498</v>
      </c>
      <c r="C172" s="839"/>
      <c r="D172" s="840"/>
    </row>
    <row r="173" spans="1:4" x14ac:dyDescent="0.2">
      <c r="A173" s="827" t="s">
        <v>1626</v>
      </c>
      <c r="B173" s="828" t="s">
        <v>1069</v>
      </c>
      <c r="C173" s="829" t="s">
        <v>54</v>
      </c>
      <c r="D173" s="830">
        <v>390.29</v>
      </c>
    </row>
    <row r="174" spans="1:4" x14ac:dyDescent="0.2">
      <c r="A174" s="832" t="s">
        <v>1627</v>
      </c>
      <c r="B174" s="833" t="s">
        <v>1071</v>
      </c>
      <c r="C174" s="834" t="s">
        <v>54</v>
      </c>
      <c r="D174" s="835">
        <v>348.25</v>
      </c>
    </row>
    <row r="175" spans="1:4" x14ac:dyDescent="0.2">
      <c r="A175" s="837" t="s">
        <v>1628</v>
      </c>
      <c r="B175" s="838" t="s">
        <v>1503</v>
      </c>
      <c r="C175" s="839"/>
      <c r="D175" s="840"/>
    </row>
    <row r="176" spans="1:4" x14ac:dyDescent="0.2">
      <c r="A176" s="827" t="s">
        <v>1629</v>
      </c>
      <c r="B176" s="828" t="s">
        <v>1069</v>
      </c>
      <c r="C176" s="829" t="s">
        <v>54</v>
      </c>
      <c r="D176" s="830">
        <v>387.2</v>
      </c>
    </row>
    <row r="177" spans="1:4" x14ac:dyDescent="0.2">
      <c r="A177" s="832" t="s">
        <v>1630</v>
      </c>
      <c r="B177" s="833" t="s">
        <v>1071</v>
      </c>
      <c r="C177" s="834" t="s">
        <v>54</v>
      </c>
      <c r="D177" s="835">
        <v>343.85</v>
      </c>
    </row>
    <row r="178" spans="1:4" x14ac:dyDescent="0.2">
      <c r="A178" s="837" t="s">
        <v>1631</v>
      </c>
      <c r="B178" s="838" t="s">
        <v>1508</v>
      </c>
      <c r="C178" s="839"/>
      <c r="D178" s="840"/>
    </row>
    <row r="179" spans="1:4" x14ac:dyDescent="0.2">
      <c r="A179" s="827" t="s">
        <v>1632</v>
      </c>
      <c r="B179" s="828" t="s">
        <v>1069</v>
      </c>
      <c r="C179" s="829" t="s">
        <v>54</v>
      </c>
      <c r="D179" s="830">
        <v>386.06</v>
      </c>
    </row>
    <row r="180" spans="1:4" x14ac:dyDescent="0.2">
      <c r="A180" s="832" t="s">
        <v>1633</v>
      </c>
      <c r="B180" s="833" t="s">
        <v>1071</v>
      </c>
      <c r="C180" s="834" t="s">
        <v>54</v>
      </c>
      <c r="D180" s="835">
        <v>348.25</v>
      </c>
    </row>
    <row r="181" spans="1:4" x14ac:dyDescent="0.2">
      <c r="A181" s="837" t="s">
        <v>1634</v>
      </c>
      <c r="B181" s="838" t="s">
        <v>1513</v>
      </c>
      <c r="C181" s="839"/>
      <c r="D181" s="840"/>
    </row>
    <row r="182" spans="1:4" x14ac:dyDescent="0.2">
      <c r="A182" s="827" t="s">
        <v>1635</v>
      </c>
      <c r="B182" s="828" t="s">
        <v>1069</v>
      </c>
      <c r="C182" s="829" t="s">
        <v>54</v>
      </c>
      <c r="D182" s="830">
        <v>391.4</v>
      </c>
    </row>
    <row r="183" spans="1:4" x14ac:dyDescent="0.2">
      <c r="A183" s="832" t="s">
        <v>1636</v>
      </c>
      <c r="B183" s="833" t="s">
        <v>1071</v>
      </c>
      <c r="C183" s="834" t="s">
        <v>54</v>
      </c>
      <c r="D183" s="835">
        <v>343.85</v>
      </c>
    </row>
    <row r="184" spans="1:4" x14ac:dyDescent="0.2">
      <c r="A184" s="837" t="s">
        <v>1637</v>
      </c>
      <c r="B184" s="838" t="s">
        <v>1518</v>
      </c>
      <c r="C184" s="839"/>
      <c r="D184" s="840"/>
    </row>
    <row r="185" spans="1:4" x14ac:dyDescent="0.2">
      <c r="A185" s="827" t="s">
        <v>1638</v>
      </c>
      <c r="B185" s="828" t="s">
        <v>1069</v>
      </c>
      <c r="C185" s="829" t="s">
        <v>54</v>
      </c>
      <c r="D185" s="830">
        <v>386.06</v>
      </c>
    </row>
    <row r="186" spans="1:4" x14ac:dyDescent="0.2">
      <c r="A186" s="832" t="s">
        <v>1639</v>
      </c>
      <c r="B186" s="833" t="s">
        <v>1071</v>
      </c>
      <c r="C186" s="834" t="s">
        <v>54</v>
      </c>
      <c r="D186" s="835">
        <v>348.25</v>
      </c>
    </row>
    <row r="187" spans="1:4" x14ac:dyDescent="0.2">
      <c r="A187" s="837" t="s">
        <v>1640</v>
      </c>
      <c r="B187" s="838" t="s">
        <v>1523</v>
      </c>
      <c r="C187" s="839"/>
      <c r="D187" s="840"/>
    </row>
    <row r="188" spans="1:4" x14ac:dyDescent="0.2">
      <c r="A188" s="827" t="s">
        <v>1641</v>
      </c>
      <c r="B188" s="828" t="s">
        <v>1069</v>
      </c>
      <c r="C188" s="829" t="s">
        <v>54</v>
      </c>
      <c r="D188" s="830">
        <v>391.4</v>
      </c>
    </row>
    <row r="189" spans="1:4" x14ac:dyDescent="0.2">
      <c r="A189" s="832" t="s">
        <v>1642</v>
      </c>
      <c r="B189" s="833" t="s">
        <v>1071</v>
      </c>
      <c r="C189" s="834" t="s">
        <v>54</v>
      </c>
      <c r="D189" s="835">
        <v>343.85</v>
      </c>
    </row>
    <row r="190" spans="1:4" x14ac:dyDescent="0.2">
      <c r="A190" s="837" t="s">
        <v>1643</v>
      </c>
      <c r="B190" s="838" t="s">
        <v>1528</v>
      </c>
      <c r="C190" s="839"/>
      <c r="D190" s="840"/>
    </row>
    <row r="191" spans="1:4" x14ac:dyDescent="0.2">
      <c r="A191" s="827" t="s">
        <v>1644</v>
      </c>
      <c r="B191" s="828" t="s">
        <v>1069</v>
      </c>
      <c r="C191" s="829" t="s">
        <v>54</v>
      </c>
      <c r="D191" s="830">
        <v>386.06</v>
      </c>
    </row>
    <row r="192" spans="1:4" x14ac:dyDescent="0.2">
      <c r="A192" s="832" t="s">
        <v>1645</v>
      </c>
      <c r="B192" s="833" t="s">
        <v>1071</v>
      </c>
      <c r="C192" s="834" t="s">
        <v>54</v>
      </c>
      <c r="D192" s="835">
        <v>348.25</v>
      </c>
    </row>
    <row r="193" spans="1:4" x14ac:dyDescent="0.2">
      <c r="A193" s="837" t="s">
        <v>1646</v>
      </c>
      <c r="B193" s="838" t="s">
        <v>1533</v>
      </c>
      <c r="C193" s="839"/>
      <c r="D193" s="840"/>
    </row>
    <row r="194" spans="1:4" x14ac:dyDescent="0.2">
      <c r="A194" s="827" t="s">
        <v>1647</v>
      </c>
      <c r="B194" s="828" t="s">
        <v>1069</v>
      </c>
      <c r="C194" s="829" t="s">
        <v>54</v>
      </c>
      <c r="D194" s="830">
        <v>387.2</v>
      </c>
    </row>
    <row r="195" spans="1:4" x14ac:dyDescent="0.2">
      <c r="A195" s="832" t="s">
        <v>1648</v>
      </c>
      <c r="B195" s="833" t="s">
        <v>1071</v>
      </c>
      <c r="C195" s="834" t="s">
        <v>54</v>
      </c>
      <c r="D195" s="835">
        <v>343.85</v>
      </c>
    </row>
    <row r="196" spans="1:4" x14ac:dyDescent="0.2">
      <c r="A196" s="837" t="s">
        <v>1649</v>
      </c>
      <c r="B196" s="838" t="s">
        <v>1538</v>
      </c>
      <c r="C196" s="839"/>
      <c r="D196" s="840"/>
    </row>
    <row r="197" spans="1:4" x14ac:dyDescent="0.2">
      <c r="A197" s="827" t="s">
        <v>1650</v>
      </c>
      <c r="B197" s="828" t="s">
        <v>1069</v>
      </c>
      <c r="C197" s="829" t="s">
        <v>54</v>
      </c>
      <c r="D197" s="830">
        <v>242.46</v>
      </c>
    </row>
    <row r="198" spans="1:4" x14ac:dyDescent="0.2">
      <c r="A198" s="832" t="s">
        <v>1651</v>
      </c>
      <c r="B198" s="833" t="s">
        <v>1071</v>
      </c>
      <c r="C198" s="834" t="s">
        <v>54</v>
      </c>
      <c r="D198" s="835">
        <v>186.38</v>
      </c>
    </row>
    <row r="199" spans="1:4" x14ac:dyDescent="0.2">
      <c r="A199" s="837" t="s">
        <v>1652</v>
      </c>
      <c r="B199" s="838" t="s">
        <v>1542</v>
      </c>
      <c r="C199" s="839"/>
      <c r="D199" s="840"/>
    </row>
    <row r="200" spans="1:4" x14ac:dyDescent="0.2">
      <c r="A200" s="827" t="s">
        <v>1653</v>
      </c>
      <c r="B200" s="828" t="s">
        <v>1069</v>
      </c>
      <c r="C200" s="829" t="s">
        <v>54</v>
      </c>
      <c r="D200" s="830">
        <v>187.23</v>
      </c>
    </row>
    <row r="201" spans="1:4" x14ac:dyDescent="0.2">
      <c r="A201" s="832" t="s">
        <v>1654</v>
      </c>
      <c r="B201" s="833" t="s">
        <v>1071</v>
      </c>
      <c r="C201" s="834" t="s">
        <v>54</v>
      </c>
      <c r="D201" s="835">
        <v>23.16</v>
      </c>
    </row>
    <row r="202" spans="1:4" x14ac:dyDescent="0.2">
      <c r="A202" s="837" t="s">
        <v>1655</v>
      </c>
      <c r="B202" s="838" t="s">
        <v>1545</v>
      </c>
      <c r="C202" s="839"/>
      <c r="D202" s="840"/>
    </row>
    <row r="203" spans="1:4" x14ac:dyDescent="0.2">
      <c r="A203" s="827" t="s">
        <v>1656</v>
      </c>
      <c r="B203" s="828" t="s">
        <v>1069</v>
      </c>
      <c r="C203" s="829" t="s">
        <v>54</v>
      </c>
      <c r="D203" s="830">
        <v>40.380000000000003</v>
      </c>
    </row>
    <row r="204" spans="1:4" x14ac:dyDescent="0.2">
      <c r="A204" s="837" t="s">
        <v>1657</v>
      </c>
      <c r="B204" s="838" t="s">
        <v>1548</v>
      </c>
      <c r="C204" s="839"/>
      <c r="D204" s="840"/>
    </row>
    <row r="205" spans="1:4" x14ac:dyDescent="0.2">
      <c r="A205" s="832" t="s">
        <v>1658</v>
      </c>
      <c r="B205" s="833" t="s">
        <v>1069</v>
      </c>
      <c r="C205" s="834" t="s">
        <v>54</v>
      </c>
      <c r="D205" s="835">
        <v>10.130000000000001</v>
      </c>
    </row>
    <row r="206" spans="1:4" x14ac:dyDescent="0.2">
      <c r="A206" s="837" t="s">
        <v>1659</v>
      </c>
      <c r="B206" s="838" t="s">
        <v>1660</v>
      </c>
      <c r="C206" s="839"/>
      <c r="D206" s="840"/>
    </row>
    <row r="207" spans="1:4" x14ac:dyDescent="0.2">
      <c r="A207" s="827" t="s">
        <v>1661</v>
      </c>
      <c r="B207" s="828" t="s">
        <v>1071</v>
      </c>
      <c r="C207" s="829" t="s">
        <v>54</v>
      </c>
      <c r="D207" s="830">
        <v>1.18</v>
      </c>
    </row>
    <row r="208" spans="1:4" x14ac:dyDescent="0.2">
      <c r="A208" s="823" t="s">
        <v>1072</v>
      </c>
      <c r="B208" s="824" t="s">
        <v>1073</v>
      </c>
      <c r="C208" s="825"/>
      <c r="D208" s="826"/>
    </row>
    <row r="209" spans="1:4" x14ac:dyDescent="0.2">
      <c r="A209" s="837" t="s">
        <v>1662</v>
      </c>
      <c r="B209" s="838" t="s">
        <v>1453</v>
      </c>
      <c r="C209" s="839"/>
      <c r="D209" s="840"/>
    </row>
    <row r="210" spans="1:4" x14ac:dyDescent="0.2">
      <c r="A210" s="832" t="s">
        <v>1663</v>
      </c>
      <c r="B210" s="828" t="s">
        <v>1085</v>
      </c>
      <c r="C210" s="829" t="s">
        <v>41</v>
      </c>
      <c r="D210" s="830">
        <v>67.19</v>
      </c>
    </row>
    <row r="211" spans="1:4" x14ac:dyDescent="0.2">
      <c r="A211" s="827" t="s">
        <v>1664</v>
      </c>
      <c r="B211" s="833" t="s">
        <v>1075</v>
      </c>
      <c r="C211" s="834" t="s">
        <v>41</v>
      </c>
      <c r="D211" s="835">
        <v>23.36</v>
      </c>
    </row>
    <row r="212" spans="1:4" x14ac:dyDescent="0.2">
      <c r="A212" s="832" t="s">
        <v>1665</v>
      </c>
      <c r="B212" s="828" t="s">
        <v>1079</v>
      </c>
      <c r="C212" s="829" t="s">
        <v>41</v>
      </c>
      <c r="D212" s="830">
        <v>31.37</v>
      </c>
    </row>
    <row r="213" spans="1:4" x14ac:dyDescent="0.2">
      <c r="A213" s="832" t="s">
        <v>3527</v>
      </c>
      <c r="B213" s="833" t="s">
        <v>1081</v>
      </c>
      <c r="C213" s="834" t="s">
        <v>41</v>
      </c>
      <c r="D213" s="835">
        <v>25.09</v>
      </c>
    </row>
    <row r="214" spans="1:4" x14ac:dyDescent="0.2">
      <c r="A214" s="837" t="s">
        <v>1666</v>
      </c>
      <c r="B214" s="838" t="s">
        <v>1473</v>
      </c>
      <c r="C214" s="839"/>
      <c r="D214" s="840"/>
    </row>
    <row r="215" spans="1:4" x14ac:dyDescent="0.2">
      <c r="A215" s="827" t="s">
        <v>1667</v>
      </c>
      <c r="B215" s="828" t="s">
        <v>1077</v>
      </c>
      <c r="C215" s="829" t="s">
        <v>41</v>
      </c>
      <c r="D215" s="830">
        <v>119.22</v>
      </c>
    </row>
    <row r="216" spans="1:4" x14ac:dyDescent="0.2">
      <c r="A216" s="837" t="s">
        <v>1668</v>
      </c>
      <c r="B216" s="838" t="s">
        <v>1478</v>
      </c>
      <c r="C216" s="839"/>
      <c r="D216" s="840"/>
    </row>
    <row r="217" spans="1:4" x14ac:dyDescent="0.2">
      <c r="A217" s="832" t="s">
        <v>1669</v>
      </c>
      <c r="B217" s="833" t="s">
        <v>1077</v>
      </c>
      <c r="C217" s="834" t="s">
        <v>41</v>
      </c>
      <c r="D217" s="835">
        <v>119.24</v>
      </c>
    </row>
    <row r="218" spans="1:4" x14ac:dyDescent="0.2">
      <c r="A218" s="837" t="s">
        <v>1670</v>
      </c>
      <c r="B218" s="838" t="s">
        <v>1483</v>
      </c>
      <c r="C218" s="839"/>
      <c r="D218" s="840"/>
    </row>
    <row r="219" spans="1:4" x14ac:dyDescent="0.2">
      <c r="A219" s="827" t="s">
        <v>1671</v>
      </c>
      <c r="B219" s="828" t="s">
        <v>1077</v>
      </c>
      <c r="C219" s="829" t="s">
        <v>41</v>
      </c>
      <c r="D219" s="830">
        <v>119.24</v>
      </c>
    </row>
    <row r="220" spans="1:4" x14ac:dyDescent="0.2">
      <c r="A220" s="837" t="s">
        <v>1672</v>
      </c>
      <c r="B220" s="838" t="s">
        <v>1488</v>
      </c>
      <c r="C220" s="839"/>
      <c r="D220" s="840"/>
    </row>
    <row r="221" spans="1:4" x14ac:dyDescent="0.2">
      <c r="A221" s="832" t="s">
        <v>1673</v>
      </c>
      <c r="B221" s="833" t="s">
        <v>1077</v>
      </c>
      <c r="C221" s="834" t="s">
        <v>41</v>
      </c>
      <c r="D221" s="835">
        <v>118.8</v>
      </c>
    </row>
    <row r="222" spans="1:4" x14ac:dyDescent="0.2">
      <c r="A222" s="837" t="s">
        <v>1674</v>
      </c>
      <c r="B222" s="838" t="s">
        <v>1493</v>
      </c>
      <c r="C222" s="839"/>
      <c r="D222" s="840"/>
    </row>
    <row r="223" spans="1:4" x14ac:dyDescent="0.2">
      <c r="A223" s="827" t="s">
        <v>1675</v>
      </c>
      <c r="B223" s="828" t="s">
        <v>1077</v>
      </c>
      <c r="C223" s="829" t="s">
        <v>41</v>
      </c>
      <c r="D223" s="830">
        <v>119.24</v>
      </c>
    </row>
    <row r="224" spans="1:4" x14ac:dyDescent="0.2">
      <c r="A224" s="837" t="s">
        <v>1676</v>
      </c>
      <c r="B224" s="838" t="s">
        <v>1498</v>
      </c>
      <c r="C224" s="839"/>
      <c r="D224" s="840"/>
    </row>
    <row r="225" spans="1:4" x14ac:dyDescent="0.2">
      <c r="A225" s="832" t="s">
        <v>1677</v>
      </c>
      <c r="B225" s="833" t="s">
        <v>1077</v>
      </c>
      <c r="C225" s="834" t="s">
        <v>41</v>
      </c>
      <c r="D225" s="835">
        <v>118.8</v>
      </c>
    </row>
    <row r="226" spans="1:4" x14ac:dyDescent="0.2">
      <c r="A226" s="837" t="s">
        <v>1678</v>
      </c>
      <c r="B226" s="838" t="s">
        <v>1503</v>
      </c>
      <c r="C226" s="839"/>
      <c r="D226" s="840"/>
    </row>
    <row r="227" spans="1:4" x14ac:dyDescent="0.2">
      <c r="A227" s="827" t="s">
        <v>1679</v>
      </c>
      <c r="B227" s="828" t="s">
        <v>1077</v>
      </c>
      <c r="C227" s="829" t="s">
        <v>41</v>
      </c>
      <c r="D227" s="830">
        <v>119.24</v>
      </c>
    </row>
    <row r="228" spans="1:4" x14ac:dyDescent="0.2">
      <c r="A228" s="837" t="s">
        <v>1680</v>
      </c>
      <c r="B228" s="838" t="s">
        <v>1508</v>
      </c>
      <c r="C228" s="839"/>
      <c r="D228" s="840"/>
    </row>
    <row r="229" spans="1:4" x14ac:dyDescent="0.2">
      <c r="A229" s="832" t="s">
        <v>1681</v>
      </c>
      <c r="B229" s="833" t="s">
        <v>1077</v>
      </c>
      <c r="C229" s="834" t="s">
        <v>41</v>
      </c>
      <c r="D229" s="835">
        <v>118.8</v>
      </c>
    </row>
    <row r="230" spans="1:4" x14ac:dyDescent="0.2">
      <c r="A230" s="837" t="s">
        <v>1682</v>
      </c>
      <c r="B230" s="838" t="s">
        <v>1513</v>
      </c>
      <c r="C230" s="839"/>
      <c r="D230" s="840"/>
    </row>
    <row r="231" spans="1:4" x14ac:dyDescent="0.2">
      <c r="A231" s="827" t="s">
        <v>1683</v>
      </c>
      <c r="B231" s="828" t="s">
        <v>1077</v>
      </c>
      <c r="C231" s="829" t="s">
        <v>41</v>
      </c>
      <c r="D231" s="830">
        <v>119.24</v>
      </c>
    </row>
    <row r="232" spans="1:4" x14ac:dyDescent="0.2">
      <c r="A232" s="837" t="s">
        <v>1684</v>
      </c>
      <c r="B232" s="838" t="s">
        <v>1518</v>
      </c>
      <c r="C232" s="839"/>
      <c r="D232" s="840"/>
    </row>
    <row r="233" spans="1:4" x14ac:dyDescent="0.2">
      <c r="A233" s="832" t="s">
        <v>1685</v>
      </c>
      <c r="B233" s="833" t="s">
        <v>1077</v>
      </c>
      <c r="C233" s="834" t="s">
        <v>41</v>
      </c>
      <c r="D233" s="835">
        <v>118.8</v>
      </c>
    </row>
    <row r="234" spans="1:4" x14ac:dyDescent="0.2">
      <c r="A234" s="837" t="s">
        <v>1686</v>
      </c>
      <c r="B234" s="838" t="s">
        <v>1523</v>
      </c>
      <c r="C234" s="839"/>
      <c r="D234" s="840"/>
    </row>
    <row r="235" spans="1:4" x14ac:dyDescent="0.2">
      <c r="A235" s="827" t="s">
        <v>1687</v>
      </c>
      <c r="B235" s="828" t="s">
        <v>1077</v>
      </c>
      <c r="C235" s="829" t="s">
        <v>41</v>
      </c>
      <c r="D235" s="830">
        <v>119.24</v>
      </c>
    </row>
    <row r="236" spans="1:4" x14ac:dyDescent="0.2">
      <c r="A236" s="837" t="s">
        <v>1688</v>
      </c>
      <c r="B236" s="838" t="s">
        <v>1528</v>
      </c>
      <c r="C236" s="839"/>
      <c r="D236" s="840"/>
    </row>
    <row r="237" spans="1:4" x14ac:dyDescent="0.2">
      <c r="A237" s="832" t="s">
        <v>1689</v>
      </c>
      <c r="B237" s="833" t="s">
        <v>1077</v>
      </c>
      <c r="C237" s="834" t="s">
        <v>41</v>
      </c>
      <c r="D237" s="835">
        <v>118.8</v>
      </c>
    </row>
    <row r="238" spans="1:4" x14ac:dyDescent="0.2">
      <c r="A238" s="837" t="s">
        <v>1690</v>
      </c>
      <c r="B238" s="838" t="s">
        <v>1533</v>
      </c>
      <c r="C238" s="839"/>
      <c r="D238" s="840"/>
    </row>
    <row r="239" spans="1:4" x14ac:dyDescent="0.2">
      <c r="A239" s="827" t="s">
        <v>1691</v>
      </c>
      <c r="B239" s="828" t="s">
        <v>1077</v>
      </c>
      <c r="C239" s="829" t="s">
        <v>41</v>
      </c>
      <c r="D239" s="830">
        <v>119.24</v>
      </c>
    </row>
    <row r="240" spans="1:4" x14ac:dyDescent="0.2">
      <c r="A240" s="837" t="s">
        <v>1692</v>
      </c>
      <c r="B240" s="838" t="s">
        <v>1538</v>
      </c>
      <c r="C240" s="839"/>
      <c r="D240" s="840"/>
    </row>
    <row r="241" spans="1:4" x14ac:dyDescent="0.2">
      <c r="A241" s="832" t="s">
        <v>1693</v>
      </c>
      <c r="B241" s="833" t="s">
        <v>1075</v>
      </c>
      <c r="C241" s="834" t="s">
        <v>41</v>
      </c>
      <c r="D241" s="835">
        <v>125.47</v>
      </c>
    </row>
    <row r="242" spans="1:4" x14ac:dyDescent="0.2">
      <c r="A242" s="832" t="s">
        <v>3528</v>
      </c>
      <c r="B242" s="833" t="s">
        <v>1194</v>
      </c>
      <c r="C242" s="834" t="s">
        <v>41</v>
      </c>
      <c r="D242" s="835">
        <v>28.49</v>
      </c>
    </row>
    <row r="243" spans="1:4" x14ac:dyDescent="0.2">
      <c r="A243" s="823" t="s">
        <v>1082</v>
      </c>
      <c r="B243" s="824" t="s">
        <v>1083</v>
      </c>
      <c r="C243" s="825"/>
      <c r="D243" s="826"/>
    </row>
    <row r="244" spans="1:4" x14ac:dyDescent="0.2">
      <c r="A244" s="837" t="s">
        <v>1694</v>
      </c>
      <c r="B244" s="838" t="s">
        <v>1453</v>
      </c>
      <c r="C244" s="839"/>
      <c r="D244" s="840"/>
    </row>
    <row r="245" spans="1:4" x14ac:dyDescent="0.2">
      <c r="A245" s="827" t="s">
        <v>1695</v>
      </c>
      <c r="B245" s="833" t="s">
        <v>1088</v>
      </c>
      <c r="C245" s="834" t="s">
        <v>41</v>
      </c>
      <c r="D245" s="835">
        <v>23.69</v>
      </c>
    </row>
    <row r="246" spans="1:4" x14ac:dyDescent="0.2">
      <c r="A246" s="837" t="s">
        <v>1696</v>
      </c>
      <c r="B246" s="838" t="s">
        <v>1458</v>
      </c>
      <c r="C246" s="839"/>
      <c r="D246" s="840"/>
    </row>
    <row r="247" spans="1:4" x14ac:dyDescent="0.2">
      <c r="A247" s="827" t="s">
        <v>1697</v>
      </c>
      <c r="B247" s="828" t="s">
        <v>1088</v>
      </c>
      <c r="C247" s="829" t="s">
        <v>41</v>
      </c>
      <c r="D247" s="830">
        <v>9.94</v>
      </c>
    </row>
    <row r="248" spans="1:4" x14ac:dyDescent="0.2">
      <c r="A248" s="837" t="s">
        <v>1698</v>
      </c>
      <c r="B248" s="838" t="s">
        <v>1462</v>
      </c>
      <c r="C248" s="839"/>
      <c r="D248" s="840"/>
    </row>
    <row r="249" spans="1:4" x14ac:dyDescent="0.2">
      <c r="A249" s="832" t="s">
        <v>1699</v>
      </c>
      <c r="B249" s="833" t="s">
        <v>1088</v>
      </c>
      <c r="C249" s="834" t="s">
        <v>41</v>
      </c>
      <c r="D249" s="835">
        <v>9.94</v>
      </c>
    </row>
    <row r="250" spans="1:4" x14ac:dyDescent="0.2">
      <c r="A250" s="837" t="s">
        <v>1700</v>
      </c>
      <c r="B250" s="838" t="s">
        <v>1466</v>
      </c>
      <c r="C250" s="839"/>
      <c r="D250" s="840"/>
    </row>
    <row r="251" spans="1:4" x14ac:dyDescent="0.2">
      <c r="A251" s="827" t="s">
        <v>1701</v>
      </c>
      <c r="B251" s="828" t="s">
        <v>1088</v>
      </c>
      <c r="C251" s="829" t="s">
        <v>41</v>
      </c>
      <c r="D251" s="830">
        <v>9.94</v>
      </c>
    </row>
    <row r="252" spans="1:4" x14ac:dyDescent="0.2">
      <c r="A252" s="837" t="s">
        <v>1702</v>
      </c>
      <c r="B252" s="838" t="s">
        <v>1470</v>
      </c>
      <c r="C252" s="839"/>
      <c r="D252" s="840"/>
    </row>
    <row r="253" spans="1:4" x14ac:dyDescent="0.2">
      <c r="A253" s="832" t="s">
        <v>1703</v>
      </c>
      <c r="B253" s="833" t="s">
        <v>1088</v>
      </c>
      <c r="C253" s="834" t="s">
        <v>41</v>
      </c>
      <c r="D253" s="835">
        <v>16.12</v>
      </c>
    </row>
    <row r="254" spans="1:4" x14ac:dyDescent="0.2">
      <c r="A254" s="837" t="s">
        <v>1704</v>
      </c>
      <c r="B254" s="838" t="s">
        <v>1473</v>
      </c>
      <c r="C254" s="839"/>
      <c r="D254" s="840"/>
    </row>
    <row r="255" spans="1:4" x14ac:dyDescent="0.2">
      <c r="A255" s="827" t="s">
        <v>1705</v>
      </c>
      <c r="B255" s="828" t="s">
        <v>1088</v>
      </c>
      <c r="C255" s="829" t="s">
        <v>41</v>
      </c>
      <c r="D255" s="830">
        <v>10.82</v>
      </c>
    </row>
    <row r="256" spans="1:4" x14ac:dyDescent="0.2">
      <c r="A256" s="837" t="s">
        <v>1706</v>
      </c>
      <c r="B256" s="838" t="s">
        <v>1478</v>
      </c>
      <c r="C256" s="839"/>
      <c r="D256" s="840"/>
    </row>
    <row r="257" spans="1:4" x14ac:dyDescent="0.2">
      <c r="A257" s="832" t="s">
        <v>1707</v>
      </c>
      <c r="B257" s="833" t="s">
        <v>1088</v>
      </c>
      <c r="C257" s="834" t="s">
        <v>41</v>
      </c>
      <c r="D257" s="835">
        <v>10.95</v>
      </c>
    </row>
    <row r="258" spans="1:4" x14ac:dyDescent="0.2">
      <c r="A258" s="837" t="s">
        <v>1708</v>
      </c>
      <c r="B258" s="838" t="s">
        <v>1483</v>
      </c>
      <c r="C258" s="839"/>
      <c r="D258" s="840"/>
    </row>
    <row r="259" spans="1:4" x14ac:dyDescent="0.2">
      <c r="A259" s="827" t="s">
        <v>1709</v>
      </c>
      <c r="B259" s="828" t="s">
        <v>1088</v>
      </c>
      <c r="C259" s="829" t="s">
        <v>41</v>
      </c>
      <c r="D259" s="830">
        <v>10.95</v>
      </c>
    </row>
    <row r="260" spans="1:4" x14ac:dyDescent="0.2">
      <c r="A260" s="837" t="s">
        <v>1710</v>
      </c>
      <c r="B260" s="838" t="s">
        <v>1488</v>
      </c>
      <c r="C260" s="839"/>
      <c r="D260" s="840"/>
    </row>
    <row r="261" spans="1:4" x14ac:dyDescent="0.2">
      <c r="A261" s="832" t="s">
        <v>1711</v>
      </c>
      <c r="B261" s="833" t="s">
        <v>1088</v>
      </c>
      <c r="C261" s="834" t="s">
        <v>41</v>
      </c>
      <c r="D261" s="835">
        <v>13.77</v>
      </c>
    </row>
    <row r="262" spans="1:4" x14ac:dyDescent="0.2">
      <c r="A262" s="837" t="s">
        <v>1712</v>
      </c>
      <c r="B262" s="838" t="s">
        <v>1493</v>
      </c>
      <c r="C262" s="839"/>
      <c r="D262" s="840"/>
    </row>
    <row r="263" spans="1:4" x14ac:dyDescent="0.2">
      <c r="A263" s="827" t="s">
        <v>1713</v>
      </c>
      <c r="B263" s="828" t="s">
        <v>1088</v>
      </c>
      <c r="C263" s="829" t="s">
        <v>41</v>
      </c>
      <c r="D263" s="830">
        <v>12.89</v>
      </c>
    </row>
    <row r="264" spans="1:4" x14ac:dyDescent="0.2">
      <c r="A264" s="837" t="s">
        <v>1714</v>
      </c>
      <c r="B264" s="838" t="s">
        <v>1498</v>
      </c>
      <c r="C264" s="839"/>
      <c r="D264" s="840"/>
    </row>
    <row r="265" spans="1:4" x14ac:dyDescent="0.2">
      <c r="A265" s="832" t="s">
        <v>1715</v>
      </c>
      <c r="B265" s="833" t="s">
        <v>1088</v>
      </c>
      <c r="C265" s="834" t="s">
        <v>41</v>
      </c>
      <c r="D265" s="835">
        <v>13.78</v>
      </c>
    </row>
    <row r="266" spans="1:4" x14ac:dyDescent="0.2">
      <c r="A266" s="837" t="s">
        <v>1716</v>
      </c>
      <c r="B266" s="838" t="s">
        <v>1503</v>
      </c>
      <c r="C266" s="839"/>
      <c r="D266" s="840"/>
    </row>
    <row r="267" spans="1:4" x14ac:dyDescent="0.2">
      <c r="A267" s="827" t="s">
        <v>1717</v>
      </c>
      <c r="B267" s="828" t="s">
        <v>1088</v>
      </c>
      <c r="C267" s="829" t="s">
        <v>41</v>
      </c>
      <c r="D267" s="830">
        <v>12.9</v>
      </c>
    </row>
    <row r="268" spans="1:4" x14ac:dyDescent="0.2">
      <c r="A268" s="837" t="s">
        <v>1718</v>
      </c>
      <c r="B268" s="838" t="s">
        <v>1508</v>
      </c>
      <c r="C268" s="839"/>
      <c r="D268" s="840"/>
    </row>
    <row r="269" spans="1:4" x14ac:dyDescent="0.2">
      <c r="A269" s="832" t="s">
        <v>1719</v>
      </c>
      <c r="B269" s="833" t="s">
        <v>1088</v>
      </c>
      <c r="C269" s="834" t="s">
        <v>41</v>
      </c>
      <c r="D269" s="835">
        <v>13.77</v>
      </c>
    </row>
    <row r="270" spans="1:4" x14ac:dyDescent="0.2">
      <c r="A270" s="837" t="s">
        <v>1720</v>
      </c>
      <c r="B270" s="838" t="s">
        <v>1513</v>
      </c>
      <c r="C270" s="839"/>
      <c r="D270" s="840"/>
    </row>
    <row r="271" spans="1:4" x14ac:dyDescent="0.2">
      <c r="A271" s="827" t="s">
        <v>1721</v>
      </c>
      <c r="B271" s="828" t="s">
        <v>1088</v>
      </c>
      <c r="C271" s="829" t="s">
        <v>41</v>
      </c>
      <c r="D271" s="830">
        <v>12.9</v>
      </c>
    </row>
    <row r="272" spans="1:4" x14ac:dyDescent="0.2">
      <c r="A272" s="837" t="s">
        <v>1722</v>
      </c>
      <c r="B272" s="838" t="s">
        <v>1518</v>
      </c>
      <c r="C272" s="839"/>
      <c r="D272" s="840"/>
    </row>
    <row r="273" spans="1:4" x14ac:dyDescent="0.2">
      <c r="A273" s="832" t="s">
        <v>1723</v>
      </c>
      <c r="B273" s="833" t="s">
        <v>1088</v>
      </c>
      <c r="C273" s="834" t="s">
        <v>41</v>
      </c>
      <c r="D273" s="835">
        <v>13.77</v>
      </c>
    </row>
    <row r="274" spans="1:4" x14ac:dyDescent="0.2">
      <c r="A274" s="837" t="s">
        <v>1724</v>
      </c>
      <c r="B274" s="838" t="s">
        <v>1523</v>
      </c>
      <c r="C274" s="839"/>
      <c r="D274" s="840"/>
    </row>
    <row r="275" spans="1:4" x14ac:dyDescent="0.2">
      <c r="A275" s="827" t="s">
        <v>1725</v>
      </c>
      <c r="B275" s="828" t="s">
        <v>1088</v>
      </c>
      <c r="C275" s="829" t="s">
        <v>41</v>
      </c>
      <c r="D275" s="830">
        <v>12.9</v>
      </c>
    </row>
    <row r="276" spans="1:4" x14ac:dyDescent="0.2">
      <c r="A276" s="837" t="s">
        <v>1726</v>
      </c>
      <c r="B276" s="838" t="s">
        <v>1528</v>
      </c>
      <c r="C276" s="839"/>
      <c r="D276" s="840"/>
    </row>
    <row r="277" spans="1:4" x14ac:dyDescent="0.2">
      <c r="A277" s="832" t="s">
        <v>1727</v>
      </c>
      <c r="B277" s="833" t="s">
        <v>1088</v>
      </c>
      <c r="C277" s="834" t="s">
        <v>41</v>
      </c>
      <c r="D277" s="835">
        <v>13.77</v>
      </c>
    </row>
    <row r="278" spans="1:4" x14ac:dyDescent="0.2">
      <c r="A278" s="837" t="s">
        <v>1728</v>
      </c>
      <c r="B278" s="838" t="s">
        <v>1533</v>
      </c>
      <c r="C278" s="839"/>
      <c r="D278" s="840"/>
    </row>
    <row r="279" spans="1:4" x14ac:dyDescent="0.2">
      <c r="A279" s="827" t="s">
        <v>1729</v>
      </c>
      <c r="B279" s="828" t="s">
        <v>1088</v>
      </c>
      <c r="C279" s="829" t="s">
        <v>41</v>
      </c>
      <c r="D279" s="830">
        <v>12.9</v>
      </c>
    </row>
    <row r="280" spans="1:4" x14ac:dyDescent="0.2">
      <c r="A280" s="837" t="s">
        <v>1730</v>
      </c>
      <c r="B280" s="838" t="s">
        <v>1538</v>
      </c>
      <c r="C280" s="839"/>
      <c r="D280" s="840"/>
    </row>
    <row r="281" spans="1:4" x14ac:dyDescent="0.2">
      <c r="A281" s="832" t="s">
        <v>1731</v>
      </c>
      <c r="B281" s="833" t="s">
        <v>1087</v>
      </c>
      <c r="C281" s="834" t="s">
        <v>41</v>
      </c>
      <c r="D281" s="835">
        <v>81.319999999999993</v>
      </c>
    </row>
    <row r="282" spans="1:4" x14ac:dyDescent="0.2">
      <c r="A282" s="827" t="s">
        <v>1732</v>
      </c>
      <c r="B282" s="828" t="s">
        <v>1088</v>
      </c>
      <c r="C282" s="829" t="s">
        <v>41</v>
      </c>
      <c r="D282" s="830">
        <v>15.52</v>
      </c>
    </row>
    <row r="283" spans="1:4" x14ac:dyDescent="0.2">
      <c r="A283" s="837" t="s">
        <v>1733</v>
      </c>
      <c r="B283" s="838" t="s">
        <v>1542</v>
      </c>
      <c r="C283" s="839"/>
      <c r="D283" s="840"/>
    </row>
    <row r="284" spans="1:4" x14ac:dyDescent="0.2">
      <c r="A284" s="832" t="s">
        <v>1734</v>
      </c>
      <c r="B284" s="833" t="s">
        <v>1088</v>
      </c>
      <c r="C284" s="834" t="s">
        <v>41</v>
      </c>
      <c r="D284" s="835">
        <v>10.67</v>
      </c>
    </row>
    <row r="285" spans="1:4" x14ac:dyDescent="0.2">
      <c r="A285" s="837" t="s">
        <v>1735</v>
      </c>
      <c r="B285" s="838" t="s">
        <v>1545</v>
      </c>
      <c r="C285" s="839"/>
      <c r="D285" s="840"/>
    </row>
    <row r="286" spans="1:4" x14ac:dyDescent="0.2">
      <c r="A286" s="827" t="s">
        <v>1736</v>
      </c>
      <c r="B286" s="828" t="s">
        <v>1088</v>
      </c>
      <c r="C286" s="829" t="s">
        <v>41</v>
      </c>
      <c r="D286" s="830">
        <v>10.37</v>
      </c>
    </row>
    <row r="287" spans="1:4" x14ac:dyDescent="0.2">
      <c r="A287" s="823" t="s">
        <v>1089</v>
      </c>
      <c r="B287" s="824" t="s">
        <v>468</v>
      </c>
      <c r="C287" s="825"/>
      <c r="D287" s="826"/>
    </row>
    <row r="288" spans="1:4" x14ac:dyDescent="0.2">
      <c r="A288" s="837" t="s">
        <v>1737</v>
      </c>
      <c r="B288" s="838" t="s">
        <v>1453</v>
      </c>
      <c r="C288" s="839"/>
      <c r="D288" s="840"/>
    </row>
    <row r="289" spans="1:4" x14ac:dyDescent="0.2">
      <c r="A289" s="832" t="s">
        <v>1738</v>
      </c>
      <c r="B289" s="833" t="s">
        <v>1091</v>
      </c>
      <c r="C289" s="834" t="s">
        <v>41</v>
      </c>
      <c r="D289" s="835">
        <v>26.85</v>
      </c>
    </row>
    <row r="290" spans="1:4" x14ac:dyDescent="0.2">
      <c r="A290" s="827" t="s">
        <v>1739</v>
      </c>
      <c r="B290" s="828" t="s">
        <v>1093</v>
      </c>
      <c r="C290" s="829" t="s">
        <v>41</v>
      </c>
      <c r="D290" s="830">
        <v>31.53</v>
      </c>
    </row>
    <row r="291" spans="1:4" x14ac:dyDescent="0.2">
      <c r="A291" s="837" t="s">
        <v>1740</v>
      </c>
      <c r="B291" s="838" t="s">
        <v>1473</v>
      </c>
      <c r="C291" s="839"/>
      <c r="D291" s="840"/>
    </row>
    <row r="292" spans="1:4" x14ac:dyDescent="0.2">
      <c r="A292" s="832" t="s">
        <v>1741</v>
      </c>
      <c r="B292" s="833" t="s">
        <v>1091</v>
      </c>
      <c r="C292" s="834" t="s">
        <v>41</v>
      </c>
      <c r="D292" s="835">
        <v>1.33</v>
      </c>
    </row>
    <row r="293" spans="1:4" x14ac:dyDescent="0.2">
      <c r="A293" s="827" t="s">
        <v>1742</v>
      </c>
      <c r="B293" s="828" t="s">
        <v>1093</v>
      </c>
      <c r="C293" s="829" t="s">
        <v>41</v>
      </c>
      <c r="D293" s="830">
        <v>155.88</v>
      </c>
    </row>
    <row r="294" spans="1:4" x14ac:dyDescent="0.2">
      <c r="A294" s="837" t="s">
        <v>1743</v>
      </c>
      <c r="B294" s="838" t="s">
        <v>1478</v>
      </c>
      <c r="C294" s="839"/>
      <c r="D294" s="840"/>
    </row>
    <row r="295" spans="1:4" x14ac:dyDescent="0.2">
      <c r="A295" s="832" t="s">
        <v>1744</v>
      </c>
      <c r="B295" s="833" t="s">
        <v>1091</v>
      </c>
      <c r="C295" s="834" t="s">
        <v>41</v>
      </c>
      <c r="D295" s="835">
        <v>1.34</v>
      </c>
    </row>
    <row r="296" spans="1:4" x14ac:dyDescent="0.2">
      <c r="A296" s="827" t="s">
        <v>1745</v>
      </c>
      <c r="B296" s="828" t="s">
        <v>1093</v>
      </c>
      <c r="C296" s="829" t="s">
        <v>41</v>
      </c>
      <c r="D296" s="830">
        <v>155.38999999999999</v>
      </c>
    </row>
    <row r="297" spans="1:4" x14ac:dyDescent="0.2">
      <c r="A297" s="837" t="s">
        <v>1746</v>
      </c>
      <c r="B297" s="838" t="s">
        <v>1483</v>
      </c>
      <c r="C297" s="839"/>
      <c r="D297" s="840"/>
    </row>
    <row r="298" spans="1:4" x14ac:dyDescent="0.2">
      <c r="A298" s="832" t="s">
        <v>1747</v>
      </c>
      <c r="B298" s="833" t="s">
        <v>1091</v>
      </c>
      <c r="C298" s="834" t="s">
        <v>41</v>
      </c>
      <c r="D298" s="835">
        <v>1.34</v>
      </c>
    </row>
    <row r="299" spans="1:4" x14ac:dyDescent="0.2">
      <c r="A299" s="827" t="s">
        <v>1748</v>
      </c>
      <c r="B299" s="828" t="s">
        <v>1093</v>
      </c>
      <c r="C299" s="829" t="s">
        <v>41</v>
      </c>
      <c r="D299" s="830">
        <v>155.38999999999999</v>
      </c>
    </row>
    <row r="300" spans="1:4" x14ac:dyDescent="0.2">
      <c r="A300" s="837" t="s">
        <v>1749</v>
      </c>
      <c r="B300" s="838" t="s">
        <v>1488</v>
      </c>
      <c r="C300" s="839"/>
      <c r="D300" s="840"/>
    </row>
    <row r="301" spans="1:4" x14ac:dyDescent="0.2">
      <c r="A301" s="832" t="s">
        <v>1750</v>
      </c>
      <c r="B301" s="833" t="s">
        <v>1091</v>
      </c>
      <c r="C301" s="834" t="s">
        <v>41</v>
      </c>
      <c r="D301" s="835">
        <v>1.34</v>
      </c>
    </row>
    <row r="302" spans="1:4" x14ac:dyDescent="0.2">
      <c r="A302" s="827" t="s">
        <v>1751</v>
      </c>
      <c r="B302" s="828" t="s">
        <v>1093</v>
      </c>
      <c r="C302" s="829" t="s">
        <v>41</v>
      </c>
      <c r="D302" s="830">
        <v>155.38999999999999</v>
      </c>
    </row>
    <row r="303" spans="1:4" x14ac:dyDescent="0.2">
      <c r="A303" s="837" t="s">
        <v>1752</v>
      </c>
      <c r="B303" s="838" t="s">
        <v>1493</v>
      </c>
      <c r="C303" s="839"/>
      <c r="D303" s="840"/>
    </row>
    <row r="304" spans="1:4" x14ac:dyDescent="0.2">
      <c r="A304" s="832" t="s">
        <v>1753</v>
      </c>
      <c r="B304" s="833" t="s">
        <v>1091</v>
      </c>
      <c r="C304" s="834" t="s">
        <v>41</v>
      </c>
      <c r="D304" s="835">
        <v>1.34</v>
      </c>
    </row>
    <row r="305" spans="1:4" x14ac:dyDescent="0.2">
      <c r="A305" s="827" t="s">
        <v>1754</v>
      </c>
      <c r="B305" s="828" t="s">
        <v>1093</v>
      </c>
      <c r="C305" s="829" t="s">
        <v>41</v>
      </c>
      <c r="D305" s="830">
        <v>155.38999999999999</v>
      </c>
    </row>
    <row r="306" spans="1:4" x14ac:dyDescent="0.2">
      <c r="A306" s="837" t="s">
        <v>1755</v>
      </c>
      <c r="B306" s="838" t="s">
        <v>1498</v>
      </c>
      <c r="C306" s="839"/>
      <c r="D306" s="840"/>
    </row>
    <row r="307" spans="1:4" x14ac:dyDescent="0.2">
      <c r="A307" s="832" t="s">
        <v>1756</v>
      </c>
      <c r="B307" s="833" t="s">
        <v>1091</v>
      </c>
      <c r="C307" s="834" t="s">
        <v>41</v>
      </c>
      <c r="D307" s="835">
        <v>1.34</v>
      </c>
    </row>
    <row r="308" spans="1:4" x14ac:dyDescent="0.2">
      <c r="A308" s="827" t="s">
        <v>1757</v>
      </c>
      <c r="B308" s="828" t="s">
        <v>1093</v>
      </c>
      <c r="C308" s="829" t="s">
        <v>41</v>
      </c>
      <c r="D308" s="830">
        <v>155.38999999999999</v>
      </c>
    </row>
    <row r="309" spans="1:4" x14ac:dyDescent="0.2">
      <c r="A309" s="837" t="s">
        <v>1758</v>
      </c>
      <c r="B309" s="838" t="s">
        <v>1503</v>
      </c>
      <c r="C309" s="839"/>
      <c r="D309" s="840"/>
    </row>
    <row r="310" spans="1:4" x14ac:dyDescent="0.2">
      <c r="A310" s="832" t="s">
        <v>1759</v>
      </c>
      <c r="B310" s="833" t="s">
        <v>1091</v>
      </c>
      <c r="C310" s="834" t="s">
        <v>41</v>
      </c>
      <c r="D310" s="835">
        <v>1.34</v>
      </c>
    </row>
    <row r="311" spans="1:4" x14ac:dyDescent="0.2">
      <c r="A311" s="827" t="s">
        <v>1760</v>
      </c>
      <c r="B311" s="828" t="s">
        <v>1093</v>
      </c>
      <c r="C311" s="829" t="s">
        <v>41</v>
      </c>
      <c r="D311" s="830">
        <v>155.38999999999999</v>
      </c>
    </row>
    <row r="312" spans="1:4" x14ac:dyDescent="0.2">
      <c r="A312" s="837" t="s">
        <v>1761</v>
      </c>
      <c r="B312" s="838" t="s">
        <v>1508</v>
      </c>
      <c r="C312" s="839"/>
      <c r="D312" s="840"/>
    </row>
    <row r="313" spans="1:4" x14ac:dyDescent="0.2">
      <c r="A313" s="832" t="s">
        <v>1762</v>
      </c>
      <c r="B313" s="833" t="s">
        <v>1091</v>
      </c>
      <c r="C313" s="834" t="s">
        <v>41</v>
      </c>
      <c r="D313" s="835">
        <v>1.34</v>
      </c>
    </row>
    <row r="314" spans="1:4" x14ac:dyDescent="0.2">
      <c r="A314" s="827" t="s">
        <v>1763</v>
      </c>
      <c r="B314" s="828" t="s">
        <v>1093</v>
      </c>
      <c r="C314" s="829" t="s">
        <v>41</v>
      </c>
      <c r="D314" s="830">
        <v>155.38999999999999</v>
      </c>
    </row>
    <row r="315" spans="1:4" x14ac:dyDescent="0.2">
      <c r="A315" s="837" t="s">
        <v>1764</v>
      </c>
      <c r="B315" s="838" t="s">
        <v>1513</v>
      </c>
      <c r="C315" s="839"/>
      <c r="D315" s="840"/>
    </row>
    <row r="316" spans="1:4" x14ac:dyDescent="0.2">
      <c r="A316" s="832" t="s">
        <v>1765</v>
      </c>
      <c r="B316" s="833" t="s">
        <v>1091</v>
      </c>
      <c r="C316" s="834" t="s">
        <v>41</v>
      </c>
      <c r="D316" s="835">
        <v>1.34</v>
      </c>
    </row>
    <row r="317" spans="1:4" x14ac:dyDescent="0.2">
      <c r="A317" s="827" t="s">
        <v>1766</v>
      </c>
      <c r="B317" s="828" t="s">
        <v>1093</v>
      </c>
      <c r="C317" s="829" t="s">
        <v>41</v>
      </c>
      <c r="D317" s="830">
        <v>155.38999999999999</v>
      </c>
    </row>
    <row r="318" spans="1:4" x14ac:dyDescent="0.2">
      <c r="A318" s="837" t="s">
        <v>1767</v>
      </c>
      <c r="B318" s="838" t="s">
        <v>1518</v>
      </c>
      <c r="C318" s="839"/>
      <c r="D318" s="840"/>
    </row>
    <row r="319" spans="1:4" x14ac:dyDescent="0.2">
      <c r="A319" s="832" t="s">
        <v>1768</v>
      </c>
      <c r="B319" s="833" t="s">
        <v>1091</v>
      </c>
      <c r="C319" s="834" t="s">
        <v>41</v>
      </c>
      <c r="D319" s="835">
        <v>1.34</v>
      </c>
    </row>
    <row r="320" spans="1:4" x14ac:dyDescent="0.2">
      <c r="A320" s="827" t="s">
        <v>1769</v>
      </c>
      <c r="B320" s="828" t="s">
        <v>1093</v>
      </c>
      <c r="C320" s="829" t="s">
        <v>41</v>
      </c>
      <c r="D320" s="830">
        <v>155.38999999999999</v>
      </c>
    </row>
    <row r="321" spans="1:4" x14ac:dyDescent="0.2">
      <c r="A321" s="837" t="s">
        <v>1770</v>
      </c>
      <c r="B321" s="838" t="s">
        <v>1523</v>
      </c>
      <c r="C321" s="839"/>
      <c r="D321" s="840"/>
    </row>
    <row r="322" spans="1:4" x14ac:dyDescent="0.2">
      <c r="A322" s="832" t="s">
        <v>1771</v>
      </c>
      <c r="B322" s="833" t="s">
        <v>1091</v>
      </c>
      <c r="C322" s="834" t="s">
        <v>41</v>
      </c>
      <c r="D322" s="835">
        <v>1.34</v>
      </c>
    </row>
    <row r="323" spans="1:4" x14ac:dyDescent="0.2">
      <c r="A323" s="827" t="s">
        <v>1772</v>
      </c>
      <c r="B323" s="828" t="s">
        <v>1093</v>
      </c>
      <c r="C323" s="829" t="s">
        <v>41</v>
      </c>
      <c r="D323" s="830">
        <v>155.38999999999999</v>
      </c>
    </row>
    <row r="324" spans="1:4" x14ac:dyDescent="0.2">
      <c r="A324" s="837" t="s">
        <v>1773</v>
      </c>
      <c r="B324" s="838" t="s">
        <v>1528</v>
      </c>
      <c r="C324" s="839"/>
      <c r="D324" s="840"/>
    </row>
    <row r="325" spans="1:4" x14ac:dyDescent="0.2">
      <c r="A325" s="832" t="s">
        <v>1774</v>
      </c>
      <c r="B325" s="833" t="s">
        <v>1091</v>
      </c>
      <c r="C325" s="834" t="s">
        <v>41</v>
      </c>
      <c r="D325" s="835">
        <v>1.34</v>
      </c>
    </row>
    <row r="326" spans="1:4" x14ac:dyDescent="0.2">
      <c r="A326" s="827" t="s">
        <v>1775</v>
      </c>
      <c r="B326" s="828" t="s">
        <v>1093</v>
      </c>
      <c r="C326" s="829" t="s">
        <v>41</v>
      </c>
      <c r="D326" s="830">
        <v>155.38999999999999</v>
      </c>
    </row>
    <row r="327" spans="1:4" x14ac:dyDescent="0.2">
      <c r="A327" s="837" t="s">
        <v>1776</v>
      </c>
      <c r="B327" s="838" t="s">
        <v>1533</v>
      </c>
      <c r="C327" s="839"/>
      <c r="D327" s="840"/>
    </row>
    <row r="328" spans="1:4" x14ac:dyDescent="0.2">
      <c r="A328" s="832" t="s">
        <v>1777</v>
      </c>
      <c r="B328" s="833" t="s">
        <v>1091</v>
      </c>
      <c r="C328" s="834" t="s">
        <v>41</v>
      </c>
      <c r="D328" s="835">
        <v>1.34</v>
      </c>
    </row>
    <row r="329" spans="1:4" x14ac:dyDescent="0.2">
      <c r="A329" s="827" t="s">
        <v>1778</v>
      </c>
      <c r="B329" s="828" t="s">
        <v>1093</v>
      </c>
      <c r="C329" s="829" t="s">
        <v>41</v>
      </c>
      <c r="D329" s="830">
        <v>155.38999999999999</v>
      </c>
    </row>
    <row r="330" spans="1:4" x14ac:dyDescent="0.2">
      <c r="A330" s="837" t="s">
        <v>1779</v>
      </c>
      <c r="B330" s="838" t="s">
        <v>1538</v>
      </c>
      <c r="C330" s="839"/>
      <c r="D330" s="840"/>
    </row>
    <row r="331" spans="1:4" x14ac:dyDescent="0.2">
      <c r="A331" s="832" t="s">
        <v>1780</v>
      </c>
      <c r="B331" s="833" t="s">
        <v>1091</v>
      </c>
      <c r="C331" s="834" t="s">
        <v>41</v>
      </c>
      <c r="D331" s="835">
        <v>163.49</v>
      </c>
    </row>
    <row r="332" spans="1:4" x14ac:dyDescent="0.2">
      <c r="A332" s="827" t="s">
        <v>1781</v>
      </c>
      <c r="B332" s="828" t="s">
        <v>1093</v>
      </c>
      <c r="C332" s="829" t="s">
        <v>41</v>
      </c>
      <c r="D332" s="830">
        <v>32.299999999999997</v>
      </c>
    </row>
    <row r="333" spans="1:4" x14ac:dyDescent="0.2">
      <c r="A333" s="837" t="s">
        <v>1782</v>
      </c>
      <c r="B333" s="838" t="s">
        <v>1548</v>
      </c>
      <c r="C333" s="839"/>
      <c r="D333" s="840"/>
    </row>
    <row r="334" spans="1:4" x14ac:dyDescent="0.2">
      <c r="A334" s="832" t="s">
        <v>1783</v>
      </c>
      <c r="B334" s="833" t="s">
        <v>1091</v>
      </c>
      <c r="C334" s="834" t="s">
        <v>41</v>
      </c>
      <c r="D334" s="835">
        <v>4.58</v>
      </c>
    </row>
    <row r="335" spans="1:4" x14ac:dyDescent="0.2">
      <c r="A335" s="827" t="s">
        <v>1784</v>
      </c>
      <c r="B335" s="828" t="s">
        <v>1093</v>
      </c>
      <c r="C335" s="829" t="s">
        <v>41</v>
      </c>
      <c r="D335" s="830">
        <v>68.86</v>
      </c>
    </row>
    <row r="336" spans="1:4" x14ac:dyDescent="0.2">
      <c r="A336" s="837" t="s">
        <v>1785</v>
      </c>
      <c r="B336" s="838" t="s">
        <v>1660</v>
      </c>
      <c r="C336" s="839"/>
      <c r="D336" s="840"/>
    </row>
    <row r="337" spans="1:4" x14ac:dyDescent="0.2">
      <c r="A337" s="832" t="s">
        <v>1786</v>
      </c>
      <c r="B337" s="833" t="s">
        <v>1091</v>
      </c>
      <c r="C337" s="834" t="s">
        <v>41</v>
      </c>
      <c r="D337" s="835">
        <v>48.79</v>
      </c>
    </row>
    <row r="338" spans="1:4" x14ac:dyDescent="0.2">
      <c r="A338" s="823" t="s">
        <v>1094</v>
      </c>
      <c r="B338" s="824" t="s">
        <v>1095</v>
      </c>
      <c r="C338" s="825"/>
      <c r="D338" s="826"/>
    </row>
    <row r="339" spans="1:4" x14ac:dyDescent="0.2">
      <c r="A339" s="837" t="s">
        <v>1787</v>
      </c>
      <c r="B339" s="838" t="s">
        <v>1453</v>
      </c>
      <c r="C339" s="839"/>
      <c r="D339" s="840"/>
    </row>
    <row r="340" spans="1:4" x14ac:dyDescent="0.2">
      <c r="A340" s="827" t="s">
        <v>1788</v>
      </c>
      <c r="B340" s="828" t="s">
        <v>1101</v>
      </c>
      <c r="C340" s="829" t="s">
        <v>41</v>
      </c>
      <c r="D340" s="830">
        <v>23.11</v>
      </c>
    </row>
    <row r="341" spans="1:4" x14ac:dyDescent="0.2">
      <c r="A341" s="832" t="s">
        <v>1789</v>
      </c>
      <c r="B341" s="833" t="s">
        <v>1105</v>
      </c>
      <c r="C341" s="834" t="s">
        <v>41</v>
      </c>
      <c r="D341" s="835">
        <v>16.87</v>
      </c>
    </row>
    <row r="342" spans="1:4" x14ac:dyDescent="0.2">
      <c r="A342" s="827" t="s">
        <v>1790</v>
      </c>
      <c r="B342" s="828" t="s">
        <v>1109</v>
      </c>
      <c r="C342" s="829" t="s">
        <v>41</v>
      </c>
      <c r="D342" s="830">
        <v>10.06</v>
      </c>
    </row>
    <row r="343" spans="1:4" x14ac:dyDescent="0.2">
      <c r="A343" s="832" t="s">
        <v>1791</v>
      </c>
      <c r="B343" s="833" t="s">
        <v>1111</v>
      </c>
      <c r="C343" s="834" t="s">
        <v>41</v>
      </c>
      <c r="D343" s="835">
        <v>99.35</v>
      </c>
    </row>
    <row r="344" spans="1:4" x14ac:dyDescent="0.2">
      <c r="A344" s="827" t="s">
        <v>1792</v>
      </c>
      <c r="B344" s="828" t="s">
        <v>1113</v>
      </c>
      <c r="C344" s="829" t="s">
        <v>41</v>
      </c>
      <c r="D344" s="830">
        <v>32.979999999999997</v>
      </c>
    </row>
    <row r="345" spans="1:4" x14ac:dyDescent="0.2">
      <c r="A345" s="832" t="s">
        <v>1793</v>
      </c>
      <c r="B345" s="833" t="s">
        <v>1123</v>
      </c>
      <c r="C345" s="834" t="s">
        <v>41</v>
      </c>
      <c r="D345" s="835">
        <v>16.79</v>
      </c>
    </row>
    <row r="346" spans="1:4" x14ac:dyDescent="0.2">
      <c r="A346" s="827" t="s">
        <v>1794</v>
      </c>
      <c r="B346" s="828" t="s">
        <v>1125</v>
      </c>
      <c r="C346" s="829" t="s">
        <v>41</v>
      </c>
      <c r="D346" s="830">
        <v>90.68</v>
      </c>
    </row>
    <row r="347" spans="1:4" x14ac:dyDescent="0.2">
      <c r="A347" s="837" t="s">
        <v>1795</v>
      </c>
      <c r="B347" s="838" t="s">
        <v>1458</v>
      </c>
      <c r="C347" s="839"/>
      <c r="D347" s="840"/>
    </row>
    <row r="348" spans="1:4" x14ac:dyDescent="0.2">
      <c r="A348" s="832" t="s">
        <v>1796</v>
      </c>
      <c r="B348" s="833" t="s">
        <v>1109</v>
      </c>
      <c r="C348" s="834" t="s">
        <v>41</v>
      </c>
      <c r="D348" s="835">
        <v>11.21</v>
      </c>
    </row>
    <row r="349" spans="1:4" x14ac:dyDescent="0.2">
      <c r="A349" s="837" t="s">
        <v>1797</v>
      </c>
      <c r="B349" s="838" t="s">
        <v>1462</v>
      </c>
      <c r="C349" s="839"/>
      <c r="D349" s="840"/>
    </row>
    <row r="350" spans="1:4" x14ac:dyDescent="0.2">
      <c r="A350" s="827" t="s">
        <v>1798</v>
      </c>
      <c r="B350" s="828" t="s">
        <v>1109</v>
      </c>
      <c r="C350" s="829" t="s">
        <v>41</v>
      </c>
      <c r="D350" s="830">
        <v>11.21</v>
      </c>
    </row>
    <row r="351" spans="1:4" x14ac:dyDescent="0.2">
      <c r="A351" s="837" t="s">
        <v>1799</v>
      </c>
      <c r="B351" s="838" t="s">
        <v>1466</v>
      </c>
      <c r="C351" s="839"/>
      <c r="D351" s="840"/>
    </row>
    <row r="352" spans="1:4" x14ac:dyDescent="0.2">
      <c r="A352" s="832" t="s">
        <v>1800</v>
      </c>
      <c r="B352" s="833" t="s">
        <v>1109</v>
      </c>
      <c r="C352" s="834" t="s">
        <v>41</v>
      </c>
      <c r="D352" s="835">
        <v>11.21</v>
      </c>
    </row>
    <row r="353" spans="1:4" x14ac:dyDescent="0.2">
      <c r="A353" s="837" t="s">
        <v>1801</v>
      </c>
      <c r="B353" s="838" t="s">
        <v>1470</v>
      </c>
      <c r="C353" s="839"/>
      <c r="D353" s="840"/>
    </row>
    <row r="354" spans="1:4" x14ac:dyDescent="0.2">
      <c r="A354" s="827" t="s">
        <v>1802</v>
      </c>
      <c r="B354" s="828" t="s">
        <v>1109</v>
      </c>
      <c r="C354" s="829" t="s">
        <v>41</v>
      </c>
      <c r="D354" s="830">
        <v>11.21</v>
      </c>
    </row>
    <row r="355" spans="1:4" x14ac:dyDescent="0.2">
      <c r="A355" s="837" t="s">
        <v>1803</v>
      </c>
      <c r="B355" s="838" t="s">
        <v>1473</v>
      </c>
      <c r="C355" s="839"/>
      <c r="D355" s="840"/>
    </row>
    <row r="356" spans="1:4" x14ac:dyDescent="0.2">
      <c r="A356" s="832" t="s">
        <v>1804</v>
      </c>
      <c r="B356" s="833" t="s">
        <v>1097</v>
      </c>
      <c r="C356" s="834" t="s">
        <v>41</v>
      </c>
      <c r="D356" s="835">
        <v>5.53</v>
      </c>
    </row>
    <row r="357" spans="1:4" x14ac:dyDescent="0.2">
      <c r="A357" s="827" t="s">
        <v>1805</v>
      </c>
      <c r="B357" s="828" t="s">
        <v>1099</v>
      </c>
      <c r="C357" s="829" t="s">
        <v>41</v>
      </c>
      <c r="D357" s="830">
        <v>19.72</v>
      </c>
    </row>
    <row r="358" spans="1:4" x14ac:dyDescent="0.2">
      <c r="A358" s="832" t="s">
        <v>1806</v>
      </c>
      <c r="B358" s="833" t="s">
        <v>1101</v>
      </c>
      <c r="C358" s="834" t="s">
        <v>41</v>
      </c>
      <c r="D358" s="835">
        <v>36.119999999999997</v>
      </c>
    </row>
    <row r="359" spans="1:4" x14ac:dyDescent="0.2">
      <c r="A359" s="827" t="s">
        <v>1807</v>
      </c>
      <c r="B359" s="828" t="s">
        <v>1103</v>
      </c>
      <c r="C359" s="829" t="s">
        <v>41</v>
      </c>
      <c r="D359" s="830">
        <v>93.99</v>
      </c>
    </row>
    <row r="360" spans="1:4" x14ac:dyDescent="0.2">
      <c r="A360" s="832" t="s">
        <v>1808</v>
      </c>
      <c r="B360" s="833" t="s">
        <v>1107</v>
      </c>
      <c r="C360" s="834" t="s">
        <v>41</v>
      </c>
      <c r="D360" s="835">
        <v>28.14</v>
      </c>
    </row>
    <row r="361" spans="1:4" x14ac:dyDescent="0.2">
      <c r="A361" s="827" t="s">
        <v>1809</v>
      </c>
      <c r="B361" s="828" t="s">
        <v>1109</v>
      </c>
      <c r="C361" s="829" t="s">
        <v>41</v>
      </c>
      <c r="D361" s="830">
        <v>11.35</v>
      </c>
    </row>
    <row r="362" spans="1:4" x14ac:dyDescent="0.2">
      <c r="A362" s="832" t="s">
        <v>1810</v>
      </c>
      <c r="B362" s="833" t="s">
        <v>1111</v>
      </c>
      <c r="C362" s="834" t="s">
        <v>41</v>
      </c>
      <c r="D362" s="835">
        <v>2.1</v>
      </c>
    </row>
    <row r="363" spans="1:4" x14ac:dyDescent="0.2">
      <c r="A363" s="827" t="s">
        <v>1811</v>
      </c>
      <c r="B363" s="828" t="s">
        <v>1119</v>
      </c>
      <c r="C363" s="829" t="s">
        <v>41</v>
      </c>
      <c r="D363" s="830">
        <v>86.24</v>
      </c>
    </row>
    <row r="364" spans="1:4" x14ac:dyDescent="0.2">
      <c r="A364" s="837" t="s">
        <v>1812</v>
      </c>
      <c r="B364" s="838" t="s">
        <v>1478</v>
      </c>
      <c r="C364" s="839"/>
      <c r="D364" s="840"/>
    </row>
    <row r="365" spans="1:4" x14ac:dyDescent="0.2">
      <c r="A365" s="832" t="s">
        <v>1813</v>
      </c>
      <c r="B365" s="833" t="s">
        <v>1097</v>
      </c>
      <c r="C365" s="834" t="s">
        <v>41</v>
      </c>
      <c r="D365" s="835">
        <v>5.53</v>
      </c>
    </row>
    <row r="366" spans="1:4" x14ac:dyDescent="0.2">
      <c r="A366" s="827" t="s">
        <v>1814</v>
      </c>
      <c r="B366" s="828" t="s">
        <v>1099</v>
      </c>
      <c r="C366" s="829" t="s">
        <v>41</v>
      </c>
      <c r="D366" s="830">
        <v>19.46</v>
      </c>
    </row>
    <row r="367" spans="1:4" x14ac:dyDescent="0.2">
      <c r="A367" s="832" t="s">
        <v>1815</v>
      </c>
      <c r="B367" s="833" t="s">
        <v>1101</v>
      </c>
      <c r="C367" s="834" t="s">
        <v>41</v>
      </c>
      <c r="D367" s="835">
        <v>35.58</v>
      </c>
    </row>
    <row r="368" spans="1:4" x14ac:dyDescent="0.2">
      <c r="A368" s="827" t="s">
        <v>1816</v>
      </c>
      <c r="B368" s="828" t="s">
        <v>1103</v>
      </c>
      <c r="C368" s="829" t="s">
        <v>41</v>
      </c>
      <c r="D368" s="830">
        <v>94</v>
      </c>
    </row>
    <row r="369" spans="1:4" x14ac:dyDescent="0.2">
      <c r="A369" s="832" t="s">
        <v>1817</v>
      </c>
      <c r="B369" s="833" t="s">
        <v>1107</v>
      </c>
      <c r="C369" s="834" t="s">
        <v>41</v>
      </c>
      <c r="D369" s="835">
        <v>28.15</v>
      </c>
    </row>
    <row r="370" spans="1:4" x14ac:dyDescent="0.2">
      <c r="A370" s="827" t="s">
        <v>1818</v>
      </c>
      <c r="B370" s="828" t="s">
        <v>1109</v>
      </c>
      <c r="C370" s="829" t="s">
        <v>41</v>
      </c>
      <c r="D370" s="830">
        <v>11.85</v>
      </c>
    </row>
    <row r="371" spans="1:4" x14ac:dyDescent="0.2">
      <c r="A371" s="832" t="s">
        <v>1819</v>
      </c>
      <c r="B371" s="833" t="s">
        <v>1111</v>
      </c>
      <c r="C371" s="834" t="s">
        <v>41</v>
      </c>
      <c r="D371" s="835">
        <v>2.11</v>
      </c>
    </row>
    <row r="372" spans="1:4" x14ac:dyDescent="0.2">
      <c r="A372" s="827" t="s">
        <v>1820</v>
      </c>
      <c r="B372" s="828" t="s">
        <v>1119</v>
      </c>
      <c r="C372" s="829" t="s">
        <v>41</v>
      </c>
      <c r="D372" s="830">
        <v>86.28</v>
      </c>
    </row>
    <row r="373" spans="1:4" x14ac:dyDescent="0.2">
      <c r="A373" s="837" t="s">
        <v>1821</v>
      </c>
      <c r="B373" s="838" t="s">
        <v>1483</v>
      </c>
      <c r="C373" s="839"/>
      <c r="D373" s="840"/>
    </row>
    <row r="374" spans="1:4" x14ac:dyDescent="0.2">
      <c r="A374" s="832" t="s">
        <v>1822</v>
      </c>
      <c r="B374" s="833" t="s">
        <v>1097</v>
      </c>
      <c r="C374" s="834" t="s">
        <v>41</v>
      </c>
      <c r="D374" s="835">
        <v>5.53</v>
      </c>
    </row>
    <row r="375" spans="1:4" x14ac:dyDescent="0.2">
      <c r="A375" s="827" t="s">
        <v>1823</v>
      </c>
      <c r="B375" s="828" t="s">
        <v>1099</v>
      </c>
      <c r="C375" s="829" t="s">
        <v>41</v>
      </c>
      <c r="D375" s="830">
        <v>19.46</v>
      </c>
    </row>
    <row r="376" spans="1:4" x14ac:dyDescent="0.2">
      <c r="A376" s="832" t="s">
        <v>1824</v>
      </c>
      <c r="B376" s="833" t="s">
        <v>1101</v>
      </c>
      <c r="C376" s="834" t="s">
        <v>41</v>
      </c>
      <c r="D376" s="835">
        <v>35.58</v>
      </c>
    </row>
    <row r="377" spans="1:4" x14ac:dyDescent="0.2">
      <c r="A377" s="827" t="s">
        <v>1825</v>
      </c>
      <c r="B377" s="828" t="s">
        <v>1103</v>
      </c>
      <c r="C377" s="829" t="s">
        <v>41</v>
      </c>
      <c r="D377" s="830">
        <v>94</v>
      </c>
    </row>
    <row r="378" spans="1:4" x14ac:dyDescent="0.2">
      <c r="A378" s="832" t="s">
        <v>1826</v>
      </c>
      <c r="B378" s="833" t="s">
        <v>1107</v>
      </c>
      <c r="C378" s="834" t="s">
        <v>41</v>
      </c>
      <c r="D378" s="835">
        <v>28.15</v>
      </c>
    </row>
    <row r="379" spans="1:4" x14ac:dyDescent="0.2">
      <c r="A379" s="827" t="s">
        <v>1827</v>
      </c>
      <c r="B379" s="828" t="s">
        <v>1109</v>
      </c>
      <c r="C379" s="829" t="s">
        <v>41</v>
      </c>
      <c r="D379" s="830">
        <v>11.81</v>
      </c>
    </row>
    <row r="380" spans="1:4" x14ac:dyDescent="0.2">
      <c r="A380" s="832" t="s">
        <v>1828</v>
      </c>
      <c r="B380" s="833" t="s">
        <v>1111</v>
      </c>
      <c r="C380" s="834" t="s">
        <v>41</v>
      </c>
      <c r="D380" s="835">
        <v>2.11</v>
      </c>
    </row>
    <row r="381" spans="1:4" x14ac:dyDescent="0.2">
      <c r="A381" s="827" t="s">
        <v>1829</v>
      </c>
      <c r="B381" s="828" t="s">
        <v>1119</v>
      </c>
      <c r="C381" s="829" t="s">
        <v>41</v>
      </c>
      <c r="D381" s="830">
        <v>86.28</v>
      </c>
    </row>
    <row r="382" spans="1:4" x14ac:dyDescent="0.2">
      <c r="A382" s="837" t="s">
        <v>1830</v>
      </c>
      <c r="B382" s="838" t="s">
        <v>1488</v>
      </c>
      <c r="C382" s="839"/>
      <c r="D382" s="840"/>
    </row>
    <row r="383" spans="1:4" x14ac:dyDescent="0.2">
      <c r="A383" s="832" t="s">
        <v>1831</v>
      </c>
      <c r="B383" s="833" t="s">
        <v>1097</v>
      </c>
      <c r="C383" s="834" t="s">
        <v>41</v>
      </c>
      <c r="D383" s="835">
        <v>5.53</v>
      </c>
    </row>
    <row r="384" spans="1:4" x14ac:dyDescent="0.2">
      <c r="A384" s="827" t="s">
        <v>1832</v>
      </c>
      <c r="B384" s="828" t="s">
        <v>1099</v>
      </c>
      <c r="C384" s="829" t="s">
        <v>41</v>
      </c>
      <c r="D384" s="830">
        <v>19.41</v>
      </c>
    </row>
    <row r="385" spans="1:4" x14ac:dyDescent="0.2">
      <c r="A385" s="832" t="s">
        <v>1833</v>
      </c>
      <c r="B385" s="833" t="s">
        <v>1101</v>
      </c>
      <c r="C385" s="834" t="s">
        <v>41</v>
      </c>
      <c r="D385" s="835">
        <v>35.58</v>
      </c>
    </row>
    <row r="386" spans="1:4" x14ac:dyDescent="0.2">
      <c r="A386" s="827" t="s">
        <v>1834</v>
      </c>
      <c r="B386" s="828" t="s">
        <v>1103</v>
      </c>
      <c r="C386" s="829" t="s">
        <v>41</v>
      </c>
      <c r="D386" s="830">
        <v>94.01</v>
      </c>
    </row>
    <row r="387" spans="1:4" x14ac:dyDescent="0.2">
      <c r="A387" s="832" t="s">
        <v>1835</v>
      </c>
      <c r="B387" s="833" t="s">
        <v>1107</v>
      </c>
      <c r="C387" s="834" t="s">
        <v>41</v>
      </c>
      <c r="D387" s="835">
        <v>28.15</v>
      </c>
    </row>
    <row r="388" spans="1:4" x14ac:dyDescent="0.2">
      <c r="A388" s="827" t="s">
        <v>1836</v>
      </c>
      <c r="B388" s="828" t="s">
        <v>1109</v>
      </c>
      <c r="C388" s="829" t="s">
        <v>41</v>
      </c>
      <c r="D388" s="830">
        <v>11.85</v>
      </c>
    </row>
    <row r="389" spans="1:4" x14ac:dyDescent="0.2">
      <c r="A389" s="832" t="s">
        <v>1837</v>
      </c>
      <c r="B389" s="833" t="s">
        <v>1111</v>
      </c>
      <c r="C389" s="834" t="s">
        <v>41</v>
      </c>
      <c r="D389" s="835">
        <v>2.11</v>
      </c>
    </row>
    <row r="390" spans="1:4" x14ac:dyDescent="0.2">
      <c r="A390" s="827" t="s">
        <v>1838</v>
      </c>
      <c r="B390" s="828" t="s">
        <v>1119</v>
      </c>
      <c r="C390" s="829" t="s">
        <v>41</v>
      </c>
      <c r="D390" s="830">
        <v>86.3</v>
      </c>
    </row>
    <row r="391" spans="1:4" x14ac:dyDescent="0.2">
      <c r="A391" s="837" t="s">
        <v>1839</v>
      </c>
      <c r="B391" s="838" t="s">
        <v>1493</v>
      </c>
      <c r="C391" s="839"/>
      <c r="D391" s="840"/>
    </row>
    <row r="392" spans="1:4" x14ac:dyDescent="0.2">
      <c r="A392" s="832" t="s">
        <v>1840</v>
      </c>
      <c r="B392" s="833" t="s">
        <v>1097</v>
      </c>
      <c r="C392" s="834" t="s">
        <v>41</v>
      </c>
      <c r="D392" s="835">
        <v>5.53</v>
      </c>
    </row>
    <row r="393" spans="1:4" x14ac:dyDescent="0.2">
      <c r="A393" s="827" t="s">
        <v>1841</v>
      </c>
      <c r="B393" s="828" t="s">
        <v>1099</v>
      </c>
      <c r="C393" s="829" t="s">
        <v>41</v>
      </c>
      <c r="D393" s="830">
        <v>19.46</v>
      </c>
    </row>
    <row r="394" spans="1:4" x14ac:dyDescent="0.2">
      <c r="A394" s="832" t="s">
        <v>1842</v>
      </c>
      <c r="B394" s="833" t="s">
        <v>1101</v>
      </c>
      <c r="C394" s="834" t="s">
        <v>41</v>
      </c>
      <c r="D394" s="835">
        <v>35.58</v>
      </c>
    </row>
    <row r="395" spans="1:4" x14ac:dyDescent="0.2">
      <c r="A395" s="827" t="s">
        <v>1843</v>
      </c>
      <c r="B395" s="828" t="s">
        <v>1103</v>
      </c>
      <c r="C395" s="829" t="s">
        <v>41</v>
      </c>
      <c r="D395" s="830">
        <v>94</v>
      </c>
    </row>
    <row r="396" spans="1:4" x14ac:dyDescent="0.2">
      <c r="A396" s="832" t="s">
        <v>1844</v>
      </c>
      <c r="B396" s="833" t="s">
        <v>1107</v>
      </c>
      <c r="C396" s="834" t="s">
        <v>41</v>
      </c>
      <c r="D396" s="835">
        <v>28.15</v>
      </c>
    </row>
    <row r="397" spans="1:4" x14ac:dyDescent="0.2">
      <c r="A397" s="827" t="s">
        <v>1845</v>
      </c>
      <c r="B397" s="828" t="s">
        <v>1109</v>
      </c>
      <c r="C397" s="829" t="s">
        <v>41</v>
      </c>
      <c r="D397" s="830">
        <v>11.8</v>
      </c>
    </row>
    <row r="398" spans="1:4" x14ac:dyDescent="0.2">
      <c r="A398" s="832" t="s">
        <v>1846</v>
      </c>
      <c r="B398" s="833" t="s">
        <v>1111</v>
      </c>
      <c r="C398" s="834" t="s">
        <v>41</v>
      </c>
      <c r="D398" s="835">
        <v>2.11</v>
      </c>
    </row>
    <row r="399" spans="1:4" x14ac:dyDescent="0.2">
      <c r="A399" s="827" t="s">
        <v>1847</v>
      </c>
      <c r="B399" s="828" t="s">
        <v>1119</v>
      </c>
      <c r="C399" s="829" t="s">
        <v>41</v>
      </c>
      <c r="D399" s="830">
        <v>86.28</v>
      </c>
    </row>
    <row r="400" spans="1:4" x14ac:dyDescent="0.2">
      <c r="A400" s="837" t="s">
        <v>1848</v>
      </c>
      <c r="B400" s="838" t="s">
        <v>1498</v>
      </c>
      <c r="C400" s="839"/>
      <c r="D400" s="840"/>
    </row>
    <row r="401" spans="1:4" x14ac:dyDescent="0.2">
      <c r="A401" s="832" t="s">
        <v>1849</v>
      </c>
      <c r="B401" s="833" t="s">
        <v>1097</v>
      </c>
      <c r="C401" s="834" t="s">
        <v>41</v>
      </c>
      <c r="D401" s="835">
        <v>5.53</v>
      </c>
    </row>
    <row r="402" spans="1:4" x14ac:dyDescent="0.2">
      <c r="A402" s="827" t="s">
        <v>1850</v>
      </c>
      <c r="B402" s="828" t="s">
        <v>1099</v>
      </c>
      <c r="C402" s="829" t="s">
        <v>41</v>
      </c>
      <c r="D402" s="830">
        <v>19.32</v>
      </c>
    </row>
    <row r="403" spans="1:4" x14ac:dyDescent="0.2">
      <c r="A403" s="832" t="s">
        <v>1851</v>
      </c>
      <c r="B403" s="833" t="s">
        <v>1101</v>
      </c>
      <c r="C403" s="834" t="s">
        <v>41</v>
      </c>
      <c r="D403" s="835">
        <v>35.58</v>
      </c>
    </row>
    <row r="404" spans="1:4" x14ac:dyDescent="0.2">
      <c r="A404" s="827" t="s">
        <v>1852</v>
      </c>
      <c r="B404" s="828" t="s">
        <v>1103</v>
      </c>
      <c r="C404" s="829" t="s">
        <v>41</v>
      </c>
      <c r="D404" s="830">
        <v>94.01</v>
      </c>
    </row>
    <row r="405" spans="1:4" x14ac:dyDescent="0.2">
      <c r="A405" s="832" t="s">
        <v>1853</v>
      </c>
      <c r="B405" s="833" t="s">
        <v>1107</v>
      </c>
      <c r="C405" s="834" t="s">
        <v>41</v>
      </c>
      <c r="D405" s="835">
        <v>28.15</v>
      </c>
    </row>
    <row r="406" spans="1:4" x14ac:dyDescent="0.2">
      <c r="A406" s="827" t="s">
        <v>1854</v>
      </c>
      <c r="B406" s="828" t="s">
        <v>1109</v>
      </c>
      <c r="C406" s="829" t="s">
        <v>41</v>
      </c>
      <c r="D406" s="830">
        <v>11.75</v>
      </c>
    </row>
    <row r="407" spans="1:4" x14ac:dyDescent="0.2">
      <c r="A407" s="832" t="s">
        <v>1855</v>
      </c>
      <c r="B407" s="833" t="s">
        <v>1111</v>
      </c>
      <c r="C407" s="834" t="s">
        <v>41</v>
      </c>
      <c r="D407" s="835">
        <v>2.11</v>
      </c>
    </row>
    <row r="408" spans="1:4" x14ac:dyDescent="0.2">
      <c r="A408" s="827" t="s">
        <v>1856</v>
      </c>
      <c r="B408" s="828" t="s">
        <v>1119</v>
      </c>
      <c r="C408" s="829" t="s">
        <v>41</v>
      </c>
      <c r="D408" s="830">
        <v>86.3</v>
      </c>
    </row>
    <row r="409" spans="1:4" x14ac:dyDescent="0.2">
      <c r="A409" s="837" t="s">
        <v>1857</v>
      </c>
      <c r="B409" s="838" t="s">
        <v>1503</v>
      </c>
      <c r="C409" s="839"/>
      <c r="D409" s="840"/>
    </row>
    <row r="410" spans="1:4" x14ac:dyDescent="0.2">
      <c r="A410" s="832" t="s">
        <v>1858</v>
      </c>
      <c r="B410" s="833" t="s">
        <v>1097</v>
      </c>
      <c r="C410" s="834" t="s">
        <v>41</v>
      </c>
      <c r="D410" s="835">
        <v>5.53</v>
      </c>
    </row>
    <row r="411" spans="1:4" x14ac:dyDescent="0.2">
      <c r="A411" s="827" t="s">
        <v>1859</v>
      </c>
      <c r="B411" s="828" t="s">
        <v>1099</v>
      </c>
      <c r="C411" s="829" t="s">
        <v>41</v>
      </c>
      <c r="D411" s="830">
        <v>19.46</v>
      </c>
    </row>
    <row r="412" spans="1:4" x14ac:dyDescent="0.2">
      <c r="A412" s="832" t="s">
        <v>1860</v>
      </c>
      <c r="B412" s="833" t="s">
        <v>1101</v>
      </c>
      <c r="C412" s="834" t="s">
        <v>41</v>
      </c>
      <c r="D412" s="835">
        <v>35.58</v>
      </c>
    </row>
    <row r="413" spans="1:4" x14ac:dyDescent="0.2">
      <c r="A413" s="827" t="s">
        <v>1861</v>
      </c>
      <c r="B413" s="828" t="s">
        <v>1103</v>
      </c>
      <c r="C413" s="829" t="s">
        <v>41</v>
      </c>
      <c r="D413" s="830">
        <v>94</v>
      </c>
    </row>
    <row r="414" spans="1:4" x14ac:dyDescent="0.2">
      <c r="A414" s="832" t="s">
        <v>1862</v>
      </c>
      <c r="B414" s="833" t="s">
        <v>1107</v>
      </c>
      <c r="C414" s="834" t="s">
        <v>41</v>
      </c>
      <c r="D414" s="835">
        <v>28.15</v>
      </c>
    </row>
    <row r="415" spans="1:4" x14ac:dyDescent="0.2">
      <c r="A415" s="827" t="s">
        <v>1863</v>
      </c>
      <c r="B415" s="828" t="s">
        <v>1109</v>
      </c>
      <c r="C415" s="829" t="s">
        <v>41</v>
      </c>
      <c r="D415" s="830">
        <v>11.81</v>
      </c>
    </row>
    <row r="416" spans="1:4" x14ac:dyDescent="0.2">
      <c r="A416" s="832" t="s">
        <v>1864</v>
      </c>
      <c r="B416" s="833" t="s">
        <v>1111</v>
      </c>
      <c r="C416" s="834" t="s">
        <v>41</v>
      </c>
      <c r="D416" s="835">
        <v>2.11</v>
      </c>
    </row>
    <row r="417" spans="1:4" x14ac:dyDescent="0.2">
      <c r="A417" s="827" t="s">
        <v>1865</v>
      </c>
      <c r="B417" s="828" t="s">
        <v>1119</v>
      </c>
      <c r="C417" s="829" t="s">
        <v>41</v>
      </c>
      <c r="D417" s="830">
        <v>86.28</v>
      </c>
    </row>
    <row r="418" spans="1:4" x14ac:dyDescent="0.2">
      <c r="A418" s="837" t="s">
        <v>1866</v>
      </c>
      <c r="B418" s="838" t="s">
        <v>1508</v>
      </c>
      <c r="C418" s="839"/>
      <c r="D418" s="840"/>
    </row>
    <row r="419" spans="1:4" x14ac:dyDescent="0.2">
      <c r="A419" s="832" t="s">
        <v>1867</v>
      </c>
      <c r="B419" s="833" t="s">
        <v>1097</v>
      </c>
      <c r="C419" s="834" t="s">
        <v>41</v>
      </c>
      <c r="D419" s="835">
        <v>5.53</v>
      </c>
    </row>
    <row r="420" spans="1:4" x14ac:dyDescent="0.2">
      <c r="A420" s="827" t="s">
        <v>1868</v>
      </c>
      <c r="B420" s="828" t="s">
        <v>1099</v>
      </c>
      <c r="C420" s="829" t="s">
        <v>41</v>
      </c>
      <c r="D420" s="830">
        <v>19.41</v>
      </c>
    </row>
    <row r="421" spans="1:4" x14ac:dyDescent="0.2">
      <c r="A421" s="832" t="s">
        <v>1869</v>
      </c>
      <c r="B421" s="833" t="s">
        <v>1101</v>
      </c>
      <c r="C421" s="834" t="s">
        <v>41</v>
      </c>
      <c r="D421" s="835">
        <v>35.58</v>
      </c>
    </row>
    <row r="422" spans="1:4" x14ac:dyDescent="0.2">
      <c r="A422" s="827" t="s">
        <v>1870</v>
      </c>
      <c r="B422" s="828" t="s">
        <v>1103</v>
      </c>
      <c r="C422" s="829" t="s">
        <v>41</v>
      </c>
      <c r="D422" s="830">
        <v>94.01</v>
      </c>
    </row>
    <row r="423" spans="1:4" x14ac:dyDescent="0.2">
      <c r="A423" s="832" t="s">
        <v>1871</v>
      </c>
      <c r="B423" s="833" t="s">
        <v>1107</v>
      </c>
      <c r="C423" s="834" t="s">
        <v>41</v>
      </c>
      <c r="D423" s="835">
        <v>28.15</v>
      </c>
    </row>
    <row r="424" spans="1:4" x14ac:dyDescent="0.2">
      <c r="A424" s="827" t="s">
        <v>1872</v>
      </c>
      <c r="B424" s="828" t="s">
        <v>1109</v>
      </c>
      <c r="C424" s="829" t="s">
        <v>41</v>
      </c>
      <c r="D424" s="830">
        <v>11.85</v>
      </c>
    </row>
    <row r="425" spans="1:4" x14ac:dyDescent="0.2">
      <c r="A425" s="832" t="s">
        <v>1873</v>
      </c>
      <c r="B425" s="833" t="s">
        <v>1111</v>
      </c>
      <c r="C425" s="834" t="s">
        <v>41</v>
      </c>
      <c r="D425" s="835">
        <v>2.11</v>
      </c>
    </row>
    <row r="426" spans="1:4" x14ac:dyDescent="0.2">
      <c r="A426" s="827" t="s">
        <v>1874</v>
      </c>
      <c r="B426" s="828" t="s">
        <v>1119</v>
      </c>
      <c r="C426" s="829" t="s">
        <v>41</v>
      </c>
      <c r="D426" s="830">
        <v>86.3</v>
      </c>
    </row>
    <row r="427" spans="1:4" x14ac:dyDescent="0.2">
      <c r="A427" s="837" t="s">
        <v>1875</v>
      </c>
      <c r="B427" s="838" t="s">
        <v>1513</v>
      </c>
      <c r="C427" s="839"/>
      <c r="D427" s="840"/>
    </row>
    <row r="428" spans="1:4" x14ac:dyDescent="0.2">
      <c r="A428" s="832" t="s">
        <v>1876</v>
      </c>
      <c r="B428" s="833" t="s">
        <v>1097</v>
      </c>
      <c r="C428" s="834" t="s">
        <v>41</v>
      </c>
      <c r="D428" s="835">
        <v>5.53</v>
      </c>
    </row>
    <row r="429" spans="1:4" x14ac:dyDescent="0.2">
      <c r="A429" s="827" t="s">
        <v>1877</v>
      </c>
      <c r="B429" s="828" t="s">
        <v>1099</v>
      </c>
      <c r="C429" s="829" t="s">
        <v>41</v>
      </c>
      <c r="D429" s="830">
        <v>19.46</v>
      </c>
    </row>
    <row r="430" spans="1:4" x14ac:dyDescent="0.2">
      <c r="A430" s="832" t="s">
        <v>1878</v>
      </c>
      <c r="B430" s="833" t="s">
        <v>1101</v>
      </c>
      <c r="C430" s="834" t="s">
        <v>41</v>
      </c>
      <c r="D430" s="835">
        <v>35.58</v>
      </c>
    </row>
    <row r="431" spans="1:4" x14ac:dyDescent="0.2">
      <c r="A431" s="827" t="s">
        <v>1879</v>
      </c>
      <c r="B431" s="828" t="s">
        <v>1103</v>
      </c>
      <c r="C431" s="829" t="s">
        <v>41</v>
      </c>
      <c r="D431" s="830">
        <v>94</v>
      </c>
    </row>
    <row r="432" spans="1:4" x14ac:dyDescent="0.2">
      <c r="A432" s="832" t="s">
        <v>1880</v>
      </c>
      <c r="B432" s="833" t="s">
        <v>1107</v>
      </c>
      <c r="C432" s="834" t="s">
        <v>41</v>
      </c>
      <c r="D432" s="835">
        <v>28.15</v>
      </c>
    </row>
    <row r="433" spans="1:4" x14ac:dyDescent="0.2">
      <c r="A433" s="827" t="s">
        <v>1881</v>
      </c>
      <c r="B433" s="828" t="s">
        <v>1109</v>
      </c>
      <c r="C433" s="829" t="s">
        <v>41</v>
      </c>
      <c r="D433" s="830">
        <v>11.8</v>
      </c>
    </row>
    <row r="434" spans="1:4" x14ac:dyDescent="0.2">
      <c r="A434" s="832" t="s">
        <v>1882</v>
      </c>
      <c r="B434" s="833" t="s">
        <v>1111</v>
      </c>
      <c r="C434" s="834" t="s">
        <v>41</v>
      </c>
      <c r="D434" s="835">
        <v>2.11</v>
      </c>
    </row>
    <row r="435" spans="1:4" x14ac:dyDescent="0.2">
      <c r="A435" s="827" t="s">
        <v>1883</v>
      </c>
      <c r="B435" s="828" t="s">
        <v>1119</v>
      </c>
      <c r="C435" s="829" t="s">
        <v>41</v>
      </c>
      <c r="D435" s="830">
        <v>86.28</v>
      </c>
    </row>
    <row r="436" spans="1:4" x14ac:dyDescent="0.2">
      <c r="A436" s="837" t="s">
        <v>1884</v>
      </c>
      <c r="B436" s="838" t="s">
        <v>1518</v>
      </c>
      <c r="C436" s="839"/>
      <c r="D436" s="840"/>
    </row>
    <row r="437" spans="1:4" x14ac:dyDescent="0.2">
      <c r="A437" s="832" t="s">
        <v>1885</v>
      </c>
      <c r="B437" s="833" t="s">
        <v>1097</v>
      </c>
      <c r="C437" s="834" t="s">
        <v>41</v>
      </c>
      <c r="D437" s="835">
        <v>5.53</v>
      </c>
    </row>
    <row r="438" spans="1:4" x14ac:dyDescent="0.2">
      <c r="A438" s="827" t="s">
        <v>1886</v>
      </c>
      <c r="B438" s="828" t="s">
        <v>1099</v>
      </c>
      <c r="C438" s="829" t="s">
        <v>41</v>
      </c>
      <c r="D438" s="830">
        <v>19.41</v>
      </c>
    </row>
    <row r="439" spans="1:4" x14ac:dyDescent="0.2">
      <c r="A439" s="832" t="s">
        <v>1887</v>
      </c>
      <c r="B439" s="833" t="s">
        <v>1101</v>
      </c>
      <c r="C439" s="834" t="s">
        <v>41</v>
      </c>
      <c r="D439" s="835">
        <v>35.58</v>
      </c>
    </row>
    <row r="440" spans="1:4" x14ac:dyDescent="0.2">
      <c r="A440" s="827" t="s">
        <v>1888</v>
      </c>
      <c r="B440" s="828" t="s">
        <v>1103</v>
      </c>
      <c r="C440" s="829" t="s">
        <v>41</v>
      </c>
      <c r="D440" s="830">
        <v>94.01</v>
      </c>
    </row>
    <row r="441" spans="1:4" x14ac:dyDescent="0.2">
      <c r="A441" s="832" t="s">
        <v>1889</v>
      </c>
      <c r="B441" s="833" t="s">
        <v>1107</v>
      </c>
      <c r="C441" s="834" t="s">
        <v>41</v>
      </c>
      <c r="D441" s="835">
        <v>28.15</v>
      </c>
    </row>
    <row r="442" spans="1:4" x14ac:dyDescent="0.2">
      <c r="A442" s="827" t="s">
        <v>1890</v>
      </c>
      <c r="B442" s="828" t="s">
        <v>1109</v>
      </c>
      <c r="C442" s="829" t="s">
        <v>41</v>
      </c>
      <c r="D442" s="830">
        <v>11.85</v>
      </c>
    </row>
    <row r="443" spans="1:4" x14ac:dyDescent="0.2">
      <c r="A443" s="832" t="s">
        <v>1891</v>
      </c>
      <c r="B443" s="833" t="s">
        <v>1111</v>
      </c>
      <c r="C443" s="834" t="s">
        <v>41</v>
      </c>
      <c r="D443" s="835">
        <v>2.11</v>
      </c>
    </row>
    <row r="444" spans="1:4" x14ac:dyDescent="0.2">
      <c r="A444" s="827" t="s">
        <v>1892</v>
      </c>
      <c r="B444" s="828" t="s">
        <v>1119</v>
      </c>
      <c r="C444" s="829" t="s">
        <v>41</v>
      </c>
      <c r="D444" s="830">
        <v>86.3</v>
      </c>
    </row>
    <row r="445" spans="1:4" x14ac:dyDescent="0.2">
      <c r="A445" s="837" t="s">
        <v>1893</v>
      </c>
      <c r="B445" s="838" t="s">
        <v>1523</v>
      </c>
      <c r="C445" s="839"/>
      <c r="D445" s="840"/>
    </row>
    <row r="446" spans="1:4" x14ac:dyDescent="0.2">
      <c r="A446" s="832" t="s">
        <v>1894</v>
      </c>
      <c r="B446" s="833" t="s">
        <v>1097</v>
      </c>
      <c r="C446" s="834" t="s">
        <v>41</v>
      </c>
      <c r="D446" s="835">
        <v>5.53</v>
      </c>
    </row>
    <row r="447" spans="1:4" x14ac:dyDescent="0.2">
      <c r="A447" s="827" t="s">
        <v>1895</v>
      </c>
      <c r="B447" s="828" t="s">
        <v>1099</v>
      </c>
      <c r="C447" s="829" t="s">
        <v>41</v>
      </c>
      <c r="D447" s="830">
        <v>19.46</v>
      </c>
    </row>
    <row r="448" spans="1:4" x14ac:dyDescent="0.2">
      <c r="A448" s="832" t="s">
        <v>1896</v>
      </c>
      <c r="B448" s="833" t="s">
        <v>1101</v>
      </c>
      <c r="C448" s="834" t="s">
        <v>41</v>
      </c>
      <c r="D448" s="835">
        <v>35.58</v>
      </c>
    </row>
    <row r="449" spans="1:4" x14ac:dyDescent="0.2">
      <c r="A449" s="827" t="s">
        <v>1897</v>
      </c>
      <c r="B449" s="828" t="s">
        <v>1103</v>
      </c>
      <c r="C449" s="829" t="s">
        <v>41</v>
      </c>
      <c r="D449" s="830">
        <v>94</v>
      </c>
    </row>
    <row r="450" spans="1:4" x14ac:dyDescent="0.2">
      <c r="A450" s="832" t="s">
        <v>1898</v>
      </c>
      <c r="B450" s="833" t="s">
        <v>1107</v>
      </c>
      <c r="C450" s="834" t="s">
        <v>41</v>
      </c>
      <c r="D450" s="835">
        <v>28.15</v>
      </c>
    </row>
    <row r="451" spans="1:4" x14ac:dyDescent="0.2">
      <c r="A451" s="827" t="s">
        <v>1899</v>
      </c>
      <c r="B451" s="828" t="s">
        <v>1109</v>
      </c>
      <c r="C451" s="829" t="s">
        <v>41</v>
      </c>
      <c r="D451" s="830">
        <v>11.8</v>
      </c>
    </row>
    <row r="452" spans="1:4" x14ac:dyDescent="0.2">
      <c r="A452" s="832" t="s">
        <v>1900</v>
      </c>
      <c r="B452" s="833" t="s">
        <v>1111</v>
      </c>
      <c r="C452" s="834" t="s">
        <v>41</v>
      </c>
      <c r="D452" s="835">
        <v>2.11</v>
      </c>
    </row>
    <row r="453" spans="1:4" x14ac:dyDescent="0.2">
      <c r="A453" s="827" t="s">
        <v>1901</v>
      </c>
      <c r="B453" s="828" t="s">
        <v>1119</v>
      </c>
      <c r="C453" s="829" t="s">
        <v>41</v>
      </c>
      <c r="D453" s="830">
        <v>86.28</v>
      </c>
    </row>
    <row r="454" spans="1:4" x14ac:dyDescent="0.2">
      <c r="A454" s="837" t="s">
        <v>1902</v>
      </c>
      <c r="B454" s="838" t="s">
        <v>1528</v>
      </c>
      <c r="C454" s="839"/>
      <c r="D454" s="840"/>
    </row>
    <row r="455" spans="1:4" x14ac:dyDescent="0.2">
      <c r="A455" s="832" t="s">
        <v>1903</v>
      </c>
      <c r="B455" s="833" t="s">
        <v>1097</v>
      </c>
      <c r="C455" s="834" t="s">
        <v>41</v>
      </c>
      <c r="D455" s="835">
        <v>5.53</v>
      </c>
    </row>
    <row r="456" spans="1:4" x14ac:dyDescent="0.2">
      <c r="A456" s="827" t="s">
        <v>1904</v>
      </c>
      <c r="B456" s="828" t="s">
        <v>1099</v>
      </c>
      <c r="C456" s="829" t="s">
        <v>41</v>
      </c>
      <c r="D456" s="830">
        <v>19.41</v>
      </c>
    </row>
    <row r="457" spans="1:4" x14ac:dyDescent="0.2">
      <c r="A457" s="832" t="s">
        <v>1905</v>
      </c>
      <c r="B457" s="833" t="s">
        <v>1101</v>
      </c>
      <c r="C457" s="834" t="s">
        <v>41</v>
      </c>
      <c r="D457" s="835">
        <v>35.58</v>
      </c>
    </row>
    <row r="458" spans="1:4" x14ac:dyDescent="0.2">
      <c r="A458" s="827" t="s">
        <v>1906</v>
      </c>
      <c r="B458" s="828" t="s">
        <v>1103</v>
      </c>
      <c r="C458" s="829" t="s">
        <v>41</v>
      </c>
      <c r="D458" s="830">
        <v>94.01</v>
      </c>
    </row>
    <row r="459" spans="1:4" x14ac:dyDescent="0.2">
      <c r="A459" s="832" t="s">
        <v>1907</v>
      </c>
      <c r="B459" s="833" t="s">
        <v>1107</v>
      </c>
      <c r="C459" s="834" t="s">
        <v>41</v>
      </c>
      <c r="D459" s="835">
        <v>28.15</v>
      </c>
    </row>
    <row r="460" spans="1:4" x14ac:dyDescent="0.2">
      <c r="A460" s="827" t="s">
        <v>1908</v>
      </c>
      <c r="B460" s="828" t="s">
        <v>1109</v>
      </c>
      <c r="C460" s="829" t="s">
        <v>41</v>
      </c>
      <c r="D460" s="830">
        <v>11.85</v>
      </c>
    </row>
    <row r="461" spans="1:4" x14ac:dyDescent="0.2">
      <c r="A461" s="832" t="s">
        <v>1909</v>
      </c>
      <c r="B461" s="833" t="s">
        <v>1111</v>
      </c>
      <c r="C461" s="834" t="s">
        <v>41</v>
      </c>
      <c r="D461" s="835">
        <v>2.11</v>
      </c>
    </row>
    <row r="462" spans="1:4" x14ac:dyDescent="0.2">
      <c r="A462" s="827" t="s">
        <v>1910</v>
      </c>
      <c r="B462" s="828" t="s">
        <v>1119</v>
      </c>
      <c r="C462" s="829" t="s">
        <v>41</v>
      </c>
      <c r="D462" s="830">
        <v>86.3</v>
      </c>
    </row>
    <row r="463" spans="1:4" x14ac:dyDescent="0.2">
      <c r="A463" s="837" t="s">
        <v>1911</v>
      </c>
      <c r="B463" s="838" t="s">
        <v>1533</v>
      </c>
      <c r="C463" s="839"/>
      <c r="D463" s="840"/>
    </row>
    <row r="464" spans="1:4" x14ac:dyDescent="0.2">
      <c r="A464" s="832" t="s">
        <v>1912</v>
      </c>
      <c r="B464" s="833" t="s">
        <v>1097</v>
      </c>
      <c r="C464" s="834" t="s">
        <v>41</v>
      </c>
      <c r="D464" s="835">
        <v>5.53</v>
      </c>
    </row>
    <row r="465" spans="1:4" x14ac:dyDescent="0.2">
      <c r="A465" s="827" t="s">
        <v>1913</v>
      </c>
      <c r="B465" s="828" t="s">
        <v>1099</v>
      </c>
      <c r="C465" s="829" t="s">
        <v>41</v>
      </c>
      <c r="D465" s="830">
        <v>19.46</v>
      </c>
    </row>
    <row r="466" spans="1:4" x14ac:dyDescent="0.2">
      <c r="A466" s="832" t="s">
        <v>1914</v>
      </c>
      <c r="B466" s="833" t="s">
        <v>1101</v>
      </c>
      <c r="C466" s="834" t="s">
        <v>41</v>
      </c>
      <c r="D466" s="835">
        <v>35.58</v>
      </c>
    </row>
    <row r="467" spans="1:4" x14ac:dyDescent="0.2">
      <c r="A467" s="827" t="s">
        <v>1915</v>
      </c>
      <c r="B467" s="828" t="s">
        <v>1103</v>
      </c>
      <c r="C467" s="829" t="s">
        <v>41</v>
      </c>
      <c r="D467" s="830">
        <v>94</v>
      </c>
    </row>
    <row r="468" spans="1:4" x14ac:dyDescent="0.2">
      <c r="A468" s="832" t="s">
        <v>1916</v>
      </c>
      <c r="B468" s="833" t="s">
        <v>1107</v>
      </c>
      <c r="C468" s="834" t="s">
        <v>41</v>
      </c>
      <c r="D468" s="835">
        <v>28.15</v>
      </c>
    </row>
    <row r="469" spans="1:4" x14ac:dyDescent="0.2">
      <c r="A469" s="827" t="s">
        <v>1917</v>
      </c>
      <c r="B469" s="828" t="s">
        <v>1109</v>
      </c>
      <c r="C469" s="829" t="s">
        <v>41</v>
      </c>
      <c r="D469" s="830">
        <v>11.8</v>
      </c>
    </row>
    <row r="470" spans="1:4" x14ac:dyDescent="0.2">
      <c r="A470" s="832" t="s">
        <v>1918</v>
      </c>
      <c r="B470" s="833" t="s">
        <v>1111</v>
      </c>
      <c r="C470" s="834" t="s">
        <v>41</v>
      </c>
      <c r="D470" s="835">
        <v>2.11</v>
      </c>
    </row>
    <row r="471" spans="1:4" x14ac:dyDescent="0.2">
      <c r="A471" s="827" t="s">
        <v>1919</v>
      </c>
      <c r="B471" s="828" t="s">
        <v>1119</v>
      </c>
      <c r="C471" s="829" t="s">
        <v>41</v>
      </c>
      <c r="D471" s="830">
        <v>86.28</v>
      </c>
    </row>
    <row r="472" spans="1:4" x14ac:dyDescent="0.2">
      <c r="A472" s="837" t="s">
        <v>1920</v>
      </c>
      <c r="B472" s="838" t="s">
        <v>1538</v>
      </c>
      <c r="C472" s="839"/>
      <c r="D472" s="840"/>
    </row>
    <row r="473" spans="1:4" x14ac:dyDescent="0.2">
      <c r="A473" s="832" t="s">
        <v>1921</v>
      </c>
      <c r="B473" s="833" t="s">
        <v>1099</v>
      </c>
      <c r="C473" s="834" t="s">
        <v>41</v>
      </c>
      <c r="D473" s="835">
        <v>7.05</v>
      </c>
    </row>
    <row r="474" spans="1:4" x14ac:dyDescent="0.2">
      <c r="A474" s="827" t="s">
        <v>1922</v>
      </c>
      <c r="B474" s="828" t="s">
        <v>1101</v>
      </c>
      <c r="C474" s="829" t="s">
        <v>41</v>
      </c>
      <c r="D474" s="830">
        <v>18.440000000000001</v>
      </c>
    </row>
    <row r="475" spans="1:4" x14ac:dyDescent="0.2">
      <c r="A475" s="832" t="s">
        <v>1923</v>
      </c>
      <c r="B475" s="833" t="s">
        <v>1103</v>
      </c>
      <c r="C475" s="834" t="s">
        <v>41</v>
      </c>
      <c r="D475" s="835">
        <v>5.0199999999999996</v>
      </c>
    </row>
    <row r="476" spans="1:4" x14ac:dyDescent="0.2">
      <c r="A476" s="827" t="s">
        <v>1924</v>
      </c>
      <c r="B476" s="828" t="s">
        <v>1107</v>
      </c>
      <c r="C476" s="829" t="s">
        <v>41</v>
      </c>
      <c r="D476" s="830">
        <v>18.829999999999998</v>
      </c>
    </row>
    <row r="477" spans="1:4" x14ac:dyDescent="0.2">
      <c r="A477" s="832" t="s">
        <v>1925</v>
      </c>
      <c r="B477" s="833" t="s">
        <v>1109</v>
      </c>
      <c r="C477" s="834" t="s">
        <v>41</v>
      </c>
      <c r="D477" s="835">
        <v>8.69</v>
      </c>
    </row>
    <row r="478" spans="1:4" x14ac:dyDescent="0.2">
      <c r="A478" s="827" t="s">
        <v>1926</v>
      </c>
      <c r="B478" s="828" t="s">
        <v>1111</v>
      </c>
      <c r="C478" s="829" t="s">
        <v>41</v>
      </c>
      <c r="D478" s="830">
        <v>26.83</v>
      </c>
    </row>
    <row r="479" spans="1:4" x14ac:dyDescent="0.2">
      <c r="A479" s="832" t="s">
        <v>1927</v>
      </c>
      <c r="B479" s="833" t="s">
        <v>1115</v>
      </c>
      <c r="C479" s="834" t="s">
        <v>41</v>
      </c>
      <c r="D479" s="835">
        <v>153.28</v>
      </c>
    </row>
    <row r="480" spans="1:4" x14ac:dyDescent="0.2">
      <c r="A480" s="827" t="s">
        <v>1928</v>
      </c>
      <c r="B480" s="828" t="s">
        <v>1123</v>
      </c>
      <c r="C480" s="829" t="s">
        <v>41</v>
      </c>
      <c r="D480" s="830">
        <v>48.66</v>
      </c>
    </row>
    <row r="481" spans="1:4" x14ac:dyDescent="0.2">
      <c r="A481" s="837" t="s">
        <v>1929</v>
      </c>
      <c r="B481" s="838" t="s">
        <v>1542</v>
      </c>
      <c r="C481" s="839"/>
      <c r="D481" s="840"/>
    </row>
    <row r="482" spans="1:4" x14ac:dyDescent="0.2">
      <c r="A482" s="832" t="s">
        <v>1930</v>
      </c>
      <c r="B482" s="833" t="s">
        <v>1099</v>
      </c>
      <c r="C482" s="834" t="s">
        <v>41</v>
      </c>
      <c r="D482" s="835">
        <v>0.1</v>
      </c>
    </row>
    <row r="483" spans="1:4" x14ac:dyDescent="0.2">
      <c r="A483" s="827" t="s">
        <v>1931</v>
      </c>
      <c r="B483" s="828" t="s">
        <v>1109</v>
      </c>
      <c r="C483" s="829" t="s">
        <v>41</v>
      </c>
      <c r="D483" s="830">
        <v>0.12</v>
      </c>
    </row>
    <row r="484" spans="1:4" x14ac:dyDescent="0.2">
      <c r="A484" s="837" t="s">
        <v>1932</v>
      </c>
      <c r="B484" s="838" t="s">
        <v>1548</v>
      </c>
      <c r="C484" s="839"/>
      <c r="D484" s="840"/>
    </row>
    <row r="485" spans="1:4" x14ac:dyDescent="0.2">
      <c r="A485" s="832" t="s">
        <v>1933</v>
      </c>
      <c r="B485" s="833" t="s">
        <v>1117</v>
      </c>
      <c r="C485" s="834" t="s">
        <v>41</v>
      </c>
      <c r="D485" s="835">
        <v>165.8</v>
      </c>
    </row>
    <row r="486" spans="1:4" x14ac:dyDescent="0.2">
      <c r="A486" s="827" t="s">
        <v>1934</v>
      </c>
      <c r="B486" s="828" t="s">
        <v>1123</v>
      </c>
      <c r="C486" s="829" t="s">
        <v>41</v>
      </c>
      <c r="D486" s="830">
        <v>4.58</v>
      </c>
    </row>
    <row r="487" spans="1:4" x14ac:dyDescent="0.2">
      <c r="A487" s="837" t="s">
        <v>1935</v>
      </c>
      <c r="B487" s="838" t="s">
        <v>1660</v>
      </c>
      <c r="C487" s="839"/>
      <c r="D487" s="840"/>
    </row>
    <row r="488" spans="1:4" x14ac:dyDescent="0.2">
      <c r="A488" s="832" t="s">
        <v>1936</v>
      </c>
      <c r="B488" s="833" t="s">
        <v>1121</v>
      </c>
      <c r="C488" s="834" t="s">
        <v>41</v>
      </c>
      <c r="D488" s="835">
        <v>48.79</v>
      </c>
    </row>
    <row r="489" spans="1:4" x14ac:dyDescent="0.2">
      <c r="A489" s="823" t="s">
        <v>1126</v>
      </c>
      <c r="B489" s="824" t="s">
        <v>1127</v>
      </c>
      <c r="C489" s="825"/>
      <c r="D489" s="826"/>
    </row>
    <row r="490" spans="1:4" x14ac:dyDescent="0.2">
      <c r="A490" s="837" t="s">
        <v>1937</v>
      </c>
      <c r="B490" s="838" t="s">
        <v>1453</v>
      </c>
      <c r="C490" s="839"/>
      <c r="D490" s="840"/>
    </row>
    <row r="491" spans="1:4" x14ac:dyDescent="0.2">
      <c r="A491" s="827" t="s">
        <v>1938</v>
      </c>
      <c r="B491" s="828" t="s">
        <v>1129</v>
      </c>
      <c r="C491" s="829" t="s">
        <v>41</v>
      </c>
      <c r="D491" s="830">
        <v>1643.31</v>
      </c>
    </row>
    <row r="492" spans="1:4" x14ac:dyDescent="0.2">
      <c r="A492" s="832" t="s">
        <v>1939</v>
      </c>
      <c r="B492" s="833" t="s">
        <v>1131</v>
      </c>
      <c r="C492" s="834" t="s">
        <v>41</v>
      </c>
      <c r="D492" s="835">
        <v>576.47</v>
      </c>
    </row>
    <row r="493" spans="1:4" x14ac:dyDescent="0.2">
      <c r="A493" s="837" t="s">
        <v>1940</v>
      </c>
      <c r="B493" s="838" t="s">
        <v>1458</v>
      </c>
      <c r="C493" s="839"/>
      <c r="D493" s="840"/>
    </row>
    <row r="494" spans="1:4" x14ac:dyDescent="0.2">
      <c r="A494" s="827" t="s">
        <v>1941</v>
      </c>
      <c r="B494" s="828" t="s">
        <v>1129</v>
      </c>
      <c r="C494" s="829" t="s">
        <v>41</v>
      </c>
      <c r="D494" s="830">
        <v>601.28</v>
      </c>
    </row>
    <row r="495" spans="1:4" x14ac:dyDescent="0.2">
      <c r="A495" s="832" t="s">
        <v>1942</v>
      </c>
      <c r="B495" s="833" t="s">
        <v>1131</v>
      </c>
      <c r="C495" s="834" t="s">
        <v>41</v>
      </c>
      <c r="D495" s="835">
        <v>27.54</v>
      </c>
    </row>
    <row r="496" spans="1:4" x14ac:dyDescent="0.2">
      <c r="A496" s="837" t="s">
        <v>1943</v>
      </c>
      <c r="B496" s="838" t="s">
        <v>1462</v>
      </c>
      <c r="C496" s="839"/>
      <c r="D496" s="840"/>
    </row>
    <row r="497" spans="1:4" x14ac:dyDescent="0.2">
      <c r="A497" s="827" t="s">
        <v>1944</v>
      </c>
      <c r="B497" s="828" t="s">
        <v>1129</v>
      </c>
      <c r="C497" s="829" t="s">
        <v>41</v>
      </c>
      <c r="D497" s="830">
        <v>541.59</v>
      </c>
    </row>
    <row r="498" spans="1:4" x14ac:dyDescent="0.2">
      <c r="A498" s="832" t="s">
        <v>1945</v>
      </c>
      <c r="B498" s="833" t="s">
        <v>1131</v>
      </c>
      <c r="C498" s="834" t="s">
        <v>41</v>
      </c>
      <c r="D498" s="835">
        <v>23.03</v>
      </c>
    </row>
    <row r="499" spans="1:4" x14ac:dyDescent="0.2">
      <c r="A499" s="837" t="s">
        <v>1946</v>
      </c>
      <c r="B499" s="838" t="s">
        <v>1466</v>
      </c>
      <c r="C499" s="839"/>
      <c r="D499" s="840"/>
    </row>
    <row r="500" spans="1:4" x14ac:dyDescent="0.2">
      <c r="A500" s="827" t="s">
        <v>1947</v>
      </c>
      <c r="B500" s="828" t="s">
        <v>1129</v>
      </c>
      <c r="C500" s="829" t="s">
        <v>41</v>
      </c>
      <c r="D500" s="830">
        <v>520.49</v>
      </c>
    </row>
    <row r="501" spans="1:4" x14ac:dyDescent="0.2">
      <c r="A501" s="832" t="s">
        <v>1948</v>
      </c>
      <c r="B501" s="833" t="s">
        <v>1131</v>
      </c>
      <c r="C501" s="834" t="s">
        <v>41</v>
      </c>
      <c r="D501" s="835">
        <v>23.03</v>
      </c>
    </row>
    <row r="502" spans="1:4" x14ac:dyDescent="0.2">
      <c r="A502" s="837" t="s">
        <v>1949</v>
      </c>
      <c r="B502" s="838" t="s">
        <v>1470</v>
      </c>
      <c r="C502" s="839"/>
      <c r="D502" s="840"/>
    </row>
    <row r="503" spans="1:4" x14ac:dyDescent="0.2">
      <c r="A503" s="827" t="s">
        <v>1950</v>
      </c>
      <c r="B503" s="828" t="s">
        <v>1129</v>
      </c>
      <c r="C503" s="829" t="s">
        <v>41</v>
      </c>
      <c r="D503" s="830">
        <v>662.82</v>
      </c>
    </row>
    <row r="504" spans="1:4" x14ac:dyDescent="0.2">
      <c r="A504" s="832" t="s">
        <v>1951</v>
      </c>
      <c r="B504" s="833" t="s">
        <v>1131</v>
      </c>
      <c r="C504" s="834" t="s">
        <v>41</v>
      </c>
      <c r="D504" s="835">
        <v>21.19</v>
      </c>
    </row>
    <row r="505" spans="1:4" x14ac:dyDescent="0.2">
      <c r="A505" s="837" t="s">
        <v>1952</v>
      </c>
      <c r="B505" s="838" t="s">
        <v>1473</v>
      </c>
      <c r="C505" s="839"/>
      <c r="D505" s="840"/>
    </row>
    <row r="506" spans="1:4" x14ac:dyDescent="0.2">
      <c r="A506" s="827" t="s">
        <v>1953</v>
      </c>
      <c r="B506" s="828" t="s">
        <v>1129</v>
      </c>
      <c r="C506" s="829" t="s">
        <v>41</v>
      </c>
      <c r="D506" s="830">
        <v>1192.06</v>
      </c>
    </row>
    <row r="507" spans="1:4" x14ac:dyDescent="0.2">
      <c r="A507" s="832" t="s">
        <v>1954</v>
      </c>
      <c r="B507" s="833" t="s">
        <v>1131</v>
      </c>
      <c r="C507" s="834" t="s">
        <v>41</v>
      </c>
      <c r="D507" s="835">
        <v>296.16000000000003</v>
      </c>
    </row>
    <row r="508" spans="1:4" x14ac:dyDescent="0.2">
      <c r="A508" s="837" t="s">
        <v>1955</v>
      </c>
      <c r="B508" s="838" t="s">
        <v>1478</v>
      </c>
      <c r="C508" s="839"/>
      <c r="D508" s="840"/>
    </row>
    <row r="509" spans="1:4" x14ac:dyDescent="0.2">
      <c r="A509" s="827" t="s">
        <v>1956</v>
      </c>
      <c r="B509" s="828" t="s">
        <v>1129</v>
      </c>
      <c r="C509" s="829" t="s">
        <v>41</v>
      </c>
      <c r="D509" s="830">
        <v>1188.1400000000001</v>
      </c>
    </row>
    <row r="510" spans="1:4" x14ac:dyDescent="0.2">
      <c r="A510" s="832" t="s">
        <v>1957</v>
      </c>
      <c r="B510" s="833" t="s">
        <v>1131</v>
      </c>
      <c r="C510" s="834" t="s">
        <v>41</v>
      </c>
      <c r="D510" s="835">
        <v>298.85000000000002</v>
      </c>
    </row>
    <row r="511" spans="1:4" x14ac:dyDescent="0.2">
      <c r="A511" s="837" t="s">
        <v>1958</v>
      </c>
      <c r="B511" s="838" t="s">
        <v>1483</v>
      </c>
      <c r="C511" s="839"/>
      <c r="D511" s="840"/>
    </row>
    <row r="512" spans="1:4" x14ac:dyDescent="0.2">
      <c r="A512" s="827" t="s">
        <v>1959</v>
      </c>
      <c r="B512" s="828" t="s">
        <v>1129</v>
      </c>
      <c r="C512" s="829" t="s">
        <v>41</v>
      </c>
      <c r="D512" s="830">
        <v>1189.9100000000001</v>
      </c>
    </row>
    <row r="513" spans="1:4" x14ac:dyDescent="0.2">
      <c r="A513" s="832" t="s">
        <v>1960</v>
      </c>
      <c r="B513" s="833" t="s">
        <v>1131</v>
      </c>
      <c r="C513" s="834" t="s">
        <v>41</v>
      </c>
      <c r="D513" s="835">
        <v>296.04000000000002</v>
      </c>
    </row>
    <row r="514" spans="1:4" x14ac:dyDescent="0.2">
      <c r="A514" s="837" t="s">
        <v>1961</v>
      </c>
      <c r="B514" s="838" t="s">
        <v>1488</v>
      </c>
      <c r="C514" s="839"/>
      <c r="D514" s="840"/>
    </row>
    <row r="515" spans="1:4" x14ac:dyDescent="0.2">
      <c r="A515" s="827" t="s">
        <v>1962</v>
      </c>
      <c r="B515" s="828" t="s">
        <v>1129</v>
      </c>
      <c r="C515" s="829" t="s">
        <v>41</v>
      </c>
      <c r="D515" s="830">
        <v>1181.8399999999999</v>
      </c>
    </row>
    <row r="516" spans="1:4" x14ac:dyDescent="0.2">
      <c r="A516" s="832" t="s">
        <v>1963</v>
      </c>
      <c r="B516" s="833" t="s">
        <v>1131</v>
      </c>
      <c r="C516" s="834" t="s">
        <v>41</v>
      </c>
      <c r="D516" s="835">
        <v>296.52999999999997</v>
      </c>
    </row>
    <row r="517" spans="1:4" x14ac:dyDescent="0.2">
      <c r="A517" s="837" t="s">
        <v>1964</v>
      </c>
      <c r="B517" s="838" t="s">
        <v>1493</v>
      </c>
      <c r="C517" s="839"/>
      <c r="D517" s="840"/>
    </row>
    <row r="518" spans="1:4" x14ac:dyDescent="0.2">
      <c r="A518" s="827" t="s">
        <v>1965</v>
      </c>
      <c r="B518" s="828" t="s">
        <v>1129</v>
      </c>
      <c r="C518" s="829" t="s">
        <v>41</v>
      </c>
      <c r="D518" s="830">
        <v>1189.83</v>
      </c>
    </row>
    <row r="519" spans="1:4" x14ac:dyDescent="0.2">
      <c r="A519" s="832" t="s">
        <v>1966</v>
      </c>
      <c r="B519" s="833" t="s">
        <v>1131</v>
      </c>
      <c r="C519" s="834" t="s">
        <v>41</v>
      </c>
      <c r="D519" s="835">
        <v>295.99</v>
      </c>
    </row>
    <row r="520" spans="1:4" x14ac:dyDescent="0.2">
      <c r="A520" s="837" t="s">
        <v>1967</v>
      </c>
      <c r="B520" s="838" t="s">
        <v>1498</v>
      </c>
      <c r="C520" s="839"/>
      <c r="D520" s="840"/>
    </row>
    <row r="521" spans="1:4" x14ac:dyDescent="0.2">
      <c r="A521" s="827" t="s">
        <v>1968</v>
      </c>
      <c r="B521" s="828" t="s">
        <v>1129</v>
      </c>
      <c r="C521" s="829" t="s">
        <v>41</v>
      </c>
      <c r="D521" s="830">
        <v>1181.69</v>
      </c>
    </row>
    <row r="522" spans="1:4" x14ac:dyDescent="0.2">
      <c r="A522" s="832" t="s">
        <v>1969</v>
      </c>
      <c r="B522" s="833" t="s">
        <v>1131</v>
      </c>
      <c r="C522" s="834" t="s">
        <v>41</v>
      </c>
      <c r="D522" s="835">
        <v>296.49</v>
      </c>
    </row>
    <row r="523" spans="1:4" x14ac:dyDescent="0.2">
      <c r="A523" s="837" t="s">
        <v>1970</v>
      </c>
      <c r="B523" s="838" t="s">
        <v>1503</v>
      </c>
      <c r="C523" s="839"/>
      <c r="D523" s="840"/>
    </row>
    <row r="524" spans="1:4" x14ac:dyDescent="0.2">
      <c r="A524" s="827" t="s">
        <v>1971</v>
      </c>
      <c r="B524" s="828" t="s">
        <v>1129</v>
      </c>
      <c r="C524" s="829" t="s">
        <v>41</v>
      </c>
      <c r="D524" s="830">
        <v>1190.03</v>
      </c>
    </row>
    <row r="525" spans="1:4" x14ac:dyDescent="0.2">
      <c r="A525" s="832" t="s">
        <v>1972</v>
      </c>
      <c r="B525" s="833" t="s">
        <v>1131</v>
      </c>
      <c r="C525" s="834" t="s">
        <v>41</v>
      </c>
      <c r="D525" s="835">
        <v>295.99</v>
      </c>
    </row>
    <row r="526" spans="1:4" x14ac:dyDescent="0.2">
      <c r="A526" s="837" t="s">
        <v>1973</v>
      </c>
      <c r="B526" s="838" t="s">
        <v>1508</v>
      </c>
      <c r="C526" s="839"/>
      <c r="D526" s="840"/>
    </row>
    <row r="527" spans="1:4" x14ac:dyDescent="0.2">
      <c r="A527" s="827" t="s">
        <v>1974</v>
      </c>
      <c r="B527" s="828" t="s">
        <v>1129</v>
      </c>
      <c r="C527" s="829" t="s">
        <v>41</v>
      </c>
      <c r="D527" s="830">
        <v>1181.8399999999999</v>
      </c>
    </row>
    <row r="528" spans="1:4" x14ac:dyDescent="0.2">
      <c r="A528" s="832" t="s">
        <v>1975</v>
      </c>
      <c r="B528" s="833" t="s">
        <v>1131</v>
      </c>
      <c r="C528" s="834" t="s">
        <v>41</v>
      </c>
      <c r="D528" s="835">
        <v>296.52999999999997</v>
      </c>
    </row>
    <row r="529" spans="1:4" x14ac:dyDescent="0.2">
      <c r="A529" s="837" t="s">
        <v>1976</v>
      </c>
      <c r="B529" s="838" t="s">
        <v>1513</v>
      </c>
      <c r="C529" s="839"/>
      <c r="D529" s="840"/>
    </row>
    <row r="530" spans="1:4" x14ac:dyDescent="0.2">
      <c r="A530" s="827" t="s">
        <v>1977</v>
      </c>
      <c r="B530" s="828" t="s">
        <v>1129</v>
      </c>
      <c r="C530" s="829" t="s">
        <v>41</v>
      </c>
      <c r="D530" s="830">
        <v>1189.83</v>
      </c>
    </row>
    <row r="531" spans="1:4" x14ac:dyDescent="0.2">
      <c r="A531" s="832" t="s">
        <v>1978</v>
      </c>
      <c r="B531" s="833" t="s">
        <v>1131</v>
      </c>
      <c r="C531" s="834" t="s">
        <v>41</v>
      </c>
      <c r="D531" s="835">
        <v>295.99</v>
      </c>
    </row>
    <row r="532" spans="1:4" x14ac:dyDescent="0.2">
      <c r="A532" s="837" t="s">
        <v>1979</v>
      </c>
      <c r="B532" s="838" t="s">
        <v>1518</v>
      </c>
      <c r="C532" s="839"/>
      <c r="D532" s="840"/>
    </row>
    <row r="533" spans="1:4" x14ac:dyDescent="0.2">
      <c r="A533" s="827" t="s">
        <v>1980</v>
      </c>
      <c r="B533" s="828" t="s">
        <v>1129</v>
      </c>
      <c r="C533" s="829" t="s">
        <v>41</v>
      </c>
      <c r="D533" s="830">
        <v>1181.8399999999999</v>
      </c>
    </row>
    <row r="534" spans="1:4" x14ac:dyDescent="0.2">
      <c r="A534" s="832" t="s">
        <v>1981</v>
      </c>
      <c r="B534" s="833" t="s">
        <v>1131</v>
      </c>
      <c r="C534" s="834" t="s">
        <v>41</v>
      </c>
      <c r="D534" s="835">
        <v>296.52999999999997</v>
      </c>
    </row>
    <row r="535" spans="1:4" x14ac:dyDescent="0.2">
      <c r="A535" s="837" t="s">
        <v>1982</v>
      </c>
      <c r="B535" s="838" t="s">
        <v>1523</v>
      </c>
      <c r="C535" s="839"/>
      <c r="D535" s="840"/>
    </row>
    <row r="536" spans="1:4" x14ac:dyDescent="0.2">
      <c r="A536" s="827" t="s">
        <v>1983</v>
      </c>
      <c r="B536" s="828" t="s">
        <v>1129</v>
      </c>
      <c r="C536" s="829" t="s">
        <v>41</v>
      </c>
      <c r="D536" s="830">
        <v>1189.83</v>
      </c>
    </row>
    <row r="537" spans="1:4" x14ac:dyDescent="0.2">
      <c r="A537" s="832" t="s">
        <v>1984</v>
      </c>
      <c r="B537" s="833" t="s">
        <v>1131</v>
      </c>
      <c r="C537" s="834" t="s">
        <v>41</v>
      </c>
      <c r="D537" s="835">
        <v>295.99</v>
      </c>
    </row>
    <row r="538" spans="1:4" x14ac:dyDescent="0.2">
      <c r="A538" s="837" t="s">
        <v>1985</v>
      </c>
      <c r="B538" s="838" t="s">
        <v>1528</v>
      </c>
      <c r="C538" s="839"/>
      <c r="D538" s="840"/>
    </row>
    <row r="539" spans="1:4" x14ac:dyDescent="0.2">
      <c r="A539" s="827" t="s">
        <v>1986</v>
      </c>
      <c r="B539" s="828" t="s">
        <v>1129</v>
      </c>
      <c r="C539" s="829" t="s">
        <v>41</v>
      </c>
      <c r="D539" s="830">
        <v>1181.8399999999999</v>
      </c>
    </row>
    <row r="540" spans="1:4" x14ac:dyDescent="0.2">
      <c r="A540" s="832" t="s">
        <v>1987</v>
      </c>
      <c r="B540" s="833" t="s">
        <v>1131</v>
      </c>
      <c r="C540" s="834" t="s">
        <v>41</v>
      </c>
      <c r="D540" s="835">
        <v>296.52999999999997</v>
      </c>
    </row>
    <row r="541" spans="1:4" x14ac:dyDescent="0.2">
      <c r="A541" s="837" t="s">
        <v>1988</v>
      </c>
      <c r="B541" s="838" t="s">
        <v>1533</v>
      </c>
      <c r="C541" s="839"/>
      <c r="D541" s="840"/>
    </row>
    <row r="542" spans="1:4" x14ac:dyDescent="0.2">
      <c r="A542" s="827" t="s">
        <v>1989</v>
      </c>
      <c r="B542" s="828" t="s">
        <v>1129</v>
      </c>
      <c r="C542" s="829" t="s">
        <v>41</v>
      </c>
      <c r="D542" s="830">
        <v>1189.83</v>
      </c>
    </row>
    <row r="543" spans="1:4" x14ac:dyDescent="0.2">
      <c r="A543" s="832" t="s">
        <v>1990</v>
      </c>
      <c r="B543" s="833" t="s">
        <v>1131</v>
      </c>
      <c r="C543" s="834" t="s">
        <v>41</v>
      </c>
      <c r="D543" s="835">
        <v>297.64999999999998</v>
      </c>
    </row>
    <row r="544" spans="1:4" x14ac:dyDescent="0.2">
      <c r="A544" s="837" t="s">
        <v>1991</v>
      </c>
      <c r="B544" s="838" t="s">
        <v>1538</v>
      </c>
      <c r="C544" s="839"/>
      <c r="D544" s="840"/>
    </row>
    <row r="545" spans="1:4" x14ac:dyDescent="0.2">
      <c r="A545" s="827" t="s">
        <v>1992</v>
      </c>
      <c r="B545" s="828" t="s">
        <v>1129</v>
      </c>
      <c r="C545" s="829" t="s">
        <v>41</v>
      </c>
      <c r="D545" s="830">
        <v>643.96</v>
      </c>
    </row>
    <row r="546" spans="1:4" x14ac:dyDescent="0.2">
      <c r="A546" s="832" t="s">
        <v>1993</v>
      </c>
      <c r="B546" s="833" t="s">
        <v>1131</v>
      </c>
      <c r="C546" s="834" t="s">
        <v>41</v>
      </c>
      <c r="D546" s="835">
        <v>276.83</v>
      </c>
    </row>
    <row r="547" spans="1:4" x14ac:dyDescent="0.2">
      <c r="A547" s="837" t="s">
        <v>1994</v>
      </c>
      <c r="B547" s="838" t="s">
        <v>1542</v>
      </c>
      <c r="C547" s="839"/>
      <c r="D547" s="840"/>
    </row>
    <row r="548" spans="1:4" x14ac:dyDescent="0.2">
      <c r="A548" s="827" t="s">
        <v>1995</v>
      </c>
      <c r="B548" s="828" t="s">
        <v>1129</v>
      </c>
      <c r="C548" s="829" t="s">
        <v>41</v>
      </c>
      <c r="D548" s="830">
        <v>92.97</v>
      </c>
    </row>
    <row r="549" spans="1:4" x14ac:dyDescent="0.2">
      <c r="A549" s="832" t="s">
        <v>1996</v>
      </c>
      <c r="B549" s="833" t="s">
        <v>1131</v>
      </c>
      <c r="C549" s="834" t="s">
        <v>41</v>
      </c>
      <c r="D549" s="835">
        <v>7.66</v>
      </c>
    </row>
    <row r="550" spans="1:4" x14ac:dyDescent="0.2">
      <c r="A550" s="837" t="s">
        <v>1997</v>
      </c>
      <c r="B550" s="838" t="s">
        <v>1545</v>
      </c>
      <c r="C550" s="839"/>
      <c r="D550" s="840"/>
    </row>
    <row r="551" spans="1:4" x14ac:dyDescent="0.2">
      <c r="A551" s="827" t="s">
        <v>1998</v>
      </c>
      <c r="B551" s="828" t="s">
        <v>1129</v>
      </c>
      <c r="C551" s="829" t="s">
        <v>41</v>
      </c>
      <c r="D551" s="830">
        <v>95.28</v>
      </c>
    </row>
    <row r="552" spans="1:4" x14ac:dyDescent="0.2">
      <c r="A552" s="832" t="s">
        <v>1999</v>
      </c>
      <c r="B552" s="833" t="s">
        <v>1131</v>
      </c>
      <c r="C552" s="834" t="s">
        <v>41</v>
      </c>
      <c r="D552" s="835">
        <v>30.83</v>
      </c>
    </row>
    <row r="553" spans="1:4" x14ac:dyDescent="0.2">
      <c r="A553" s="837" t="s">
        <v>2000</v>
      </c>
      <c r="B553" s="838" t="s">
        <v>1548</v>
      </c>
      <c r="C553" s="839"/>
      <c r="D553" s="840"/>
    </row>
    <row r="554" spans="1:4" x14ac:dyDescent="0.2">
      <c r="A554" s="827" t="s">
        <v>2001</v>
      </c>
      <c r="B554" s="828" t="s">
        <v>1129</v>
      </c>
      <c r="C554" s="829" t="s">
        <v>41</v>
      </c>
      <c r="D554" s="830">
        <v>15.36</v>
      </c>
    </row>
    <row r="555" spans="1:4" x14ac:dyDescent="0.2">
      <c r="A555" s="832" t="s">
        <v>2002</v>
      </c>
      <c r="B555" s="833" t="s">
        <v>1131</v>
      </c>
      <c r="C555" s="834" t="s">
        <v>41</v>
      </c>
      <c r="D555" s="835">
        <v>120.13</v>
      </c>
    </row>
    <row r="556" spans="1:4" x14ac:dyDescent="0.2">
      <c r="A556" s="823" t="s">
        <v>1132</v>
      </c>
      <c r="B556" s="824" t="s">
        <v>1133</v>
      </c>
      <c r="C556" s="825"/>
      <c r="D556" s="826"/>
    </row>
    <row r="557" spans="1:4" x14ac:dyDescent="0.2">
      <c r="A557" s="837" t="s">
        <v>2003</v>
      </c>
      <c r="B557" s="838" t="s">
        <v>1453</v>
      </c>
      <c r="C557" s="839"/>
      <c r="D557" s="840"/>
    </row>
    <row r="558" spans="1:4" x14ac:dyDescent="0.2">
      <c r="A558" s="827" t="s">
        <v>2004</v>
      </c>
      <c r="B558" s="828" t="s">
        <v>1135</v>
      </c>
      <c r="C558" s="829" t="s">
        <v>41</v>
      </c>
      <c r="D558" s="830">
        <v>738.8</v>
      </c>
    </row>
    <row r="559" spans="1:4" x14ac:dyDescent="0.2">
      <c r="A559" s="837" t="s">
        <v>2005</v>
      </c>
      <c r="B559" s="838" t="s">
        <v>1458</v>
      </c>
      <c r="C559" s="839"/>
      <c r="D559" s="840"/>
    </row>
    <row r="560" spans="1:4" x14ac:dyDescent="0.2">
      <c r="A560" s="832" t="s">
        <v>2006</v>
      </c>
      <c r="B560" s="833" t="s">
        <v>1135</v>
      </c>
      <c r="C560" s="834" t="s">
        <v>41</v>
      </c>
      <c r="D560" s="835">
        <v>4.49</v>
      </c>
    </row>
    <row r="561" spans="1:4" x14ac:dyDescent="0.2">
      <c r="A561" s="837" t="s">
        <v>2007</v>
      </c>
      <c r="B561" s="838" t="s">
        <v>1462</v>
      </c>
      <c r="C561" s="839"/>
      <c r="D561" s="840"/>
    </row>
    <row r="562" spans="1:4" x14ac:dyDescent="0.2">
      <c r="A562" s="827" t="s">
        <v>2008</v>
      </c>
      <c r="B562" s="828" t="s">
        <v>1135</v>
      </c>
      <c r="C562" s="829" t="s">
        <v>41</v>
      </c>
      <c r="D562" s="830">
        <v>4.49</v>
      </c>
    </row>
    <row r="563" spans="1:4" x14ac:dyDescent="0.2">
      <c r="A563" s="837" t="s">
        <v>2009</v>
      </c>
      <c r="B563" s="838" t="s">
        <v>1466</v>
      </c>
      <c r="C563" s="839"/>
      <c r="D563" s="840"/>
    </row>
    <row r="564" spans="1:4" x14ac:dyDescent="0.2">
      <c r="A564" s="832" t="s">
        <v>2010</v>
      </c>
      <c r="B564" s="833" t="s">
        <v>1135</v>
      </c>
      <c r="C564" s="834" t="s">
        <v>41</v>
      </c>
      <c r="D564" s="835">
        <v>4.49</v>
      </c>
    </row>
    <row r="565" spans="1:4" x14ac:dyDescent="0.2">
      <c r="A565" s="837" t="s">
        <v>2011</v>
      </c>
      <c r="B565" s="838" t="s">
        <v>1470</v>
      </c>
      <c r="C565" s="839"/>
      <c r="D565" s="840"/>
    </row>
    <row r="566" spans="1:4" x14ac:dyDescent="0.2">
      <c r="A566" s="827" t="s">
        <v>2012</v>
      </c>
      <c r="B566" s="828" t="s">
        <v>1135</v>
      </c>
      <c r="C566" s="829" t="s">
        <v>41</v>
      </c>
      <c r="D566" s="830">
        <v>1.74</v>
      </c>
    </row>
    <row r="567" spans="1:4" x14ac:dyDescent="0.2">
      <c r="A567" s="837" t="s">
        <v>2013</v>
      </c>
      <c r="B567" s="838" t="s">
        <v>1473</v>
      </c>
      <c r="C567" s="839"/>
      <c r="D567" s="840"/>
    </row>
    <row r="568" spans="1:4" x14ac:dyDescent="0.2">
      <c r="A568" s="832" t="s">
        <v>2014</v>
      </c>
      <c r="B568" s="833" t="s">
        <v>1135</v>
      </c>
      <c r="C568" s="834" t="s">
        <v>41</v>
      </c>
      <c r="D568" s="835">
        <v>462.8</v>
      </c>
    </row>
    <row r="569" spans="1:4" x14ac:dyDescent="0.2">
      <c r="A569" s="837" t="s">
        <v>2015</v>
      </c>
      <c r="B569" s="838" t="s">
        <v>1478</v>
      </c>
      <c r="C569" s="839"/>
      <c r="D569" s="840"/>
    </row>
    <row r="570" spans="1:4" x14ac:dyDescent="0.2">
      <c r="A570" s="827" t="s">
        <v>2016</v>
      </c>
      <c r="B570" s="828" t="s">
        <v>1135</v>
      </c>
      <c r="C570" s="829" t="s">
        <v>41</v>
      </c>
      <c r="D570" s="830">
        <v>462.8</v>
      </c>
    </row>
    <row r="571" spans="1:4" x14ac:dyDescent="0.2">
      <c r="A571" s="837" t="s">
        <v>2017</v>
      </c>
      <c r="B571" s="838" t="s">
        <v>1483</v>
      </c>
      <c r="C571" s="839"/>
      <c r="D571" s="840"/>
    </row>
    <row r="572" spans="1:4" x14ac:dyDescent="0.2">
      <c r="A572" s="832" t="s">
        <v>2018</v>
      </c>
      <c r="B572" s="833" t="s">
        <v>1135</v>
      </c>
      <c r="C572" s="834" t="s">
        <v>41</v>
      </c>
      <c r="D572" s="835">
        <v>462.8</v>
      </c>
    </row>
    <row r="573" spans="1:4" x14ac:dyDescent="0.2">
      <c r="A573" s="837" t="s">
        <v>2019</v>
      </c>
      <c r="B573" s="838" t="s">
        <v>1488</v>
      </c>
      <c r="C573" s="839"/>
      <c r="D573" s="840"/>
    </row>
    <row r="574" spans="1:4" x14ac:dyDescent="0.2">
      <c r="A574" s="827" t="s">
        <v>2020</v>
      </c>
      <c r="B574" s="828" t="s">
        <v>1135</v>
      </c>
      <c r="C574" s="829" t="s">
        <v>41</v>
      </c>
      <c r="D574" s="830">
        <v>453.78</v>
      </c>
    </row>
    <row r="575" spans="1:4" x14ac:dyDescent="0.2">
      <c r="A575" s="837" t="s">
        <v>2021</v>
      </c>
      <c r="B575" s="838" t="s">
        <v>1493</v>
      </c>
      <c r="C575" s="839"/>
      <c r="D575" s="840"/>
    </row>
    <row r="576" spans="1:4" x14ac:dyDescent="0.2">
      <c r="A576" s="832" t="s">
        <v>2022</v>
      </c>
      <c r="B576" s="833" t="s">
        <v>1135</v>
      </c>
      <c r="C576" s="834" t="s">
        <v>41</v>
      </c>
      <c r="D576" s="835">
        <v>462.8</v>
      </c>
    </row>
    <row r="577" spans="1:4" x14ac:dyDescent="0.2">
      <c r="A577" s="837" t="s">
        <v>2023</v>
      </c>
      <c r="B577" s="838" t="s">
        <v>1498</v>
      </c>
      <c r="C577" s="839"/>
      <c r="D577" s="840"/>
    </row>
    <row r="578" spans="1:4" x14ac:dyDescent="0.2">
      <c r="A578" s="827" t="s">
        <v>2024</v>
      </c>
      <c r="B578" s="828" t="s">
        <v>1135</v>
      </c>
      <c r="C578" s="829" t="s">
        <v>41</v>
      </c>
      <c r="D578" s="830">
        <v>453.78</v>
      </c>
    </row>
    <row r="579" spans="1:4" x14ac:dyDescent="0.2">
      <c r="A579" s="837" t="s">
        <v>2025</v>
      </c>
      <c r="B579" s="838" t="s">
        <v>1503</v>
      </c>
      <c r="C579" s="839"/>
      <c r="D579" s="840"/>
    </row>
    <row r="580" spans="1:4" x14ac:dyDescent="0.2">
      <c r="A580" s="832" t="s">
        <v>2026</v>
      </c>
      <c r="B580" s="833" t="s">
        <v>1135</v>
      </c>
      <c r="C580" s="834" t="s">
        <v>41</v>
      </c>
      <c r="D580" s="835">
        <v>462.8</v>
      </c>
    </row>
    <row r="581" spans="1:4" x14ac:dyDescent="0.2">
      <c r="A581" s="837" t="s">
        <v>2027</v>
      </c>
      <c r="B581" s="838" t="s">
        <v>1508</v>
      </c>
      <c r="C581" s="839"/>
      <c r="D581" s="840"/>
    </row>
    <row r="582" spans="1:4" x14ac:dyDescent="0.2">
      <c r="A582" s="827" t="s">
        <v>2028</v>
      </c>
      <c r="B582" s="828" t="s">
        <v>1135</v>
      </c>
      <c r="C582" s="829" t="s">
        <v>41</v>
      </c>
      <c r="D582" s="830">
        <v>453.78</v>
      </c>
    </row>
    <row r="583" spans="1:4" x14ac:dyDescent="0.2">
      <c r="A583" s="837" t="s">
        <v>2029</v>
      </c>
      <c r="B583" s="838" t="s">
        <v>1513</v>
      </c>
      <c r="C583" s="839"/>
      <c r="D583" s="840"/>
    </row>
    <row r="584" spans="1:4" x14ac:dyDescent="0.2">
      <c r="A584" s="832" t="s">
        <v>2030</v>
      </c>
      <c r="B584" s="833" t="s">
        <v>1135</v>
      </c>
      <c r="C584" s="834" t="s">
        <v>41</v>
      </c>
      <c r="D584" s="835">
        <v>462.8</v>
      </c>
    </row>
    <row r="585" spans="1:4" x14ac:dyDescent="0.2">
      <c r="A585" s="837" t="s">
        <v>2031</v>
      </c>
      <c r="B585" s="838" t="s">
        <v>1518</v>
      </c>
      <c r="C585" s="839"/>
      <c r="D585" s="840"/>
    </row>
    <row r="586" spans="1:4" x14ac:dyDescent="0.2">
      <c r="A586" s="827" t="s">
        <v>2032</v>
      </c>
      <c r="B586" s="828" t="s">
        <v>1135</v>
      </c>
      <c r="C586" s="829" t="s">
        <v>41</v>
      </c>
      <c r="D586" s="830">
        <v>453.78</v>
      </c>
    </row>
    <row r="587" spans="1:4" x14ac:dyDescent="0.2">
      <c r="A587" s="837" t="s">
        <v>2033</v>
      </c>
      <c r="B587" s="838" t="s">
        <v>1523</v>
      </c>
      <c r="C587" s="839"/>
      <c r="D587" s="840"/>
    </row>
    <row r="588" spans="1:4" x14ac:dyDescent="0.2">
      <c r="A588" s="832" t="s">
        <v>2034</v>
      </c>
      <c r="B588" s="833" t="s">
        <v>1135</v>
      </c>
      <c r="C588" s="834" t="s">
        <v>41</v>
      </c>
      <c r="D588" s="835">
        <v>462.8</v>
      </c>
    </row>
    <row r="589" spans="1:4" x14ac:dyDescent="0.2">
      <c r="A589" s="837" t="s">
        <v>2035</v>
      </c>
      <c r="B589" s="838" t="s">
        <v>1528</v>
      </c>
      <c r="C589" s="839"/>
      <c r="D589" s="840"/>
    </row>
    <row r="590" spans="1:4" x14ac:dyDescent="0.2">
      <c r="A590" s="827" t="s">
        <v>2036</v>
      </c>
      <c r="B590" s="828" t="s">
        <v>1135</v>
      </c>
      <c r="C590" s="829" t="s">
        <v>41</v>
      </c>
      <c r="D590" s="830">
        <v>453.78</v>
      </c>
    </row>
    <row r="591" spans="1:4" x14ac:dyDescent="0.2">
      <c r="A591" s="837" t="s">
        <v>2037</v>
      </c>
      <c r="B591" s="838" t="s">
        <v>1533</v>
      </c>
      <c r="C591" s="839"/>
      <c r="D591" s="840"/>
    </row>
    <row r="592" spans="1:4" x14ac:dyDescent="0.2">
      <c r="A592" s="832" t="s">
        <v>2038</v>
      </c>
      <c r="B592" s="833" t="s">
        <v>1135</v>
      </c>
      <c r="C592" s="834" t="s">
        <v>41</v>
      </c>
      <c r="D592" s="835">
        <v>462.8</v>
      </c>
    </row>
    <row r="593" spans="1:4" x14ac:dyDescent="0.2">
      <c r="A593" s="837" t="s">
        <v>2039</v>
      </c>
      <c r="B593" s="838" t="s">
        <v>1538</v>
      </c>
      <c r="C593" s="839"/>
      <c r="D593" s="840"/>
    </row>
    <row r="594" spans="1:4" x14ac:dyDescent="0.2">
      <c r="A594" s="827" t="s">
        <v>2040</v>
      </c>
      <c r="B594" s="828" t="s">
        <v>1135</v>
      </c>
      <c r="C594" s="829" t="s">
        <v>41</v>
      </c>
      <c r="D594" s="830">
        <v>331.59</v>
      </c>
    </row>
    <row r="595" spans="1:4" x14ac:dyDescent="0.2">
      <c r="A595" s="823" t="s">
        <v>1136</v>
      </c>
      <c r="B595" s="824" t="s">
        <v>1137</v>
      </c>
      <c r="C595" s="825"/>
      <c r="D595" s="826"/>
    </row>
    <row r="596" spans="1:4" x14ac:dyDescent="0.2">
      <c r="A596" s="837" t="s">
        <v>2041</v>
      </c>
      <c r="B596" s="838" t="s">
        <v>1453</v>
      </c>
      <c r="C596" s="839"/>
      <c r="D596" s="840"/>
    </row>
    <row r="597" spans="1:4" x14ac:dyDescent="0.2">
      <c r="A597" s="832" t="s">
        <v>2042</v>
      </c>
      <c r="B597" s="833" t="s">
        <v>1139</v>
      </c>
      <c r="C597" s="834" t="s">
        <v>41</v>
      </c>
      <c r="D597" s="835">
        <v>2219.7800000000002</v>
      </c>
    </row>
    <row r="598" spans="1:4" x14ac:dyDescent="0.2">
      <c r="A598" s="837" t="s">
        <v>2043</v>
      </c>
      <c r="B598" s="838" t="s">
        <v>1458</v>
      </c>
      <c r="C598" s="839"/>
      <c r="D598" s="840"/>
    </row>
    <row r="599" spans="1:4" x14ac:dyDescent="0.2">
      <c r="A599" s="827" t="s">
        <v>2044</v>
      </c>
      <c r="B599" s="828" t="s">
        <v>1139</v>
      </c>
      <c r="C599" s="829" t="s">
        <v>41</v>
      </c>
      <c r="D599" s="830">
        <v>628.82000000000005</v>
      </c>
    </row>
    <row r="600" spans="1:4" x14ac:dyDescent="0.2">
      <c r="A600" s="837" t="s">
        <v>2045</v>
      </c>
      <c r="B600" s="838" t="s">
        <v>1462</v>
      </c>
      <c r="C600" s="839"/>
      <c r="D600" s="840"/>
    </row>
    <row r="601" spans="1:4" x14ac:dyDescent="0.2">
      <c r="A601" s="832" t="s">
        <v>2046</v>
      </c>
      <c r="B601" s="833" t="s">
        <v>1139</v>
      </c>
      <c r="C601" s="834" t="s">
        <v>41</v>
      </c>
      <c r="D601" s="835">
        <v>564.62</v>
      </c>
    </row>
    <row r="602" spans="1:4" x14ac:dyDescent="0.2">
      <c r="A602" s="837" t="s">
        <v>2047</v>
      </c>
      <c r="B602" s="838" t="s">
        <v>1466</v>
      </c>
      <c r="C602" s="839"/>
      <c r="D602" s="840"/>
    </row>
    <row r="603" spans="1:4" x14ac:dyDescent="0.2">
      <c r="A603" s="827" t="s">
        <v>2048</v>
      </c>
      <c r="B603" s="828" t="s">
        <v>1139</v>
      </c>
      <c r="C603" s="829" t="s">
        <v>41</v>
      </c>
      <c r="D603" s="830">
        <v>543.51</v>
      </c>
    </row>
    <row r="604" spans="1:4" x14ac:dyDescent="0.2">
      <c r="A604" s="837" t="s">
        <v>2049</v>
      </c>
      <c r="B604" s="838" t="s">
        <v>1470</v>
      </c>
      <c r="C604" s="839"/>
      <c r="D604" s="840"/>
    </row>
    <row r="605" spans="1:4" x14ac:dyDescent="0.2">
      <c r="A605" s="832" t="s">
        <v>2050</v>
      </c>
      <c r="B605" s="833" t="s">
        <v>1139</v>
      </c>
      <c r="C605" s="834" t="s">
        <v>41</v>
      </c>
      <c r="D605" s="835">
        <v>684.01</v>
      </c>
    </row>
    <row r="606" spans="1:4" x14ac:dyDescent="0.2">
      <c r="A606" s="837" t="s">
        <v>2051</v>
      </c>
      <c r="B606" s="838" t="s">
        <v>1473</v>
      </c>
      <c r="C606" s="839"/>
      <c r="D606" s="840"/>
    </row>
    <row r="607" spans="1:4" x14ac:dyDescent="0.2">
      <c r="A607" s="827" t="s">
        <v>2052</v>
      </c>
      <c r="B607" s="828" t="s">
        <v>1139</v>
      </c>
      <c r="C607" s="829" t="s">
        <v>41</v>
      </c>
      <c r="D607" s="830">
        <v>1488.22</v>
      </c>
    </row>
    <row r="608" spans="1:4" x14ac:dyDescent="0.2">
      <c r="A608" s="837" t="s">
        <v>2053</v>
      </c>
      <c r="B608" s="838" t="s">
        <v>1478</v>
      </c>
      <c r="C608" s="839"/>
      <c r="D608" s="840"/>
    </row>
    <row r="609" spans="1:4" x14ac:dyDescent="0.2">
      <c r="A609" s="832" t="s">
        <v>2054</v>
      </c>
      <c r="B609" s="833" t="s">
        <v>1139</v>
      </c>
      <c r="C609" s="834" t="s">
        <v>41</v>
      </c>
      <c r="D609" s="835">
        <v>1486.99</v>
      </c>
    </row>
    <row r="610" spans="1:4" x14ac:dyDescent="0.2">
      <c r="A610" s="837" t="s">
        <v>2055</v>
      </c>
      <c r="B610" s="838" t="s">
        <v>1483</v>
      </c>
      <c r="C610" s="839"/>
      <c r="D610" s="840"/>
    </row>
    <row r="611" spans="1:4" x14ac:dyDescent="0.2">
      <c r="A611" s="827" t="s">
        <v>2056</v>
      </c>
      <c r="B611" s="828" t="s">
        <v>1139</v>
      </c>
      <c r="C611" s="829" t="s">
        <v>41</v>
      </c>
      <c r="D611" s="830">
        <v>1485.95</v>
      </c>
    </row>
    <row r="612" spans="1:4" x14ac:dyDescent="0.2">
      <c r="A612" s="837" t="s">
        <v>2057</v>
      </c>
      <c r="B612" s="838" t="s">
        <v>1488</v>
      </c>
      <c r="C612" s="839"/>
      <c r="D612" s="840"/>
    </row>
    <row r="613" spans="1:4" x14ac:dyDescent="0.2">
      <c r="A613" s="832" t="s">
        <v>2058</v>
      </c>
      <c r="B613" s="833" t="s">
        <v>1139</v>
      </c>
      <c r="C613" s="834" t="s">
        <v>41</v>
      </c>
      <c r="D613" s="835">
        <v>1478.38</v>
      </c>
    </row>
    <row r="614" spans="1:4" x14ac:dyDescent="0.2">
      <c r="A614" s="837" t="s">
        <v>2059</v>
      </c>
      <c r="B614" s="838" t="s">
        <v>1493</v>
      </c>
      <c r="C614" s="839"/>
      <c r="D614" s="840"/>
    </row>
    <row r="615" spans="1:4" x14ac:dyDescent="0.2">
      <c r="A615" s="827" t="s">
        <v>2060</v>
      </c>
      <c r="B615" s="828" t="s">
        <v>1139</v>
      </c>
      <c r="C615" s="829" t="s">
        <v>41</v>
      </c>
      <c r="D615" s="830">
        <v>1485.82</v>
      </c>
    </row>
    <row r="616" spans="1:4" x14ac:dyDescent="0.2">
      <c r="A616" s="837" t="s">
        <v>2061</v>
      </c>
      <c r="B616" s="838" t="s">
        <v>1498</v>
      </c>
      <c r="C616" s="839"/>
      <c r="D616" s="840"/>
    </row>
    <row r="617" spans="1:4" x14ac:dyDescent="0.2">
      <c r="A617" s="832" t="s">
        <v>2062</v>
      </c>
      <c r="B617" s="833" t="s">
        <v>1139</v>
      </c>
      <c r="C617" s="834" t="s">
        <v>41</v>
      </c>
      <c r="D617" s="835">
        <v>1478.19</v>
      </c>
    </row>
    <row r="618" spans="1:4" x14ac:dyDescent="0.2">
      <c r="A618" s="837" t="s">
        <v>2063</v>
      </c>
      <c r="B618" s="838" t="s">
        <v>1503</v>
      </c>
      <c r="C618" s="839"/>
      <c r="D618" s="840"/>
    </row>
    <row r="619" spans="1:4" x14ac:dyDescent="0.2">
      <c r="A619" s="827" t="s">
        <v>2064</v>
      </c>
      <c r="B619" s="828" t="s">
        <v>1139</v>
      </c>
      <c r="C619" s="829" t="s">
        <v>41</v>
      </c>
      <c r="D619" s="830">
        <v>1486.02</v>
      </c>
    </row>
    <row r="620" spans="1:4" x14ac:dyDescent="0.2">
      <c r="A620" s="837" t="s">
        <v>2065</v>
      </c>
      <c r="B620" s="838" t="s">
        <v>1508</v>
      </c>
      <c r="C620" s="839"/>
      <c r="D620" s="840"/>
    </row>
    <row r="621" spans="1:4" x14ac:dyDescent="0.2">
      <c r="A621" s="832" t="s">
        <v>2066</v>
      </c>
      <c r="B621" s="833" t="s">
        <v>1139</v>
      </c>
      <c r="C621" s="834" t="s">
        <v>41</v>
      </c>
      <c r="D621" s="835">
        <v>1478.38</v>
      </c>
    </row>
    <row r="622" spans="1:4" x14ac:dyDescent="0.2">
      <c r="A622" s="837" t="s">
        <v>2067</v>
      </c>
      <c r="B622" s="838" t="s">
        <v>1513</v>
      </c>
      <c r="C622" s="839"/>
      <c r="D622" s="840"/>
    </row>
    <row r="623" spans="1:4" x14ac:dyDescent="0.2">
      <c r="A623" s="827" t="s">
        <v>2068</v>
      </c>
      <c r="B623" s="828" t="s">
        <v>1139</v>
      </c>
      <c r="C623" s="829" t="s">
        <v>41</v>
      </c>
      <c r="D623" s="830">
        <v>1485.82</v>
      </c>
    </row>
    <row r="624" spans="1:4" x14ac:dyDescent="0.2">
      <c r="A624" s="837" t="s">
        <v>2069</v>
      </c>
      <c r="B624" s="838" t="s">
        <v>1518</v>
      </c>
      <c r="C624" s="839"/>
      <c r="D624" s="840"/>
    </row>
    <row r="625" spans="1:4" x14ac:dyDescent="0.2">
      <c r="A625" s="832" t="s">
        <v>2070</v>
      </c>
      <c r="B625" s="833" t="s">
        <v>1139</v>
      </c>
      <c r="C625" s="834" t="s">
        <v>41</v>
      </c>
      <c r="D625" s="835">
        <v>1478.38</v>
      </c>
    </row>
    <row r="626" spans="1:4" x14ac:dyDescent="0.2">
      <c r="A626" s="837" t="s">
        <v>2071</v>
      </c>
      <c r="B626" s="838" t="s">
        <v>1523</v>
      </c>
      <c r="C626" s="839"/>
      <c r="D626" s="840"/>
    </row>
    <row r="627" spans="1:4" x14ac:dyDescent="0.2">
      <c r="A627" s="827" t="s">
        <v>2072</v>
      </c>
      <c r="B627" s="828" t="s">
        <v>1139</v>
      </c>
      <c r="C627" s="829" t="s">
        <v>41</v>
      </c>
      <c r="D627" s="830">
        <v>1485.82</v>
      </c>
    </row>
    <row r="628" spans="1:4" x14ac:dyDescent="0.2">
      <c r="A628" s="837" t="s">
        <v>2073</v>
      </c>
      <c r="B628" s="838" t="s">
        <v>1528</v>
      </c>
      <c r="C628" s="839"/>
      <c r="D628" s="840"/>
    </row>
    <row r="629" spans="1:4" x14ac:dyDescent="0.2">
      <c r="A629" s="832" t="s">
        <v>2074</v>
      </c>
      <c r="B629" s="833" t="s">
        <v>1139</v>
      </c>
      <c r="C629" s="834" t="s">
        <v>41</v>
      </c>
      <c r="D629" s="835">
        <v>1478.38</v>
      </c>
    </row>
    <row r="630" spans="1:4" x14ac:dyDescent="0.2">
      <c r="A630" s="837" t="s">
        <v>2075</v>
      </c>
      <c r="B630" s="838" t="s">
        <v>1533</v>
      </c>
      <c r="C630" s="839"/>
      <c r="D630" s="840"/>
    </row>
    <row r="631" spans="1:4" x14ac:dyDescent="0.2">
      <c r="A631" s="827" t="s">
        <v>2076</v>
      </c>
      <c r="B631" s="828" t="s">
        <v>1139</v>
      </c>
      <c r="C631" s="829" t="s">
        <v>41</v>
      </c>
      <c r="D631" s="830">
        <v>1487.47</v>
      </c>
    </row>
    <row r="632" spans="1:4" x14ac:dyDescent="0.2">
      <c r="A632" s="837" t="s">
        <v>2077</v>
      </c>
      <c r="B632" s="838" t="s">
        <v>1538</v>
      </c>
      <c r="C632" s="839"/>
      <c r="D632" s="840"/>
    </row>
    <row r="633" spans="1:4" x14ac:dyDescent="0.2">
      <c r="A633" s="832" t="s">
        <v>2078</v>
      </c>
      <c r="B633" s="833" t="s">
        <v>1139</v>
      </c>
      <c r="C633" s="834" t="s">
        <v>41</v>
      </c>
      <c r="D633" s="835">
        <v>920.79</v>
      </c>
    </row>
    <row r="634" spans="1:4" x14ac:dyDescent="0.2">
      <c r="A634" s="837" t="s">
        <v>2079</v>
      </c>
      <c r="B634" s="838" t="s">
        <v>1542</v>
      </c>
      <c r="C634" s="839"/>
      <c r="D634" s="840"/>
    </row>
    <row r="635" spans="1:4" x14ac:dyDescent="0.2">
      <c r="A635" s="827" t="s">
        <v>2080</v>
      </c>
      <c r="B635" s="828" t="s">
        <v>1139</v>
      </c>
      <c r="C635" s="829" t="s">
        <v>41</v>
      </c>
      <c r="D635" s="830">
        <v>100.64</v>
      </c>
    </row>
    <row r="636" spans="1:4" x14ac:dyDescent="0.2">
      <c r="A636" s="837" t="s">
        <v>2081</v>
      </c>
      <c r="B636" s="838" t="s">
        <v>1545</v>
      </c>
      <c r="C636" s="839"/>
      <c r="D636" s="840"/>
    </row>
    <row r="637" spans="1:4" x14ac:dyDescent="0.2">
      <c r="A637" s="832" t="s">
        <v>2082</v>
      </c>
      <c r="B637" s="833" t="s">
        <v>1139</v>
      </c>
      <c r="C637" s="834" t="s">
        <v>41</v>
      </c>
      <c r="D637" s="835">
        <v>126.11</v>
      </c>
    </row>
    <row r="638" spans="1:4" x14ac:dyDescent="0.2">
      <c r="A638" s="837" t="s">
        <v>2083</v>
      </c>
      <c r="B638" s="838" t="s">
        <v>1548</v>
      </c>
      <c r="C638" s="839"/>
      <c r="D638" s="840"/>
    </row>
    <row r="639" spans="1:4" x14ac:dyDescent="0.2">
      <c r="A639" s="827" t="s">
        <v>2084</v>
      </c>
      <c r="B639" s="828" t="s">
        <v>1139</v>
      </c>
      <c r="C639" s="829" t="s">
        <v>41</v>
      </c>
      <c r="D639" s="830">
        <v>135.47999999999999</v>
      </c>
    </row>
    <row r="640" spans="1:4" x14ac:dyDescent="0.2">
      <c r="A640" s="823" t="s">
        <v>1140</v>
      </c>
      <c r="B640" s="824" t="s">
        <v>1141</v>
      </c>
      <c r="C640" s="825"/>
      <c r="D640" s="826"/>
    </row>
    <row r="641" spans="1:4" x14ac:dyDescent="0.2">
      <c r="A641" s="837" t="s">
        <v>2085</v>
      </c>
      <c r="B641" s="838" t="s">
        <v>1453</v>
      </c>
      <c r="C641" s="839"/>
      <c r="D641" s="840"/>
    </row>
    <row r="642" spans="1:4" x14ac:dyDescent="0.2">
      <c r="A642" s="832" t="s">
        <v>2086</v>
      </c>
      <c r="B642" s="833" t="s">
        <v>1143</v>
      </c>
      <c r="C642" s="834" t="s">
        <v>41</v>
      </c>
      <c r="D642" s="835">
        <v>29.47</v>
      </c>
    </row>
    <row r="643" spans="1:4" x14ac:dyDescent="0.2">
      <c r="A643" s="837" t="s">
        <v>2087</v>
      </c>
      <c r="B643" s="838" t="s">
        <v>1458</v>
      </c>
      <c r="C643" s="839"/>
      <c r="D643" s="840"/>
    </row>
    <row r="644" spans="1:4" x14ac:dyDescent="0.2">
      <c r="A644" s="827" t="s">
        <v>2088</v>
      </c>
      <c r="B644" s="828" t="s">
        <v>1143</v>
      </c>
      <c r="C644" s="829" t="s">
        <v>41</v>
      </c>
      <c r="D644" s="830">
        <v>310.42</v>
      </c>
    </row>
    <row r="645" spans="1:4" x14ac:dyDescent="0.2">
      <c r="A645" s="837" t="s">
        <v>2089</v>
      </c>
      <c r="B645" s="838" t="s">
        <v>1462</v>
      </c>
      <c r="C645" s="839"/>
      <c r="D645" s="840"/>
    </row>
    <row r="646" spans="1:4" x14ac:dyDescent="0.2">
      <c r="A646" s="832" t="s">
        <v>2090</v>
      </c>
      <c r="B646" s="833" t="s">
        <v>1143</v>
      </c>
      <c r="C646" s="834" t="s">
        <v>41</v>
      </c>
      <c r="D646" s="835">
        <v>308.47000000000003</v>
      </c>
    </row>
    <row r="647" spans="1:4" x14ac:dyDescent="0.2">
      <c r="A647" s="837" t="s">
        <v>2091</v>
      </c>
      <c r="B647" s="838" t="s">
        <v>1466</v>
      </c>
      <c r="C647" s="839"/>
      <c r="D647" s="840"/>
    </row>
    <row r="648" spans="1:4" x14ac:dyDescent="0.2">
      <c r="A648" s="827" t="s">
        <v>2092</v>
      </c>
      <c r="B648" s="828" t="s">
        <v>1143</v>
      </c>
      <c r="C648" s="829" t="s">
        <v>41</v>
      </c>
      <c r="D648" s="830">
        <v>308.47000000000003</v>
      </c>
    </row>
    <row r="649" spans="1:4" x14ac:dyDescent="0.2">
      <c r="A649" s="837" t="s">
        <v>2093</v>
      </c>
      <c r="B649" s="838" t="s">
        <v>1470</v>
      </c>
      <c r="C649" s="839"/>
      <c r="D649" s="840"/>
    </row>
    <row r="650" spans="1:4" x14ac:dyDescent="0.2">
      <c r="A650" s="832" t="s">
        <v>2094</v>
      </c>
      <c r="B650" s="833" t="s">
        <v>1143</v>
      </c>
      <c r="C650" s="834" t="s">
        <v>41</v>
      </c>
      <c r="D650" s="835">
        <v>671.39</v>
      </c>
    </row>
    <row r="651" spans="1:4" x14ac:dyDescent="0.2">
      <c r="A651" s="837" t="s">
        <v>2095</v>
      </c>
      <c r="B651" s="838" t="s">
        <v>1473</v>
      </c>
      <c r="C651" s="839"/>
      <c r="D651" s="840"/>
    </row>
    <row r="652" spans="1:4" x14ac:dyDescent="0.2">
      <c r="A652" s="827" t="s">
        <v>2096</v>
      </c>
      <c r="B652" s="828" t="s">
        <v>1143</v>
      </c>
      <c r="C652" s="829" t="s">
        <v>41</v>
      </c>
      <c r="D652" s="830">
        <v>14.89</v>
      </c>
    </row>
    <row r="653" spans="1:4" x14ac:dyDescent="0.2">
      <c r="A653" s="837" t="s">
        <v>2097</v>
      </c>
      <c r="B653" s="838" t="s">
        <v>1478</v>
      </c>
      <c r="C653" s="839"/>
      <c r="D653" s="840"/>
    </row>
    <row r="654" spans="1:4" x14ac:dyDescent="0.2">
      <c r="A654" s="832" t="s">
        <v>2098</v>
      </c>
      <c r="B654" s="833" t="s">
        <v>1143</v>
      </c>
      <c r="C654" s="834" t="s">
        <v>41</v>
      </c>
      <c r="D654" s="835">
        <v>15.08</v>
      </c>
    </row>
    <row r="655" spans="1:4" x14ac:dyDescent="0.2">
      <c r="A655" s="837" t="s">
        <v>2099</v>
      </c>
      <c r="B655" s="838" t="s">
        <v>1483</v>
      </c>
      <c r="C655" s="839"/>
      <c r="D655" s="840"/>
    </row>
    <row r="656" spans="1:4" x14ac:dyDescent="0.2">
      <c r="A656" s="827" t="s">
        <v>2100</v>
      </c>
      <c r="B656" s="828" t="s">
        <v>1143</v>
      </c>
      <c r="C656" s="829" t="s">
        <v>41</v>
      </c>
      <c r="D656" s="830">
        <v>15.08</v>
      </c>
    </row>
    <row r="657" spans="1:4" x14ac:dyDescent="0.2">
      <c r="A657" s="837" t="s">
        <v>2101</v>
      </c>
      <c r="B657" s="838" t="s">
        <v>1488</v>
      </c>
      <c r="C657" s="839"/>
      <c r="D657" s="840"/>
    </row>
    <row r="658" spans="1:4" x14ac:dyDescent="0.2">
      <c r="A658" s="832" t="s">
        <v>2102</v>
      </c>
      <c r="B658" s="833" t="s">
        <v>1143</v>
      </c>
      <c r="C658" s="834" t="s">
        <v>41</v>
      </c>
      <c r="D658" s="835">
        <v>17.89</v>
      </c>
    </row>
    <row r="659" spans="1:4" x14ac:dyDescent="0.2">
      <c r="A659" s="837" t="s">
        <v>2103</v>
      </c>
      <c r="B659" s="838" t="s">
        <v>1493</v>
      </c>
      <c r="C659" s="839"/>
      <c r="D659" s="840"/>
    </row>
    <row r="660" spans="1:4" x14ac:dyDescent="0.2">
      <c r="A660" s="827" t="s">
        <v>2104</v>
      </c>
      <c r="B660" s="828" t="s">
        <v>1143</v>
      </c>
      <c r="C660" s="829" t="s">
        <v>41</v>
      </c>
      <c r="D660" s="830">
        <v>17.02</v>
      </c>
    </row>
    <row r="661" spans="1:4" x14ac:dyDescent="0.2">
      <c r="A661" s="837" t="s">
        <v>2105</v>
      </c>
      <c r="B661" s="838" t="s">
        <v>1498</v>
      </c>
      <c r="C661" s="839"/>
      <c r="D661" s="840"/>
    </row>
    <row r="662" spans="1:4" x14ac:dyDescent="0.2">
      <c r="A662" s="832" t="s">
        <v>2106</v>
      </c>
      <c r="B662" s="833" t="s">
        <v>1143</v>
      </c>
      <c r="C662" s="834" t="s">
        <v>41</v>
      </c>
      <c r="D662" s="835">
        <v>18.3</v>
      </c>
    </row>
    <row r="663" spans="1:4" x14ac:dyDescent="0.2">
      <c r="A663" s="837" t="s">
        <v>2107</v>
      </c>
      <c r="B663" s="838" t="s">
        <v>1503</v>
      </c>
      <c r="C663" s="839"/>
      <c r="D663" s="840"/>
    </row>
    <row r="664" spans="1:4" x14ac:dyDescent="0.2">
      <c r="A664" s="827" t="s">
        <v>2108</v>
      </c>
      <c r="B664" s="828" t="s">
        <v>1143</v>
      </c>
      <c r="C664" s="829" t="s">
        <v>41</v>
      </c>
      <c r="D664" s="830">
        <v>17.02</v>
      </c>
    </row>
    <row r="665" spans="1:4" x14ac:dyDescent="0.2">
      <c r="A665" s="837" t="s">
        <v>2109</v>
      </c>
      <c r="B665" s="838" t="s">
        <v>1508</v>
      </c>
      <c r="C665" s="839"/>
      <c r="D665" s="840"/>
    </row>
    <row r="666" spans="1:4" x14ac:dyDescent="0.2">
      <c r="A666" s="832" t="s">
        <v>2110</v>
      </c>
      <c r="B666" s="833" t="s">
        <v>1143</v>
      </c>
      <c r="C666" s="834" t="s">
        <v>41</v>
      </c>
      <c r="D666" s="835">
        <v>17.89</v>
      </c>
    </row>
    <row r="667" spans="1:4" x14ac:dyDescent="0.2">
      <c r="A667" s="837" t="s">
        <v>2111</v>
      </c>
      <c r="B667" s="838" t="s">
        <v>1513</v>
      </c>
      <c r="C667" s="839"/>
      <c r="D667" s="840"/>
    </row>
    <row r="668" spans="1:4" x14ac:dyDescent="0.2">
      <c r="A668" s="827" t="s">
        <v>2112</v>
      </c>
      <c r="B668" s="828" t="s">
        <v>1143</v>
      </c>
      <c r="C668" s="829" t="s">
        <v>41</v>
      </c>
      <c r="D668" s="830">
        <v>17.02</v>
      </c>
    </row>
    <row r="669" spans="1:4" x14ac:dyDescent="0.2">
      <c r="A669" s="837" t="s">
        <v>2113</v>
      </c>
      <c r="B669" s="838" t="s">
        <v>1518</v>
      </c>
      <c r="C669" s="839"/>
      <c r="D669" s="840"/>
    </row>
    <row r="670" spans="1:4" x14ac:dyDescent="0.2">
      <c r="A670" s="832" t="s">
        <v>2114</v>
      </c>
      <c r="B670" s="833" t="s">
        <v>1143</v>
      </c>
      <c r="C670" s="834" t="s">
        <v>41</v>
      </c>
      <c r="D670" s="835">
        <v>17.89</v>
      </c>
    </row>
    <row r="671" spans="1:4" x14ac:dyDescent="0.2">
      <c r="A671" s="837" t="s">
        <v>2115</v>
      </c>
      <c r="B671" s="838" t="s">
        <v>1523</v>
      </c>
      <c r="C671" s="839"/>
      <c r="D671" s="840"/>
    </row>
    <row r="672" spans="1:4" x14ac:dyDescent="0.2">
      <c r="A672" s="827" t="s">
        <v>2116</v>
      </c>
      <c r="B672" s="828" t="s">
        <v>1143</v>
      </c>
      <c r="C672" s="829" t="s">
        <v>41</v>
      </c>
      <c r="D672" s="830">
        <v>17.02</v>
      </c>
    </row>
    <row r="673" spans="1:4" x14ac:dyDescent="0.2">
      <c r="A673" s="837" t="s">
        <v>2117</v>
      </c>
      <c r="B673" s="838" t="s">
        <v>1528</v>
      </c>
      <c r="C673" s="839"/>
      <c r="D673" s="840"/>
    </row>
    <row r="674" spans="1:4" x14ac:dyDescent="0.2">
      <c r="A674" s="832" t="s">
        <v>2118</v>
      </c>
      <c r="B674" s="833" t="s">
        <v>1143</v>
      </c>
      <c r="C674" s="834" t="s">
        <v>41</v>
      </c>
      <c r="D674" s="835">
        <v>17.89</v>
      </c>
    </row>
    <row r="675" spans="1:4" x14ac:dyDescent="0.2">
      <c r="A675" s="837" t="s">
        <v>2119</v>
      </c>
      <c r="B675" s="838" t="s">
        <v>1533</v>
      </c>
      <c r="C675" s="839"/>
      <c r="D675" s="840"/>
    </row>
    <row r="676" spans="1:4" x14ac:dyDescent="0.2">
      <c r="A676" s="827" t="s">
        <v>2120</v>
      </c>
      <c r="B676" s="828" t="s">
        <v>1143</v>
      </c>
      <c r="C676" s="829" t="s">
        <v>41</v>
      </c>
      <c r="D676" s="830">
        <v>17.02</v>
      </c>
    </row>
    <row r="677" spans="1:4" x14ac:dyDescent="0.2">
      <c r="A677" s="837" t="s">
        <v>2121</v>
      </c>
      <c r="B677" s="838" t="s">
        <v>1538</v>
      </c>
      <c r="C677" s="839"/>
      <c r="D677" s="840"/>
    </row>
    <row r="678" spans="1:4" x14ac:dyDescent="0.2">
      <c r="A678" s="832" t="s">
        <v>2122</v>
      </c>
      <c r="B678" s="833" t="s">
        <v>1143</v>
      </c>
      <c r="C678" s="834" t="s">
        <v>41</v>
      </c>
      <c r="D678" s="835">
        <v>23.69</v>
      </c>
    </row>
    <row r="679" spans="1:4" x14ac:dyDescent="0.2">
      <c r="A679" s="837" t="s">
        <v>2123</v>
      </c>
      <c r="B679" s="838" t="s">
        <v>1542</v>
      </c>
      <c r="C679" s="839"/>
      <c r="D679" s="840"/>
    </row>
    <row r="680" spans="1:4" x14ac:dyDescent="0.2">
      <c r="A680" s="827" t="s">
        <v>2124</v>
      </c>
      <c r="B680" s="828" t="s">
        <v>1143</v>
      </c>
      <c r="C680" s="829" t="s">
        <v>41</v>
      </c>
      <c r="D680" s="830">
        <v>14.8</v>
      </c>
    </row>
    <row r="681" spans="1:4" x14ac:dyDescent="0.2">
      <c r="A681" s="837" t="s">
        <v>2125</v>
      </c>
      <c r="B681" s="838" t="s">
        <v>1545</v>
      </c>
      <c r="C681" s="839"/>
      <c r="D681" s="840"/>
    </row>
    <row r="682" spans="1:4" x14ac:dyDescent="0.2">
      <c r="A682" s="832" t="s">
        <v>2126</v>
      </c>
      <c r="B682" s="833" t="s">
        <v>1143</v>
      </c>
      <c r="C682" s="834" t="s">
        <v>41</v>
      </c>
      <c r="D682" s="835">
        <v>10.37</v>
      </c>
    </row>
    <row r="683" spans="1:4" x14ac:dyDescent="0.2">
      <c r="A683" s="823" t="s">
        <v>1144</v>
      </c>
      <c r="B683" s="824" t="s">
        <v>1145</v>
      </c>
      <c r="C683" s="825"/>
      <c r="D683" s="826"/>
    </row>
    <row r="684" spans="1:4" x14ac:dyDescent="0.2">
      <c r="A684" s="837" t="s">
        <v>2127</v>
      </c>
      <c r="B684" s="838" t="s">
        <v>1483</v>
      </c>
      <c r="C684" s="839"/>
      <c r="D684" s="840"/>
    </row>
    <row r="685" spans="1:4" x14ac:dyDescent="0.2">
      <c r="A685" s="827" t="s">
        <v>2128</v>
      </c>
      <c r="B685" s="828" t="s">
        <v>1147</v>
      </c>
      <c r="C685" s="829" t="s">
        <v>41</v>
      </c>
      <c r="D685" s="830">
        <v>11.32</v>
      </c>
    </row>
    <row r="686" spans="1:4" x14ac:dyDescent="0.2">
      <c r="A686" s="837" t="s">
        <v>2129</v>
      </c>
      <c r="B686" s="838" t="s">
        <v>1493</v>
      </c>
      <c r="C686" s="839"/>
      <c r="D686" s="840"/>
    </row>
    <row r="687" spans="1:4" x14ac:dyDescent="0.2">
      <c r="A687" s="832" t="s">
        <v>2130</v>
      </c>
      <c r="B687" s="833" t="s">
        <v>1147</v>
      </c>
      <c r="C687" s="834" t="s">
        <v>41</v>
      </c>
      <c r="D687" s="835">
        <v>11.32</v>
      </c>
    </row>
    <row r="688" spans="1:4" x14ac:dyDescent="0.2">
      <c r="A688" s="837" t="s">
        <v>2131</v>
      </c>
      <c r="B688" s="838" t="s">
        <v>1508</v>
      </c>
      <c r="C688" s="839"/>
      <c r="D688" s="840"/>
    </row>
    <row r="689" spans="1:4" x14ac:dyDescent="0.2">
      <c r="A689" s="827" t="s">
        <v>2132</v>
      </c>
      <c r="B689" s="828" t="s">
        <v>1147</v>
      </c>
      <c r="C689" s="829" t="s">
        <v>41</v>
      </c>
      <c r="D689" s="830">
        <v>11.32</v>
      </c>
    </row>
    <row r="690" spans="1:4" x14ac:dyDescent="0.2">
      <c r="A690" s="837" t="s">
        <v>2133</v>
      </c>
      <c r="B690" s="838" t="s">
        <v>1518</v>
      </c>
      <c r="C690" s="839"/>
      <c r="D690" s="840"/>
    </row>
    <row r="691" spans="1:4" x14ac:dyDescent="0.2">
      <c r="A691" s="832" t="s">
        <v>2134</v>
      </c>
      <c r="B691" s="833" t="s">
        <v>1147</v>
      </c>
      <c r="C691" s="834" t="s">
        <v>41</v>
      </c>
      <c r="D691" s="835">
        <v>11.32</v>
      </c>
    </row>
    <row r="692" spans="1:4" x14ac:dyDescent="0.2">
      <c r="A692" s="823" t="s">
        <v>1148</v>
      </c>
      <c r="B692" s="824" t="s">
        <v>1149</v>
      </c>
      <c r="C692" s="825"/>
      <c r="D692" s="826"/>
    </row>
    <row r="693" spans="1:4" x14ac:dyDescent="0.2">
      <c r="A693" s="837" t="s">
        <v>2135</v>
      </c>
      <c r="B693" s="838" t="s">
        <v>1453</v>
      </c>
      <c r="C693" s="839"/>
      <c r="D693" s="840"/>
    </row>
    <row r="694" spans="1:4" x14ac:dyDescent="0.2">
      <c r="A694" s="827" t="s">
        <v>2136</v>
      </c>
      <c r="B694" s="828" t="s">
        <v>1151</v>
      </c>
      <c r="C694" s="829" t="s">
        <v>41</v>
      </c>
      <c r="D694" s="830">
        <v>23.52</v>
      </c>
    </row>
    <row r="695" spans="1:4" x14ac:dyDescent="0.2">
      <c r="A695" s="837" t="s">
        <v>2137</v>
      </c>
      <c r="B695" s="838" t="s">
        <v>1458</v>
      </c>
      <c r="C695" s="839"/>
      <c r="D695" s="840"/>
    </row>
    <row r="696" spans="1:4" x14ac:dyDescent="0.2">
      <c r="A696" s="832" t="s">
        <v>2138</v>
      </c>
      <c r="B696" s="833" t="s">
        <v>1151</v>
      </c>
      <c r="C696" s="834" t="s">
        <v>41</v>
      </c>
      <c r="D696" s="835">
        <v>14.25</v>
      </c>
    </row>
    <row r="697" spans="1:4" x14ac:dyDescent="0.2">
      <c r="A697" s="837" t="s">
        <v>2139</v>
      </c>
      <c r="B697" s="838" t="s">
        <v>1462</v>
      </c>
      <c r="C697" s="839"/>
      <c r="D697" s="840"/>
    </row>
    <row r="698" spans="1:4" x14ac:dyDescent="0.2">
      <c r="A698" s="827" t="s">
        <v>2140</v>
      </c>
      <c r="B698" s="828" t="s">
        <v>1151</v>
      </c>
      <c r="C698" s="829" t="s">
        <v>41</v>
      </c>
      <c r="D698" s="830">
        <v>14.38</v>
      </c>
    </row>
    <row r="699" spans="1:4" x14ac:dyDescent="0.2">
      <c r="A699" s="837" t="s">
        <v>2141</v>
      </c>
      <c r="B699" s="838" t="s">
        <v>1466</v>
      </c>
      <c r="C699" s="839"/>
      <c r="D699" s="840"/>
    </row>
    <row r="700" spans="1:4" x14ac:dyDescent="0.2">
      <c r="A700" s="832" t="s">
        <v>2142</v>
      </c>
      <c r="B700" s="833" t="s">
        <v>1151</v>
      </c>
      <c r="C700" s="834" t="s">
        <v>41</v>
      </c>
      <c r="D700" s="835">
        <v>14.38</v>
      </c>
    </row>
    <row r="701" spans="1:4" x14ac:dyDescent="0.2">
      <c r="A701" s="837" t="s">
        <v>2143</v>
      </c>
      <c r="B701" s="838" t="s">
        <v>1470</v>
      </c>
      <c r="C701" s="839"/>
      <c r="D701" s="840"/>
    </row>
    <row r="702" spans="1:4" x14ac:dyDescent="0.2">
      <c r="A702" s="827" t="s">
        <v>2144</v>
      </c>
      <c r="B702" s="828" t="s">
        <v>1151</v>
      </c>
      <c r="C702" s="829" t="s">
        <v>41</v>
      </c>
      <c r="D702" s="830">
        <v>14.29</v>
      </c>
    </row>
    <row r="703" spans="1:4" x14ac:dyDescent="0.2">
      <c r="A703" s="837" t="s">
        <v>2145</v>
      </c>
      <c r="B703" s="838" t="s">
        <v>1473</v>
      </c>
      <c r="C703" s="839"/>
      <c r="D703" s="840"/>
    </row>
    <row r="704" spans="1:4" x14ac:dyDescent="0.2">
      <c r="A704" s="832" t="s">
        <v>2146</v>
      </c>
      <c r="B704" s="833" t="s">
        <v>1151</v>
      </c>
      <c r="C704" s="834" t="s">
        <v>41</v>
      </c>
      <c r="D704" s="835">
        <v>11.15</v>
      </c>
    </row>
    <row r="705" spans="1:4" x14ac:dyDescent="0.2">
      <c r="A705" s="837" t="s">
        <v>2147</v>
      </c>
      <c r="B705" s="838" t="s">
        <v>1478</v>
      </c>
      <c r="C705" s="839"/>
      <c r="D705" s="840"/>
    </row>
    <row r="706" spans="1:4" x14ac:dyDescent="0.2">
      <c r="A706" s="827" t="s">
        <v>2148</v>
      </c>
      <c r="B706" s="828" t="s">
        <v>1151</v>
      </c>
      <c r="C706" s="829" t="s">
        <v>41</v>
      </c>
      <c r="D706" s="830">
        <v>11.15</v>
      </c>
    </row>
    <row r="707" spans="1:4" x14ac:dyDescent="0.2">
      <c r="A707" s="837" t="s">
        <v>2149</v>
      </c>
      <c r="B707" s="838" t="s">
        <v>1483</v>
      </c>
      <c r="C707" s="839"/>
      <c r="D707" s="840"/>
    </row>
    <row r="708" spans="1:4" x14ac:dyDescent="0.2">
      <c r="A708" s="832" t="s">
        <v>2150</v>
      </c>
      <c r="B708" s="833" t="s">
        <v>1151</v>
      </c>
      <c r="C708" s="834" t="s">
        <v>41</v>
      </c>
      <c r="D708" s="835">
        <v>11.15</v>
      </c>
    </row>
    <row r="709" spans="1:4" x14ac:dyDescent="0.2">
      <c r="A709" s="837" t="s">
        <v>2151</v>
      </c>
      <c r="B709" s="838" t="s">
        <v>1488</v>
      </c>
      <c r="C709" s="839"/>
      <c r="D709" s="840"/>
    </row>
    <row r="710" spans="1:4" x14ac:dyDescent="0.2">
      <c r="A710" s="827" t="s">
        <v>2152</v>
      </c>
      <c r="B710" s="828" t="s">
        <v>1151</v>
      </c>
      <c r="C710" s="829" t="s">
        <v>41</v>
      </c>
      <c r="D710" s="830">
        <v>11.16</v>
      </c>
    </row>
    <row r="711" spans="1:4" x14ac:dyDescent="0.2">
      <c r="A711" s="837" t="s">
        <v>2153</v>
      </c>
      <c r="B711" s="838" t="s">
        <v>1493</v>
      </c>
      <c r="C711" s="839"/>
      <c r="D711" s="840"/>
    </row>
    <row r="712" spans="1:4" x14ac:dyDescent="0.2">
      <c r="A712" s="832" t="s">
        <v>2154</v>
      </c>
      <c r="B712" s="833" t="s">
        <v>1151</v>
      </c>
      <c r="C712" s="834" t="s">
        <v>41</v>
      </c>
      <c r="D712" s="835">
        <v>11.15</v>
      </c>
    </row>
    <row r="713" spans="1:4" x14ac:dyDescent="0.2">
      <c r="A713" s="837" t="s">
        <v>2155</v>
      </c>
      <c r="B713" s="838" t="s">
        <v>1498</v>
      </c>
      <c r="C713" s="839"/>
      <c r="D713" s="840"/>
    </row>
    <row r="714" spans="1:4" x14ac:dyDescent="0.2">
      <c r="A714" s="827" t="s">
        <v>2156</v>
      </c>
      <c r="B714" s="828" t="s">
        <v>1151</v>
      </c>
      <c r="C714" s="829" t="s">
        <v>41</v>
      </c>
      <c r="D714" s="830">
        <v>11.16</v>
      </c>
    </row>
    <row r="715" spans="1:4" x14ac:dyDescent="0.2">
      <c r="A715" s="837" t="s">
        <v>2157</v>
      </c>
      <c r="B715" s="838" t="s">
        <v>1503</v>
      </c>
      <c r="C715" s="839"/>
      <c r="D715" s="840"/>
    </row>
    <row r="716" spans="1:4" x14ac:dyDescent="0.2">
      <c r="A716" s="832" t="s">
        <v>2158</v>
      </c>
      <c r="B716" s="833" t="s">
        <v>1151</v>
      </c>
      <c r="C716" s="834" t="s">
        <v>41</v>
      </c>
      <c r="D716" s="835">
        <v>11.15</v>
      </c>
    </row>
    <row r="717" spans="1:4" x14ac:dyDescent="0.2">
      <c r="A717" s="837" t="s">
        <v>2159</v>
      </c>
      <c r="B717" s="838" t="s">
        <v>1508</v>
      </c>
      <c r="C717" s="839"/>
      <c r="D717" s="840"/>
    </row>
    <row r="718" spans="1:4" x14ac:dyDescent="0.2">
      <c r="A718" s="827" t="s">
        <v>2160</v>
      </c>
      <c r="B718" s="828" t="s">
        <v>1151</v>
      </c>
      <c r="C718" s="829" t="s">
        <v>41</v>
      </c>
      <c r="D718" s="830">
        <v>11.16</v>
      </c>
    </row>
    <row r="719" spans="1:4" x14ac:dyDescent="0.2">
      <c r="A719" s="837" t="s">
        <v>2161</v>
      </c>
      <c r="B719" s="838" t="s">
        <v>1513</v>
      </c>
      <c r="C719" s="839"/>
      <c r="D719" s="840"/>
    </row>
    <row r="720" spans="1:4" x14ac:dyDescent="0.2">
      <c r="A720" s="832" t="s">
        <v>2162</v>
      </c>
      <c r="B720" s="833" t="s">
        <v>1151</v>
      </c>
      <c r="C720" s="834" t="s">
        <v>41</v>
      </c>
      <c r="D720" s="835">
        <v>11.15</v>
      </c>
    </row>
    <row r="721" spans="1:4" x14ac:dyDescent="0.2">
      <c r="A721" s="837" t="s">
        <v>2163</v>
      </c>
      <c r="B721" s="838" t="s">
        <v>1518</v>
      </c>
      <c r="C721" s="839"/>
      <c r="D721" s="840"/>
    </row>
    <row r="722" spans="1:4" x14ac:dyDescent="0.2">
      <c r="A722" s="827" t="s">
        <v>2164</v>
      </c>
      <c r="B722" s="828" t="s">
        <v>1151</v>
      </c>
      <c r="C722" s="829" t="s">
        <v>41</v>
      </c>
      <c r="D722" s="830">
        <v>11.16</v>
      </c>
    </row>
    <row r="723" spans="1:4" x14ac:dyDescent="0.2">
      <c r="A723" s="837" t="s">
        <v>2165</v>
      </c>
      <c r="B723" s="838" t="s">
        <v>1523</v>
      </c>
      <c r="C723" s="839"/>
      <c r="D723" s="840"/>
    </row>
    <row r="724" spans="1:4" x14ac:dyDescent="0.2">
      <c r="A724" s="832" t="s">
        <v>2166</v>
      </c>
      <c r="B724" s="833" t="s">
        <v>1151</v>
      </c>
      <c r="C724" s="834" t="s">
        <v>41</v>
      </c>
      <c r="D724" s="835">
        <v>11.15</v>
      </c>
    </row>
    <row r="725" spans="1:4" x14ac:dyDescent="0.2">
      <c r="A725" s="837" t="s">
        <v>2167</v>
      </c>
      <c r="B725" s="838" t="s">
        <v>1528</v>
      </c>
      <c r="C725" s="839"/>
      <c r="D725" s="840"/>
    </row>
    <row r="726" spans="1:4" x14ac:dyDescent="0.2">
      <c r="A726" s="827" t="s">
        <v>2168</v>
      </c>
      <c r="B726" s="828" t="s">
        <v>1151</v>
      </c>
      <c r="C726" s="829" t="s">
        <v>41</v>
      </c>
      <c r="D726" s="830">
        <v>11.16</v>
      </c>
    </row>
    <row r="727" spans="1:4" x14ac:dyDescent="0.2">
      <c r="A727" s="837" t="s">
        <v>2169</v>
      </c>
      <c r="B727" s="838" t="s">
        <v>1533</v>
      </c>
      <c r="C727" s="839"/>
      <c r="D727" s="840"/>
    </row>
    <row r="728" spans="1:4" x14ac:dyDescent="0.2">
      <c r="A728" s="832" t="s">
        <v>2170</v>
      </c>
      <c r="B728" s="833" t="s">
        <v>1151</v>
      </c>
      <c r="C728" s="834" t="s">
        <v>41</v>
      </c>
      <c r="D728" s="835">
        <v>11.15</v>
      </c>
    </row>
    <row r="729" spans="1:4" x14ac:dyDescent="0.2">
      <c r="A729" s="837" t="s">
        <v>2171</v>
      </c>
      <c r="B729" s="838" t="s">
        <v>1538</v>
      </c>
      <c r="C729" s="839"/>
      <c r="D729" s="840"/>
    </row>
    <row r="730" spans="1:4" x14ac:dyDescent="0.2">
      <c r="A730" s="827" t="s">
        <v>2172</v>
      </c>
      <c r="B730" s="828" t="s">
        <v>1151</v>
      </c>
      <c r="C730" s="829" t="s">
        <v>41</v>
      </c>
      <c r="D730" s="830">
        <v>3.85</v>
      </c>
    </row>
    <row r="731" spans="1:4" x14ac:dyDescent="0.2">
      <c r="A731" s="823" t="s">
        <v>1152</v>
      </c>
      <c r="B731" s="824" t="s">
        <v>1153</v>
      </c>
      <c r="C731" s="825"/>
      <c r="D731" s="826"/>
    </row>
    <row r="732" spans="1:4" x14ac:dyDescent="0.2">
      <c r="A732" s="837" t="s">
        <v>2173</v>
      </c>
      <c r="B732" s="838" t="s">
        <v>1453</v>
      </c>
      <c r="C732" s="839"/>
      <c r="D732" s="840"/>
    </row>
    <row r="733" spans="1:4" x14ac:dyDescent="0.2">
      <c r="A733" s="832" t="s">
        <v>2174</v>
      </c>
      <c r="B733" s="833" t="s">
        <v>1156</v>
      </c>
      <c r="C733" s="834" t="s">
        <v>41</v>
      </c>
      <c r="D733" s="835">
        <v>25.01</v>
      </c>
    </row>
    <row r="734" spans="1:4" x14ac:dyDescent="0.2">
      <c r="A734" s="837" t="s">
        <v>2175</v>
      </c>
      <c r="B734" s="838" t="s">
        <v>1458</v>
      </c>
      <c r="C734" s="839"/>
      <c r="D734" s="840"/>
    </row>
    <row r="735" spans="1:4" x14ac:dyDescent="0.2">
      <c r="A735" s="827" t="s">
        <v>2176</v>
      </c>
      <c r="B735" s="828" t="s">
        <v>1156</v>
      </c>
      <c r="C735" s="829" t="s">
        <v>41</v>
      </c>
      <c r="D735" s="830">
        <v>978.39</v>
      </c>
    </row>
    <row r="736" spans="1:4" x14ac:dyDescent="0.2">
      <c r="A736" s="837" t="s">
        <v>2177</v>
      </c>
      <c r="B736" s="838" t="s">
        <v>1462</v>
      </c>
      <c r="C736" s="839"/>
      <c r="D736" s="840"/>
    </row>
    <row r="737" spans="1:4" x14ac:dyDescent="0.2">
      <c r="A737" s="832" t="s">
        <v>2178</v>
      </c>
      <c r="B737" s="833" t="s">
        <v>1156</v>
      </c>
      <c r="C737" s="834" t="s">
        <v>41</v>
      </c>
      <c r="D737" s="835">
        <v>980.76</v>
      </c>
    </row>
    <row r="738" spans="1:4" x14ac:dyDescent="0.2">
      <c r="A738" s="837" t="s">
        <v>2179</v>
      </c>
      <c r="B738" s="838" t="s">
        <v>1466</v>
      </c>
      <c r="C738" s="839"/>
      <c r="D738" s="840"/>
    </row>
    <row r="739" spans="1:4" x14ac:dyDescent="0.2">
      <c r="A739" s="827" t="s">
        <v>2180</v>
      </c>
      <c r="B739" s="828" t="s">
        <v>1156</v>
      </c>
      <c r="C739" s="829" t="s">
        <v>41</v>
      </c>
      <c r="D739" s="830">
        <v>1035.21</v>
      </c>
    </row>
    <row r="740" spans="1:4" x14ac:dyDescent="0.2">
      <c r="A740" s="837" t="s">
        <v>2181</v>
      </c>
      <c r="B740" s="838" t="s">
        <v>1470</v>
      </c>
      <c r="C740" s="839"/>
      <c r="D740" s="840"/>
    </row>
    <row r="741" spans="1:4" x14ac:dyDescent="0.2">
      <c r="A741" s="832" t="s">
        <v>2182</v>
      </c>
      <c r="B741" s="833" t="s">
        <v>1156</v>
      </c>
      <c r="C741" s="834" t="s">
        <v>41</v>
      </c>
      <c r="D741" s="835">
        <v>980.81</v>
      </c>
    </row>
    <row r="742" spans="1:4" x14ac:dyDescent="0.2">
      <c r="A742" s="837" t="s">
        <v>2183</v>
      </c>
      <c r="B742" s="838" t="s">
        <v>1473</v>
      </c>
      <c r="C742" s="839"/>
      <c r="D742" s="840"/>
    </row>
    <row r="743" spans="1:4" x14ac:dyDescent="0.2">
      <c r="A743" s="827" t="s">
        <v>2184</v>
      </c>
      <c r="B743" s="828" t="s">
        <v>1156</v>
      </c>
      <c r="C743" s="829" t="s">
        <v>41</v>
      </c>
      <c r="D743" s="830">
        <v>13.07</v>
      </c>
    </row>
    <row r="744" spans="1:4" x14ac:dyDescent="0.2">
      <c r="A744" s="837" t="s">
        <v>2185</v>
      </c>
      <c r="B744" s="838" t="s">
        <v>1478</v>
      </c>
      <c r="C744" s="839"/>
      <c r="D744" s="840"/>
    </row>
    <row r="745" spans="1:4" x14ac:dyDescent="0.2">
      <c r="A745" s="832" t="s">
        <v>2186</v>
      </c>
      <c r="B745" s="833" t="s">
        <v>1156</v>
      </c>
      <c r="C745" s="834" t="s">
        <v>41</v>
      </c>
      <c r="D745" s="835">
        <v>12.92</v>
      </c>
    </row>
    <row r="746" spans="1:4" x14ac:dyDescent="0.2">
      <c r="A746" s="837" t="s">
        <v>2187</v>
      </c>
      <c r="B746" s="838" t="s">
        <v>1483</v>
      </c>
      <c r="C746" s="839"/>
      <c r="D746" s="840"/>
    </row>
    <row r="747" spans="1:4" x14ac:dyDescent="0.2">
      <c r="A747" s="827" t="s">
        <v>2188</v>
      </c>
      <c r="B747" s="828" t="s">
        <v>1156</v>
      </c>
      <c r="C747" s="829" t="s">
        <v>41</v>
      </c>
      <c r="D747" s="830">
        <v>13.07</v>
      </c>
    </row>
    <row r="748" spans="1:4" x14ac:dyDescent="0.2">
      <c r="A748" s="837" t="s">
        <v>2189</v>
      </c>
      <c r="B748" s="838" t="s">
        <v>1488</v>
      </c>
      <c r="C748" s="839"/>
      <c r="D748" s="840"/>
    </row>
    <row r="749" spans="1:4" x14ac:dyDescent="0.2">
      <c r="A749" s="832" t="s">
        <v>2190</v>
      </c>
      <c r="B749" s="833" t="s">
        <v>1156</v>
      </c>
      <c r="C749" s="834" t="s">
        <v>41</v>
      </c>
      <c r="D749" s="835">
        <v>13.07</v>
      </c>
    </row>
    <row r="750" spans="1:4" x14ac:dyDescent="0.2">
      <c r="A750" s="837" t="s">
        <v>2191</v>
      </c>
      <c r="B750" s="838" t="s">
        <v>1493</v>
      </c>
      <c r="C750" s="839"/>
      <c r="D750" s="840"/>
    </row>
    <row r="751" spans="1:4" x14ac:dyDescent="0.2">
      <c r="A751" s="827" t="s">
        <v>2192</v>
      </c>
      <c r="B751" s="828" t="s">
        <v>1156</v>
      </c>
      <c r="C751" s="829" t="s">
        <v>41</v>
      </c>
      <c r="D751" s="830">
        <v>13.07</v>
      </c>
    </row>
    <row r="752" spans="1:4" x14ac:dyDescent="0.2">
      <c r="A752" s="837" t="s">
        <v>2193</v>
      </c>
      <c r="B752" s="838" t="s">
        <v>1498</v>
      </c>
      <c r="C752" s="839"/>
      <c r="D752" s="840"/>
    </row>
    <row r="753" spans="1:4" x14ac:dyDescent="0.2">
      <c r="A753" s="832" t="s">
        <v>2194</v>
      </c>
      <c r="B753" s="833" t="s">
        <v>1156</v>
      </c>
      <c r="C753" s="834" t="s">
        <v>41</v>
      </c>
      <c r="D753" s="835">
        <v>13.07</v>
      </c>
    </row>
    <row r="754" spans="1:4" x14ac:dyDescent="0.2">
      <c r="A754" s="837" t="s">
        <v>2195</v>
      </c>
      <c r="B754" s="838" t="s">
        <v>1503</v>
      </c>
      <c r="C754" s="839"/>
      <c r="D754" s="840"/>
    </row>
    <row r="755" spans="1:4" x14ac:dyDescent="0.2">
      <c r="A755" s="827" t="s">
        <v>2196</v>
      </c>
      <c r="B755" s="828" t="s">
        <v>1156</v>
      </c>
      <c r="C755" s="829" t="s">
        <v>41</v>
      </c>
      <c r="D755" s="830">
        <v>13.07</v>
      </c>
    </row>
    <row r="756" spans="1:4" x14ac:dyDescent="0.2">
      <c r="A756" s="837" t="s">
        <v>2197</v>
      </c>
      <c r="B756" s="838" t="s">
        <v>1508</v>
      </c>
      <c r="C756" s="839"/>
      <c r="D756" s="840"/>
    </row>
    <row r="757" spans="1:4" x14ac:dyDescent="0.2">
      <c r="A757" s="832" t="s">
        <v>2198</v>
      </c>
      <c r="B757" s="833" t="s">
        <v>1156</v>
      </c>
      <c r="C757" s="834" t="s">
        <v>41</v>
      </c>
      <c r="D757" s="835">
        <v>13.07</v>
      </c>
    </row>
    <row r="758" spans="1:4" x14ac:dyDescent="0.2">
      <c r="A758" s="837" t="s">
        <v>2199</v>
      </c>
      <c r="B758" s="838" t="s">
        <v>1513</v>
      </c>
      <c r="C758" s="839"/>
      <c r="D758" s="840"/>
    </row>
    <row r="759" spans="1:4" x14ac:dyDescent="0.2">
      <c r="A759" s="827" t="s">
        <v>2200</v>
      </c>
      <c r="B759" s="828" t="s">
        <v>1156</v>
      </c>
      <c r="C759" s="829" t="s">
        <v>41</v>
      </c>
      <c r="D759" s="830">
        <v>13.07</v>
      </c>
    </row>
    <row r="760" spans="1:4" x14ac:dyDescent="0.2">
      <c r="A760" s="837" t="s">
        <v>2201</v>
      </c>
      <c r="B760" s="838" t="s">
        <v>1518</v>
      </c>
      <c r="C760" s="839"/>
      <c r="D760" s="840"/>
    </row>
    <row r="761" spans="1:4" x14ac:dyDescent="0.2">
      <c r="A761" s="832" t="s">
        <v>2202</v>
      </c>
      <c r="B761" s="833" t="s">
        <v>1156</v>
      </c>
      <c r="C761" s="834" t="s">
        <v>41</v>
      </c>
      <c r="D761" s="835">
        <v>13.07</v>
      </c>
    </row>
    <row r="762" spans="1:4" x14ac:dyDescent="0.2">
      <c r="A762" s="837" t="s">
        <v>2203</v>
      </c>
      <c r="B762" s="838" t="s">
        <v>1523</v>
      </c>
      <c r="C762" s="839"/>
      <c r="D762" s="840"/>
    </row>
    <row r="763" spans="1:4" x14ac:dyDescent="0.2">
      <c r="A763" s="827" t="s">
        <v>2204</v>
      </c>
      <c r="B763" s="828" t="s">
        <v>1156</v>
      </c>
      <c r="C763" s="829" t="s">
        <v>41</v>
      </c>
      <c r="D763" s="830">
        <v>13.07</v>
      </c>
    </row>
    <row r="764" spans="1:4" x14ac:dyDescent="0.2">
      <c r="A764" s="837" t="s">
        <v>2205</v>
      </c>
      <c r="B764" s="838" t="s">
        <v>1528</v>
      </c>
      <c r="C764" s="839"/>
      <c r="D764" s="840"/>
    </row>
    <row r="765" spans="1:4" x14ac:dyDescent="0.2">
      <c r="A765" s="832" t="s">
        <v>2206</v>
      </c>
      <c r="B765" s="833" t="s">
        <v>1156</v>
      </c>
      <c r="C765" s="834" t="s">
        <v>41</v>
      </c>
      <c r="D765" s="835">
        <v>13.07</v>
      </c>
    </row>
    <row r="766" spans="1:4" x14ac:dyDescent="0.2">
      <c r="A766" s="837" t="s">
        <v>2207</v>
      </c>
      <c r="B766" s="838" t="s">
        <v>1533</v>
      </c>
      <c r="C766" s="839"/>
      <c r="D766" s="840"/>
    </row>
    <row r="767" spans="1:4" x14ac:dyDescent="0.2">
      <c r="A767" s="827" t="s">
        <v>2208</v>
      </c>
      <c r="B767" s="828" t="s">
        <v>1156</v>
      </c>
      <c r="C767" s="829" t="s">
        <v>41</v>
      </c>
      <c r="D767" s="830">
        <v>13.07</v>
      </c>
    </row>
    <row r="768" spans="1:4" x14ac:dyDescent="0.2">
      <c r="A768" s="837" t="s">
        <v>2209</v>
      </c>
      <c r="B768" s="838" t="s">
        <v>1538</v>
      </c>
      <c r="C768" s="839"/>
      <c r="D768" s="840"/>
    </row>
    <row r="769" spans="1:4" x14ac:dyDescent="0.2">
      <c r="A769" s="832" t="s">
        <v>2210</v>
      </c>
      <c r="B769" s="833" t="s">
        <v>1156</v>
      </c>
      <c r="C769" s="834" t="s">
        <v>41</v>
      </c>
      <c r="D769" s="835">
        <v>10.59</v>
      </c>
    </row>
    <row r="770" spans="1:4" x14ac:dyDescent="0.2">
      <c r="A770" s="837" t="s">
        <v>2211</v>
      </c>
      <c r="B770" s="838" t="s">
        <v>1542</v>
      </c>
      <c r="C770" s="839"/>
      <c r="D770" s="840"/>
    </row>
    <row r="771" spans="1:4" x14ac:dyDescent="0.2">
      <c r="A771" s="827" t="s">
        <v>2212</v>
      </c>
      <c r="B771" s="828" t="s">
        <v>1156</v>
      </c>
      <c r="C771" s="829" t="s">
        <v>41</v>
      </c>
      <c r="D771" s="830">
        <v>8.42</v>
      </c>
    </row>
    <row r="772" spans="1:4" x14ac:dyDescent="0.2">
      <c r="A772" s="837" t="s">
        <v>2213</v>
      </c>
      <c r="B772" s="838" t="s">
        <v>1545</v>
      </c>
      <c r="C772" s="839"/>
      <c r="D772" s="840"/>
    </row>
    <row r="773" spans="1:4" x14ac:dyDescent="0.2">
      <c r="A773" s="832" t="s">
        <v>2214</v>
      </c>
      <c r="B773" s="833" t="s">
        <v>1156</v>
      </c>
      <c r="C773" s="834" t="s">
        <v>41</v>
      </c>
      <c r="D773" s="835">
        <v>38.22</v>
      </c>
    </row>
    <row r="774" spans="1:4" x14ac:dyDescent="0.2">
      <c r="A774" s="837" t="s">
        <v>2215</v>
      </c>
      <c r="B774" s="838" t="s">
        <v>1548</v>
      </c>
      <c r="C774" s="839"/>
      <c r="D774" s="840"/>
    </row>
    <row r="775" spans="1:4" x14ac:dyDescent="0.2">
      <c r="A775" s="827" t="s">
        <v>2216</v>
      </c>
      <c r="B775" s="828" t="s">
        <v>1155</v>
      </c>
      <c r="C775" s="829" t="s">
        <v>41</v>
      </c>
      <c r="D775" s="830">
        <v>33.71</v>
      </c>
    </row>
    <row r="776" spans="1:4" x14ac:dyDescent="0.2">
      <c r="A776" s="823" t="s">
        <v>1157</v>
      </c>
      <c r="B776" s="824" t="s">
        <v>1158</v>
      </c>
      <c r="C776" s="825"/>
      <c r="D776" s="826"/>
    </row>
    <row r="777" spans="1:4" x14ac:dyDescent="0.2">
      <c r="A777" s="837" t="s">
        <v>2217</v>
      </c>
      <c r="B777" s="838" t="s">
        <v>1453</v>
      </c>
      <c r="C777" s="839"/>
      <c r="D777" s="840"/>
    </row>
    <row r="778" spans="1:4" x14ac:dyDescent="0.2">
      <c r="A778" s="832" t="s">
        <v>2218</v>
      </c>
      <c r="B778" s="833" t="s">
        <v>1160</v>
      </c>
      <c r="C778" s="834" t="s">
        <v>41</v>
      </c>
      <c r="D778" s="835">
        <v>18.940000000000001</v>
      </c>
    </row>
    <row r="779" spans="1:4" x14ac:dyDescent="0.2">
      <c r="A779" s="823" t="s">
        <v>1161</v>
      </c>
      <c r="B779" s="824" t="s">
        <v>529</v>
      </c>
      <c r="C779" s="825"/>
      <c r="D779" s="826"/>
    </row>
    <row r="780" spans="1:4" x14ac:dyDescent="0.2">
      <c r="A780" s="837" t="s">
        <v>2219</v>
      </c>
      <c r="B780" s="838" t="s">
        <v>1453</v>
      </c>
      <c r="C780" s="839"/>
      <c r="D780" s="840"/>
    </row>
    <row r="781" spans="1:4" x14ac:dyDescent="0.2">
      <c r="A781" s="827" t="s">
        <v>2220</v>
      </c>
      <c r="B781" s="828" t="s">
        <v>1163</v>
      </c>
      <c r="C781" s="829" t="s">
        <v>41</v>
      </c>
      <c r="D781" s="830">
        <v>9.4</v>
      </c>
    </row>
    <row r="782" spans="1:4" x14ac:dyDescent="0.2">
      <c r="A782" s="832" t="s">
        <v>2221</v>
      </c>
      <c r="B782" s="833" t="s">
        <v>1167</v>
      </c>
      <c r="C782" s="834" t="s">
        <v>41</v>
      </c>
      <c r="D782" s="835">
        <v>84.3</v>
      </c>
    </row>
    <row r="783" spans="1:4" x14ac:dyDescent="0.2">
      <c r="A783" s="827" t="s">
        <v>2222</v>
      </c>
      <c r="B783" s="828" t="s">
        <v>1173</v>
      </c>
      <c r="C783" s="829" t="s">
        <v>41</v>
      </c>
      <c r="D783" s="830">
        <v>7.82</v>
      </c>
    </row>
    <row r="784" spans="1:4" x14ac:dyDescent="0.2">
      <c r="A784" s="832" t="s">
        <v>2223</v>
      </c>
      <c r="B784" s="833" t="s">
        <v>1177</v>
      </c>
      <c r="C784" s="834" t="s">
        <v>41</v>
      </c>
      <c r="D784" s="835">
        <v>26.3</v>
      </c>
    </row>
    <row r="785" spans="1:4" x14ac:dyDescent="0.2">
      <c r="A785" s="827" t="s">
        <v>2224</v>
      </c>
      <c r="B785" s="828" t="s">
        <v>1179</v>
      </c>
      <c r="C785" s="829" t="s">
        <v>41</v>
      </c>
      <c r="D785" s="830">
        <v>13.84</v>
      </c>
    </row>
    <row r="786" spans="1:4" x14ac:dyDescent="0.2">
      <c r="A786" s="832" t="s">
        <v>2225</v>
      </c>
      <c r="B786" s="833" t="s">
        <v>1181</v>
      </c>
      <c r="C786" s="834" t="s">
        <v>41</v>
      </c>
      <c r="D786" s="835">
        <v>554.91</v>
      </c>
    </row>
    <row r="787" spans="1:4" x14ac:dyDescent="0.2">
      <c r="A787" s="837" t="s">
        <v>2226</v>
      </c>
      <c r="B787" s="838" t="s">
        <v>1458</v>
      </c>
      <c r="C787" s="839"/>
      <c r="D787" s="840"/>
    </row>
    <row r="788" spans="1:4" x14ac:dyDescent="0.2">
      <c r="A788" s="827" t="s">
        <v>2227</v>
      </c>
      <c r="B788" s="828" t="s">
        <v>1173</v>
      </c>
      <c r="C788" s="829" t="s">
        <v>41</v>
      </c>
      <c r="D788" s="830">
        <v>8.49</v>
      </c>
    </row>
    <row r="789" spans="1:4" x14ac:dyDescent="0.2">
      <c r="A789" s="837" t="s">
        <v>2228</v>
      </c>
      <c r="B789" s="838" t="s">
        <v>1473</v>
      </c>
      <c r="C789" s="839"/>
      <c r="D789" s="840"/>
    </row>
    <row r="790" spans="1:4" x14ac:dyDescent="0.2">
      <c r="A790" s="832" t="s">
        <v>2229</v>
      </c>
      <c r="B790" s="833" t="s">
        <v>1169</v>
      </c>
      <c r="C790" s="834" t="s">
        <v>41</v>
      </c>
      <c r="D790" s="835">
        <v>11.92</v>
      </c>
    </row>
    <row r="791" spans="1:4" x14ac:dyDescent="0.2">
      <c r="A791" s="827" t="s">
        <v>2230</v>
      </c>
      <c r="B791" s="828" t="s">
        <v>1171</v>
      </c>
      <c r="C791" s="829" t="s">
        <v>41</v>
      </c>
      <c r="D791" s="830">
        <v>192.21</v>
      </c>
    </row>
    <row r="792" spans="1:4" x14ac:dyDescent="0.2">
      <c r="A792" s="832" t="s">
        <v>2231</v>
      </c>
      <c r="B792" s="833" t="s">
        <v>1175</v>
      </c>
      <c r="C792" s="834" t="s">
        <v>41</v>
      </c>
      <c r="D792" s="835">
        <v>51.99</v>
      </c>
    </row>
    <row r="793" spans="1:4" x14ac:dyDescent="0.2">
      <c r="A793" s="827" t="s">
        <v>2232</v>
      </c>
      <c r="B793" s="828" t="s">
        <v>1177</v>
      </c>
      <c r="C793" s="829" t="s">
        <v>41</v>
      </c>
      <c r="D793" s="830">
        <v>52.99</v>
      </c>
    </row>
    <row r="794" spans="1:4" x14ac:dyDescent="0.2">
      <c r="A794" s="837" t="s">
        <v>2233</v>
      </c>
      <c r="B794" s="838" t="s">
        <v>1478</v>
      </c>
      <c r="C794" s="839"/>
      <c r="D794" s="840"/>
    </row>
    <row r="795" spans="1:4" x14ac:dyDescent="0.2">
      <c r="A795" s="832" t="s">
        <v>2234</v>
      </c>
      <c r="B795" s="833" t="s">
        <v>1167</v>
      </c>
      <c r="C795" s="834" t="s">
        <v>41</v>
      </c>
      <c r="D795" s="835">
        <v>0.2</v>
      </c>
    </row>
    <row r="796" spans="1:4" x14ac:dyDescent="0.2">
      <c r="A796" s="827" t="s">
        <v>2235</v>
      </c>
      <c r="B796" s="828" t="s">
        <v>1171</v>
      </c>
      <c r="C796" s="829" t="s">
        <v>41</v>
      </c>
      <c r="D796" s="830">
        <v>192.21</v>
      </c>
    </row>
    <row r="797" spans="1:4" x14ac:dyDescent="0.2">
      <c r="A797" s="832" t="s">
        <v>2236</v>
      </c>
      <c r="B797" s="833" t="s">
        <v>1175</v>
      </c>
      <c r="C797" s="834" t="s">
        <v>41</v>
      </c>
      <c r="D797" s="835">
        <v>51.99</v>
      </c>
    </row>
    <row r="798" spans="1:4" x14ac:dyDescent="0.2">
      <c r="A798" s="827" t="s">
        <v>2237</v>
      </c>
      <c r="B798" s="828" t="s">
        <v>1177</v>
      </c>
      <c r="C798" s="829" t="s">
        <v>41</v>
      </c>
      <c r="D798" s="830">
        <v>52.99</v>
      </c>
    </row>
    <row r="799" spans="1:4" x14ac:dyDescent="0.2">
      <c r="A799" s="837" t="s">
        <v>2238</v>
      </c>
      <c r="B799" s="838" t="s">
        <v>1483</v>
      </c>
      <c r="C799" s="839"/>
      <c r="D799" s="840"/>
    </row>
    <row r="800" spans="1:4" x14ac:dyDescent="0.2">
      <c r="A800" s="832" t="s">
        <v>2239</v>
      </c>
      <c r="B800" s="833" t="s">
        <v>1167</v>
      </c>
      <c r="C800" s="834" t="s">
        <v>41</v>
      </c>
      <c r="D800" s="835">
        <v>0.2</v>
      </c>
    </row>
    <row r="801" spans="1:4" x14ac:dyDescent="0.2">
      <c r="A801" s="827" t="s">
        <v>2240</v>
      </c>
      <c r="B801" s="828" t="s">
        <v>1171</v>
      </c>
      <c r="C801" s="829" t="s">
        <v>41</v>
      </c>
      <c r="D801" s="830">
        <v>192.21</v>
      </c>
    </row>
    <row r="802" spans="1:4" x14ac:dyDescent="0.2">
      <c r="A802" s="832" t="s">
        <v>2241</v>
      </c>
      <c r="B802" s="833" t="s">
        <v>1175</v>
      </c>
      <c r="C802" s="834" t="s">
        <v>41</v>
      </c>
      <c r="D802" s="835">
        <v>51.99</v>
      </c>
    </row>
    <row r="803" spans="1:4" x14ac:dyDescent="0.2">
      <c r="A803" s="827" t="s">
        <v>2242</v>
      </c>
      <c r="B803" s="828" t="s">
        <v>1177</v>
      </c>
      <c r="C803" s="829" t="s">
        <v>41</v>
      </c>
      <c r="D803" s="830">
        <v>52.99</v>
      </c>
    </row>
    <row r="804" spans="1:4" x14ac:dyDescent="0.2">
      <c r="A804" s="837" t="s">
        <v>2243</v>
      </c>
      <c r="B804" s="838" t="s">
        <v>1488</v>
      </c>
      <c r="C804" s="839"/>
      <c r="D804" s="840"/>
    </row>
    <row r="805" spans="1:4" x14ac:dyDescent="0.2">
      <c r="A805" s="832" t="s">
        <v>2244</v>
      </c>
      <c r="B805" s="833" t="s">
        <v>1169</v>
      </c>
      <c r="C805" s="834" t="s">
        <v>41</v>
      </c>
      <c r="D805" s="835">
        <v>11.92</v>
      </c>
    </row>
    <row r="806" spans="1:4" x14ac:dyDescent="0.2">
      <c r="A806" s="827" t="s">
        <v>2245</v>
      </c>
      <c r="B806" s="828" t="s">
        <v>1171</v>
      </c>
      <c r="C806" s="829" t="s">
        <v>41</v>
      </c>
      <c r="D806" s="830">
        <v>209.72</v>
      </c>
    </row>
    <row r="807" spans="1:4" x14ac:dyDescent="0.2">
      <c r="A807" s="832" t="s">
        <v>2246</v>
      </c>
      <c r="B807" s="833" t="s">
        <v>1175</v>
      </c>
      <c r="C807" s="834" t="s">
        <v>41</v>
      </c>
      <c r="D807" s="835">
        <v>51.5</v>
      </c>
    </row>
    <row r="808" spans="1:4" x14ac:dyDescent="0.2">
      <c r="A808" s="827" t="s">
        <v>2247</v>
      </c>
      <c r="B808" s="828" t="s">
        <v>1177</v>
      </c>
      <c r="C808" s="829" t="s">
        <v>41</v>
      </c>
      <c r="D808" s="830">
        <v>53</v>
      </c>
    </row>
    <row r="809" spans="1:4" x14ac:dyDescent="0.2">
      <c r="A809" s="837" t="s">
        <v>2248</v>
      </c>
      <c r="B809" s="838" t="s">
        <v>1493</v>
      </c>
      <c r="C809" s="839"/>
      <c r="D809" s="840"/>
    </row>
    <row r="810" spans="1:4" x14ac:dyDescent="0.2">
      <c r="A810" s="832" t="s">
        <v>2249</v>
      </c>
      <c r="B810" s="833" t="s">
        <v>1167</v>
      </c>
      <c r="C810" s="834" t="s">
        <v>41</v>
      </c>
      <c r="D810" s="835">
        <v>0.2</v>
      </c>
    </row>
    <row r="811" spans="1:4" x14ac:dyDescent="0.2">
      <c r="A811" s="827" t="s">
        <v>2250</v>
      </c>
      <c r="B811" s="828" t="s">
        <v>1171</v>
      </c>
      <c r="C811" s="829" t="s">
        <v>41</v>
      </c>
      <c r="D811" s="830">
        <v>192.21</v>
      </c>
    </row>
    <row r="812" spans="1:4" x14ac:dyDescent="0.2">
      <c r="A812" s="832" t="s">
        <v>2251</v>
      </c>
      <c r="B812" s="833" t="s">
        <v>1175</v>
      </c>
      <c r="C812" s="834" t="s">
        <v>41</v>
      </c>
      <c r="D812" s="835">
        <v>51.99</v>
      </c>
    </row>
    <row r="813" spans="1:4" x14ac:dyDescent="0.2">
      <c r="A813" s="827" t="s">
        <v>2252</v>
      </c>
      <c r="B813" s="828" t="s">
        <v>1177</v>
      </c>
      <c r="C813" s="829" t="s">
        <v>41</v>
      </c>
      <c r="D813" s="830">
        <v>52.99</v>
      </c>
    </row>
    <row r="814" spans="1:4" x14ac:dyDescent="0.2">
      <c r="A814" s="837" t="s">
        <v>2253</v>
      </c>
      <c r="B814" s="838" t="s">
        <v>1498</v>
      </c>
      <c r="C814" s="839"/>
      <c r="D814" s="840"/>
    </row>
    <row r="815" spans="1:4" x14ac:dyDescent="0.2">
      <c r="A815" s="832" t="s">
        <v>2254</v>
      </c>
      <c r="B815" s="833" t="s">
        <v>1169</v>
      </c>
      <c r="C815" s="834" t="s">
        <v>41</v>
      </c>
      <c r="D815" s="835">
        <v>11.4</v>
      </c>
    </row>
    <row r="816" spans="1:4" x14ac:dyDescent="0.2">
      <c r="A816" s="827" t="s">
        <v>2255</v>
      </c>
      <c r="B816" s="828" t="s">
        <v>1171</v>
      </c>
      <c r="C816" s="829" t="s">
        <v>41</v>
      </c>
      <c r="D816" s="830">
        <v>209.72</v>
      </c>
    </row>
    <row r="817" spans="1:4" x14ac:dyDescent="0.2">
      <c r="A817" s="832" t="s">
        <v>2256</v>
      </c>
      <c r="B817" s="833" t="s">
        <v>1175</v>
      </c>
      <c r="C817" s="834" t="s">
        <v>41</v>
      </c>
      <c r="D817" s="835">
        <v>51.5</v>
      </c>
    </row>
    <row r="818" spans="1:4" x14ac:dyDescent="0.2">
      <c r="A818" s="827" t="s">
        <v>2257</v>
      </c>
      <c r="B818" s="828" t="s">
        <v>1177</v>
      </c>
      <c r="C818" s="829" t="s">
        <v>41</v>
      </c>
      <c r="D818" s="830">
        <v>53</v>
      </c>
    </row>
    <row r="819" spans="1:4" x14ac:dyDescent="0.2">
      <c r="A819" s="837" t="s">
        <v>2258</v>
      </c>
      <c r="B819" s="838" t="s">
        <v>1503</v>
      </c>
      <c r="C819" s="839"/>
      <c r="D819" s="840"/>
    </row>
    <row r="820" spans="1:4" x14ac:dyDescent="0.2">
      <c r="A820" s="832" t="s">
        <v>2259</v>
      </c>
      <c r="B820" s="833" t="s">
        <v>1167</v>
      </c>
      <c r="C820" s="834" t="s">
        <v>41</v>
      </c>
      <c r="D820" s="835">
        <v>0.2</v>
      </c>
    </row>
    <row r="821" spans="1:4" x14ac:dyDescent="0.2">
      <c r="A821" s="827" t="s">
        <v>2260</v>
      </c>
      <c r="B821" s="828" t="s">
        <v>1171</v>
      </c>
      <c r="C821" s="829" t="s">
        <v>41</v>
      </c>
      <c r="D821" s="830">
        <v>192.21</v>
      </c>
    </row>
    <row r="822" spans="1:4" x14ac:dyDescent="0.2">
      <c r="A822" s="832" t="s">
        <v>2261</v>
      </c>
      <c r="B822" s="833" t="s">
        <v>1175</v>
      </c>
      <c r="C822" s="834" t="s">
        <v>41</v>
      </c>
      <c r="D822" s="835">
        <v>51.99</v>
      </c>
    </row>
    <row r="823" spans="1:4" x14ac:dyDescent="0.2">
      <c r="A823" s="827" t="s">
        <v>2262</v>
      </c>
      <c r="B823" s="828" t="s">
        <v>1177</v>
      </c>
      <c r="C823" s="829" t="s">
        <v>41</v>
      </c>
      <c r="D823" s="830">
        <v>52.99</v>
      </c>
    </row>
    <row r="824" spans="1:4" x14ac:dyDescent="0.2">
      <c r="A824" s="837" t="s">
        <v>2263</v>
      </c>
      <c r="B824" s="838" t="s">
        <v>1508</v>
      </c>
      <c r="C824" s="839"/>
      <c r="D824" s="840"/>
    </row>
    <row r="825" spans="1:4" x14ac:dyDescent="0.2">
      <c r="A825" s="832" t="s">
        <v>2264</v>
      </c>
      <c r="B825" s="833" t="s">
        <v>1171</v>
      </c>
      <c r="C825" s="834" t="s">
        <v>41</v>
      </c>
      <c r="D825" s="835">
        <v>209.72</v>
      </c>
    </row>
    <row r="826" spans="1:4" x14ac:dyDescent="0.2">
      <c r="A826" s="827" t="s">
        <v>2265</v>
      </c>
      <c r="B826" s="828" t="s">
        <v>1175</v>
      </c>
      <c r="C826" s="829" t="s">
        <v>41</v>
      </c>
      <c r="D826" s="830">
        <v>51.5</v>
      </c>
    </row>
    <row r="827" spans="1:4" x14ac:dyDescent="0.2">
      <c r="A827" s="832" t="s">
        <v>2266</v>
      </c>
      <c r="B827" s="833" t="s">
        <v>1177</v>
      </c>
      <c r="C827" s="834" t="s">
        <v>41</v>
      </c>
      <c r="D827" s="835">
        <v>53</v>
      </c>
    </row>
    <row r="828" spans="1:4" x14ac:dyDescent="0.2">
      <c r="A828" s="837" t="s">
        <v>2267</v>
      </c>
      <c r="B828" s="838" t="s">
        <v>1513</v>
      </c>
      <c r="C828" s="839"/>
      <c r="D828" s="840"/>
    </row>
    <row r="829" spans="1:4" x14ac:dyDescent="0.2">
      <c r="A829" s="827" t="s">
        <v>2268</v>
      </c>
      <c r="B829" s="828" t="s">
        <v>1167</v>
      </c>
      <c r="C829" s="829" t="s">
        <v>41</v>
      </c>
      <c r="D829" s="830">
        <v>0.2</v>
      </c>
    </row>
    <row r="830" spans="1:4" x14ac:dyDescent="0.2">
      <c r="A830" s="832" t="s">
        <v>2269</v>
      </c>
      <c r="B830" s="833" t="s">
        <v>1169</v>
      </c>
      <c r="C830" s="834" t="s">
        <v>41</v>
      </c>
      <c r="D830" s="835">
        <v>11.92</v>
      </c>
    </row>
    <row r="831" spans="1:4" x14ac:dyDescent="0.2">
      <c r="A831" s="827" t="s">
        <v>2270</v>
      </c>
      <c r="B831" s="828" t="s">
        <v>1171</v>
      </c>
      <c r="C831" s="829" t="s">
        <v>41</v>
      </c>
      <c r="D831" s="830">
        <v>192.21</v>
      </c>
    </row>
    <row r="832" spans="1:4" x14ac:dyDescent="0.2">
      <c r="A832" s="832" t="s">
        <v>2271</v>
      </c>
      <c r="B832" s="833" t="s">
        <v>1175</v>
      </c>
      <c r="C832" s="834" t="s">
        <v>41</v>
      </c>
      <c r="D832" s="835">
        <v>51.99</v>
      </c>
    </row>
    <row r="833" spans="1:4" x14ac:dyDescent="0.2">
      <c r="A833" s="827" t="s">
        <v>2272</v>
      </c>
      <c r="B833" s="828" t="s">
        <v>1177</v>
      </c>
      <c r="C833" s="829" t="s">
        <v>41</v>
      </c>
      <c r="D833" s="830">
        <v>52.99</v>
      </c>
    </row>
    <row r="834" spans="1:4" x14ac:dyDescent="0.2">
      <c r="A834" s="837" t="s">
        <v>2273</v>
      </c>
      <c r="B834" s="838" t="s">
        <v>1518</v>
      </c>
      <c r="C834" s="839"/>
      <c r="D834" s="840"/>
    </row>
    <row r="835" spans="1:4" x14ac:dyDescent="0.2">
      <c r="A835" s="832" t="s">
        <v>2274</v>
      </c>
      <c r="B835" s="833" t="s">
        <v>1171</v>
      </c>
      <c r="C835" s="834" t="s">
        <v>41</v>
      </c>
      <c r="D835" s="835">
        <v>209.72</v>
      </c>
    </row>
    <row r="836" spans="1:4" x14ac:dyDescent="0.2">
      <c r="A836" s="827" t="s">
        <v>2275</v>
      </c>
      <c r="B836" s="828" t="s">
        <v>1175</v>
      </c>
      <c r="C836" s="829" t="s">
        <v>41</v>
      </c>
      <c r="D836" s="830">
        <v>51.5</v>
      </c>
    </row>
    <row r="837" spans="1:4" x14ac:dyDescent="0.2">
      <c r="A837" s="832" t="s">
        <v>2276</v>
      </c>
      <c r="B837" s="833" t="s">
        <v>1177</v>
      </c>
      <c r="C837" s="834" t="s">
        <v>41</v>
      </c>
      <c r="D837" s="835">
        <v>53</v>
      </c>
    </row>
    <row r="838" spans="1:4" x14ac:dyDescent="0.2">
      <c r="A838" s="837" t="s">
        <v>2277</v>
      </c>
      <c r="B838" s="838" t="s">
        <v>1523</v>
      </c>
      <c r="C838" s="839"/>
      <c r="D838" s="840"/>
    </row>
    <row r="839" spans="1:4" x14ac:dyDescent="0.2">
      <c r="A839" s="827" t="s">
        <v>2278</v>
      </c>
      <c r="B839" s="828" t="s">
        <v>1167</v>
      </c>
      <c r="C839" s="829" t="s">
        <v>41</v>
      </c>
      <c r="D839" s="830">
        <v>0.2</v>
      </c>
    </row>
    <row r="840" spans="1:4" x14ac:dyDescent="0.2">
      <c r="A840" s="832" t="s">
        <v>2279</v>
      </c>
      <c r="B840" s="833" t="s">
        <v>1169</v>
      </c>
      <c r="C840" s="834" t="s">
        <v>41</v>
      </c>
      <c r="D840" s="835">
        <v>11.92</v>
      </c>
    </row>
    <row r="841" spans="1:4" x14ac:dyDescent="0.2">
      <c r="A841" s="827" t="s">
        <v>2280</v>
      </c>
      <c r="B841" s="828" t="s">
        <v>1171</v>
      </c>
      <c r="C841" s="829" t="s">
        <v>41</v>
      </c>
      <c r="D841" s="830">
        <v>192.21</v>
      </c>
    </row>
    <row r="842" spans="1:4" x14ac:dyDescent="0.2">
      <c r="A842" s="832" t="s">
        <v>2281</v>
      </c>
      <c r="B842" s="833" t="s">
        <v>1175</v>
      </c>
      <c r="C842" s="834" t="s">
        <v>41</v>
      </c>
      <c r="D842" s="835">
        <v>51.99</v>
      </c>
    </row>
    <row r="843" spans="1:4" x14ac:dyDescent="0.2">
      <c r="A843" s="827" t="s">
        <v>2282</v>
      </c>
      <c r="B843" s="828" t="s">
        <v>1177</v>
      </c>
      <c r="C843" s="829" t="s">
        <v>41</v>
      </c>
      <c r="D843" s="830">
        <v>52.99</v>
      </c>
    </row>
    <row r="844" spans="1:4" x14ac:dyDescent="0.2">
      <c r="A844" s="837" t="s">
        <v>2283</v>
      </c>
      <c r="B844" s="838" t="s">
        <v>1528</v>
      </c>
      <c r="C844" s="839"/>
      <c r="D844" s="840"/>
    </row>
    <row r="845" spans="1:4" x14ac:dyDescent="0.2">
      <c r="A845" s="832" t="s">
        <v>2284</v>
      </c>
      <c r="B845" s="833" t="s">
        <v>1171</v>
      </c>
      <c r="C845" s="834" t="s">
        <v>41</v>
      </c>
      <c r="D845" s="835">
        <v>209.72</v>
      </c>
    </row>
    <row r="846" spans="1:4" x14ac:dyDescent="0.2">
      <c r="A846" s="827" t="s">
        <v>2285</v>
      </c>
      <c r="B846" s="828" t="s">
        <v>1175</v>
      </c>
      <c r="C846" s="829" t="s">
        <v>41</v>
      </c>
      <c r="D846" s="830">
        <v>51.5</v>
      </c>
    </row>
    <row r="847" spans="1:4" x14ac:dyDescent="0.2">
      <c r="A847" s="832" t="s">
        <v>2286</v>
      </c>
      <c r="B847" s="833" t="s">
        <v>1177</v>
      </c>
      <c r="C847" s="834" t="s">
        <v>41</v>
      </c>
      <c r="D847" s="835">
        <v>53</v>
      </c>
    </row>
    <row r="848" spans="1:4" x14ac:dyDescent="0.2">
      <c r="A848" s="837" t="s">
        <v>2287</v>
      </c>
      <c r="B848" s="838" t="s">
        <v>1533</v>
      </c>
      <c r="C848" s="839"/>
      <c r="D848" s="840"/>
    </row>
    <row r="849" spans="1:4" x14ac:dyDescent="0.2">
      <c r="A849" s="827" t="s">
        <v>2288</v>
      </c>
      <c r="B849" s="828" t="s">
        <v>1167</v>
      </c>
      <c r="C849" s="829" t="s">
        <v>41</v>
      </c>
      <c r="D849" s="830">
        <v>0.2</v>
      </c>
    </row>
    <row r="850" spans="1:4" x14ac:dyDescent="0.2">
      <c r="A850" s="832" t="s">
        <v>2289</v>
      </c>
      <c r="B850" s="833" t="s">
        <v>1171</v>
      </c>
      <c r="C850" s="834" t="s">
        <v>41</v>
      </c>
      <c r="D850" s="835">
        <v>192.21</v>
      </c>
    </row>
    <row r="851" spans="1:4" x14ac:dyDescent="0.2">
      <c r="A851" s="827" t="s">
        <v>2290</v>
      </c>
      <c r="B851" s="828" t="s">
        <v>1175</v>
      </c>
      <c r="C851" s="829" t="s">
        <v>41</v>
      </c>
      <c r="D851" s="830">
        <v>51.99</v>
      </c>
    </row>
    <row r="852" spans="1:4" x14ac:dyDescent="0.2">
      <c r="A852" s="832" t="s">
        <v>2291</v>
      </c>
      <c r="B852" s="833" t="s">
        <v>1177</v>
      </c>
      <c r="C852" s="834" t="s">
        <v>41</v>
      </c>
      <c r="D852" s="835">
        <v>52.99</v>
      </c>
    </row>
    <row r="853" spans="1:4" x14ac:dyDescent="0.2">
      <c r="A853" s="837" t="s">
        <v>2292</v>
      </c>
      <c r="B853" s="838" t="s">
        <v>1538</v>
      </c>
      <c r="C853" s="839"/>
      <c r="D853" s="840"/>
    </row>
    <row r="854" spans="1:4" x14ac:dyDescent="0.2">
      <c r="A854" s="827" t="s">
        <v>2293</v>
      </c>
      <c r="B854" s="828" t="s">
        <v>1165</v>
      </c>
      <c r="C854" s="829" t="s">
        <v>41</v>
      </c>
      <c r="D854" s="830">
        <v>101.03</v>
      </c>
    </row>
    <row r="855" spans="1:4" x14ac:dyDescent="0.2">
      <c r="A855" s="832" t="s">
        <v>2294</v>
      </c>
      <c r="B855" s="833" t="s">
        <v>1167</v>
      </c>
      <c r="C855" s="834" t="s">
        <v>41</v>
      </c>
      <c r="D855" s="835">
        <v>225.88</v>
      </c>
    </row>
    <row r="856" spans="1:4" x14ac:dyDescent="0.2">
      <c r="A856" s="827" t="s">
        <v>2295</v>
      </c>
      <c r="B856" s="828" t="s">
        <v>1177</v>
      </c>
      <c r="C856" s="829" t="s">
        <v>41</v>
      </c>
      <c r="D856" s="830">
        <v>49.29</v>
      </c>
    </row>
    <row r="857" spans="1:4" x14ac:dyDescent="0.2">
      <c r="A857" s="832" t="s">
        <v>2296</v>
      </c>
      <c r="B857" s="833" t="s">
        <v>1179</v>
      </c>
      <c r="C857" s="834" t="s">
        <v>41</v>
      </c>
      <c r="D857" s="835">
        <v>25.15</v>
      </c>
    </row>
    <row r="858" spans="1:4" x14ac:dyDescent="0.2">
      <c r="A858" s="823" t="s">
        <v>1182</v>
      </c>
      <c r="B858" s="824" t="s">
        <v>1183</v>
      </c>
      <c r="C858" s="825"/>
      <c r="D858" s="826"/>
    </row>
    <row r="859" spans="1:4" x14ac:dyDescent="0.2">
      <c r="A859" s="837" t="s">
        <v>2297</v>
      </c>
      <c r="B859" s="838" t="s">
        <v>1538</v>
      </c>
      <c r="C859" s="839"/>
      <c r="D859" s="840"/>
    </row>
    <row r="860" spans="1:4" x14ac:dyDescent="0.2">
      <c r="A860" s="827" t="s">
        <v>2298</v>
      </c>
      <c r="B860" s="828" t="s">
        <v>1185</v>
      </c>
      <c r="C860" s="829" t="s">
        <v>41</v>
      </c>
      <c r="D860" s="830">
        <v>11.57</v>
      </c>
    </row>
    <row r="861" spans="1:4" x14ac:dyDescent="0.2">
      <c r="A861" s="823" t="s">
        <v>1186</v>
      </c>
      <c r="B861" s="824" t="s">
        <v>540</v>
      </c>
      <c r="C861" s="825"/>
      <c r="D861" s="826"/>
    </row>
    <row r="862" spans="1:4" x14ac:dyDescent="0.2">
      <c r="A862" s="837" t="s">
        <v>2299</v>
      </c>
      <c r="B862" s="838" t="s">
        <v>1453</v>
      </c>
      <c r="C862" s="839"/>
      <c r="D862" s="840"/>
    </row>
    <row r="863" spans="1:4" x14ac:dyDescent="0.2">
      <c r="A863" s="832" t="s">
        <v>2300</v>
      </c>
      <c r="B863" s="833" t="s">
        <v>1192</v>
      </c>
      <c r="C863" s="834" t="s">
        <v>41</v>
      </c>
      <c r="D863" s="835">
        <v>43.3</v>
      </c>
    </row>
    <row r="864" spans="1:4" x14ac:dyDescent="0.2">
      <c r="A864" s="827" t="s">
        <v>2301</v>
      </c>
      <c r="B864" s="828" t="s">
        <v>1196</v>
      </c>
      <c r="C864" s="829" t="s">
        <v>41</v>
      </c>
      <c r="D864" s="830">
        <v>8.06</v>
      </c>
    </row>
    <row r="865" spans="1:4" x14ac:dyDescent="0.2">
      <c r="A865" s="832" t="s">
        <v>2302</v>
      </c>
      <c r="B865" s="833" t="s">
        <v>1197</v>
      </c>
      <c r="C865" s="834" t="s">
        <v>41</v>
      </c>
      <c r="D865" s="835">
        <v>9.7799999999999994</v>
      </c>
    </row>
    <row r="866" spans="1:4" x14ac:dyDescent="0.2">
      <c r="A866" s="837" t="s">
        <v>2303</v>
      </c>
      <c r="B866" s="838" t="s">
        <v>1473</v>
      </c>
      <c r="C866" s="839"/>
      <c r="D866" s="840"/>
    </row>
    <row r="867" spans="1:4" x14ac:dyDescent="0.2">
      <c r="A867" s="827" t="s">
        <v>2304</v>
      </c>
      <c r="B867" s="828" t="s">
        <v>1198</v>
      </c>
      <c r="C867" s="829" t="s">
        <v>41</v>
      </c>
      <c r="D867" s="830">
        <v>157.72</v>
      </c>
    </row>
    <row r="868" spans="1:4" x14ac:dyDescent="0.2">
      <c r="A868" s="837" t="s">
        <v>2305</v>
      </c>
      <c r="B868" s="838" t="s">
        <v>1478</v>
      </c>
      <c r="C868" s="839"/>
      <c r="D868" s="840"/>
    </row>
    <row r="869" spans="1:4" x14ac:dyDescent="0.2">
      <c r="A869" s="832" t="s">
        <v>2306</v>
      </c>
      <c r="B869" s="833" t="s">
        <v>1198</v>
      </c>
      <c r="C869" s="834" t="s">
        <v>41</v>
      </c>
      <c r="D869" s="835">
        <v>157.72</v>
      </c>
    </row>
    <row r="870" spans="1:4" x14ac:dyDescent="0.2">
      <c r="A870" s="837" t="s">
        <v>2307</v>
      </c>
      <c r="B870" s="838" t="s">
        <v>1483</v>
      </c>
      <c r="C870" s="839"/>
      <c r="D870" s="840"/>
    </row>
    <row r="871" spans="1:4" x14ac:dyDescent="0.2">
      <c r="A871" s="827" t="s">
        <v>2308</v>
      </c>
      <c r="B871" s="828" t="s">
        <v>1198</v>
      </c>
      <c r="C871" s="829" t="s">
        <v>41</v>
      </c>
      <c r="D871" s="830">
        <v>157.72</v>
      </c>
    </row>
    <row r="872" spans="1:4" x14ac:dyDescent="0.2">
      <c r="A872" s="837" t="s">
        <v>2309</v>
      </c>
      <c r="B872" s="838" t="s">
        <v>1488</v>
      </c>
      <c r="C872" s="839"/>
      <c r="D872" s="840"/>
    </row>
    <row r="873" spans="1:4" x14ac:dyDescent="0.2">
      <c r="A873" s="832" t="s">
        <v>2310</v>
      </c>
      <c r="B873" s="833" t="s">
        <v>1198</v>
      </c>
      <c r="C873" s="834" t="s">
        <v>41</v>
      </c>
      <c r="D873" s="835">
        <v>140.18</v>
      </c>
    </row>
    <row r="874" spans="1:4" x14ac:dyDescent="0.2">
      <c r="A874" s="837" t="s">
        <v>2311</v>
      </c>
      <c r="B874" s="838" t="s">
        <v>1493</v>
      </c>
      <c r="C874" s="839"/>
      <c r="D874" s="840"/>
    </row>
    <row r="875" spans="1:4" x14ac:dyDescent="0.2">
      <c r="A875" s="827" t="s">
        <v>2312</v>
      </c>
      <c r="B875" s="828" t="s">
        <v>1198</v>
      </c>
      <c r="C875" s="829" t="s">
        <v>41</v>
      </c>
      <c r="D875" s="830">
        <v>157.72</v>
      </c>
    </row>
    <row r="876" spans="1:4" x14ac:dyDescent="0.2">
      <c r="A876" s="837" t="s">
        <v>2313</v>
      </c>
      <c r="B876" s="838" t="s">
        <v>1498</v>
      </c>
      <c r="C876" s="839"/>
      <c r="D876" s="840"/>
    </row>
    <row r="877" spans="1:4" x14ac:dyDescent="0.2">
      <c r="A877" s="832" t="s">
        <v>2314</v>
      </c>
      <c r="B877" s="833" t="s">
        <v>1198</v>
      </c>
      <c r="C877" s="834" t="s">
        <v>41</v>
      </c>
      <c r="D877" s="835">
        <v>140.18</v>
      </c>
    </row>
    <row r="878" spans="1:4" x14ac:dyDescent="0.2">
      <c r="A878" s="837" t="s">
        <v>2315</v>
      </c>
      <c r="B878" s="838" t="s">
        <v>1503</v>
      </c>
      <c r="C878" s="839"/>
      <c r="D878" s="840"/>
    </row>
    <row r="879" spans="1:4" x14ac:dyDescent="0.2">
      <c r="A879" s="827" t="s">
        <v>2316</v>
      </c>
      <c r="B879" s="828" t="s">
        <v>1198</v>
      </c>
      <c r="C879" s="829" t="s">
        <v>41</v>
      </c>
      <c r="D879" s="830">
        <v>157.72</v>
      </c>
    </row>
    <row r="880" spans="1:4" x14ac:dyDescent="0.2">
      <c r="A880" s="837" t="s">
        <v>2317</v>
      </c>
      <c r="B880" s="838" t="s">
        <v>1508</v>
      </c>
      <c r="C880" s="839"/>
      <c r="D880" s="840"/>
    </row>
    <row r="881" spans="1:4" x14ac:dyDescent="0.2">
      <c r="A881" s="832" t="s">
        <v>2318</v>
      </c>
      <c r="B881" s="833" t="s">
        <v>1198</v>
      </c>
      <c r="C881" s="834" t="s">
        <v>41</v>
      </c>
      <c r="D881" s="835">
        <v>140.18</v>
      </c>
    </row>
    <row r="882" spans="1:4" x14ac:dyDescent="0.2">
      <c r="A882" s="837" t="s">
        <v>2319</v>
      </c>
      <c r="B882" s="838" t="s">
        <v>1513</v>
      </c>
      <c r="C882" s="839"/>
      <c r="D882" s="840"/>
    </row>
    <row r="883" spans="1:4" x14ac:dyDescent="0.2">
      <c r="A883" s="827" t="s">
        <v>2320</v>
      </c>
      <c r="B883" s="828" t="s">
        <v>1198</v>
      </c>
      <c r="C883" s="829" t="s">
        <v>41</v>
      </c>
      <c r="D883" s="830">
        <v>157.72</v>
      </c>
    </row>
    <row r="884" spans="1:4" x14ac:dyDescent="0.2">
      <c r="A884" s="837" t="s">
        <v>2321</v>
      </c>
      <c r="B884" s="838" t="s">
        <v>1518</v>
      </c>
      <c r="C884" s="839"/>
      <c r="D884" s="840"/>
    </row>
    <row r="885" spans="1:4" x14ac:dyDescent="0.2">
      <c r="A885" s="832" t="s">
        <v>2322</v>
      </c>
      <c r="B885" s="833" t="s">
        <v>1198</v>
      </c>
      <c r="C885" s="834" t="s">
        <v>41</v>
      </c>
      <c r="D885" s="835">
        <v>140.18</v>
      </c>
    </row>
    <row r="886" spans="1:4" x14ac:dyDescent="0.2">
      <c r="A886" s="837" t="s">
        <v>2323</v>
      </c>
      <c r="B886" s="838" t="s">
        <v>1523</v>
      </c>
      <c r="C886" s="839"/>
      <c r="D886" s="840"/>
    </row>
    <row r="887" spans="1:4" x14ac:dyDescent="0.2">
      <c r="A887" s="827" t="s">
        <v>2324</v>
      </c>
      <c r="B887" s="828" t="s">
        <v>1198</v>
      </c>
      <c r="C887" s="829" t="s">
        <v>41</v>
      </c>
      <c r="D887" s="830">
        <v>157.72</v>
      </c>
    </row>
    <row r="888" spans="1:4" x14ac:dyDescent="0.2">
      <c r="A888" s="837" t="s">
        <v>2325</v>
      </c>
      <c r="B888" s="838" t="s">
        <v>1528</v>
      </c>
      <c r="C888" s="839"/>
      <c r="D888" s="840"/>
    </row>
    <row r="889" spans="1:4" x14ac:dyDescent="0.2">
      <c r="A889" s="832" t="s">
        <v>2326</v>
      </c>
      <c r="B889" s="833" t="s">
        <v>1198</v>
      </c>
      <c r="C889" s="834" t="s">
        <v>41</v>
      </c>
      <c r="D889" s="835">
        <v>140.18</v>
      </c>
    </row>
    <row r="890" spans="1:4" x14ac:dyDescent="0.2">
      <c r="A890" s="837" t="s">
        <v>2327</v>
      </c>
      <c r="B890" s="838" t="s">
        <v>1533</v>
      </c>
      <c r="C890" s="839"/>
      <c r="D890" s="840"/>
    </row>
    <row r="891" spans="1:4" x14ac:dyDescent="0.2">
      <c r="A891" s="827" t="s">
        <v>2328</v>
      </c>
      <c r="B891" s="828" t="s">
        <v>1198</v>
      </c>
      <c r="C891" s="829" t="s">
        <v>41</v>
      </c>
      <c r="D891" s="830">
        <v>157.72</v>
      </c>
    </row>
    <row r="892" spans="1:4" x14ac:dyDescent="0.2">
      <c r="A892" s="837" t="s">
        <v>2329</v>
      </c>
      <c r="B892" s="838" t="s">
        <v>1538</v>
      </c>
      <c r="C892" s="839"/>
      <c r="D892" s="840"/>
    </row>
    <row r="893" spans="1:4" x14ac:dyDescent="0.2">
      <c r="A893" s="832" t="s">
        <v>2330</v>
      </c>
      <c r="B893" s="833" t="s">
        <v>1194</v>
      </c>
      <c r="C893" s="834" t="s">
        <v>41</v>
      </c>
      <c r="D893" s="835">
        <v>31.04</v>
      </c>
    </row>
    <row r="894" spans="1:4" x14ac:dyDescent="0.2">
      <c r="A894" s="823" t="s">
        <v>1199</v>
      </c>
      <c r="B894" s="824" t="s">
        <v>526</v>
      </c>
      <c r="C894" s="825"/>
      <c r="D894" s="826"/>
    </row>
    <row r="895" spans="1:4" x14ac:dyDescent="0.2">
      <c r="A895" s="837" t="s">
        <v>2331</v>
      </c>
      <c r="B895" s="838" t="s">
        <v>1453</v>
      </c>
      <c r="C895" s="839"/>
      <c r="D895" s="840"/>
    </row>
    <row r="896" spans="1:4" x14ac:dyDescent="0.2">
      <c r="A896" s="827" t="s">
        <v>2332</v>
      </c>
      <c r="B896" s="828" t="s">
        <v>1201</v>
      </c>
      <c r="C896" s="829" t="s">
        <v>41</v>
      </c>
      <c r="D896" s="830">
        <v>2.9</v>
      </c>
    </row>
    <row r="897" spans="1:4" x14ac:dyDescent="0.2">
      <c r="A897" s="832" t="s">
        <v>2333</v>
      </c>
      <c r="B897" s="833" t="s">
        <v>1203</v>
      </c>
      <c r="C897" s="834" t="s">
        <v>41</v>
      </c>
      <c r="D897" s="835">
        <v>122.63</v>
      </c>
    </row>
    <row r="898" spans="1:4" x14ac:dyDescent="0.2">
      <c r="A898" s="827" t="s">
        <v>2334</v>
      </c>
      <c r="B898" s="828" t="s">
        <v>1205</v>
      </c>
      <c r="C898" s="829" t="s">
        <v>41</v>
      </c>
      <c r="D898" s="830">
        <v>733.55</v>
      </c>
    </row>
    <row r="899" spans="1:4" x14ac:dyDescent="0.2">
      <c r="A899" s="832" t="s">
        <v>2335</v>
      </c>
      <c r="B899" s="833" t="s">
        <v>1451</v>
      </c>
      <c r="C899" s="834" t="s">
        <v>41</v>
      </c>
      <c r="D899" s="835">
        <v>78.69</v>
      </c>
    </row>
    <row r="900" spans="1:4" x14ac:dyDescent="0.2">
      <c r="A900" s="827" t="s">
        <v>2336</v>
      </c>
      <c r="B900" s="828" t="s">
        <v>1210</v>
      </c>
      <c r="C900" s="829" t="s">
        <v>41</v>
      </c>
      <c r="D900" s="830">
        <v>641.36</v>
      </c>
    </row>
    <row r="901" spans="1:4" x14ac:dyDescent="0.2">
      <c r="A901" s="837" t="s">
        <v>2337</v>
      </c>
      <c r="B901" s="838" t="s">
        <v>1458</v>
      </c>
      <c r="C901" s="839"/>
      <c r="D901" s="840"/>
    </row>
    <row r="902" spans="1:4" x14ac:dyDescent="0.2">
      <c r="A902" s="832" t="s">
        <v>2338</v>
      </c>
      <c r="B902" s="833" t="s">
        <v>1201</v>
      </c>
      <c r="C902" s="834" t="s">
        <v>41</v>
      </c>
      <c r="D902" s="835">
        <v>2.91</v>
      </c>
    </row>
    <row r="903" spans="1:4" x14ac:dyDescent="0.2">
      <c r="A903" s="827" t="s">
        <v>2339</v>
      </c>
      <c r="B903" s="828" t="s">
        <v>1451</v>
      </c>
      <c r="C903" s="829" t="s">
        <v>41</v>
      </c>
      <c r="D903" s="830">
        <v>29.43</v>
      </c>
    </row>
    <row r="904" spans="1:4" x14ac:dyDescent="0.2">
      <c r="A904" s="837" t="s">
        <v>2340</v>
      </c>
      <c r="B904" s="838" t="s">
        <v>1462</v>
      </c>
      <c r="C904" s="839"/>
      <c r="D904" s="840"/>
    </row>
    <row r="905" spans="1:4" x14ac:dyDescent="0.2">
      <c r="A905" s="832" t="s">
        <v>2341</v>
      </c>
      <c r="B905" s="833" t="s">
        <v>1201</v>
      </c>
      <c r="C905" s="834" t="s">
        <v>41</v>
      </c>
      <c r="D905" s="835">
        <v>2.91</v>
      </c>
    </row>
    <row r="906" spans="1:4" x14ac:dyDescent="0.2">
      <c r="A906" s="827" t="s">
        <v>2342</v>
      </c>
      <c r="B906" s="828" t="s">
        <v>1451</v>
      </c>
      <c r="C906" s="829" t="s">
        <v>41</v>
      </c>
      <c r="D906" s="830">
        <v>18.45</v>
      </c>
    </row>
    <row r="907" spans="1:4" x14ac:dyDescent="0.2">
      <c r="A907" s="837" t="s">
        <v>2343</v>
      </c>
      <c r="B907" s="838" t="s">
        <v>1466</v>
      </c>
      <c r="C907" s="839"/>
      <c r="D907" s="840"/>
    </row>
    <row r="908" spans="1:4" x14ac:dyDescent="0.2">
      <c r="A908" s="832" t="s">
        <v>2344</v>
      </c>
      <c r="B908" s="833" t="s">
        <v>1201</v>
      </c>
      <c r="C908" s="834" t="s">
        <v>41</v>
      </c>
      <c r="D908" s="835">
        <v>2.91</v>
      </c>
    </row>
    <row r="909" spans="1:4" x14ac:dyDescent="0.2">
      <c r="A909" s="827" t="s">
        <v>2345</v>
      </c>
      <c r="B909" s="828" t="s">
        <v>1451</v>
      </c>
      <c r="C909" s="829" t="s">
        <v>41</v>
      </c>
      <c r="D909" s="830">
        <v>18.45</v>
      </c>
    </row>
    <row r="910" spans="1:4" x14ac:dyDescent="0.2">
      <c r="A910" s="837" t="s">
        <v>2346</v>
      </c>
      <c r="B910" s="838" t="s">
        <v>1470</v>
      </c>
      <c r="C910" s="839"/>
      <c r="D910" s="840"/>
    </row>
    <row r="911" spans="1:4" x14ac:dyDescent="0.2">
      <c r="A911" s="832" t="s">
        <v>2347</v>
      </c>
      <c r="B911" s="833" t="s">
        <v>1451</v>
      </c>
      <c r="C911" s="834" t="s">
        <v>41</v>
      </c>
      <c r="D911" s="835">
        <v>10.51</v>
      </c>
    </row>
    <row r="912" spans="1:4" x14ac:dyDescent="0.2">
      <c r="A912" s="837" t="s">
        <v>2348</v>
      </c>
      <c r="B912" s="838" t="s">
        <v>1473</v>
      </c>
      <c r="C912" s="839"/>
      <c r="D912" s="840"/>
    </row>
    <row r="913" spans="1:4" x14ac:dyDescent="0.2">
      <c r="A913" s="827" t="s">
        <v>2349</v>
      </c>
      <c r="B913" s="828" t="s">
        <v>1201</v>
      </c>
      <c r="C913" s="829" t="s">
        <v>41</v>
      </c>
      <c r="D913" s="830">
        <v>2.91</v>
      </c>
    </row>
    <row r="914" spans="1:4" x14ac:dyDescent="0.2">
      <c r="A914" s="832" t="s">
        <v>2350</v>
      </c>
      <c r="B914" s="833" t="s">
        <v>1203</v>
      </c>
      <c r="C914" s="834" t="s">
        <v>41</v>
      </c>
      <c r="D914" s="835">
        <v>0.83</v>
      </c>
    </row>
    <row r="915" spans="1:4" x14ac:dyDescent="0.2">
      <c r="A915" s="827" t="s">
        <v>2351</v>
      </c>
      <c r="B915" s="828" t="s">
        <v>1205</v>
      </c>
      <c r="C915" s="829" t="s">
        <v>41</v>
      </c>
      <c r="D915" s="830">
        <v>150.15</v>
      </c>
    </row>
    <row r="916" spans="1:4" x14ac:dyDescent="0.2">
      <c r="A916" s="832" t="s">
        <v>2352</v>
      </c>
      <c r="B916" s="833" t="s">
        <v>1451</v>
      </c>
      <c r="C916" s="834" t="s">
        <v>41</v>
      </c>
      <c r="D916" s="835">
        <v>18.04</v>
      </c>
    </row>
    <row r="917" spans="1:4" x14ac:dyDescent="0.2">
      <c r="A917" s="827" t="s">
        <v>2353</v>
      </c>
      <c r="B917" s="828" t="s">
        <v>1208</v>
      </c>
      <c r="C917" s="829" t="s">
        <v>41</v>
      </c>
      <c r="D917" s="830">
        <v>331.76</v>
      </c>
    </row>
    <row r="918" spans="1:4" x14ac:dyDescent="0.2">
      <c r="A918" s="837" t="s">
        <v>2354</v>
      </c>
      <c r="B918" s="838" t="s">
        <v>1478</v>
      </c>
      <c r="C918" s="839"/>
      <c r="D918" s="840"/>
    </row>
    <row r="919" spans="1:4" x14ac:dyDescent="0.2">
      <c r="A919" s="832" t="s">
        <v>2355</v>
      </c>
      <c r="B919" s="833" t="s">
        <v>1201</v>
      </c>
      <c r="C919" s="834" t="s">
        <v>41</v>
      </c>
      <c r="D919" s="835">
        <v>2.91</v>
      </c>
    </row>
    <row r="920" spans="1:4" x14ac:dyDescent="0.2">
      <c r="A920" s="827" t="s">
        <v>2356</v>
      </c>
      <c r="B920" s="828" t="s">
        <v>1205</v>
      </c>
      <c r="C920" s="829" t="s">
        <v>41</v>
      </c>
      <c r="D920" s="830">
        <v>138.22999999999999</v>
      </c>
    </row>
    <row r="921" spans="1:4" x14ac:dyDescent="0.2">
      <c r="A921" s="832" t="s">
        <v>2357</v>
      </c>
      <c r="B921" s="833" t="s">
        <v>1451</v>
      </c>
      <c r="C921" s="834" t="s">
        <v>41</v>
      </c>
      <c r="D921" s="835">
        <v>18.04</v>
      </c>
    </row>
    <row r="922" spans="1:4" x14ac:dyDescent="0.2">
      <c r="A922" s="827" t="s">
        <v>2358</v>
      </c>
      <c r="B922" s="828" t="s">
        <v>1208</v>
      </c>
      <c r="C922" s="829" t="s">
        <v>41</v>
      </c>
      <c r="D922" s="830">
        <v>331.76</v>
      </c>
    </row>
    <row r="923" spans="1:4" x14ac:dyDescent="0.2">
      <c r="A923" s="837" t="s">
        <v>2359</v>
      </c>
      <c r="B923" s="838" t="s">
        <v>1483</v>
      </c>
      <c r="C923" s="839"/>
      <c r="D923" s="840"/>
    </row>
    <row r="924" spans="1:4" x14ac:dyDescent="0.2">
      <c r="A924" s="832" t="s">
        <v>2360</v>
      </c>
      <c r="B924" s="833" t="s">
        <v>1201</v>
      </c>
      <c r="C924" s="834" t="s">
        <v>41</v>
      </c>
      <c r="D924" s="835">
        <v>2.91</v>
      </c>
    </row>
    <row r="925" spans="1:4" x14ac:dyDescent="0.2">
      <c r="A925" s="827" t="s">
        <v>2361</v>
      </c>
      <c r="B925" s="828" t="s">
        <v>1205</v>
      </c>
      <c r="C925" s="829" t="s">
        <v>41</v>
      </c>
      <c r="D925" s="830">
        <v>138.22999999999999</v>
      </c>
    </row>
    <row r="926" spans="1:4" x14ac:dyDescent="0.2">
      <c r="A926" s="832" t="s">
        <v>2362</v>
      </c>
      <c r="B926" s="833" t="s">
        <v>1451</v>
      </c>
      <c r="C926" s="834" t="s">
        <v>41</v>
      </c>
      <c r="D926" s="835">
        <v>18.04</v>
      </c>
    </row>
    <row r="927" spans="1:4" x14ac:dyDescent="0.2">
      <c r="A927" s="827" t="s">
        <v>2363</v>
      </c>
      <c r="B927" s="828" t="s">
        <v>1208</v>
      </c>
      <c r="C927" s="829" t="s">
        <v>41</v>
      </c>
      <c r="D927" s="830">
        <v>331.76</v>
      </c>
    </row>
    <row r="928" spans="1:4" x14ac:dyDescent="0.2">
      <c r="A928" s="837" t="s">
        <v>2364</v>
      </c>
      <c r="B928" s="838" t="s">
        <v>1488</v>
      </c>
      <c r="C928" s="839"/>
      <c r="D928" s="840"/>
    </row>
    <row r="929" spans="1:4" x14ac:dyDescent="0.2">
      <c r="A929" s="832" t="s">
        <v>2365</v>
      </c>
      <c r="B929" s="833" t="s">
        <v>1201</v>
      </c>
      <c r="C929" s="834" t="s">
        <v>41</v>
      </c>
      <c r="D929" s="835">
        <v>2.91</v>
      </c>
    </row>
    <row r="930" spans="1:4" x14ac:dyDescent="0.2">
      <c r="A930" s="827" t="s">
        <v>2366</v>
      </c>
      <c r="B930" s="828" t="s">
        <v>1203</v>
      </c>
      <c r="C930" s="829" t="s">
        <v>41</v>
      </c>
      <c r="D930" s="830">
        <v>0.83</v>
      </c>
    </row>
    <row r="931" spans="1:4" x14ac:dyDescent="0.2">
      <c r="A931" s="832" t="s">
        <v>2367</v>
      </c>
      <c r="B931" s="833" t="s">
        <v>1205</v>
      </c>
      <c r="C931" s="834" t="s">
        <v>41</v>
      </c>
      <c r="D931" s="835">
        <v>149.66</v>
      </c>
    </row>
    <row r="932" spans="1:4" x14ac:dyDescent="0.2">
      <c r="A932" s="827" t="s">
        <v>2368</v>
      </c>
      <c r="B932" s="828" t="s">
        <v>1451</v>
      </c>
      <c r="C932" s="829" t="s">
        <v>41</v>
      </c>
      <c r="D932" s="830">
        <v>18.420000000000002</v>
      </c>
    </row>
    <row r="933" spans="1:4" x14ac:dyDescent="0.2">
      <c r="A933" s="832" t="s">
        <v>2369</v>
      </c>
      <c r="B933" s="833" t="s">
        <v>1208</v>
      </c>
      <c r="C933" s="834" t="s">
        <v>41</v>
      </c>
      <c r="D933" s="835">
        <v>331.76</v>
      </c>
    </row>
    <row r="934" spans="1:4" x14ac:dyDescent="0.2">
      <c r="A934" s="837" t="s">
        <v>2370</v>
      </c>
      <c r="B934" s="838" t="s">
        <v>1493</v>
      </c>
      <c r="C934" s="839"/>
      <c r="D934" s="840"/>
    </row>
    <row r="935" spans="1:4" x14ac:dyDescent="0.2">
      <c r="A935" s="827" t="s">
        <v>2371</v>
      </c>
      <c r="B935" s="828" t="s">
        <v>1201</v>
      </c>
      <c r="C935" s="829" t="s">
        <v>41</v>
      </c>
      <c r="D935" s="830">
        <v>2.91</v>
      </c>
    </row>
    <row r="936" spans="1:4" x14ac:dyDescent="0.2">
      <c r="A936" s="832" t="s">
        <v>2372</v>
      </c>
      <c r="B936" s="833" t="s">
        <v>1205</v>
      </c>
      <c r="C936" s="834" t="s">
        <v>41</v>
      </c>
      <c r="D936" s="835">
        <v>138.22999999999999</v>
      </c>
    </row>
    <row r="937" spans="1:4" x14ac:dyDescent="0.2">
      <c r="A937" s="827" t="s">
        <v>2373</v>
      </c>
      <c r="B937" s="828" t="s">
        <v>1451</v>
      </c>
      <c r="C937" s="829" t="s">
        <v>41</v>
      </c>
      <c r="D937" s="830">
        <v>18.04</v>
      </c>
    </row>
    <row r="938" spans="1:4" x14ac:dyDescent="0.2">
      <c r="A938" s="832" t="s">
        <v>2374</v>
      </c>
      <c r="B938" s="833" t="s">
        <v>1208</v>
      </c>
      <c r="C938" s="834" t="s">
        <v>41</v>
      </c>
      <c r="D938" s="835">
        <v>331.76</v>
      </c>
    </row>
    <row r="939" spans="1:4" x14ac:dyDescent="0.2">
      <c r="A939" s="837" t="s">
        <v>2375</v>
      </c>
      <c r="B939" s="838" t="s">
        <v>1498</v>
      </c>
      <c r="C939" s="839"/>
      <c r="D939" s="840"/>
    </row>
    <row r="940" spans="1:4" x14ac:dyDescent="0.2">
      <c r="A940" s="827" t="s">
        <v>2376</v>
      </c>
      <c r="B940" s="828" t="s">
        <v>1201</v>
      </c>
      <c r="C940" s="829" t="s">
        <v>41</v>
      </c>
      <c r="D940" s="830">
        <v>2.91</v>
      </c>
    </row>
    <row r="941" spans="1:4" x14ac:dyDescent="0.2">
      <c r="A941" s="832" t="s">
        <v>2377</v>
      </c>
      <c r="B941" s="833" t="s">
        <v>1203</v>
      </c>
      <c r="C941" s="834" t="s">
        <v>41</v>
      </c>
      <c r="D941" s="835">
        <v>0.83</v>
      </c>
    </row>
    <row r="942" spans="1:4" x14ac:dyDescent="0.2">
      <c r="A942" s="827" t="s">
        <v>2378</v>
      </c>
      <c r="B942" s="828" t="s">
        <v>1205</v>
      </c>
      <c r="C942" s="829" t="s">
        <v>41</v>
      </c>
      <c r="D942" s="830">
        <v>149.13999999999999</v>
      </c>
    </row>
    <row r="943" spans="1:4" x14ac:dyDescent="0.2">
      <c r="A943" s="832" t="s">
        <v>2379</v>
      </c>
      <c r="B943" s="833" t="s">
        <v>1451</v>
      </c>
      <c r="C943" s="834" t="s">
        <v>41</v>
      </c>
      <c r="D943" s="835">
        <v>18.420000000000002</v>
      </c>
    </row>
    <row r="944" spans="1:4" x14ac:dyDescent="0.2">
      <c r="A944" s="827" t="s">
        <v>2380</v>
      </c>
      <c r="B944" s="828" t="s">
        <v>1208</v>
      </c>
      <c r="C944" s="829" t="s">
        <v>41</v>
      </c>
      <c r="D944" s="830">
        <v>331.76</v>
      </c>
    </row>
    <row r="945" spans="1:4" x14ac:dyDescent="0.2">
      <c r="A945" s="837" t="s">
        <v>2381</v>
      </c>
      <c r="B945" s="838" t="s">
        <v>1503</v>
      </c>
      <c r="C945" s="839"/>
      <c r="D945" s="840"/>
    </row>
    <row r="946" spans="1:4" x14ac:dyDescent="0.2">
      <c r="A946" s="832" t="s">
        <v>2382</v>
      </c>
      <c r="B946" s="833" t="s">
        <v>1201</v>
      </c>
      <c r="C946" s="834" t="s">
        <v>41</v>
      </c>
      <c r="D946" s="835">
        <v>2.91</v>
      </c>
    </row>
    <row r="947" spans="1:4" x14ac:dyDescent="0.2">
      <c r="A947" s="827" t="s">
        <v>2383</v>
      </c>
      <c r="B947" s="828" t="s">
        <v>1205</v>
      </c>
      <c r="C947" s="829" t="s">
        <v>41</v>
      </c>
      <c r="D947" s="830">
        <v>138.22999999999999</v>
      </c>
    </row>
    <row r="948" spans="1:4" x14ac:dyDescent="0.2">
      <c r="A948" s="832" t="s">
        <v>2384</v>
      </c>
      <c r="B948" s="833" t="s">
        <v>1451</v>
      </c>
      <c r="C948" s="834" t="s">
        <v>41</v>
      </c>
      <c r="D948" s="835">
        <v>18.04</v>
      </c>
    </row>
    <row r="949" spans="1:4" x14ac:dyDescent="0.2">
      <c r="A949" s="827" t="s">
        <v>2385</v>
      </c>
      <c r="B949" s="828" t="s">
        <v>1208</v>
      </c>
      <c r="C949" s="829" t="s">
        <v>41</v>
      </c>
      <c r="D949" s="830">
        <v>331.76</v>
      </c>
    </row>
    <row r="950" spans="1:4" x14ac:dyDescent="0.2">
      <c r="A950" s="837" t="s">
        <v>2386</v>
      </c>
      <c r="B950" s="838" t="s">
        <v>1508</v>
      </c>
      <c r="C950" s="839"/>
      <c r="D950" s="840"/>
    </row>
    <row r="951" spans="1:4" x14ac:dyDescent="0.2">
      <c r="A951" s="832" t="s">
        <v>2387</v>
      </c>
      <c r="B951" s="833" t="s">
        <v>1201</v>
      </c>
      <c r="C951" s="834" t="s">
        <v>41</v>
      </c>
      <c r="D951" s="835">
        <v>2.91</v>
      </c>
    </row>
    <row r="952" spans="1:4" x14ac:dyDescent="0.2">
      <c r="A952" s="827" t="s">
        <v>2388</v>
      </c>
      <c r="B952" s="828" t="s">
        <v>1205</v>
      </c>
      <c r="C952" s="829" t="s">
        <v>41</v>
      </c>
      <c r="D952" s="830">
        <v>137.74</v>
      </c>
    </row>
    <row r="953" spans="1:4" x14ac:dyDescent="0.2">
      <c r="A953" s="832" t="s">
        <v>2389</v>
      </c>
      <c r="B953" s="833" t="s">
        <v>1451</v>
      </c>
      <c r="C953" s="834" t="s">
        <v>41</v>
      </c>
      <c r="D953" s="835">
        <v>18.420000000000002</v>
      </c>
    </row>
    <row r="954" spans="1:4" x14ac:dyDescent="0.2">
      <c r="A954" s="827" t="s">
        <v>2390</v>
      </c>
      <c r="B954" s="828" t="s">
        <v>1208</v>
      </c>
      <c r="C954" s="829" t="s">
        <v>41</v>
      </c>
      <c r="D954" s="830">
        <v>331.76</v>
      </c>
    </row>
    <row r="955" spans="1:4" x14ac:dyDescent="0.2">
      <c r="A955" s="837" t="s">
        <v>2391</v>
      </c>
      <c r="B955" s="838" t="s">
        <v>1513</v>
      </c>
      <c r="C955" s="839"/>
      <c r="D955" s="840"/>
    </row>
    <row r="956" spans="1:4" x14ac:dyDescent="0.2">
      <c r="A956" s="832" t="s">
        <v>2392</v>
      </c>
      <c r="B956" s="833" t="s">
        <v>1201</v>
      </c>
      <c r="C956" s="834" t="s">
        <v>41</v>
      </c>
      <c r="D956" s="835">
        <v>2.91</v>
      </c>
    </row>
    <row r="957" spans="1:4" x14ac:dyDescent="0.2">
      <c r="A957" s="827" t="s">
        <v>2393</v>
      </c>
      <c r="B957" s="828" t="s">
        <v>1203</v>
      </c>
      <c r="C957" s="829" t="s">
        <v>41</v>
      </c>
      <c r="D957" s="830">
        <v>0.83</v>
      </c>
    </row>
    <row r="958" spans="1:4" x14ac:dyDescent="0.2">
      <c r="A958" s="832" t="s">
        <v>2394</v>
      </c>
      <c r="B958" s="833" t="s">
        <v>1205</v>
      </c>
      <c r="C958" s="834" t="s">
        <v>41</v>
      </c>
      <c r="D958" s="835">
        <v>150.15</v>
      </c>
    </row>
    <row r="959" spans="1:4" x14ac:dyDescent="0.2">
      <c r="A959" s="827" t="s">
        <v>2395</v>
      </c>
      <c r="B959" s="828" t="s">
        <v>1451</v>
      </c>
      <c r="C959" s="829" t="s">
        <v>41</v>
      </c>
      <c r="D959" s="830">
        <v>18.04</v>
      </c>
    </row>
    <row r="960" spans="1:4" x14ac:dyDescent="0.2">
      <c r="A960" s="832" t="s">
        <v>2396</v>
      </c>
      <c r="B960" s="833" t="s">
        <v>1208</v>
      </c>
      <c r="C960" s="834" t="s">
        <v>41</v>
      </c>
      <c r="D960" s="835">
        <v>331.76</v>
      </c>
    </row>
    <row r="961" spans="1:4" x14ac:dyDescent="0.2">
      <c r="A961" s="837" t="s">
        <v>2397</v>
      </c>
      <c r="B961" s="838" t="s">
        <v>1518</v>
      </c>
      <c r="C961" s="839"/>
      <c r="D961" s="840"/>
    </row>
    <row r="962" spans="1:4" x14ac:dyDescent="0.2">
      <c r="A962" s="827" t="s">
        <v>2398</v>
      </c>
      <c r="B962" s="828" t="s">
        <v>1201</v>
      </c>
      <c r="C962" s="829" t="s">
        <v>41</v>
      </c>
      <c r="D962" s="830">
        <v>2.91</v>
      </c>
    </row>
    <row r="963" spans="1:4" x14ac:dyDescent="0.2">
      <c r="A963" s="832" t="s">
        <v>2399</v>
      </c>
      <c r="B963" s="833" t="s">
        <v>1205</v>
      </c>
      <c r="C963" s="834" t="s">
        <v>41</v>
      </c>
      <c r="D963" s="835">
        <v>137.74</v>
      </c>
    </row>
    <row r="964" spans="1:4" x14ac:dyDescent="0.2">
      <c r="A964" s="827" t="s">
        <v>2400</v>
      </c>
      <c r="B964" s="828" t="s">
        <v>1451</v>
      </c>
      <c r="C964" s="829" t="s">
        <v>41</v>
      </c>
      <c r="D964" s="830">
        <v>18.420000000000002</v>
      </c>
    </row>
    <row r="965" spans="1:4" x14ac:dyDescent="0.2">
      <c r="A965" s="832" t="s">
        <v>2401</v>
      </c>
      <c r="B965" s="833" t="s">
        <v>1208</v>
      </c>
      <c r="C965" s="834" t="s">
        <v>41</v>
      </c>
      <c r="D965" s="835">
        <v>331.76</v>
      </c>
    </row>
    <row r="966" spans="1:4" x14ac:dyDescent="0.2">
      <c r="A966" s="837" t="s">
        <v>2402</v>
      </c>
      <c r="B966" s="838" t="s">
        <v>1523</v>
      </c>
      <c r="C966" s="839"/>
      <c r="D966" s="840"/>
    </row>
    <row r="967" spans="1:4" x14ac:dyDescent="0.2">
      <c r="A967" s="827" t="s">
        <v>2403</v>
      </c>
      <c r="B967" s="828" t="s">
        <v>1201</v>
      </c>
      <c r="C967" s="829" t="s">
        <v>41</v>
      </c>
      <c r="D967" s="830">
        <v>2.91</v>
      </c>
    </row>
    <row r="968" spans="1:4" x14ac:dyDescent="0.2">
      <c r="A968" s="832" t="s">
        <v>2404</v>
      </c>
      <c r="B968" s="833" t="s">
        <v>1203</v>
      </c>
      <c r="C968" s="834" t="s">
        <v>41</v>
      </c>
      <c r="D968" s="835">
        <v>0.83</v>
      </c>
    </row>
    <row r="969" spans="1:4" x14ac:dyDescent="0.2">
      <c r="A969" s="827" t="s">
        <v>2405</v>
      </c>
      <c r="B969" s="828" t="s">
        <v>1205</v>
      </c>
      <c r="C969" s="829" t="s">
        <v>41</v>
      </c>
      <c r="D969" s="830">
        <v>150.15</v>
      </c>
    </row>
    <row r="970" spans="1:4" x14ac:dyDescent="0.2">
      <c r="A970" s="832" t="s">
        <v>2406</v>
      </c>
      <c r="B970" s="833" t="s">
        <v>1451</v>
      </c>
      <c r="C970" s="834" t="s">
        <v>41</v>
      </c>
      <c r="D970" s="835">
        <v>18.04</v>
      </c>
    </row>
    <row r="971" spans="1:4" x14ac:dyDescent="0.2">
      <c r="A971" s="827" t="s">
        <v>2407</v>
      </c>
      <c r="B971" s="828" t="s">
        <v>1208</v>
      </c>
      <c r="C971" s="829" t="s">
        <v>41</v>
      </c>
      <c r="D971" s="830">
        <v>331.76</v>
      </c>
    </row>
    <row r="972" spans="1:4" x14ac:dyDescent="0.2">
      <c r="A972" s="837" t="s">
        <v>2408</v>
      </c>
      <c r="B972" s="838" t="s">
        <v>1528</v>
      </c>
      <c r="C972" s="839"/>
      <c r="D972" s="840"/>
    </row>
    <row r="973" spans="1:4" x14ac:dyDescent="0.2">
      <c r="A973" s="832" t="s">
        <v>2409</v>
      </c>
      <c r="B973" s="833" t="s">
        <v>1201</v>
      </c>
      <c r="C973" s="834" t="s">
        <v>41</v>
      </c>
      <c r="D973" s="835">
        <v>2.91</v>
      </c>
    </row>
    <row r="974" spans="1:4" x14ac:dyDescent="0.2">
      <c r="A974" s="827" t="s">
        <v>2410</v>
      </c>
      <c r="B974" s="828" t="s">
        <v>1205</v>
      </c>
      <c r="C974" s="829" t="s">
        <v>41</v>
      </c>
      <c r="D974" s="830">
        <v>137.74</v>
      </c>
    </row>
    <row r="975" spans="1:4" x14ac:dyDescent="0.2">
      <c r="A975" s="832" t="s">
        <v>2411</v>
      </c>
      <c r="B975" s="833" t="s">
        <v>1451</v>
      </c>
      <c r="C975" s="834" t="s">
        <v>41</v>
      </c>
      <c r="D975" s="835">
        <v>18.420000000000002</v>
      </c>
    </row>
    <row r="976" spans="1:4" x14ac:dyDescent="0.2">
      <c r="A976" s="827" t="s">
        <v>2412</v>
      </c>
      <c r="B976" s="828" t="s">
        <v>1208</v>
      </c>
      <c r="C976" s="829" t="s">
        <v>41</v>
      </c>
      <c r="D976" s="830">
        <v>331.76</v>
      </c>
    </row>
    <row r="977" spans="1:4" x14ac:dyDescent="0.2">
      <c r="A977" s="837" t="s">
        <v>2413</v>
      </c>
      <c r="B977" s="838" t="s">
        <v>1533</v>
      </c>
      <c r="C977" s="839"/>
      <c r="D977" s="840"/>
    </row>
    <row r="978" spans="1:4" x14ac:dyDescent="0.2">
      <c r="A978" s="832" t="s">
        <v>2414</v>
      </c>
      <c r="B978" s="833" t="s">
        <v>1201</v>
      </c>
      <c r="C978" s="834" t="s">
        <v>41</v>
      </c>
      <c r="D978" s="835">
        <v>2.91</v>
      </c>
    </row>
    <row r="979" spans="1:4" x14ac:dyDescent="0.2">
      <c r="A979" s="827" t="s">
        <v>2415</v>
      </c>
      <c r="B979" s="828" t="s">
        <v>1205</v>
      </c>
      <c r="C979" s="829" t="s">
        <v>41</v>
      </c>
      <c r="D979" s="830">
        <v>138.22999999999999</v>
      </c>
    </row>
    <row r="980" spans="1:4" x14ac:dyDescent="0.2">
      <c r="A980" s="832" t="s">
        <v>2416</v>
      </c>
      <c r="B980" s="833" t="s">
        <v>1451</v>
      </c>
      <c r="C980" s="834" t="s">
        <v>41</v>
      </c>
      <c r="D980" s="835">
        <v>18.04</v>
      </c>
    </row>
    <row r="981" spans="1:4" x14ac:dyDescent="0.2">
      <c r="A981" s="827" t="s">
        <v>2417</v>
      </c>
      <c r="B981" s="828" t="s">
        <v>1208</v>
      </c>
      <c r="C981" s="829" t="s">
        <v>41</v>
      </c>
      <c r="D981" s="830">
        <v>331.76</v>
      </c>
    </row>
    <row r="982" spans="1:4" x14ac:dyDescent="0.2">
      <c r="A982" s="837" t="s">
        <v>2418</v>
      </c>
      <c r="B982" s="838" t="s">
        <v>1538</v>
      </c>
      <c r="C982" s="839"/>
      <c r="D982" s="840"/>
    </row>
    <row r="983" spans="1:4" x14ac:dyDescent="0.2">
      <c r="A983" s="832" t="s">
        <v>2419</v>
      </c>
      <c r="B983" s="833" t="s">
        <v>1201</v>
      </c>
      <c r="C983" s="834" t="s">
        <v>41</v>
      </c>
      <c r="D983" s="835">
        <v>2.91</v>
      </c>
    </row>
    <row r="984" spans="1:4" x14ac:dyDescent="0.2">
      <c r="A984" s="827" t="s">
        <v>2420</v>
      </c>
      <c r="B984" s="828" t="s">
        <v>1203</v>
      </c>
      <c r="C984" s="829" t="s">
        <v>41</v>
      </c>
      <c r="D984" s="830">
        <v>14.39</v>
      </c>
    </row>
    <row r="985" spans="1:4" x14ac:dyDescent="0.2">
      <c r="A985" s="832" t="s">
        <v>2421</v>
      </c>
      <c r="B985" s="833" t="s">
        <v>1205</v>
      </c>
      <c r="C985" s="834" t="s">
        <v>41</v>
      </c>
      <c r="D985" s="835">
        <v>236.83</v>
      </c>
    </row>
    <row r="986" spans="1:4" x14ac:dyDescent="0.2">
      <c r="A986" s="827" t="s">
        <v>2422</v>
      </c>
      <c r="B986" s="828" t="s">
        <v>1451</v>
      </c>
      <c r="C986" s="829" t="s">
        <v>41</v>
      </c>
      <c r="D986" s="830">
        <v>33.44</v>
      </c>
    </row>
    <row r="987" spans="1:4" x14ac:dyDescent="0.2">
      <c r="A987" s="832" t="s">
        <v>2423</v>
      </c>
      <c r="B987" s="833" t="s">
        <v>1208</v>
      </c>
      <c r="C987" s="834" t="s">
        <v>41</v>
      </c>
      <c r="D987" s="835">
        <v>208.5</v>
      </c>
    </row>
    <row r="988" spans="1:4" x14ac:dyDescent="0.2">
      <c r="A988" s="837" t="s">
        <v>2424</v>
      </c>
      <c r="B988" s="838" t="s">
        <v>1542</v>
      </c>
      <c r="C988" s="839"/>
      <c r="D988" s="840"/>
    </row>
    <row r="989" spans="1:4" x14ac:dyDescent="0.2">
      <c r="A989" s="827" t="s">
        <v>2425</v>
      </c>
      <c r="B989" s="828" t="s">
        <v>1203</v>
      </c>
      <c r="C989" s="829" t="s">
        <v>41</v>
      </c>
      <c r="D989" s="830">
        <v>326.85000000000002</v>
      </c>
    </row>
    <row r="990" spans="1:4" x14ac:dyDescent="0.2">
      <c r="A990" s="832" t="s">
        <v>2426</v>
      </c>
      <c r="B990" s="833" t="s">
        <v>1205</v>
      </c>
      <c r="C990" s="834" t="s">
        <v>41</v>
      </c>
      <c r="D990" s="835">
        <v>14.35</v>
      </c>
    </row>
    <row r="991" spans="1:4" x14ac:dyDescent="0.2">
      <c r="A991" s="827" t="s">
        <v>2427</v>
      </c>
      <c r="B991" s="828" t="s">
        <v>1451</v>
      </c>
      <c r="C991" s="829" t="s">
        <v>41</v>
      </c>
      <c r="D991" s="830">
        <v>7.36</v>
      </c>
    </row>
    <row r="992" spans="1:4" x14ac:dyDescent="0.2">
      <c r="A992" s="837" t="s">
        <v>2428</v>
      </c>
      <c r="B992" s="838" t="s">
        <v>1548</v>
      </c>
      <c r="C992" s="839"/>
      <c r="D992" s="840"/>
    </row>
    <row r="993" spans="1:4" x14ac:dyDescent="0.2">
      <c r="A993" s="832" t="s">
        <v>2429</v>
      </c>
      <c r="B993" s="833" t="s">
        <v>1203</v>
      </c>
      <c r="C993" s="834" t="s">
        <v>41</v>
      </c>
      <c r="D993" s="835">
        <v>34.99</v>
      </c>
    </row>
    <row r="994" spans="1:4" x14ac:dyDescent="0.2">
      <c r="A994" s="823" t="s">
        <v>1211</v>
      </c>
      <c r="B994" s="824" t="s">
        <v>1212</v>
      </c>
      <c r="C994" s="825"/>
      <c r="D994" s="826"/>
    </row>
    <row r="995" spans="1:4" x14ac:dyDescent="0.2">
      <c r="A995" s="837" t="s">
        <v>2430</v>
      </c>
      <c r="B995" s="838" t="s">
        <v>1473</v>
      </c>
      <c r="C995" s="839"/>
      <c r="D995" s="840"/>
    </row>
    <row r="996" spans="1:4" x14ac:dyDescent="0.2">
      <c r="A996" s="827" t="s">
        <v>2431</v>
      </c>
      <c r="B996" s="828" t="s">
        <v>1214</v>
      </c>
      <c r="C996" s="829" t="s">
        <v>41</v>
      </c>
      <c r="D996" s="830">
        <v>157.72</v>
      </c>
    </row>
    <row r="997" spans="1:4" x14ac:dyDescent="0.2">
      <c r="A997" s="837" t="s">
        <v>2432</v>
      </c>
      <c r="B997" s="838" t="s">
        <v>1478</v>
      </c>
      <c r="C997" s="839"/>
      <c r="D997" s="840"/>
    </row>
    <row r="998" spans="1:4" x14ac:dyDescent="0.2">
      <c r="A998" s="832" t="s">
        <v>2433</v>
      </c>
      <c r="B998" s="833" t="s">
        <v>1214</v>
      </c>
      <c r="C998" s="834" t="s">
        <v>41</v>
      </c>
      <c r="D998" s="835">
        <v>157.72</v>
      </c>
    </row>
    <row r="999" spans="1:4" x14ac:dyDescent="0.2">
      <c r="A999" s="837" t="s">
        <v>2434</v>
      </c>
      <c r="B999" s="838" t="s">
        <v>1483</v>
      </c>
      <c r="C999" s="839"/>
      <c r="D999" s="840"/>
    </row>
    <row r="1000" spans="1:4" x14ac:dyDescent="0.2">
      <c r="A1000" s="827" t="s">
        <v>2435</v>
      </c>
      <c r="B1000" s="828" t="s">
        <v>1214</v>
      </c>
      <c r="C1000" s="829" t="s">
        <v>41</v>
      </c>
      <c r="D1000" s="830">
        <v>157.72</v>
      </c>
    </row>
    <row r="1001" spans="1:4" x14ac:dyDescent="0.2">
      <c r="A1001" s="837" t="s">
        <v>2436</v>
      </c>
      <c r="B1001" s="838" t="s">
        <v>1488</v>
      </c>
      <c r="C1001" s="839"/>
      <c r="D1001" s="840"/>
    </row>
    <row r="1002" spans="1:4" x14ac:dyDescent="0.2">
      <c r="A1002" s="832" t="s">
        <v>2437</v>
      </c>
      <c r="B1002" s="833" t="s">
        <v>1214</v>
      </c>
      <c r="C1002" s="834" t="s">
        <v>41</v>
      </c>
      <c r="D1002" s="835">
        <v>158.16999999999999</v>
      </c>
    </row>
    <row r="1003" spans="1:4" x14ac:dyDescent="0.2">
      <c r="A1003" s="837" t="s">
        <v>2438</v>
      </c>
      <c r="B1003" s="838" t="s">
        <v>1493</v>
      </c>
      <c r="C1003" s="839"/>
      <c r="D1003" s="840"/>
    </row>
    <row r="1004" spans="1:4" x14ac:dyDescent="0.2">
      <c r="A1004" s="827" t="s">
        <v>2439</v>
      </c>
      <c r="B1004" s="828" t="s">
        <v>1214</v>
      </c>
      <c r="C1004" s="829" t="s">
        <v>41</v>
      </c>
      <c r="D1004" s="830">
        <v>157.72</v>
      </c>
    </row>
    <row r="1005" spans="1:4" x14ac:dyDescent="0.2">
      <c r="A1005" s="837" t="s">
        <v>2440</v>
      </c>
      <c r="B1005" s="838" t="s">
        <v>1498</v>
      </c>
      <c r="C1005" s="839"/>
      <c r="D1005" s="840"/>
    </row>
    <row r="1006" spans="1:4" x14ac:dyDescent="0.2">
      <c r="A1006" s="832" t="s">
        <v>2441</v>
      </c>
      <c r="B1006" s="833" t="s">
        <v>1214</v>
      </c>
      <c r="C1006" s="834" t="s">
        <v>41</v>
      </c>
      <c r="D1006" s="835">
        <v>158.16999999999999</v>
      </c>
    </row>
    <row r="1007" spans="1:4" x14ac:dyDescent="0.2">
      <c r="A1007" s="837" t="s">
        <v>2442</v>
      </c>
      <c r="B1007" s="838" t="s">
        <v>1503</v>
      </c>
      <c r="C1007" s="839"/>
      <c r="D1007" s="840"/>
    </row>
    <row r="1008" spans="1:4" x14ac:dyDescent="0.2">
      <c r="A1008" s="827" t="s">
        <v>2443</v>
      </c>
      <c r="B1008" s="828" t="s">
        <v>1214</v>
      </c>
      <c r="C1008" s="829" t="s">
        <v>41</v>
      </c>
      <c r="D1008" s="830">
        <v>157.72</v>
      </c>
    </row>
    <row r="1009" spans="1:4" x14ac:dyDescent="0.2">
      <c r="A1009" s="837" t="s">
        <v>2444</v>
      </c>
      <c r="B1009" s="838" t="s">
        <v>1508</v>
      </c>
      <c r="C1009" s="839"/>
      <c r="D1009" s="840"/>
    </row>
    <row r="1010" spans="1:4" x14ac:dyDescent="0.2">
      <c r="A1010" s="832" t="s">
        <v>2445</v>
      </c>
      <c r="B1010" s="833" t="s">
        <v>1214</v>
      </c>
      <c r="C1010" s="834" t="s">
        <v>41</v>
      </c>
      <c r="D1010" s="835">
        <v>158.16999999999999</v>
      </c>
    </row>
    <row r="1011" spans="1:4" x14ac:dyDescent="0.2">
      <c r="A1011" s="837" t="s">
        <v>2446</v>
      </c>
      <c r="B1011" s="838" t="s">
        <v>1513</v>
      </c>
      <c r="C1011" s="839"/>
      <c r="D1011" s="840"/>
    </row>
    <row r="1012" spans="1:4" x14ac:dyDescent="0.2">
      <c r="A1012" s="827" t="s">
        <v>2447</v>
      </c>
      <c r="B1012" s="828" t="s">
        <v>1214</v>
      </c>
      <c r="C1012" s="829" t="s">
        <v>41</v>
      </c>
      <c r="D1012" s="830">
        <v>157.72</v>
      </c>
    </row>
    <row r="1013" spans="1:4" x14ac:dyDescent="0.2">
      <c r="A1013" s="837" t="s">
        <v>2448</v>
      </c>
      <c r="B1013" s="838" t="s">
        <v>1518</v>
      </c>
      <c r="C1013" s="839"/>
      <c r="D1013" s="840"/>
    </row>
    <row r="1014" spans="1:4" x14ac:dyDescent="0.2">
      <c r="A1014" s="832" t="s">
        <v>2449</v>
      </c>
      <c r="B1014" s="833" t="s">
        <v>1214</v>
      </c>
      <c r="C1014" s="834" t="s">
        <v>41</v>
      </c>
      <c r="D1014" s="835">
        <v>158.16999999999999</v>
      </c>
    </row>
    <row r="1015" spans="1:4" x14ac:dyDescent="0.2">
      <c r="A1015" s="837" t="s">
        <v>2450</v>
      </c>
      <c r="B1015" s="838" t="s">
        <v>1523</v>
      </c>
      <c r="C1015" s="839"/>
      <c r="D1015" s="840"/>
    </row>
    <row r="1016" spans="1:4" x14ac:dyDescent="0.2">
      <c r="A1016" s="827" t="s">
        <v>2451</v>
      </c>
      <c r="B1016" s="828" t="s">
        <v>1214</v>
      </c>
      <c r="C1016" s="829" t="s">
        <v>41</v>
      </c>
      <c r="D1016" s="830">
        <v>157.72</v>
      </c>
    </row>
    <row r="1017" spans="1:4" x14ac:dyDescent="0.2">
      <c r="A1017" s="837" t="s">
        <v>2452</v>
      </c>
      <c r="B1017" s="838" t="s">
        <v>1528</v>
      </c>
      <c r="C1017" s="839"/>
      <c r="D1017" s="840"/>
    </row>
    <row r="1018" spans="1:4" x14ac:dyDescent="0.2">
      <c r="A1018" s="832" t="s">
        <v>2453</v>
      </c>
      <c r="B1018" s="833" t="s">
        <v>1214</v>
      </c>
      <c r="C1018" s="834" t="s">
        <v>41</v>
      </c>
      <c r="D1018" s="835">
        <v>158.16999999999999</v>
      </c>
    </row>
    <row r="1019" spans="1:4" x14ac:dyDescent="0.2">
      <c r="A1019" s="837" t="s">
        <v>2454</v>
      </c>
      <c r="B1019" s="838" t="s">
        <v>1533</v>
      </c>
      <c r="C1019" s="839"/>
      <c r="D1019" s="840"/>
    </row>
    <row r="1020" spans="1:4" x14ac:dyDescent="0.2">
      <c r="A1020" s="827" t="s">
        <v>2455</v>
      </c>
      <c r="B1020" s="828" t="s">
        <v>1214</v>
      </c>
      <c r="C1020" s="829" t="s">
        <v>41</v>
      </c>
      <c r="D1020" s="830">
        <v>157.72</v>
      </c>
    </row>
    <row r="1021" spans="1:4" x14ac:dyDescent="0.2">
      <c r="A1021" s="823" t="s">
        <v>1215</v>
      </c>
      <c r="B1021" s="824" t="s">
        <v>1216</v>
      </c>
      <c r="C1021" s="825"/>
      <c r="D1021" s="826"/>
    </row>
    <row r="1022" spans="1:4" x14ac:dyDescent="0.2">
      <c r="A1022" s="837" t="s">
        <v>2456</v>
      </c>
      <c r="B1022" s="838" t="s">
        <v>1453</v>
      </c>
      <c r="C1022" s="839"/>
      <c r="D1022" s="840"/>
    </row>
    <row r="1023" spans="1:4" x14ac:dyDescent="0.2">
      <c r="A1023" s="832" t="s">
        <v>2457</v>
      </c>
      <c r="B1023" s="833" t="s">
        <v>1218</v>
      </c>
      <c r="C1023" s="834" t="s">
        <v>54</v>
      </c>
      <c r="D1023" s="835">
        <v>111.87</v>
      </c>
    </row>
    <row r="1024" spans="1:4" x14ac:dyDescent="0.2">
      <c r="A1024" s="827" t="s">
        <v>2458</v>
      </c>
      <c r="B1024" s="828" t="s">
        <v>1220</v>
      </c>
      <c r="C1024" s="829" t="s">
        <v>54</v>
      </c>
      <c r="D1024" s="830">
        <v>18.07</v>
      </c>
    </row>
    <row r="1025" spans="1:4" x14ac:dyDescent="0.2">
      <c r="A1025" s="832" t="s">
        <v>2459</v>
      </c>
      <c r="B1025" s="833" t="s">
        <v>1226</v>
      </c>
      <c r="C1025" s="834" t="s">
        <v>54</v>
      </c>
      <c r="D1025" s="835">
        <v>250.92</v>
      </c>
    </row>
    <row r="1026" spans="1:4" x14ac:dyDescent="0.2">
      <c r="A1026" s="827" t="s">
        <v>2460</v>
      </c>
      <c r="B1026" s="828" t="s">
        <v>1228</v>
      </c>
      <c r="C1026" s="829" t="s">
        <v>54</v>
      </c>
      <c r="D1026" s="830">
        <v>11.93</v>
      </c>
    </row>
    <row r="1027" spans="1:4" x14ac:dyDescent="0.2">
      <c r="A1027" s="837" t="s">
        <v>2461</v>
      </c>
      <c r="B1027" s="838" t="s">
        <v>1473</v>
      </c>
      <c r="C1027" s="839"/>
      <c r="D1027" s="840"/>
    </row>
    <row r="1028" spans="1:4" x14ac:dyDescent="0.2">
      <c r="A1028" s="832" t="s">
        <v>2462</v>
      </c>
      <c r="B1028" s="833" t="s">
        <v>1218</v>
      </c>
      <c r="C1028" s="834" t="s">
        <v>54</v>
      </c>
      <c r="D1028" s="835">
        <v>331.05</v>
      </c>
    </row>
    <row r="1029" spans="1:4" x14ac:dyDescent="0.2">
      <c r="A1029" s="827" t="s">
        <v>2463</v>
      </c>
      <c r="B1029" s="828" t="s">
        <v>1222</v>
      </c>
      <c r="C1029" s="829" t="s">
        <v>54</v>
      </c>
      <c r="D1029" s="830">
        <v>48.36</v>
      </c>
    </row>
    <row r="1030" spans="1:4" x14ac:dyDescent="0.2">
      <c r="A1030" s="832" t="s">
        <v>2464</v>
      </c>
      <c r="B1030" s="833" t="s">
        <v>1224</v>
      </c>
      <c r="C1030" s="834" t="s">
        <v>54</v>
      </c>
      <c r="D1030" s="835">
        <v>57.4</v>
      </c>
    </row>
    <row r="1031" spans="1:4" x14ac:dyDescent="0.2">
      <c r="A1031" s="837" t="s">
        <v>2465</v>
      </c>
      <c r="B1031" s="838" t="s">
        <v>1478</v>
      </c>
      <c r="C1031" s="839"/>
      <c r="D1031" s="840"/>
    </row>
    <row r="1032" spans="1:4" x14ac:dyDescent="0.2">
      <c r="A1032" s="827" t="s">
        <v>2466</v>
      </c>
      <c r="B1032" s="828" t="s">
        <v>1218</v>
      </c>
      <c r="C1032" s="829" t="s">
        <v>54</v>
      </c>
      <c r="D1032" s="830">
        <v>330.11</v>
      </c>
    </row>
    <row r="1033" spans="1:4" x14ac:dyDescent="0.2">
      <c r="A1033" s="832" t="s">
        <v>2467</v>
      </c>
      <c r="B1033" s="833" t="s">
        <v>1222</v>
      </c>
      <c r="C1033" s="834" t="s">
        <v>54</v>
      </c>
      <c r="D1033" s="835">
        <v>48.81</v>
      </c>
    </row>
    <row r="1034" spans="1:4" x14ac:dyDescent="0.2">
      <c r="A1034" s="827" t="s">
        <v>2468</v>
      </c>
      <c r="B1034" s="828" t="s">
        <v>1224</v>
      </c>
      <c r="C1034" s="829" t="s">
        <v>54</v>
      </c>
      <c r="D1034" s="830">
        <v>56.42</v>
      </c>
    </row>
    <row r="1035" spans="1:4" x14ac:dyDescent="0.2">
      <c r="A1035" s="837" t="s">
        <v>2469</v>
      </c>
      <c r="B1035" s="838" t="s">
        <v>1483</v>
      </c>
      <c r="C1035" s="839"/>
      <c r="D1035" s="840"/>
    </row>
    <row r="1036" spans="1:4" x14ac:dyDescent="0.2">
      <c r="A1036" s="832" t="s">
        <v>2470</v>
      </c>
      <c r="B1036" s="833" t="s">
        <v>1218</v>
      </c>
      <c r="C1036" s="834" t="s">
        <v>54</v>
      </c>
      <c r="D1036" s="835">
        <v>330.11</v>
      </c>
    </row>
    <row r="1037" spans="1:4" x14ac:dyDescent="0.2">
      <c r="A1037" s="827" t="s">
        <v>2471</v>
      </c>
      <c r="B1037" s="828" t="s">
        <v>1222</v>
      </c>
      <c r="C1037" s="829" t="s">
        <v>54</v>
      </c>
      <c r="D1037" s="830">
        <v>48.81</v>
      </c>
    </row>
    <row r="1038" spans="1:4" x14ac:dyDescent="0.2">
      <c r="A1038" s="832" t="s">
        <v>2472</v>
      </c>
      <c r="B1038" s="833" t="s">
        <v>1224</v>
      </c>
      <c r="C1038" s="834" t="s">
        <v>54</v>
      </c>
      <c r="D1038" s="835">
        <v>56.42</v>
      </c>
    </row>
    <row r="1039" spans="1:4" x14ac:dyDescent="0.2">
      <c r="A1039" s="837" t="s">
        <v>2473</v>
      </c>
      <c r="B1039" s="838" t="s">
        <v>1488</v>
      </c>
      <c r="C1039" s="839"/>
      <c r="D1039" s="840"/>
    </row>
    <row r="1040" spans="1:4" x14ac:dyDescent="0.2">
      <c r="A1040" s="827" t="s">
        <v>2474</v>
      </c>
      <c r="B1040" s="828" t="s">
        <v>1218</v>
      </c>
      <c r="C1040" s="829" t="s">
        <v>54</v>
      </c>
      <c r="D1040" s="830">
        <v>330.1</v>
      </c>
    </row>
    <row r="1041" spans="1:4" x14ac:dyDescent="0.2">
      <c r="A1041" s="832" t="s">
        <v>2475</v>
      </c>
      <c r="B1041" s="833" t="s">
        <v>1222</v>
      </c>
      <c r="C1041" s="834" t="s">
        <v>54</v>
      </c>
      <c r="D1041" s="835">
        <v>48.81</v>
      </c>
    </row>
    <row r="1042" spans="1:4" x14ac:dyDescent="0.2">
      <c r="A1042" s="827" t="s">
        <v>2476</v>
      </c>
      <c r="B1042" s="828" t="s">
        <v>1224</v>
      </c>
      <c r="C1042" s="829" t="s">
        <v>54</v>
      </c>
      <c r="D1042" s="830">
        <v>56.42</v>
      </c>
    </row>
    <row r="1043" spans="1:4" x14ac:dyDescent="0.2">
      <c r="A1043" s="837" t="s">
        <v>2477</v>
      </c>
      <c r="B1043" s="838" t="s">
        <v>1493</v>
      </c>
      <c r="C1043" s="839"/>
      <c r="D1043" s="840"/>
    </row>
    <row r="1044" spans="1:4" x14ac:dyDescent="0.2">
      <c r="A1044" s="832" t="s">
        <v>2478</v>
      </c>
      <c r="B1044" s="833" t="s">
        <v>1218</v>
      </c>
      <c r="C1044" s="834" t="s">
        <v>54</v>
      </c>
      <c r="D1044" s="835">
        <v>330.11</v>
      </c>
    </row>
    <row r="1045" spans="1:4" x14ac:dyDescent="0.2">
      <c r="A1045" s="827" t="s">
        <v>2479</v>
      </c>
      <c r="B1045" s="828" t="s">
        <v>1222</v>
      </c>
      <c r="C1045" s="829" t="s">
        <v>54</v>
      </c>
      <c r="D1045" s="830">
        <v>48.81</v>
      </c>
    </row>
    <row r="1046" spans="1:4" x14ac:dyDescent="0.2">
      <c r="A1046" s="832" t="s">
        <v>2480</v>
      </c>
      <c r="B1046" s="833" t="s">
        <v>1224</v>
      </c>
      <c r="C1046" s="834" t="s">
        <v>54</v>
      </c>
      <c r="D1046" s="835">
        <v>56.42</v>
      </c>
    </row>
    <row r="1047" spans="1:4" x14ac:dyDescent="0.2">
      <c r="A1047" s="837" t="s">
        <v>2481</v>
      </c>
      <c r="B1047" s="838" t="s">
        <v>1498</v>
      </c>
      <c r="C1047" s="839"/>
      <c r="D1047" s="840"/>
    </row>
    <row r="1048" spans="1:4" x14ac:dyDescent="0.2">
      <c r="A1048" s="827" t="s">
        <v>2482</v>
      </c>
      <c r="B1048" s="828" t="s">
        <v>1218</v>
      </c>
      <c r="C1048" s="829" t="s">
        <v>54</v>
      </c>
      <c r="D1048" s="830">
        <v>330.01</v>
      </c>
    </row>
    <row r="1049" spans="1:4" x14ac:dyDescent="0.2">
      <c r="A1049" s="832" t="s">
        <v>2483</v>
      </c>
      <c r="B1049" s="833" t="s">
        <v>1222</v>
      </c>
      <c r="C1049" s="834" t="s">
        <v>54</v>
      </c>
      <c r="D1049" s="835">
        <v>48.81</v>
      </c>
    </row>
    <row r="1050" spans="1:4" x14ac:dyDescent="0.2">
      <c r="A1050" s="827" t="s">
        <v>2484</v>
      </c>
      <c r="B1050" s="828" t="s">
        <v>1224</v>
      </c>
      <c r="C1050" s="829" t="s">
        <v>54</v>
      </c>
      <c r="D1050" s="830">
        <v>56.42</v>
      </c>
    </row>
    <row r="1051" spans="1:4" x14ac:dyDescent="0.2">
      <c r="A1051" s="837" t="s">
        <v>2485</v>
      </c>
      <c r="B1051" s="838" t="s">
        <v>1503</v>
      </c>
      <c r="C1051" s="839"/>
      <c r="D1051" s="840"/>
    </row>
    <row r="1052" spans="1:4" x14ac:dyDescent="0.2">
      <c r="A1052" s="832" t="s">
        <v>2486</v>
      </c>
      <c r="B1052" s="833" t="s">
        <v>1218</v>
      </c>
      <c r="C1052" s="834" t="s">
        <v>54</v>
      </c>
      <c r="D1052" s="835">
        <v>330.11</v>
      </c>
    </row>
    <row r="1053" spans="1:4" x14ac:dyDescent="0.2">
      <c r="A1053" s="827" t="s">
        <v>2487</v>
      </c>
      <c r="B1053" s="828" t="s">
        <v>1222</v>
      </c>
      <c r="C1053" s="829" t="s">
        <v>54</v>
      </c>
      <c r="D1053" s="830">
        <v>48.81</v>
      </c>
    </row>
    <row r="1054" spans="1:4" x14ac:dyDescent="0.2">
      <c r="A1054" s="832" t="s">
        <v>2488</v>
      </c>
      <c r="B1054" s="833" t="s">
        <v>1224</v>
      </c>
      <c r="C1054" s="834" t="s">
        <v>54</v>
      </c>
      <c r="D1054" s="835">
        <v>56.42</v>
      </c>
    </row>
    <row r="1055" spans="1:4" x14ac:dyDescent="0.2">
      <c r="A1055" s="837" t="s">
        <v>2489</v>
      </c>
      <c r="B1055" s="838" t="s">
        <v>1508</v>
      </c>
      <c r="C1055" s="839"/>
      <c r="D1055" s="840"/>
    </row>
    <row r="1056" spans="1:4" x14ac:dyDescent="0.2">
      <c r="A1056" s="827" t="s">
        <v>2490</v>
      </c>
      <c r="B1056" s="828" t="s">
        <v>1218</v>
      </c>
      <c r="C1056" s="829" t="s">
        <v>54</v>
      </c>
      <c r="D1056" s="830">
        <v>330.1</v>
      </c>
    </row>
    <row r="1057" spans="1:4" x14ac:dyDescent="0.2">
      <c r="A1057" s="832" t="s">
        <v>2491</v>
      </c>
      <c r="B1057" s="833" t="s">
        <v>1222</v>
      </c>
      <c r="C1057" s="834" t="s">
        <v>54</v>
      </c>
      <c r="D1057" s="835">
        <v>48.81</v>
      </c>
    </row>
    <row r="1058" spans="1:4" x14ac:dyDescent="0.2">
      <c r="A1058" s="827" t="s">
        <v>2492</v>
      </c>
      <c r="B1058" s="828" t="s">
        <v>1224</v>
      </c>
      <c r="C1058" s="829" t="s">
        <v>54</v>
      </c>
      <c r="D1058" s="830">
        <v>56.42</v>
      </c>
    </row>
    <row r="1059" spans="1:4" x14ac:dyDescent="0.2">
      <c r="A1059" s="837" t="s">
        <v>2493</v>
      </c>
      <c r="B1059" s="838" t="s">
        <v>1513</v>
      </c>
      <c r="C1059" s="839"/>
      <c r="D1059" s="840"/>
    </row>
    <row r="1060" spans="1:4" x14ac:dyDescent="0.2">
      <c r="A1060" s="832" t="s">
        <v>2494</v>
      </c>
      <c r="B1060" s="833" t="s">
        <v>1218</v>
      </c>
      <c r="C1060" s="834" t="s">
        <v>54</v>
      </c>
      <c r="D1060" s="835">
        <v>330.11</v>
      </c>
    </row>
    <row r="1061" spans="1:4" x14ac:dyDescent="0.2">
      <c r="A1061" s="827" t="s">
        <v>2495</v>
      </c>
      <c r="B1061" s="828" t="s">
        <v>1222</v>
      </c>
      <c r="C1061" s="829" t="s">
        <v>54</v>
      </c>
      <c r="D1061" s="830">
        <v>48.81</v>
      </c>
    </row>
    <row r="1062" spans="1:4" x14ac:dyDescent="0.2">
      <c r="A1062" s="832" t="s">
        <v>2496</v>
      </c>
      <c r="B1062" s="833" t="s">
        <v>1224</v>
      </c>
      <c r="C1062" s="834" t="s">
        <v>54</v>
      </c>
      <c r="D1062" s="835">
        <v>56.42</v>
      </c>
    </row>
    <row r="1063" spans="1:4" x14ac:dyDescent="0.2">
      <c r="A1063" s="837" t="s">
        <v>2497</v>
      </c>
      <c r="B1063" s="838" t="s">
        <v>1518</v>
      </c>
      <c r="C1063" s="839"/>
      <c r="D1063" s="840"/>
    </row>
    <row r="1064" spans="1:4" x14ac:dyDescent="0.2">
      <c r="A1064" s="827" t="s">
        <v>2498</v>
      </c>
      <c r="B1064" s="828" t="s">
        <v>1218</v>
      </c>
      <c r="C1064" s="829" t="s">
        <v>54</v>
      </c>
      <c r="D1064" s="830">
        <v>330.1</v>
      </c>
    </row>
    <row r="1065" spans="1:4" x14ac:dyDescent="0.2">
      <c r="A1065" s="832" t="s">
        <v>2499</v>
      </c>
      <c r="B1065" s="833" t="s">
        <v>1222</v>
      </c>
      <c r="C1065" s="834" t="s">
        <v>54</v>
      </c>
      <c r="D1065" s="835">
        <v>48.81</v>
      </c>
    </row>
    <row r="1066" spans="1:4" x14ac:dyDescent="0.2">
      <c r="A1066" s="827" t="s">
        <v>2500</v>
      </c>
      <c r="B1066" s="828" t="s">
        <v>1224</v>
      </c>
      <c r="C1066" s="829" t="s">
        <v>54</v>
      </c>
      <c r="D1066" s="830">
        <v>56.42</v>
      </c>
    </row>
    <row r="1067" spans="1:4" x14ac:dyDescent="0.2">
      <c r="A1067" s="837" t="s">
        <v>2501</v>
      </c>
      <c r="B1067" s="838" t="s">
        <v>1523</v>
      </c>
      <c r="C1067" s="839"/>
      <c r="D1067" s="840"/>
    </row>
    <row r="1068" spans="1:4" x14ac:dyDescent="0.2">
      <c r="A1068" s="832" t="s">
        <v>2502</v>
      </c>
      <c r="B1068" s="833" t="s">
        <v>1218</v>
      </c>
      <c r="C1068" s="834" t="s">
        <v>54</v>
      </c>
      <c r="D1068" s="835">
        <v>330.11</v>
      </c>
    </row>
    <row r="1069" spans="1:4" x14ac:dyDescent="0.2">
      <c r="A1069" s="827" t="s">
        <v>2503</v>
      </c>
      <c r="B1069" s="828" t="s">
        <v>1222</v>
      </c>
      <c r="C1069" s="829" t="s">
        <v>54</v>
      </c>
      <c r="D1069" s="830">
        <v>48.81</v>
      </c>
    </row>
    <row r="1070" spans="1:4" x14ac:dyDescent="0.2">
      <c r="A1070" s="832" t="s">
        <v>2504</v>
      </c>
      <c r="B1070" s="833" t="s">
        <v>1224</v>
      </c>
      <c r="C1070" s="834" t="s">
        <v>54</v>
      </c>
      <c r="D1070" s="835">
        <v>56.42</v>
      </c>
    </row>
    <row r="1071" spans="1:4" x14ac:dyDescent="0.2">
      <c r="A1071" s="837" t="s">
        <v>2505</v>
      </c>
      <c r="B1071" s="838" t="s">
        <v>1528</v>
      </c>
      <c r="C1071" s="839"/>
      <c r="D1071" s="840"/>
    </row>
    <row r="1072" spans="1:4" x14ac:dyDescent="0.2">
      <c r="A1072" s="827" t="s">
        <v>2506</v>
      </c>
      <c r="B1072" s="828" t="s">
        <v>1218</v>
      </c>
      <c r="C1072" s="829" t="s">
        <v>54</v>
      </c>
      <c r="D1072" s="830">
        <v>330.1</v>
      </c>
    </row>
    <row r="1073" spans="1:4" x14ac:dyDescent="0.2">
      <c r="A1073" s="832" t="s">
        <v>2507</v>
      </c>
      <c r="B1073" s="833" t="s">
        <v>1222</v>
      </c>
      <c r="C1073" s="834" t="s">
        <v>54</v>
      </c>
      <c r="D1073" s="835">
        <v>48.81</v>
      </c>
    </row>
    <row r="1074" spans="1:4" x14ac:dyDescent="0.2">
      <c r="A1074" s="827" t="s">
        <v>2508</v>
      </c>
      <c r="B1074" s="828" t="s">
        <v>1224</v>
      </c>
      <c r="C1074" s="829" t="s">
        <v>54</v>
      </c>
      <c r="D1074" s="830">
        <v>56.42</v>
      </c>
    </row>
    <row r="1075" spans="1:4" x14ac:dyDescent="0.2">
      <c r="A1075" s="837" t="s">
        <v>2509</v>
      </c>
      <c r="B1075" s="838" t="s">
        <v>1533</v>
      </c>
      <c r="C1075" s="839"/>
      <c r="D1075" s="840"/>
    </row>
    <row r="1076" spans="1:4" x14ac:dyDescent="0.2">
      <c r="A1076" s="832" t="s">
        <v>2510</v>
      </c>
      <c r="B1076" s="833" t="s">
        <v>1218</v>
      </c>
      <c r="C1076" s="834" t="s">
        <v>54</v>
      </c>
      <c r="D1076" s="835">
        <v>330.11</v>
      </c>
    </row>
    <row r="1077" spans="1:4" x14ac:dyDescent="0.2">
      <c r="A1077" s="827" t="s">
        <v>2511</v>
      </c>
      <c r="B1077" s="828" t="s">
        <v>1222</v>
      </c>
      <c r="C1077" s="829" t="s">
        <v>54</v>
      </c>
      <c r="D1077" s="830">
        <v>48.81</v>
      </c>
    </row>
    <row r="1078" spans="1:4" x14ac:dyDescent="0.2">
      <c r="A1078" s="832" t="s">
        <v>2512</v>
      </c>
      <c r="B1078" s="833" t="s">
        <v>1224</v>
      </c>
      <c r="C1078" s="834" t="s">
        <v>54</v>
      </c>
      <c r="D1078" s="835">
        <v>56.42</v>
      </c>
    </row>
    <row r="1079" spans="1:4" x14ac:dyDescent="0.2">
      <c r="A1079" s="837" t="s">
        <v>2513</v>
      </c>
      <c r="B1079" s="838" t="s">
        <v>1538</v>
      </c>
      <c r="C1079" s="839"/>
      <c r="D1079" s="840"/>
    </row>
    <row r="1080" spans="1:4" x14ac:dyDescent="0.2">
      <c r="A1080" s="827" t="s">
        <v>2514</v>
      </c>
      <c r="B1080" s="828" t="s">
        <v>1218</v>
      </c>
      <c r="C1080" s="829" t="s">
        <v>54</v>
      </c>
      <c r="D1080" s="830">
        <v>126.76</v>
      </c>
    </row>
    <row r="1081" spans="1:4" x14ac:dyDescent="0.2">
      <c r="A1081" s="832" t="s">
        <v>2515</v>
      </c>
      <c r="B1081" s="833" t="s">
        <v>1222</v>
      </c>
      <c r="C1081" s="834" t="s">
        <v>54</v>
      </c>
      <c r="D1081" s="835">
        <v>0.55000000000000004</v>
      </c>
    </row>
    <row r="1082" spans="1:4" x14ac:dyDescent="0.2">
      <c r="A1082" s="827" t="s">
        <v>2516</v>
      </c>
      <c r="B1082" s="828" t="s">
        <v>1228</v>
      </c>
      <c r="C1082" s="829" t="s">
        <v>54</v>
      </c>
      <c r="D1082" s="830">
        <v>12.42</v>
      </c>
    </row>
    <row r="1083" spans="1:4" x14ac:dyDescent="0.2">
      <c r="A1083" s="823" t="s">
        <v>1229</v>
      </c>
      <c r="B1083" s="824" t="s">
        <v>1230</v>
      </c>
      <c r="C1083" s="825"/>
      <c r="D1083" s="826"/>
    </row>
    <row r="1084" spans="1:4" x14ac:dyDescent="0.2">
      <c r="A1084" s="837" t="s">
        <v>2517</v>
      </c>
      <c r="B1084" s="838" t="s">
        <v>1453</v>
      </c>
      <c r="C1084" s="839"/>
      <c r="D1084" s="840"/>
    </row>
    <row r="1085" spans="1:4" x14ac:dyDescent="0.2">
      <c r="A1085" s="832" t="s">
        <v>2518</v>
      </c>
      <c r="B1085" s="833" t="s">
        <v>1232</v>
      </c>
      <c r="C1085" s="834" t="s">
        <v>41</v>
      </c>
      <c r="D1085" s="835">
        <v>0.75</v>
      </c>
    </row>
    <row r="1086" spans="1:4" x14ac:dyDescent="0.2">
      <c r="A1086" s="837" t="s">
        <v>2519</v>
      </c>
      <c r="B1086" s="838" t="s">
        <v>1458</v>
      </c>
      <c r="C1086" s="839"/>
      <c r="D1086" s="840"/>
    </row>
    <row r="1087" spans="1:4" x14ac:dyDescent="0.2">
      <c r="A1087" s="827" t="s">
        <v>2520</v>
      </c>
      <c r="B1087" s="828" t="s">
        <v>1232</v>
      </c>
      <c r="C1087" s="829" t="s">
        <v>41</v>
      </c>
      <c r="D1087" s="830">
        <v>0.74</v>
      </c>
    </row>
    <row r="1088" spans="1:4" x14ac:dyDescent="0.2">
      <c r="A1088" s="837" t="s">
        <v>2521</v>
      </c>
      <c r="B1088" s="838" t="s">
        <v>1462</v>
      </c>
      <c r="C1088" s="839"/>
      <c r="D1088" s="840"/>
    </row>
    <row r="1089" spans="1:4" x14ac:dyDescent="0.2">
      <c r="A1089" s="832" t="s">
        <v>2522</v>
      </c>
      <c r="B1089" s="833" t="s">
        <v>1232</v>
      </c>
      <c r="C1089" s="834" t="s">
        <v>41</v>
      </c>
      <c r="D1089" s="835">
        <v>0.74</v>
      </c>
    </row>
    <row r="1090" spans="1:4" x14ac:dyDescent="0.2">
      <c r="A1090" s="837" t="s">
        <v>2523</v>
      </c>
      <c r="B1090" s="838" t="s">
        <v>1466</v>
      </c>
      <c r="C1090" s="839"/>
      <c r="D1090" s="840"/>
    </row>
    <row r="1091" spans="1:4" x14ac:dyDescent="0.2">
      <c r="A1091" s="827" t="s">
        <v>2524</v>
      </c>
      <c r="B1091" s="828" t="s">
        <v>1232</v>
      </c>
      <c r="C1091" s="829" t="s">
        <v>41</v>
      </c>
      <c r="D1091" s="830">
        <v>0.72</v>
      </c>
    </row>
    <row r="1092" spans="1:4" x14ac:dyDescent="0.2">
      <c r="A1092" s="837" t="s">
        <v>2525</v>
      </c>
      <c r="B1092" s="838" t="s">
        <v>1470</v>
      </c>
      <c r="C1092" s="839"/>
      <c r="D1092" s="840"/>
    </row>
    <row r="1093" spans="1:4" x14ac:dyDescent="0.2">
      <c r="A1093" s="832" t="s">
        <v>2526</v>
      </c>
      <c r="B1093" s="833" t="s">
        <v>1232</v>
      </c>
      <c r="C1093" s="834" t="s">
        <v>41</v>
      </c>
      <c r="D1093" s="835">
        <v>0.74</v>
      </c>
    </row>
    <row r="1094" spans="1:4" x14ac:dyDescent="0.2">
      <c r="A1094" s="837" t="s">
        <v>2527</v>
      </c>
      <c r="B1094" s="838" t="s">
        <v>1473</v>
      </c>
      <c r="C1094" s="839"/>
      <c r="D1094" s="840"/>
    </row>
    <row r="1095" spans="1:4" x14ac:dyDescent="0.2">
      <c r="A1095" s="827" t="s">
        <v>2528</v>
      </c>
      <c r="B1095" s="828" t="s">
        <v>1232</v>
      </c>
      <c r="C1095" s="829" t="s">
        <v>41</v>
      </c>
      <c r="D1095" s="830">
        <v>0.72</v>
      </c>
    </row>
    <row r="1096" spans="1:4" x14ac:dyDescent="0.2">
      <c r="A1096" s="837" t="s">
        <v>2529</v>
      </c>
      <c r="B1096" s="838" t="s">
        <v>1478</v>
      </c>
      <c r="C1096" s="839"/>
      <c r="D1096" s="840"/>
    </row>
    <row r="1097" spans="1:4" x14ac:dyDescent="0.2">
      <c r="A1097" s="832" t="s">
        <v>2530</v>
      </c>
      <c r="B1097" s="833" t="s">
        <v>1232</v>
      </c>
      <c r="C1097" s="834" t="s">
        <v>41</v>
      </c>
      <c r="D1097" s="835">
        <v>0.74</v>
      </c>
    </row>
    <row r="1098" spans="1:4" x14ac:dyDescent="0.2">
      <c r="A1098" s="837" t="s">
        <v>2531</v>
      </c>
      <c r="B1098" s="838" t="s">
        <v>1483</v>
      </c>
      <c r="C1098" s="839"/>
      <c r="D1098" s="840"/>
    </row>
    <row r="1099" spans="1:4" x14ac:dyDescent="0.2">
      <c r="A1099" s="827" t="s">
        <v>2532</v>
      </c>
      <c r="B1099" s="828" t="s">
        <v>1232</v>
      </c>
      <c r="C1099" s="829" t="s">
        <v>41</v>
      </c>
      <c r="D1099" s="830">
        <v>0.74</v>
      </c>
    </row>
    <row r="1100" spans="1:4" x14ac:dyDescent="0.2">
      <c r="A1100" s="837" t="s">
        <v>2533</v>
      </c>
      <c r="B1100" s="838" t="s">
        <v>1488</v>
      </c>
      <c r="C1100" s="839"/>
      <c r="D1100" s="840"/>
    </row>
    <row r="1101" spans="1:4" x14ac:dyDescent="0.2">
      <c r="A1101" s="832" t="s">
        <v>2534</v>
      </c>
      <c r="B1101" s="833" t="s">
        <v>1232</v>
      </c>
      <c r="C1101" s="834" t="s">
        <v>41</v>
      </c>
      <c r="D1101" s="835">
        <v>0.74</v>
      </c>
    </row>
    <row r="1102" spans="1:4" x14ac:dyDescent="0.2">
      <c r="A1102" s="837" t="s">
        <v>2535</v>
      </c>
      <c r="B1102" s="838" t="s">
        <v>1493</v>
      </c>
      <c r="C1102" s="839"/>
      <c r="D1102" s="840"/>
    </row>
    <row r="1103" spans="1:4" x14ac:dyDescent="0.2">
      <c r="A1103" s="827" t="s">
        <v>2536</v>
      </c>
      <c r="B1103" s="828" t="s">
        <v>1232</v>
      </c>
      <c r="C1103" s="829" t="s">
        <v>41</v>
      </c>
      <c r="D1103" s="830">
        <v>0.74</v>
      </c>
    </row>
    <row r="1104" spans="1:4" x14ac:dyDescent="0.2">
      <c r="A1104" s="837" t="s">
        <v>2537</v>
      </c>
      <c r="B1104" s="838" t="s">
        <v>1498</v>
      </c>
      <c r="C1104" s="839"/>
      <c r="D1104" s="840"/>
    </row>
    <row r="1105" spans="1:4" x14ac:dyDescent="0.2">
      <c r="A1105" s="832" t="s">
        <v>2538</v>
      </c>
      <c r="B1105" s="833" t="s">
        <v>1232</v>
      </c>
      <c r="C1105" s="834" t="s">
        <v>41</v>
      </c>
      <c r="D1105" s="835">
        <v>0.74</v>
      </c>
    </row>
    <row r="1106" spans="1:4" x14ac:dyDescent="0.2">
      <c r="A1106" s="837" t="s">
        <v>2539</v>
      </c>
      <c r="B1106" s="838" t="s">
        <v>1503</v>
      </c>
      <c r="C1106" s="839"/>
      <c r="D1106" s="840"/>
    </row>
    <row r="1107" spans="1:4" x14ac:dyDescent="0.2">
      <c r="A1107" s="827" t="s">
        <v>2540</v>
      </c>
      <c r="B1107" s="828" t="s">
        <v>1232</v>
      </c>
      <c r="C1107" s="829" t="s">
        <v>41</v>
      </c>
      <c r="D1107" s="830">
        <v>0.74</v>
      </c>
    </row>
    <row r="1108" spans="1:4" x14ac:dyDescent="0.2">
      <c r="A1108" s="837" t="s">
        <v>2541</v>
      </c>
      <c r="B1108" s="838" t="s">
        <v>1508</v>
      </c>
      <c r="C1108" s="839"/>
      <c r="D1108" s="840"/>
    </row>
    <row r="1109" spans="1:4" x14ac:dyDescent="0.2">
      <c r="A1109" s="832" t="s">
        <v>2542</v>
      </c>
      <c r="B1109" s="833" t="s">
        <v>1232</v>
      </c>
      <c r="C1109" s="834" t="s">
        <v>41</v>
      </c>
      <c r="D1109" s="835">
        <v>0.74</v>
      </c>
    </row>
    <row r="1110" spans="1:4" x14ac:dyDescent="0.2">
      <c r="A1110" s="837" t="s">
        <v>2543</v>
      </c>
      <c r="B1110" s="838" t="s">
        <v>1513</v>
      </c>
      <c r="C1110" s="839"/>
      <c r="D1110" s="840"/>
    </row>
    <row r="1111" spans="1:4" x14ac:dyDescent="0.2">
      <c r="A1111" s="827" t="s">
        <v>2544</v>
      </c>
      <c r="B1111" s="828" t="s">
        <v>1232</v>
      </c>
      <c r="C1111" s="829" t="s">
        <v>41</v>
      </c>
      <c r="D1111" s="830">
        <v>0.74</v>
      </c>
    </row>
    <row r="1112" spans="1:4" x14ac:dyDescent="0.2">
      <c r="A1112" s="837" t="s">
        <v>2545</v>
      </c>
      <c r="B1112" s="838" t="s">
        <v>1518</v>
      </c>
      <c r="C1112" s="839"/>
      <c r="D1112" s="840"/>
    </row>
    <row r="1113" spans="1:4" x14ac:dyDescent="0.2">
      <c r="A1113" s="832" t="s">
        <v>2546</v>
      </c>
      <c r="B1113" s="833" t="s">
        <v>1232</v>
      </c>
      <c r="C1113" s="834" t="s">
        <v>41</v>
      </c>
      <c r="D1113" s="835">
        <v>0.74</v>
      </c>
    </row>
    <row r="1114" spans="1:4" x14ac:dyDescent="0.2">
      <c r="A1114" s="837" t="s">
        <v>2547</v>
      </c>
      <c r="B1114" s="838" t="s">
        <v>1523</v>
      </c>
      <c r="C1114" s="839"/>
      <c r="D1114" s="840"/>
    </row>
    <row r="1115" spans="1:4" x14ac:dyDescent="0.2">
      <c r="A1115" s="827" t="s">
        <v>2548</v>
      </c>
      <c r="B1115" s="828" t="s">
        <v>1232</v>
      </c>
      <c r="C1115" s="829" t="s">
        <v>41</v>
      </c>
      <c r="D1115" s="830">
        <v>0.74</v>
      </c>
    </row>
    <row r="1116" spans="1:4" x14ac:dyDescent="0.2">
      <c r="A1116" s="837" t="s">
        <v>2549</v>
      </c>
      <c r="B1116" s="838" t="s">
        <v>1528</v>
      </c>
      <c r="C1116" s="839"/>
      <c r="D1116" s="840"/>
    </row>
    <row r="1117" spans="1:4" x14ac:dyDescent="0.2">
      <c r="A1117" s="832" t="s">
        <v>2550</v>
      </c>
      <c r="B1117" s="833" t="s">
        <v>1232</v>
      </c>
      <c r="C1117" s="834" t="s">
        <v>41</v>
      </c>
      <c r="D1117" s="835">
        <v>0.74</v>
      </c>
    </row>
    <row r="1118" spans="1:4" x14ac:dyDescent="0.2">
      <c r="A1118" s="837" t="s">
        <v>2551</v>
      </c>
      <c r="B1118" s="838" t="s">
        <v>1533</v>
      </c>
      <c r="C1118" s="839"/>
      <c r="D1118" s="840"/>
    </row>
    <row r="1119" spans="1:4" x14ac:dyDescent="0.2">
      <c r="A1119" s="827" t="s">
        <v>2552</v>
      </c>
      <c r="B1119" s="828" t="s">
        <v>1232</v>
      </c>
      <c r="C1119" s="829" t="s">
        <v>41</v>
      </c>
      <c r="D1119" s="830">
        <v>0.74</v>
      </c>
    </row>
    <row r="1120" spans="1:4" x14ac:dyDescent="0.2">
      <c r="A1120" s="837" t="s">
        <v>2553</v>
      </c>
      <c r="B1120" s="838" t="s">
        <v>1538</v>
      </c>
      <c r="C1120" s="839"/>
      <c r="D1120" s="840"/>
    </row>
    <row r="1121" spans="1:4" x14ac:dyDescent="0.2">
      <c r="A1121" s="832" t="s">
        <v>2554</v>
      </c>
      <c r="B1121" s="833" t="s">
        <v>1232</v>
      </c>
      <c r="C1121" s="834" t="s">
        <v>41</v>
      </c>
      <c r="D1121" s="835">
        <v>3.59</v>
      </c>
    </row>
    <row r="1122" spans="1:4" x14ac:dyDescent="0.2">
      <c r="A1122" s="823" t="s">
        <v>1233</v>
      </c>
      <c r="B1122" s="824" t="s">
        <v>541</v>
      </c>
      <c r="C1122" s="825"/>
      <c r="D1122" s="826"/>
    </row>
    <row r="1123" spans="1:4" x14ac:dyDescent="0.2">
      <c r="A1123" s="837" t="s">
        <v>2555</v>
      </c>
      <c r="B1123" s="838" t="s">
        <v>1453</v>
      </c>
      <c r="C1123" s="839"/>
      <c r="D1123" s="840"/>
    </row>
    <row r="1124" spans="1:4" x14ac:dyDescent="0.2">
      <c r="A1124" s="827" t="s">
        <v>2556</v>
      </c>
      <c r="B1124" s="828" t="s">
        <v>1236</v>
      </c>
      <c r="C1124" s="829" t="s">
        <v>41</v>
      </c>
      <c r="D1124" s="830">
        <v>49.05</v>
      </c>
    </row>
    <row r="1125" spans="1:4" x14ac:dyDescent="0.2">
      <c r="A1125" s="832" t="s">
        <v>2557</v>
      </c>
      <c r="B1125" s="833" t="s">
        <v>1242</v>
      </c>
      <c r="C1125" s="834" t="s">
        <v>41</v>
      </c>
      <c r="D1125" s="835">
        <v>12.27</v>
      </c>
    </row>
    <row r="1126" spans="1:4" x14ac:dyDescent="0.2">
      <c r="A1126" s="827" t="s">
        <v>2558</v>
      </c>
      <c r="B1126" s="828" t="s">
        <v>1244</v>
      </c>
      <c r="C1126" s="829" t="s">
        <v>41</v>
      </c>
      <c r="D1126" s="830">
        <v>32.479999999999997</v>
      </c>
    </row>
    <row r="1127" spans="1:4" x14ac:dyDescent="0.2">
      <c r="A1127" s="827" t="s">
        <v>2559</v>
      </c>
      <c r="B1127" s="828" t="s">
        <v>1246</v>
      </c>
      <c r="C1127" s="829" t="s">
        <v>41</v>
      </c>
      <c r="D1127" s="830">
        <v>72.94</v>
      </c>
    </row>
    <row r="1128" spans="1:4" x14ac:dyDescent="0.2">
      <c r="A1128" s="832" t="s">
        <v>2560</v>
      </c>
      <c r="B1128" s="833" t="s">
        <v>1248</v>
      </c>
      <c r="C1128" s="834" t="s">
        <v>41</v>
      </c>
      <c r="D1128" s="835">
        <v>1.1299999999999999</v>
      </c>
    </row>
    <row r="1129" spans="1:4" x14ac:dyDescent="0.2">
      <c r="A1129" s="827" t="s">
        <v>2561</v>
      </c>
      <c r="B1129" s="828" t="s">
        <v>1160</v>
      </c>
      <c r="C1129" s="829" t="s">
        <v>41</v>
      </c>
      <c r="D1129" s="830">
        <v>3.26</v>
      </c>
    </row>
    <row r="1130" spans="1:4" x14ac:dyDescent="0.2">
      <c r="A1130" s="837" t="s">
        <v>2562</v>
      </c>
      <c r="B1130" s="838" t="s">
        <v>1458</v>
      </c>
      <c r="C1130" s="839"/>
      <c r="D1130" s="840"/>
    </row>
    <row r="1131" spans="1:4" x14ac:dyDescent="0.2">
      <c r="A1131" s="832" t="s">
        <v>2563</v>
      </c>
      <c r="B1131" s="833" t="s">
        <v>1242</v>
      </c>
      <c r="C1131" s="834" t="s">
        <v>41</v>
      </c>
      <c r="D1131" s="835">
        <v>38.93</v>
      </c>
    </row>
    <row r="1132" spans="1:4" x14ac:dyDescent="0.2">
      <c r="A1132" s="827" t="s">
        <v>2564</v>
      </c>
      <c r="B1132" s="828" t="s">
        <v>1244</v>
      </c>
      <c r="C1132" s="829" t="s">
        <v>41</v>
      </c>
      <c r="D1132" s="830">
        <v>21.59</v>
      </c>
    </row>
    <row r="1133" spans="1:4" x14ac:dyDescent="0.2">
      <c r="A1133" s="827" t="s">
        <v>2565</v>
      </c>
      <c r="B1133" s="828" t="s">
        <v>1246</v>
      </c>
      <c r="C1133" s="829" t="s">
        <v>41</v>
      </c>
      <c r="D1133" s="830">
        <v>957.28</v>
      </c>
    </row>
    <row r="1134" spans="1:4" x14ac:dyDescent="0.2">
      <c r="A1134" s="837" t="s">
        <v>2566</v>
      </c>
      <c r="B1134" s="838" t="s">
        <v>1462</v>
      </c>
      <c r="C1134" s="839"/>
      <c r="D1134" s="840"/>
    </row>
    <row r="1135" spans="1:4" x14ac:dyDescent="0.2">
      <c r="A1135" s="832" t="s">
        <v>2567</v>
      </c>
      <c r="B1135" s="833" t="s">
        <v>1242</v>
      </c>
      <c r="C1135" s="834" t="s">
        <v>41</v>
      </c>
      <c r="D1135" s="835">
        <v>38.93</v>
      </c>
    </row>
    <row r="1136" spans="1:4" x14ac:dyDescent="0.2">
      <c r="A1136" s="827" t="s">
        <v>2568</v>
      </c>
      <c r="B1136" s="828" t="s">
        <v>1244</v>
      </c>
      <c r="C1136" s="829" t="s">
        <v>41</v>
      </c>
      <c r="D1136" s="830">
        <v>19.100000000000001</v>
      </c>
    </row>
    <row r="1137" spans="1:4" x14ac:dyDescent="0.2">
      <c r="A1137" s="832" t="s">
        <v>2569</v>
      </c>
      <c r="B1137" s="833" t="s">
        <v>1246</v>
      </c>
      <c r="C1137" s="834" t="s">
        <v>41</v>
      </c>
      <c r="D1137" s="835">
        <v>971.09</v>
      </c>
    </row>
    <row r="1138" spans="1:4" x14ac:dyDescent="0.2">
      <c r="A1138" s="837" t="s">
        <v>2570</v>
      </c>
      <c r="B1138" s="838" t="s">
        <v>1466</v>
      </c>
      <c r="C1138" s="839"/>
      <c r="D1138" s="840"/>
    </row>
    <row r="1139" spans="1:4" x14ac:dyDescent="0.2">
      <c r="A1139" s="832" t="s">
        <v>2571</v>
      </c>
      <c r="B1139" s="833" t="s">
        <v>1242</v>
      </c>
      <c r="C1139" s="834" t="s">
        <v>41</v>
      </c>
      <c r="D1139" s="835">
        <v>38.93</v>
      </c>
    </row>
    <row r="1140" spans="1:4" x14ac:dyDescent="0.2">
      <c r="A1140" s="827" t="s">
        <v>2572</v>
      </c>
      <c r="B1140" s="828" t="s">
        <v>1244</v>
      </c>
      <c r="C1140" s="829" t="s">
        <v>41</v>
      </c>
      <c r="D1140" s="830">
        <v>19.100000000000001</v>
      </c>
    </row>
    <row r="1141" spans="1:4" x14ac:dyDescent="0.2">
      <c r="A1141" s="832" t="s">
        <v>2573</v>
      </c>
      <c r="B1141" s="833" t="s">
        <v>1246</v>
      </c>
      <c r="C1141" s="834" t="s">
        <v>41</v>
      </c>
      <c r="D1141" s="835">
        <v>971.56</v>
      </c>
    </row>
    <row r="1142" spans="1:4" x14ac:dyDescent="0.2">
      <c r="A1142" s="837" t="s">
        <v>2574</v>
      </c>
      <c r="B1142" s="838" t="s">
        <v>1470</v>
      </c>
      <c r="C1142" s="839"/>
      <c r="D1142" s="840"/>
    </row>
    <row r="1143" spans="1:4" x14ac:dyDescent="0.2">
      <c r="A1143" s="832" t="s">
        <v>2575</v>
      </c>
      <c r="B1143" s="833" t="s">
        <v>1242</v>
      </c>
      <c r="C1143" s="834" t="s">
        <v>41</v>
      </c>
      <c r="D1143" s="835">
        <v>42.09</v>
      </c>
    </row>
    <row r="1144" spans="1:4" x14ac:dyDescent="0.2">
      <c r="A1144" s="827" t="s">
        <v>2576</v>
      </c>
      <c r="B1144" s="828" t="s">
        <v>1244</v>
      </c>
      <c r="C1144" s="829" t="s">
        <v>41</v>
      </c>
      <c r="D1144" s="830">
        <v>10.51</v>
      </c>
    </row>
    <row r="1145" spans="1:4" x14ac:dyDescent="0.2">
      <c r="A1145" s="832" t="s">
        <v>2577</v>
      </c>
      <c r="B1145" s="833" t="s">
        <v>1246</v>
      </c>
      <c r="C1145" s="834" t="s">
        <v>41</v>
      </c>
      <c r="D1145" s="835">
        <v>864.11</v>
      </c>
    </row>
    <row r="1146" spans="1:4" x14ac:dyDescent="0.2">
      <c r="A1146" s="837" t="s">
        <v>2578</v>
      </c>
      <c r="B1146" s="838" t="s">
        <v>1473</v>
      </c>
      <c r="C1146" s="839"/>
      <c r="D1146" s="840"/>
    </row>
    <row r="1147" spans="1:4" x14ac:dyDescent="0.2">
      <c r="A1147" s="827" t="s">
        <v>2579</v>
      </c>
      <c r="B1147" s="828" t="s">
        <v>1238</v>
      </c>
      <c r="C1147" s="829" t="s">
        <v>41</v>
      </c>
      <c r="D1147" s="830">
        <v>15.09</v>
      </c>
    </row>
    <row r="1148" spans="1:4" x14ac:dyDescent="0.2">
      <c r="A1148" s="832" t="s">
        <v>2580</v>
      </c>
      <c r="B1148" s="833" t="s">
        <v>1244</v>
      </c>
      <c r="C1148" s="834" t="s">
        <v>41</v>
      </c>
      <c r="D1148" s="835">
        <v>18.55</v>
      </c>
    </row>
    <row r="1149" spans="1:4" x14ac:dyDescent="0.2">
      <c r="A1149" s="837" t="s">
        <v>2581</v>
      </c>
      <c r="B1149" s="838" t="s">
        <v>1478</v>
      </c>
      <c r="C1149" s="839"/>
      <c r="D1149" s="840"/>
    </row>
    <row r="1150" spans="1:4" x14ac:dyDescent="0.2">
      <c r="A1150" s="832" t="s">
        <v>2582</v>
      </c>
      <c r="B1150" s="833" t="s">
        <v>1238</v>
      </c>
      <c r="C1150" s="834" t="s">
        <v>41</v>
      </c>
      <c r="D1150" s="835">
        <v>15.09</v>
      </c>
    </row>
    <row r="1151" spans="1:4" x14ac:dyDescent="0.2">
      <c r="A1151" s="827" t="s">
        <v>2583</v>
      </c>
      <c r="B1151" s="828" t="s">
        <v>1244</v>
      </c>
      <c r="C1151" s="829" t="s">
        <v>41</v>
      </c>
      <c r="D1151" s="830">
        <v>18.55</v>
      </c>
    </row>
    <row r="1152" spans="1:4" x14ac:dyDescent="0.2">
      <c r="A1152" s="837" t="s">
        <v>2584</v>
      </c>
      <c r="B1152" s="838" t="s">
        <v>1483</v>
      </c>
      <c r="C1152" s="839"/>
      <c r="D1152" s="840"/>
    </row>
    <row r="1153" spans="1:4" x14ac:dyDescent="0.2">
      <c r="A1153" s="827" t="s">
        <v>2585</v>
      </c>
      <c r="B1153" s="828" t="s">
        <v>1238</v>
      </c>
      <c r="C1153" s="829" t="s">
        <v>41</v>
      </c>
      <c r="D1153" s="830">
        <v>15.09</v>
      </c>
    </row>
    <row r="1154" spans="1:4" x14ac:dyDescent="0.2">
      <c r="A1154" s="832" t="s">
        <v>2586</v>
      </c>
      <c r="B1154" s="833" t="s">
        <v>1244</v>
      </c>
      <c r="C1154" s="834" t="s">
        <v>41</v>
      </c>
      <c r="D1154" s="835">
        <v>18.55</v>
      </c>
    </row>
    <row r="1155" spans="1:4" x14ac:dyDescent="0.2">
      <c r="A1155" s="837" t="s">
        <v>2587</v>
      </c>
      <c r="B1155" s="838" t="s">
        <v>1488</v>
      </c>
      <c r="C1155" s="839"/>
      <c r="D1155" s="840"/>
    </row>
    <row r="1156" spans="1:4" x14ac:dyDescent="0.2">
      <c r="A1156" s="832" t="s">
        <v>2588</v>
      </c>
      <c r="B1156" s="833" t="s">
        <v>1238</v>
      </c>
      <c r="C1156" s="834" t="s">
        <v>41</v>
      </c>
      <c r="D1156" s="835">
        <v>15.09</v>
      </c>
    </row>
    <row r="1157" spans="1:4" x14ac:dyDescent="0.2">
      <c r="A1157" s="827" t="s">
        <v>2589</v>
      </c>
      <c r="B1157" s="828" t="s">
        <v>1244</v>
      </c>
      <c r="C1157" s="829" t="s">
        <v>41</v>
      </c>
      <c r="D1157" s="830">
        <v>18.920000000000002</v>
      </c>
    </row>
    <row r="1158" spans="1:4" x14ac:dyDescent="0.2">
      <c r="A1158" s="837" t="s">
        <v>2590</v>
      </c>
      <c r="B1158" s="838" t="s">
        <v>1493</v>
      </c>
      <c r="C1158" s="839"/>
      <c r="D1158" s="840"/>
    </row>
    <row r="1159" spans="1:4" x14ac:dyDescent="0.2">
      <c r="A1159" s="827" t="s">
        <v>2591</v>
      </c>
      <c r="B1159" s="828" t="s">
        <v>1238</v>
      </c>
      <c r="C1159" s="829" t="s">
        <v>41</v>
      </c>
      <c r="D1159" s="830">
        <v>15.09</v>
      </c>
    </row>
    <row r="1160" spans="1:4" x14ac:dyDescent="0.2">
      <c r="A1160" s="832" t="s">
        <v>2592</v>
      </c>
      <c r="B1160" s="833" t="s">
        <v>1244</v>
      </c>
      <c r="C1160" s="834" t="s">
        <v>41</v>
      </c>
      <c r="D1160" s="835">
        <v>18.55</v>
      </c>
    </row>
    <row r="1161" spans="1:4" x14ac:dyDescent="0.2">
      <c r="A1161" s="837" t="s">
        <v>2593</v>
      </c>
      <c r="B1161" s="838" t="s">
        <v>1498</v>
      </c>
      <c r="C1161" s="839"/>
      <c r="D1161" s="840"/>
    </row>
    <row r="1162" spans="1:4" x14ac:dyDescent="0.2">
      <c r="A1162" s="832" t="s">
        <v>2594</v>
      </c>
      <c r="B1162" s="833" t="s">
        <v>1238</v>
      </c>
      <c r="C1162" s="834" t="s">
        <v>41</v>
      </c>
      <c r="D1162" s="835">
        <v>15.09</v>
      </c>
    </row>
    <row r="1163" spans="1:4" x14ac:dyDescent="0.2">
      <c r="A1163" s="827" t="s">
        <v>2595</v>
      </c>
      <c r="B1163" s="828" t="s">
        <v>1244</v>
      </c>
      <c r="C1163" s="829" t="s">
        <v>41</v>
      </c>
      <c r="D1163" s="830">
        <v>18.920000000000002</v>
      </c>
    </row>
    <row r="1164" spans="1:4" x14ac:dyDescent="0.2">
      <c r="A1164" s="837" t="s">
        <v>2596</v>
      </c>
      <c r="B1164" s="838" t="s">
        <v>1503</v>
      </c>
      <c r="C1164" s="839"/>
      <c r="D1164" s="840"/>
    </row>
    <row r="1165" spans="1:4" x14ac:dyDescent="0.2">
      <c r="A1165" s="827" t="s">
        <v>2597</v>
      </c>
      <c r="B1165" s="828" t="s">
        <v>1238</v>
      </c>
      <c r="C1165" s="829" t="s">
        <v>41</v>
      </c>
      <c r="D1165" s="830">
        <v>15.09</v>
      </c>
    </row>
    <row r="1166" spans="1:4" x14ac:dyDescent="0.2">
      <c r="A1166" s="832" t="s">
        <v>2598</v>
      </c>
      <c r="B1166" s="833" t="s">
        <v>1244</v>
      </c>
      <c r="C1166" s="834" t="s">
        <v>41</v>
      </c>
      <c r="D1166" s="835">
        <v>18.55</v>
      </c>
    </row>
    <row r="1167" spans="1:4" x14ac:dyDescent="0.2">
      <c r="A1167" s="837" t="s">
        <v>2599</v>
      </c>
      <c r="B1167" s="838" t="s">
        <v>1508</v>
      </c>
      <c r="C1167" s="839"/>
      <c r="D1167" s="840"/>
    </row>
    <row r="1168" spans="1:4" x14ac:dyDescent="0.2">
      <c r="A1168" s="832" t="s">
        <v>2600</v>
      </c>
      <c r="B1168" s="833" t="s">
        <v>1238</v>
      </c>
      <c r="C1168" s="834" t="s">
        <v>41</v>
      </c>
      <c r="D1168" s="835">
        <v>15.09</v>
      </c>
    </row>
    <row r="1169" spans="1:4" x14ac:dyDescent="0.2">
      <c r="A1169" s="827" t="s">
        <v>2601</v>
      </c>
      <c r="B1169" s="828" t="s">
        <v>1244</v>
      </c>
      <c r="C1169" s="829" t="s">
        <v>41</v>
      </c>
      <c r="D1169" s="830">
        <v>18.920000000000002</v>
      </c>
    </row>
    <row r="1170" spans="1:4" x14ac:dyDescent="0.2">
      <c r="A1170" s="837" t="s">
        <v>2602</v>
      </c>
      <c r="B1170" s="838" t="s">
        <v>1513</v>
      </c>
      <c r="C1170" s="839"/>
      <c r="D1170" s="840"/>
    </row>
    <row r="1171" spans="1:4" x14ac:dyDescent="0.2">
      <c r="A1171" s="827" t="s">
        <v>2603</v>
      </c>
      <c r="B1171" s="828" t="s">
        <v>1238</v>
      </c>
      <c r="C1171" s="829" t="s">
        <v>41</v>
      </c>
      <c r="D1171" s="830">
        <v>15.09</v>
      </c>
    </row>
    <row r="1172" spans="1:4" x14ac:dyDescent="0.2">
      <c r="A1172" s="832" t="s">
        <v>2604</v>
      </c>
      <c r="B1172" s="833" t="s">
        <v>1244</v>
      </c>
      <c r="C1172" s="834" t="s">
        <v>41</v>
      </c>
      <c r="D1172" s="835">
        <v>18.55</v>
      </c>
    </row>
    <row r="1173" spans="1:4" x14ac:dyDescent="0.2">
      <c r="A1173" s="837" t="s">
        <v>2605</v>
      </c>
      <c r="B1173" s="838" t="s">
        <v>1518</v>
      </c>
      <c r="C1173" s="839"/>
      <c r="D1173" s="840"/>
    </row>
    <row r="1174" spans="1:4" x14ac:dyDescent="0.2">
      <c r="A1174" s="832" t="s">
        <v>2606</v>
      </c>
      <c r="B1174" s="833" t="s">
        <v>1238</v>
      </c>
      <c r="C1174" s="834" t="s">
        <v>41</v>
      </c>
      <c r="D1174" s="835">
        <v>15.09</v>
      </c>
    </row>
    <row r="1175" spans="1:4" x14ac:dyDescent="0.2">
      <c r="A1175" s="827" t="s">
        <v>2607</v>
      </c>
      <c r="B1175" s="828" t="s">
        <v>1244</v>
      </c>
      <c r="C1175" s="829" t="s">
        <v>41</v>
      </c>
      <c r="D1175" s="830">
        <v>18.920000000000002</v>
      </c>
    </row>
    <row r="1176" spans="1:4" x14ac:dyDescent="0.2">
      <c r="A1176" s="837" t="s">
        <v>2608</v>
      </c>
      <c r="B1176" s="838" t="s">
        <v>1523</v>
      </c>
      <c r="C1176" s="839"/>
      <c r="D1176" s="840"/>
    </row>
    <row r="1177" spans="1:4" x14ac:dyDescent="0.2">
      <c r="A1177" s="827" t="s">
        <v>2609</v>
      </c>
      <c r="B1177" s="828" t="s">
        <v>1238</v>
      </c>
      <c r="C1177" s="829" t="s">
        <v>41</v>
      </c>
      <c r="D1177" s="830">
        <v>15.09</v>
      </c>
    </row>
    <row r="1178" spans="1:4" x14ac:dyDescent="0.2">
      <c r="A1178" s="832" t="s">
        <v>2610</v>
      </c>
      <c r="B1178" s="833" t="s">
        <v>1244</v>
      </c>
      <c r="C1178" s="834" t="s">
        <v>41</v>
      </c>
      <c r="D1178" s="835">
        <v>18.55</v>
      </c>
    </row>
    <row r="1179" spans="1:4" x14ac:dyDescent="0.2">
      <c r="A1179" s="837" t="s">
        <v>2611</v>
      </c>
      <c r="B1179" s="838" t="s">
        <v>1528</v>
      </c>
      <c r="C1179" s="839"/>
      <c r="D1179" s="840"/>
    </row>
    <row r="1180" spans="1:4" x14ac:dyDescent="0.2">
      <c r="A1180" s="832" t="s">
        <v>2612</v>
      </c>
      <c r="B1180" s="833" t="s">
        <v>1238</v>
      </c>
      <c r="C1180" s="834" t="s">
        <v>41</v>
      </c>
      <c r="D1180" s="835">
        <v>15.09</v>
      </c>
    </row>
    <row r="1181" spans="1:4" x14ac:dyDescent="0.2">
      <c r="A1181" s="827" t="s">
        <v>2613</v>
      </c>
      <c r="B1181" s="828" t="s">
        <v>1244</v>
      </c>
      <c r="C1181" s="829" t="s">
        <v>41</v>
      </c>
      <c r="D1181" s="830">
        <v>18.920000000000002</v>
      </c>
    </row>
    <row r="1182" spans="1:4" x14ac:dyDescent="0.2">
      <c r="A1182" s="837" t="s">
        <v>2614</v>
      </c>
      <c r="B1182" s="838" t="s">
        <v>1533</v>
      </c>
      <c r="C1182" s="839"/>
      <c r="D1182" s="840"/>
    </row>
    <row r="1183" spans="1:4" x14ac:dyDescent="0.2">
      <c r="A1183" s="827" t="s">
        <v>2615</v>
      </c>
      <c r="B1183" s="828" t="s">
        <v>1238</v>
      </c>
      <c r="C1183" s="829" t="s">
        <v>41</v>
      </c>
      <c r="D1183" s="830">
        <v>15.09</v>
      </c>
    </row>
    <row r="1184" spans="1:4" x14ac:dyDescent="0.2">
      <c r="A1184" s="832" t="s">
        <v>2616</v>
      </c>
      <c r="B1184" s="833" t="s">
        <v>1244</v>
      </c>
      <c r="C1184" s="834" t="s">
        <v>41</v>
      </c>
      <c r="D1184" s="835">
        <v>18.55</v>
      </c>
    </row>
    <row r="1185" spans="1:4" x14ac:dyDescent="0.2">
      <c r="A1185" s="837" t="s">
        <v>2617</v>
      </c>
      <c r="B1185" s="838" t="s">
        <v>1538</v>
      </c>
      <c r="C1185" s="839"/>
      <c r="D1185" s="840"/>
    </row>
    <row r="1186" spans="1:4" x14ac:dyDescent="0.2">
      <c r="A1186" s="827" t="s">
        <v>2618</v>
      </c>
      <c r="B1186" s="828" t="s">
        <v>1238</v>
      </c>
      <c r="C1186" s="829" t="s">
        <v>41</v>
      </c>
      <c r="D1186" s="830">
        <v>5.3</v>
      </c>
    </row>
    <row r="1187" spans="1:4" x14ac:dyDescent="0.2">
      <c r="A1187" s="832" t="s">
        <v>2619</v>
      </c>
      <c r="B1187" s="833" t="s">
        <v>1244</v>
      </c>
      <c r="C1187" s="834" t="s">
        <v>41</v>
      </c>
      <c r="D1187" s="835">
        <v>21.23</v>
      </c>
    </row>
    <row r="1188" spans="1:4" x14ac:dyDescent="0.2">
      <c r="A1188" s="837" t="s">
        <v>2620</v>
      </c>
      <c r="B1188" s="838" t="s">
        <v>1542</v>
      </c>
      <c r="C1188" s="839"/>
      <c r="D1188" s="840"/>
    </row>
    <row r="1189" spans="1:4" x14ac:dyDescent="0.2">
      <c r="A1189" s="832" t="s">
        <v>2621</v>
      </c>
      <c r="B1189" s="833" t="s">
        <v>1240</v>
      </c>
      <c r="C1189" s="834" t="s">
        <v>41</v>
      </c>
      <c r="D1189" s="835">
        <v>11.12</v>
      </c>
    </row>
    <row r="1190" spans="1:4" x14ac:dyDescent="0.2">
      <c r="A1190" s="827" t="s">
        <v>2622</v>
      </c>
      <c r="B1190" s="828" t="s">
        <v>1244</v>
      </c>
      <c r="C1190" s="829" t="s">
        <v>41</v>
      </c>
      <c r="D1190" s="830">
        <v>7.36</v>
      </c>
    </row>
    <row r="1191" spans="1:4" x14ac:dyDescent="0.2">
      <c r="A1191" s="823" t="s">
        <v>1249</v>
      </c>
      <c r="B1191" s="824" t="s">
        <v>1250</v>
      </c>
      <c r="C1191" s="825"/>
      <c r="D1191" s="826"/>
    </row>
    <row r="1192" spans="1:4" x14ac:dyDescent="0.2">
      <c r="A1192" s="837" t="s">
        <v>2623</v>
      </c>
      <c r="B1192" s="838" t="s">
        <v>1453</v>
      </c>
      <c r="C1192" s="839"/>
      <c r="D1192" s="840"/>
    </row>
    <row r="1193" spans="1:4" x14ac:dyDescent="0.2">
      <c r="A1193" s="832" t="s">
        <v>2624</v>
      </c>
      <c r="B1193" s="833" t="s">
        <v>1252</v>
      </c>
      <c r="C1193" s="834" t="s">
        <v>41</v>
      </c>
      <c r="D1193" s="835">
        <v>585.35</v>
      </c>
    </row>
    <row r="1194" spans="1:4" x14ac:dyDescent="0.2">
      <c r="A1194" s="827" t="s">
        <v>2625</v>
      </c>
      <c r="B1194" s="828" t="s">
        <v>1258</v>
      </c>
      <c r="C1194" s="829" t="s">
        <v>41</v>
      </c>
      <c r="D1194" s="830">
        <v>5.79</v>
      </c>
    </row>
    <row r="1195" spans="1:4" x14ac:dyDescent="0.2">
      <c r="A1195" s="832" t="s">
        <v>2626</v>
      </c>
      <c r="B1195" s="833" t="s">
        <v>1260</v>
      </c>
      <c r="C1195" s="834" t="s">
        <v>41</v>
      </c>
      <c r="D1195" s="835">
        <v>2.08</v>
      </c>
    </row>
    <row r="1196" spans="1:4" x14ac:dyDescent="0.2">
      <c r="A1196" s="827" t="s">
        <v>2627</v>
      </c>
      <c r="B1196" s="828" t="s">
        <v>1262</v>
      </c>
      <c r="C1196" s="829" t="s">
        <v>41</v>
      </c>
      <c r="D1196" s="830">
        <v>79.599999999999994</v>
      </c>
    </row>
    <row r="1197" spans="1:4" x14ac:dyDescent="0.2">
      <c r="A1197" s="832" t="s">
        <v>2628</v>
      </c>
      <c r="B1197" s="833" t="s">
        <v>1266</v>
      </c>
      <c r="C1197" s="834" t="s">
        <v>41</v>
      </c>
      <c r="D1197" s="835">
        <v>1130.74</v>
      </c>
    </row>
    <row r="1198" spans="1:4" x14ac:dyDescent="0.2">
      <c r="A1198" s="827" t="s">
        <v>2629</v>
      </c>
      <c r="B1198" s="828" t="s">
        <v>1270</v>
      </c>
      <c r="C1198" s="829" t="s">
        <v>41</v>
      </c>
      <c r="D1198" s="830">
        <v>36.200000000000003</v>
      </c>
    </row>
    <row r="1199" spans="1:4" x14ac:dyDescent="0.2">
      <c r="A1199" s="832" t="s">
        <v>2630</v>
      </c>
      <c r="B1199" s="833" t="s">
        <v>1272</v>
      </c>
      <c r="C1199" s="834" t="s">
        <v>41</v>
      </c>
      <c r="D1199" s="835">
        <v>117.5</v>
      </c>
    </row>
    <row r="1200" spans="1:4" x14ac:dyDescent="0.2">
      <c r="A1200" s="827" t="s">
        <v>2631</v>
      </c>
      <c r="B1200" s="828" t="s">
        <v>1274</v>
      </c>
      <c r="C1200" s="829" t="s">
        <v>41</v>
      </c>
      <c r="D1200" s="830">
        <v>72.489999999999995</v>
      </c>
    </row>
    <row r="1201" spans="1:4" x14ac:dyDescent="0.2">
      <c r="A1201" s="832" t="s">
        <v>2632</v>
      </c>
      <c r="B1201" s="833" t="s">
        <v>1276</v>
      </c>
      <c r="C1201" s="834" t="s">
        <v>41</v>
      </c>
      <c r="D1201" s="835">
        <v>3.5</v>
      </c>
    </row>
    <row r="1202" spans="1:4" x14ac:dyDescent="0.2">
      <c r="A1202" s="837" t="s">
        <v>2633</v>
      </c>
      <c r="B1202" s="838" t="s">
        <v>1458</v>
      </c>
      <c r="C1202" s="839"/>
      <c r="D1202" s="840"/>
    </row>
    <row r="1203" spans="1:4" x14ac:dyDescent="0.2">
      <c r="A1203" s="827" t="s">
        <v>2634</v>
      </c>
      <c r="B1203" s="828" t="s">
        <v>1258</v>
      </c>
      <c r="C1203" s="829" t="s">
        <v>41</v>
      </c>
      <c r="D1203" s="830">
        <v>4.09</v>
      </c>
    </row>
    <row r="1204" spans="1:4" x14ac:dyDescent="0.2">
      <c r="A1204" s="832" t="s">
        <v>2635</v>
      </c>
      <c r="B1204" s="833" t="s">
        <v>1260</v>
      </c>
      <c r="C1204" s="834" t="s">
        <v>41</v>
      </c>
      <c r="D1204" s="835">
        <v>67.02</v>
      </c>
    </row>
    <row r="1205" spans="1:4" x14ac:dyDescent="0.2">
      <c r="A1205" s="827" t="s">
        <v>2636</v>
      </c>
      <c r="B1205" s="828" t="s">
        <v>1262</v>
      </c>
      <c r="C1205" s="829" t="s">
        <v>41</v>
      </c>
      <c r="D1205" s="830">
        <v>51.05</v>
      </c>
    </row>
    <row r="1206" spans="1:4" x14ac:dyDescent="0.2">
      <c r="A1206" s="832" t="s">
        <v>2637</v>
      </c>
      <c r="B1206" s="833" t="s">
        <v>1270</v>
      </c>
      <c r="C1206" s="834" t="s">
        <v>41</v>
      </c>
      <c r="D1206" s="835">
        <v>27.44</v>
      </c>
    </row>
    <row r="1207" spans="1:4" x14ac:dyDescent="0.2">
      <c r="A1207" s="827" t="s">
        <v>2638</v>
      </c>
      <c r="B1207" s="828" t="s">
        <v>1272</v>
      </c>
      <c r="C1207" s="829" t="s">
        <v>41</v>
      </c>
      <c r="D1207" s="830">
        <v>82.96</v>
      </c>
    </row>
    <row r="1208" spans="1:4" x14ac:dyDescent="0.2">
      <c r="A1208" s="832" t="s">
        <v>2639</v>
      </c>
      <c r="B1208" s="833" t="s">
        <v>1274</v>
      </c>
      <c r="C1208" s="834" t="s">
        <v>41</v>
      </c>
      <c r="D1208" s="835">
        <v>814.82</v>
      </c>
    </row>
    <row r="1209" spans="1:4" x14ac:dyDescent="0.2">
      <c r="A1209" s="837" t="s">
        <v>2640</v>
      </c>
      <c r="B1209" s="838" t="s">
        <v>1462</v>
      </c>
      <c r="C1209" s="839"/>
      <c r="D1209" s="840"/>
    </row>
    <row r="1210" spans="1:4" x14ac:dyDescent="0.2">
      <c r="A1210" s="827" t="s">
        <v>2641</v>
      </c>
      <c r="B1210" s="828" t="s">
        <v>1258</v>
      </c>
      <c r="C1210" s="829" t="s">
        <v>41</v>
      </c>
      <c r="D1210" s="830">
        <v>4.09</v>
      </c>
    </row>
    <row r="1211" spans="1:4" x14ac:dyDescent="0.2">
      <c r="A1211" s="832" t="s">
        <v>2642</v>
      </c>
      <c r="B1211" s="833" t="s">
        <v>1260</v>
      </c>
      <c r="C1211" s="834" t="s">
        <v>41</v>
      </c>
      <c r="D1211" s="835">
        <v>66.680000000000007</v>
      </c>
    </row>
    <row r="1212" spans="1:4" x14ac:dyDescent="0.2">
      <c r="A1212" s="827" t="s">
        <v>2643</v>
      </c>
      <c r="B1212" s="828" t="s">
        <v>1262</v>
      </c>
      <c r="C1212" s="829" t="s">
        <v>41</v>
      </c>
      <c r="D1212" s="830">
        <v>50.37</v>
      </c>
    </row>
    <row r="1213" spans="1:4" x14ac:dyDescent="0.2">
      <c r="A1213" s="832" t="s">
        <v>2644</v>
      </c>
      <c r="B1213" s="833" t="s">
        <v>1272</v>
      </c>
      <c r="C1213" s="834" t="s">
        <v>41</v>
      </c>
      <c r="D1213" s="835">
        <v>62.65</v>
      </c>
    </row>
    <row r="1214" spans="1:4" x14ac:dyDescent="0.2">
      <c r="A1214" s="827" t="s">
        <v>2645</v>
      </c>
      <c r="B1214" s="828" t="s">
        <v>1274</v>
      </c>
      <c r="C1214" s="829" t="s">
        <v>41</v>
      </c>
      <c r="D1214" s="830">
        <v>796.42</v>
      </c>
    </row>
    <row r="1215" spans="1:4" x14ac:dyDescent="0.2">
      <c r="A1215" s="837" t="s">
        <v>2646</v>
      </c>
      <c r="B1215" s="838" t="s">
        <v>1466</v>
      </c>
      <c r="C1215" s="839"/>
      <c r="D1215" s="840"/>
    </row>
    <row r="1216" spans="1:4" x14ac:dyDescent="0.2">
      <c r="A1216" s="832" t="s">
        <v>2647</v>
      </c>
      <c r="B1216" s="833" t="s">
        <v>1258</v>
      </c>
      <c r="C1216" s="834" t="s">
        <v>41</v>
      </c>
      <c r="D1216" s="835">
        <v>4.09</v>
      </c>
    </row>
    <row r="1217" spans="1:4" x14ac:dyDescent="0.2">
      <c r="A1217" s="827" t="s">
        <v>2648</v>
      </c>
      <c r="B1217" s="828" t="s">
        <v>1260</v>
      </c>
      <c r="C1217" s="829" t="s">
        <v>41</v>
      </c>
      <c r="D1217" s="830">
        <v>66.680000000000007</v>
      </c>
    </row>
    <row r="1218" spans="1:4" x14ac:dyDescent="0.2">
      <c r="A1218" s="832" t="s">
        <v>2649</v>
      </c>
      <c r="B1218" s="833" t="s">
        <v>1262</v>
      </c>
      <c r="C1218" s="834" t="s">
        <v>41</v>
      </c>
      <c r="D1218" s="835">
        <v>50.37</v>
      </c>
    </row>
    <row r="1219" spans="1:4" x14ac:dyDescent="0.2">
      <c r="A1219" s="827" t="s">
        <v>2650</v>
      </c>
      <c r="B1219" s="828" t="s">
        <v>1272</v>
      </c>
      <c r="C1219" s="829" t="s">
        <v>41</v>
      </c>
      <c r="D1219" s="830">
        <v>62.65</v>
      </c>
    </row>
    <row r="1220" spans="1:4" x14ac:dyDescent="0.2">
      <c r="A1220" s="832" t="s">
        <v>2651</v>
      </c>
      <c r="B1220" s="833" t="s">
        <v>1274</v>
      </c>
      <c r="C1220" s="834" t="s">
        <v>41</v>
      </c>
      <c r="D1220" s="835">
        <v>775.31</v>
      </c>
    </row>
    <row r="1221" spans="1:4" x14ac:dyDescent="0.2">
      <c r="A1221" s="837" t="s">
        <v>2652</v>
      </c>
      <c r="B1221" s="838" t="s">
        <v>1470</v>
      </c>
      <c r="C1221" s="839"/>
      <c r="D1221" s="840"/>
    </row>
    <row r="1222" spans="1:4" x14ac:dyDescent="0.2">
      <c r="A1222" s="827" t="s">
        <v>2653</v>
      </c>
      <c r="B1222" s="828" t="s">
        <v>1258</v>
      </c>
      <c r="C1222" s="829" t="s">
        <v>41</v>
      </c>
      <c r="D1222" s="830">
        <v>4.09</v>
      </c>
    </row>
    <row r="1223" spans="1:4" x14ac:dyDescent="0.2">
      <c r="A1223" s="832" t="s">
        <v>2654</v>
      </c>
      <c r="B1223" s="833" t="s">
        <v>1260</v>
      </c>
      <c r="C1223" s="834" t="s">
        <v>41</v>
      </c>
      <c r="D1223" s="835">
        <v>60.75</v>
      </c>
    </row>
    <row r="1224" spans="1:4" x14ac:dyDescent="0.2">
      <c r="A1224" s="827" t="s">
        <v>2655</v>
      </c>
      <c r="B1224" s="828" t="s">
        <v>1262</v>
      </c>
      <c r="C1224" s="829" t="s">
        <v>41</v>
      </c>
      <c r="D1224" s="830">
        <v>73.92</v>
      </c>
    </row>
    <row r="1225" spans="1:4" x14ac:dyDescent="0.2">
      <c r="A1225" s="832" t="s">
        <v>2656</v>
      </c>
      <c r="B1225" s="833" t="s">
        <v>1272</v>
      </c>
      <c r="C1225" s="834" t="s">
        <v>41</v>
      </c>
      <c r="D1225" s="835">
        <v>87.27</v>
      </c>
    </row>
    <row r="1226" spans="1:4" x14ac:dyDescent="0.2">
      <c r="A1226" s="827" t="s">
        <v>2657</v>
      </c>
      <c r="B1226" s="828" t="s">
        <v>1274</v>
      </c>
      <c r="C1226" s="829" t="s">
        <v>41</v>
      </c>
      <c r="D1226" s="830">
        <v>1247.93</v>
      </c>
    </row>
    <row r="1227" spans="1:4" x14ac:dyDescent="0.2">
      <c r="A1227" s="837" t="s">
        <v>2658</v>
      </c>
      <c r="B1227" s="838" t="s">
        <v>1473</v>
      </c>
      <c r="C1227" s="839"/>
      <c r="D1227" s="840"/>
    </row>
    <row r="1228" spans="1:4" x14ac:dyDescent="0.2">
      <c r="A1228" s="832" t="s">
        <v>2659</v>
      </c>
      <c r="B1228" s="833" t="s">
        <v>1254</v>
      </c>
      <c r="C1228" s="834" t="s">
        <v>41</v>
      </c>
      <c r="D1228" s="835">
        <v>1102.93</v>
      </c>
    </row>
    <row r="1229" spans="1:4" x14ac:dyDescent="0.2">
      <c r="A1229" s="827" t="s">
        <v>2660</v>
      </c>
      <c r="B1229" s="828" t="s">
        <v>1258</v>
      </c>
      <c r="C1229" s="829" t="s">
        <v>41</v>
      </c>
      <c r="D1229" s="830">
        <v>4.08</v>
      </c>
    </row>
    <row r="1230" spans="1:4" x14ac:dyDescent="0.2">
      <c r="A1230" s="832" t="s">
        <v>2661</v>
      </c>
      <c r="B1230" s="833" t="s">
        <v>1262</v>
      </c>
      <c r="C1230" s="834" t="s">
        <v>41</v>
      </c>
      <c r="D1230" s="835">
        <v>54.74</v>
      </c>
    </row>
    <row r="1231" spans="1:4" x14ac:dyDescent="0.2">
      <c r="A1231" s="827" t="s">
        <v>2662</v>
      </c>
      <c r="B1231" s="828" t="s">
        <v>1264</v>
      </c>
      <c r="C1231" s="829" t="s">
        <v>41</v>
      </c>
      <c r="D1231" s="830">
        <v>200.16</v>
      </c>
    </row>
    <row r="1232" spans="1:4" x14ac:dyDescent="0.2">
      <c r="A1232" s="832" t="s">
        <v>2663</v>
      </c>
      <c r="B1232" s="833" t="s">
        <v>1272</v>
      </c>
      <c r="C1232" s="834" t="s">
        <v>41</v>
      </c>
      <c r="D1232" s="835">
        <v>65.91</v>
      </c>
    </row>
    <row r="1233" spans="1:4" x14ac:dyDescent="0.2">
      <c r="A1233" s="837" t="s">
        <v>2664</v>
      </c>
      <c r="B1233" s="838" t="s">
        <v>1478</v>
      </c>
      <c r="C1233" s="839"/>
      <c r="D1233" s="840"/>
    </row>
    <row r="1234" spans="1:4" x14ac:dyDescent="0.2">
      <c r="A1234" s="827" t="s">
        <v>2665</v>
      </c>
      <c r="B1234" s="828" t="s">
        <v>1254</v>
      </c>
      <c r="C1234" s="829" t="s">
        <v>41</v>
      </c>
      <c r="D1234" s="830">
        <v>1100.98</v>
      </c>
    </row>
    <row r="1235" spans="1:4" x14ac:dyDescent="0.2">
      <c r="A1235" s="832" t="s">
        <v>2666</v>
      </c>
      <c r="B1235" s="833" t="s">
        <v>1258</v>
      </c>
      <c r="C1235" s="834" t="s">
        <v>41</v>
      </c>
      <c r="D1235" s="835">
        <v>4.13</v>
      </c>
    </row>
    <row r="1236" spans="1:4" x14ac:dyDescent="0.2">
      <c r="A1236" s="827" t="s">
        <v>2667</v>
      </c>
      <c r="B1236" s="828" t="s">
        <v>1262</v>
      </c>
      <c r="C1236" s="829" t="s">
        <v>41</v>
      </c>
      <c r="D1236" s="830">
        <v>54.74</v>
      </c>
    </row>
    <row r="1237" spans="1:4" x14ac:dyDescent="0.2">
      <c r="A1237" s="832" t="s">
        <v>2668</v>
      </c>
      <c r="B1237" s="833" t="s">
        <v>1264</v>
      </c>
      <c r="C1237" s="834" t="s">
        <v>41</v>
      </c>
      <c r="D1237" s="835">
        <v>200.86</v>
      </c>
    </row>
    <row r="1238" spans="1:4" x14ac:dyDescent="0.2">
      <c r="A1238" s="827" t="s">
        <v>2669</v>
      </c>
      <c r="B1238" s="828" t="s">
        <v>1272</v>
      </c>
      <c r="C1238" s="829" t="s">
        <v>41</v>
      </c>
      <c r="D1238" s="830">
        <v>65.91</v>
      </c>
    </row>
    <row r="1239" spans="1:4" x14ac:dyDescent="0.2">
      <c r="A1239" s="837" t="s">
        <v>2670</v>
      </c>
      <c r="B1239" s="838" t="s">
        <v>1483</v>
      </c>
      <c r="C1239" s="839"/>
      <c r="D1239" s="840"/>
    </row>
    <row r="1240" spans="1:4" x14ac:dyDescent="0.2">
      <c r="A1240" s="832" t="s">
        <v>2671</v>
      </c>
      <c r="B1240" s="833" t="s">
        <v>1254</v>
      </c>
      <c r="C1240" s="834" t="s">
        <v>41</v>
      </c>
      <c r="D1240" s="835">
        <v>1100.6400000000001</v>
      </c>
    </row>
    <row r="1241" spans="1:4" x14ac:dyDescent="0.2">
      <c r="A1241" s="827" t="s">
        <v>2672</v>
      </c>
      <c r="B1241" s="828" t="s">
        <v>1258</v>
      </c>
      <c r="C1241" s="829" t="s">
        <v>41</v>
      </c>
      <c r="D1241" s="830">
        <v>4.13</v>
      </c>
    </row>
    <row r="1242" spans="1:4" x14ac:dyDescent="0.2">
      <c r="A1242" s="832" t="s">
        <v>2673</v>
      </c>
      <c r="B1242" s="833" t="s">
        <v>1262</v>
      </c>
      <c r="C1242" s="834" t="s">
        <v>41</v>
      </c>
      <c r="D1242" s="835">
        <v>54.74</v>
      </c>
    </row>
    <row r="1243" spans="1:4" x14ac:dyDescent="0.2">
      <c r="A1243" s="827" t="s">
        <v>2674</v>
      </c>
      <c r="B1243" s="828" t="s">
        <v>1264</v>
      </c>
      <c r="C1243" s="829" t="s">
        <v>41</v>
      </c>
      <c r="D1243" s="830">
        <v>200.16</v>
      </c>
    </row>
    <row r="1244" spans="1:4" x14ac:dyDescent="0.2">
      <c r="A1244" s="832" t="s">
        <v>2675</v>
      </c>
      <c r="B1244" s="833" t="s">
        <v>1272</v>
      </c>
      <c r="C1244" s="834" t="s">
        <v>41</v>
      </c>
      <c r="D1244" s="835">
        <v>65.91</v>
      </c>
    </row>
    <row r="1245" spans="1:4" x14ac:dyDescent="0.2">
      <c r="A1245" s="837" t="s">
        <v>2676</v>
      </c>
      <c r="B1245" s="838" t="s">
        <v>1488</v>
      </c>
      <c r="C1245" s="839"/>
      <c r="D1245" s="840"/>
    </row>
    <row r="1246" spans="1:4" x14ac:dyDescent="0.2">
      <c r="A1246" s="827" t="s">
        <v>2677</v>
      </c>
      <c r="B1246" s="828" t="s">
        <v>1254</v>
      </c>
      <c r="C1246" s="829" t="s">
        <v>41</v>
      </c>
      <c r="D1246" s="830">
        <v>1093.83</v>
      </c>
    </row>
    <row r="1247" spans="1:4" x14ac:dyDescent="0.2">
      <c r="A1247" s="832" t="s">
        <v>2678</v>
      </c>
      <c r="B1247" s="833" t="s">
        <v>1258</v>
      </c>
      <c r="C1247" s="834" t="s">
        <v>41</v>
      </c>
      <c r="D1247" s="835">
        <v>4.12</v>
      </c>
    </row>
    <row r="1248" spans="1:4" x14ac:dyDescent="0.2">
      <c r="A1248" s="827" t="s">
        <v>2679</v>
      </c>
      <c r="B1248" s="828" t="s">
        <v>1262</v>
      </c>
      <c r="C1248" s="829" t="s">
        <v>41</v>
      </c>
      <c r="D1248" s="830">
        <v>54.74</v>
      </c>
    </row>
    <row r="1249" spans="1:4" x14ac:dyDescent="0.2">
      <c r="A1249" s="832" t="s">
        <v>2680</v>
      </c>
      <c r="B1249" s="833" t="s">
        <v>1264</v>
      </c>
      <c r="C1249" s="834" t="s">
        <v>41</v>
      </c>
      <c r="D1249" s="835">
        <v>199.52</v>
      </c>
    </row>
    <row r="1250" spans="1:4" x14ac:dyDescent="0.2">
      <c r="A1250" s="827" t="s">
        <v>2681</v>
      </c>
      <c r="B1250" s="828" t="s">
        <v>1266</v>
      </c>
      <c r="C1250" s="829" t="s">
        <v>41</v>
      </c>
      <c r="D1250" s="830">
        <v>0.17</v>
      </c>
    </row>
    <row r="1251" spans="1:4" x14ac:dyDescent="0.2">
      <c r="A1251" s="832" t="s">
        <v>2682</v>
      </c>
      <c r="B1251" s="833" t="s">
        <v>1272</v>
      </c>
      <c r="C1251" s="834" t="s">
        <v>41</v>
      </c>
      <c r="D1251" s="835">
        <v>66.05</v>
      </c>
    </row>
    <row r="1252" spans="1:4" x14ac:dyDescent="0.2">
      <c r="A1252" s="837" t="s">
        <v>2683</v>
      </c>
      <c r="B1252" s="838" t="s">
        <v>1493</v>
      </c>
      <c r="C1252" s="839"/>
      <c r="D1252" s="840"/>
    </row>
    <row r="1253" spans="1:4" x14ac:dyDescent="0.2">
      <c r="A1253" s="827" t="s">
        <v>2684</v>
      </c>
      <c r="B1253" s="828" t="s">
        <v>1254</v>
      </c>
      <c r="C1253" s="829" t="s">
        <v>41</v>
      </c>
      <c r="D1253" s="830">
        <v>1100.92</v>
      </c>
    </row>
    <row r="1254" spans="1:4" x14ac:dyDescent="0.2">
      <c r="A1254" s="832" t="s">
        <v>2685</v>
      </c>
      <c r="B1254" s="833" t="s">
        <v>1258</v>
      </c>
      <c r="C1254" s="834" t="s">
        <v>41</v>
      </c>
      <c r="D1254" s="835">
        <v>4.13</v>
      </c>
    </row>
    <row r="1255" spans="1:4" x14ac:dyDescent="0.2">
      <c r="A1255" s="827" t="s">
        <v>2686</v>
      </c>
      <c r="B1255" s="828" t="s">
        <v>1262</v>
      </c>
      <c r="C1255" s="829" t="s">
        <v>41</v>
      </c>
      <c r="D1255" s="830">
        <v>54.74</v>
      </c>
    </row>
    <row r="1256" spans="1:4" x14ac:dyDescent="0.2">
      <c r="A1256" s="832" t="s">
        <v>2687</v>
      </c>
      <c r="B1256" s="833" t="s">
        <v>1264</v>
      </c>
      <c r="C1256" s="834" t="s">
        <v>41</v>
      </c>
      <c r="D1256" s="835">
        <v>199.76</v>
      </c>
    </row>
    <row r="1257" spans="1:4" x14ac:dyDescent="0.2">
      <c r="A1257" s="827" t="s">
        <v>2688</v>
      </c>
      <c r="B1257" s="828" t="s">
        <v>1272</v>
      </c>
      <c r="C1257" s="829" t="s">
        <v>41</v>
      </c>
      <c r="D1257" s="830">
        <v>65.91</v>
      </c>
    </row>
    <row r="1258" spans="1:4" x14ac:dyDescent="0.2">
      <c r="A1258" s="837" t="s">
        <v>2689</v>
      </c>
      <c r="B1258" s="838" t="s">
        <v>1498</v>
      </c>
      <c r="C1258" s="839"/>
      <c r="D1258" s="840"/>
    </row>
    <row r="1259" spans="1:4" x14ac:dyDescent="0.2">
      <c r="A1259" s="832" t="s">
        <v>2690</v>
      </c>
      <c r="B1259" s="833" t="s">
        <v>1254</v>
      </c>
      <c r="C1259" s="834" t="s">
        <v>41</v>
      </c>
      <c r="D1259" s="835">
        <v>1093.67</v>
      </c>
    </row>
    <row r="1260" spans="1:4" x14ac:dyDescent="0.2">
      <c r="A1260" s="827" t="s">
        <v>2691</v>
      </c>
      <c r="B1260" s="828" t="s">
        <v>1258</v>
      </c>
      <c r="C1260" s="829" t="s">
        <v>41</v>
      </c>
      <c r="D1260" s="830">
        <v>4.5199999999999996</v>
      </c>
    </row>
    <row r="1261" spans="1:4" x14ac:dyDescent="0.2">
      <c r="A1261" s="832" t="s">
        <v>2692</v>
      </c>
      <c r="B1261" s="833" t="s">
        <v>1262</v>
      </c>
      <c r="C1261" s="834" t="s">
        <v>41</v>
      </c>
      <c r="D1261" s="835">
        <v>54.74</v>
      </c>
    </row>
    <row r="1262" spans="1:4" x14ac:dyDescent="0.2">
      <c r="A1262" s="827" t="s">
        <v>2693</v>
      </c>
      <c r="B1262" s="828" t="s">
        <v>1264</v>
      </c>
      <c r="C1262" s="829" t="s">
        <v>41</v>
      </c>
      <c r="D1262" s="830">
        <v>199.49</v>
      </c>
    </row>
    <row r="1263" spans="1:4" x14ac:dyDescent="0.2">
      <c r="A1263" s="832" t="s">
        <v>2694</v>
      </c>
      <c r="B1263" s="833" t="s">
        <v>1266</v>
      </c>
      <c r="C1263" s="834" t="s">
        <v>41</v>
      </c>
      <c r="D1263" s="835">
        <v>0.17</v>
      </c>
    </row>
    <row r="1264" spans="1:4" x14ac:dyDescent="0.2">
      <c r="A1264" s="827" t="s">
        <v>2695</v>
      </c>
      <c r="B1264" s="828" t="s">
        <v>1272</v>
      </c>
      <c r="C1264" s="829" t="s">
        <v>41</v>
      </c>
      <c r="D1264" s="830">
        <v>66.05</v>
      </c>
    </row>
    <row r="1265" spans="1:4" x14ac:dyDescent="0.2">
      <c r="A1265" s="837" t="s">
        <v>2696</v>
      </c>
      <c r="B1265" s="838" t="s">
        <v>1503</v>
      </c>
      <c r="C1265" s="839"/>
      <c r="D1265" s="840"/>
    </row>
    <row r="1266" spans="1:4" x14ac:dyDescent="0.2">
      <c r="A1266" s="832" t="s">
        <v>2697</v>
      </c>
      <c r="B1266" s="833" t="s">
        <v>1254</v>
      </c>
      <c r="C1266" s="834" t="s">
        <v>41</v>
      </c>
      <c r="D1266" s="835">
        <v>1101.1099999999999</v>
      </c>
    </row>
    <row r="1267" spans="1:4" x14ac:dyDescent="0.2">
      <c r="A1267" s="827" t="s">
        <v>2698</v>
      </c>
      <c r="B1267" s="828" t="s">
        <v>1258</v>
      </c>
      <c r="C1267" s="829" t="s">
        <v>41</v>
      </c>
      <c r="D1267" s="830">
        <v>4.13</v>
      </c>
    </row>
    <row r="1268" spans="1:4" x14ac:dyDescent="0.2">
      <c r="A1268" s="832" t="s">
        <v>2699</v>
      </c>
      <c r="B1268" s="833" t="s">
        <v>1262</v>
      </c>
      <c r="C1268" s="834" t="s">
        <v>41</v>
      </c>
      <c r="D1268" s="835">
        <v>54.74</v>
      </c>
    </row>
    <row r="1269" spans="1:4" x14ac:dyDescent="0.2">
      <c r="A1269" s="827" t="s">
        <v>2700</v>
      </c>
      <c r="B1269" s="828" t="s">
        <v>1264</v>
      </c>
      <c r="C1269" s="829" t="s">
        <v>41</v>
      </c>
      <c r="D1269" s="830">
        <v>199.76</v>
      </c>
    </row>
    <row r="1270" spans="1:4" x14ac:dyDescent="0.2">
      <c r="A1270" s="832" t="s">
        <v>2701</v>
      </c>
      <c r="B1270" s="833" t="s">
        <v>1272</v>
      </c>
      <c r="C1270" s="834" t="s">
        <v>41</v>
      </c>
      <c r="D1270" s="835">
        <v>65.91</v>
      </c>
    </row>
    <row r="1271" spans="1:4" x14ac:dyDescent="0.2">
      <c r="A1271" s="837" t="s">
        <v>2702</v>
      </c>
      <c r="B1271" s="838" t="s">
        <v>1508</v>
      </c>
      <c r="C1271" s="839"/>
      <c r="D1271" s="840"/>
    </row>
    <row r="1272" spans="1:4" x14ac:dyDescent="0.2">
      <c r="A1272" s="827" t="s">
        <v>2703</v>
      </c>
      <c r="B1272" s="828" t="s">
        <v>1254</v>
      </c>
      <c r="C1272" s="829" t="s">
        <v>41</v>
      </c>
      <c r="D1272" s="830">
        <v>1093.83</v>
      </c>
    </row>
    <row r="1273" spans="1:4" x14ac:dyDescent="0.2">
      <c r="A1273" s="832" t="s">
        <v>2704</v>
      </c>
      <c r="B1273" s="833" t="s">
        <v>1258</v>
      </c>
      <c r="C1273" s="834" t="s">
        <v>41</v>
      </c>
      <c r="D1273" s="835">
        <v>4.12</v>
      </c>
    </row>
    <row r="1274" spans="1:4" x14ac:dyDescent="0.2">
      <c r="A1274" s="827" t="s">
        <v>2705</v>
      </c>
      <c r="B1274" s="828" t="s">
        <v>1262</v>
      </c>
      <c r="C1274" s="829" t="s">
        <v>41</v>
      </c>
      <c r="D1274" s="830">
        <v>54.74</v>
      </c>
    </row>
    <row r="1275" spans="1:4" x14ac:dyDescent="0.2">
      <c r="A1275" s="832" t="s">
        <v>2706</v>
      </c>
      <c r="B1275" s="833" t="s">
        <v>1264</v>
      </c>
      <c r="C1275" s="834" t="s">
        <v>41</v>
      </c>
      <c r="D1275" s="835">
        <v>199.52</v>
      </c>
    </row>
    <row r="1276" spans="1:4" x14ac:dyDescent="0.2">
      <c r="A1276" s="827" t="s">
        <v>2707</v>
      </c>
      <c r="B1276" s="828" t="s">
        <v>1266</v>
      </c>
      <c r="C1276" s="829" t="s">
        <v>41</v>
      </c>
      <c r="D1276" s="830">
        <v>0.17</v>
      </c>
    </row>
    <row r="1277" spans="1:4" x14ac:dyDescent="0.2">
      <c r="A1277" s="832" t="s">
        <v>2708</v>
      </c>
      <c r="B1277" s="833" t="s">
        <v>1272</v>
      </c>
      <c r="C1277" s="834" t="s">
        <v>41</v>
      </c>
      <c r="D1277" s="835">
        <v>66.05</v>
      </c>
    </row>
    <row r="1278" spans="1:4" x14ac:dyDescent="0.2">
      <c r="A1278" s="837" t="s">
        <v>2709</v>
      </c>
      <c r="B1278" s="838" t="s">
        <v>1513</v>
      </c>
      <c r="C1278" s="839"/>
      <c r="D1278" s="840"/>
    </row>
    <row r="1279" spans="1:4" x14ac:dyDescent="0.2">
      <c r="A1279" s="827" t="s">
        <v>2710</v>
      </c>
      <c r="B1279" s="828" t="s">
        <v>1254</v>
      </c>
      <c r="C1279" s="829" t="s">
        <v>41</v>
      </c>
      <c r="D1279" s="830">
        <v>1100.92</v>
      </c>
    </row>
    <row r="1280" spans="1:4" x14ac:dyDescent="0.2">
      <c r="A1280" s="832" t="s">
        <v>2711</v>
      </c>
      <c r="B1280" s="833" t="s">
        <v>1258</v>
      </c>
      <c r="C1280" s="834" t="s">
        <v>41</v>
      </c>
      <c r="D1280" s="835">
        <v>4.13</v>
      </c>
    </row>
    <row r="1281" spans="1:4" x14ac:dyDescent="0.2">
      <c r="A1281" s="827" t="s">
        <v>2712</v>
      </c>
      <c r="B1281" s="828" t="s">
        <v>1262</v>
      </c>
      <c r="C1281" s="829" t="s">
        <v>41</v>
      </c>
      <c r="D1281" s="830">
        <v>54.74</v>
      </c>
    </row>
    <row r="1282" spans="1:4" x14ac:dyDescent="0.2">
      <c r="A1282" s="832" t="s">
        <v>2713</v>
      </c>
      <c r="B1282" s="833" t="s">
        <v>1264</v>
      </c>
      <c r="C1282" s="834" t="s">
        <v>41</v>
      </c>
      <c r="D1282" s="835">
        <v>199.76</v>
      </c>
    </row>
    <row r="1283" spans="1:4" x14ac:dyDescent="0.2">
      <c r="A1283" s="827" t="s">
        <v>2714</v>
      </c>
      <c r="B1283" s="828" t="s">
        <v>1272</v>
      </c>
      <c r="C1283" s="829" t="s">
        <v>41</v>
      </c>
      <c r="D1283" s="830">
        <v>65.91</v>
      </c>
    </row>
    <row r="1284" spans="1:4" x14ac:dyDescent="0.2">
      <c r="A1284" s="837" t="s">
        <v>2715</v>
      </c>
      <c r="B1284" s="838" t="s">
        <v>1518</v>
      </c>
      <c r="C1284" s="839"/>
      <c r="D1284" s="840"/>
    </row>
    <row r="1285" spans="1:4" x14ac:dyDescent="0.2">
      <c r="A1285" s="832" t="s">
        <v>2716</v>
      </c>
      <c r="B1285" s="833" t="s">
        <v>1254</v>
      </c>
      <c r="C1285" s="834" t="s">
        <v>41</v>
      </c>
      <c r="D1285" s="835">
        <v>1093.83</v>
      </c>
    </row>
    <row r="1286" spans="1:4" x14ac:dyDescent="0.2">
      <c r="A1286" s="827" t="s">
        <v>2717</v>
      </c>
      <c r="B1286" s="828" t="s">
        <v>1258</v>
      </c>
      <c r="C1286" s="829" t="s">
        <v>41</v>
      </c>
      <c r="D1286" s="830">
        <v>4.12</v>
      </c>
    </row>
    <row r="1287" spans="1:4" x14ac:dyDescent="0.2">
      <c r="A1287" s="832" t="s">
        <v>2718</v>
      </c>
      <c r="B1287" s="833" t="s">
        <v>1262</v>
      </c>
      <c r="C1287" s="834" t="s">
        <v>41</v>
      </c>
      <c r="D1287" s="835">
        <v>54.74</v>
      </c>
    </row>
    <row r="1288" spans="1:4" x14ac:dyDescent="0.2">
      <c r="A1288" s="827" t="s">
        <v>2719</v>
      </c>
      <c r="B1288" s="828" t="s">
        <v>1264</v>
      </c>
      <c r="C1288" s="829" t="s">
        <v>41</v>
      </c>
      <c r="D1288" s="830">
        <v>199.52</v>
      </c>
    </row>
    <row r="1289" spans="1:4" x14ac:dyDescent="0.2">
      <c r="A1289" s="832" t="s">
        <v>2720</v>
      </c>
      <c r="B1289" s="833" t="s">
        <v>1266</v>
      </c>
      <c r="C1289" s="834" t="s">
        <v>41</v>
      </c>
      <c r="D1289" s="835">
        <v>0.17</v>
      </c>
    </row>
    <row r="1290" spans="1:4" x14ac:dyDescent="0.2">
      <c r="A1290" s="827" t="s">
        <v>2721</v>
      </c>
      <c r="B1290" s="828" t="s">
        <v>1272</v>
      </c>
      <c r="C1290" s="829" t="s">
        <v>41</v>
      </c>
      <c r="D1290" s="830">
        <v>66.05</v>
      </c>
    </row>
    <row r="1291" spans="1:4" x14ac:dyDescent="0.2">
      <c r="A1291" s="837" t="s">
        <v>2722</v>
      </c>
      <c r="B1291" s="838" t="s">
        <v>1523</v>
      </c>
      <c r="C1291" s="839"/>
      <c r="D1291" s="840"/>
    </row>
    <row r="1292" spans="1:4" x14ac:dyDescent="0.2">
      <c r="A1292" s="832" t="s">
        <v>2723</v>
      </c>
      <c r="B1292" s="833" t="s">
        <v>1254</v>
      </c>
      <c r="C1292" s="834" t="s">
        <v>41</v>
      </c>
      <c r="D1292" s="835">
        <v>1100.92</v>
      </c>
    </row>
    <row r="1293" spans="1:4" x14ac:dyDescent="0.2">
      <c r="A1293" s="827" t="s">
        <v>2724</v>
      </c>
      <c r="B1293" s="828" t="s">
        <v>1258</v>
      </c>
      <c r="C1293" s="829" t="s">
        <v>41</v>
      </c>
      <c r="D1293" s="830">
        <v>4.13</v>
      </c>
    </row>
    <row r="1294" spans="1:4" x14ac:dyDescent="0.2">
      <c r="A1294" s="832" t="s">
        <v>2725</v>
      </c>
      <c r="B1294" s="833" t="s">
        <v>1262</v>
      </c>
      <c r="C1294" s="834" t="s">
        <v>41</v>
      </c>
      <c r="D1294" s="835">
        <v>54.74</v>
      </c>
    </row>
    <row r="1295" spans="1:4" x14ac:dyDescent="0.2">
      <c r="A1295" s="827" t="s">
        <v>2726</v>
      </c>
      <c r="B1295" s="828" t="s">
        <v>1264</v>
      </c>
      <c r="C1295" s="829" t="s">
        <v>41</v>
      </c>
      <c r="D1295" s="830">
        <v>199.76</v>
      </c>
    </row>
    <row r="1296" spans="1:4" x14ac:dyDescent="0.2">
      <c r="A1296" s="832" t="s">
        <v>2727</v>
      </c>
      <c r="B1296" s="833" t="s">
        <v>1272</v>
      </c>
      <c r="C1296" s="834" t="s">
        <v>41</v>
      </c>
      <c r="D1296" s="835">
        <v>65.91</v>
      </c>
    </row>
    <row r="1297" spans="1:4" x14ac:dyDescent="0.2">
      <c r="A1297" s="837" t="s">
        <v>2728</v>
      </c>
      <c r="B1297" s="838" t="s">
        <v>1528</v>
      </c>
      <c r="C1297" s="839"/>
      <c r="D1297" s="840"/>
    </row>
    <row r="1298" spans="1:4" x14ac:dyDescent="0.2">
      <c r="A1298" s="827" t="s">
        <v>2729</v>
      </c>
      <c r="B1298" s="828" t="s">
        <v>1254</v>
      </c>
      <c r="C1298" s="829" t="s">
        <v>41</v>
      </c>
      <c r="D1298" s="830">
        <v>1093.83</v>
      </c>
    </row>
    <row r="1299" spans="1:4" x14ac:dyDescent="0.2">
      <c r="A1299" s="832" t="s">
        <v>2730</v>
      </c>
      <c r="B1299" s="833" t="s">
        <v>1258</v>
      </c>
      <c r="C1299" s="834" t="s">
        <v>41</v>
      </c>
      <c r="D1299" s="835">
        <v>4.12</v>
      </c>
    </row>
    <row r="1300" spans="1:4" x14ac:dyDescent="0.2">
      <c r="A1300" s="827" t="s">
        <v>2731</v>
      </c>
      <c r="B1300" s="828" t="s">
        <v>1262</v>
      </c>
      <c r="C1300" s="829" t="s">
        <v>41</v>
      </c>
      <c r="D1300" s="830">
        <v>54.74</v>
      </c>
    </row>
    <row r="1301" spans="1:4" x14ac:dyDescent="0.2">
      <c r="A1301" s="832" t="s">
        <v>2732</v>
      </c>
      <c r="B1301" s="833" t="s">
        <v>1264</v>
      </c>
      <c r="C1301" s="834" t="s">
        <v>41</v>
      </c>
      <c r="D1301" s="835">
        <v>199.52</v>
      </c>
    </row>
    <row r="1302" spans="1:4" x14ac:dyDescent="0.2">
      <c r="A1302" s="827" t="s">
        <v>2733</v>
      </c>
      <c r="B1302" s="828" t="s">
        <v>1266</v>
      </c>
      <c r="C1302" s="829" t="s">
        <v>41</v>
      </c>
      <c r="D1302" s="830">
        <v>0.17</v>
      </c>
    </row>
    <row r="1303" spans="1:4" x14ac:dyDescent="0.2">
      <c r="A1303" s="832" t="s">
        <v>2734</v>
      </c>
      <c r="B1303" s="833" t="s">
        <v>1272</v>
      </c>
      <c r="C1303" s="834" t="s">
        <v>41</v>
      </c>
      <c r="D1303" s="835">
        <v>66.05</v>
      </c>
    </row>
    <row r="1304" spans="1:4" x14ac:dyDescent="0.2">
      <c r="A1304" s="837" t="s">
        <v>2735</v>
      </c>
      <c r="B1304" s="838" t="s">
        <v>1533</v>
      </c>
      <c r="C1304" s="839"/>
      <c r="D1304" s="840"/>
    </row>
    <row r="1305" spans="1:4" x14ac:dyDescent="0.2">
      <c r="A1305" s="827" t="s">
        <v>2736</v>
      </c>
      <c r="B1305" s="828" t="s">
        <v>1254</v>
      </c>
      <c r="C1305" s="829" t="s">
        <v>41</v>
      </c>
      <c r="D1305" s="830">
        <v>1102.57</v>
      </c>
    </row>
    <row r="1306" spans="1:4" x14ac:dyDescent="0.2">
      <c r="A1306" s="832" t="s">
        <v>2737</v>
      </c>
      <c r="B1306" s="833" t="s">
        <v>1258</v>
      </c>
      <c r="C1306" s="834" t="s">
        <v>41</v>
      </c>
      <c r="D1306" s="835">
        <v>4.13</v>
      </c>
    </row>
    <row r="1307" spans="1:4" x14ac:dyDescent="0.2">
      <c r="A1307" s="827" t="s">
        <v>2738</v>
      </c>
      <c r="B1307" s="828" t="s">
        <v>1262</v>
      </c>
      <c r="C1307" s="829" t="s">
        <v>41</v>
      </c>
      <c r="D1307" s="830">
        <v>54.74</v>
      </c>
    </row>
    <row r="1308" spans="1:4" x14ac:dyDescent="0.2">
      <c r="A1308" s="832" t="s">
        <v>2739</v>
      </c>
      <c r="B1308" s="833" t="s">
        <v>1264</v>
      </c>
      <c r="C1308" s="834" t="s">
        <v>41</v>
      </c>
      <c r="D1308" s="835">
        <v>199.76</v>
      </c>
    </row>
    <row r="1309" spans="1:4" x14ac:dyDescent="0.2">
      <c r="A1309" s="827" t="s">
        <v>2740</v>
      </c>
      <c r="B1309" s="828" t="s">
        <v>1272</v>
      </c>
      <c r="C1309" s="829" t="s">
        <v>41</v>
      </c>
      <c r="D1309" s="830">
        <v>65.91</v>
      </c>
    </row>
    <row r="1310" spans="1:4" x14ac:dyDescent="0.2">
      <c r="A1310" s="837" t="s">
        <v>2741</v>
      </c>
      <c r="B1310" s="838" t="s">
        <v>1538</v>
      </c>
      <c r="C1310" s="839"/>
      <c r="D1310" s="840"/>
    </row>
    <row r="1311" spans="1:4" x14ac:dyDescent="0.2">
      <c r="A1311" s="832" t="s">
        <v>2742</v>
      </c>
      <c r="B1311" s="833" t="s">
        <v>1252</v>
      </c>
      <c r="C1311" s="834" t="s">
        <v>41</v>
      </c>
      <c r="D1311" s="835">
        <v>338.95</v>
      </c>
    </row>
    <row r="1312" spans="1:4" x14ac:dyDescent="0.2">
      <c r="A1312" s="827" t="s">
        <v>2743</v>
      </c>
      <c r="B1312" s="828" t="s">
        <v>1258</v>
      </c>
      <c r="C1312" s="829" t="s">
        <v>41</v>
      </c>
      <c r="D1312" s="830">
        <v>8.17</v>
      </c>
    </row>
    <row r="1313" spans="1:4" x14ac:dyDescent="0.2">
      <c r="A1313" s="832" t="s">
        <v>2744</v>
      </c>
      <c r="B1313" s="833" t="s">
        <v>1262</v>
      </c>
      <c r="C1313" s="834" t="s">
        <v>41</v>
      </c>
      <c r="D1313" s="835">
        <v>73.14</v>
      </c>
    </row>
    <row r="1314" spans="1:4" x14ac:dyDescent="0.2">
      <c r="A1314" s="827" t="s">
        <v>2745</v>
      </c>
      <c r="B1314" s="828" t="s">
        <v>1264</v>
      </c>
      <c r="C1314" s="829" t="s">
        <v>41</v>
      </c>
      <c r="D1314" s="830">
        <v>162.38999999999999</v>
      </c>
    </row>
    <row r="1315" spans="1:4" x14ac:dyDescent="0.2">
      <c r="A1315" s="832" t="s">
        <v>2746</v>
      </c>
      <c r="B1315" s="833" t="s">
        <v>1268</v>
      </c>
      <c r="C1315" s="834" t="s">
        <v>41</v>
      </c>
      <c r="D1315" s="835">
        <v>96.62</v>
      </c>
    </row>
    <row r="1316" spans="1:4" x14ac:dyDescent="0.2">
      <c r="A1316" s="827" t="s">
        <v>2747</v>
      </c>
      <c r="B1316" s="828" t="s">
        <v>1272</v>
      </c>
      <c r="C1316" s="829" t="s">
        <v>41</v>
      </c>
      <c r="D1316" s="830">
        <v>87.55</v>
      </c>
    </row>
    <row r="1317" spans="1:4" x14ac:dyDescent="0.2">
      <c r="A1317" s="837" t="s">
        <v>2748</v>
      </c>
      <c r="B1317" s="838" t="s">
        <v>1542</v>
      </c>
      <c r="C1317" s="839"/>
      <c r="D1317" s="840"/>
    </row>
    <row r="1318" spans="1:4" x14ac:dyDescent="0.2">
      <c r="A1318" s="832" t="s">
        <v>2749</v>
      </c>
      <c r="B1318" s="833" t="s">
        <v>1258</v>
      </c>
      <c r="C1318" s="834" t="s">
        <v>41</v>
      </c>
      <c r="D1318" s="835">
        <v>4.13</v>
      </c>
    </row>
    <row r="1319" spans="1:4" x14ac:dyDescent="0.2">
      <c r="A1319" s="827" t="s">
        <v>2750</v>
      </c>
      <c r="B1319" s="828" t="s">
        <v>1262</v>
      </c>
      <c r="C1319" s="829" t="s">
        <v>41</v>
      </c>
      <c r="D1319" s="830">
        <v>41.81</v>
      </c>
    </row>
    <row r="1320" spans="1:4" x14ac:dyDescent="0.2">
      <c r="A1320" s="832" t="s">
        <v>2751</v>
      </c>
      <c r="B1320" s="833" t="s">
        <v>1270</v>
      </c>
      <c r="C1320" s="834" t="s">
        <v>41</v>
      </c>
      <c r="D1320" s="835">
        <v>54.15</v>
      </c>
    </row>
    <row r="1321" spans="1:4" x14ac:dyDescent="0.2">
      <c r="A1321" s="827" t="s">
        <v>2752</v>
      </c>
      <c r="B1321" s="828" t="s">
        <v>1272</v>
      </c>
      <c r="C1321" s="829" t="s">
        <v>41</v>
      </c>
      <c r="D1321" s="830">
        <v>46.49</v>
      </c>
    </row>
    <row r="1322" spans="1:4" x14ac:dyDescent="0.2">
      <c r="A1322" s="837" t="s">
        <v>2753</v>
      </c>
      <c r="B1322" s="838" t="s">
        <v>1545</v>
      </c>
      <c r="C1322" s="839"/>
      <c r="D1322" s="840"/>
    </row>
    <row r="1323" spans="1:4" x14ac:dyDescent="0.2">
      <c r="A1323" s="832" t="s">
        <v>2754</v>
      </c>
      <c r="B1323" s="833" t="s">
        <v>1270</v>
      </c>
      <c r="C1323" s="834" t="s">
        <v>41</v>
      </c>
      <c r="D1323" s="835">
        <v>73.709999999999994</v>
      </c>
    </row>
    <row r="1324" spans="1:4" x14ac:dyDescent="0.2">
      <c r="A1324" s="827" t="s">
        <v>2755</v>
      </c>
      <c r="B1324" s="828" t="s">
        <v>1272</v>
      </c>
      <c r="C1324" s="829" t="s">
        <v>41</v>
      </c>
      <c r="D1324" s="830">
        <v>52.4</v>
      </c>
    </row>
    <row r="1325" spans="1:4" x14ac:dyDescent="0.2">
      <c r="A1325" s="837" t="s">
        <v>2756</v>
      </c>
      <c r="B1325" s="838" t="s">
        <v>1548</v>
      </c>
      <c r="C1325" s="839"/>
      <c r="D1325" s="840"/>
    </row>
    <row r="1326" spans="1:4" x14ac:dyDescent="0.2">
      <c r="A1326" s="832" t="s">
        <v>2757</v>
      </c>
      <c r="B1326" s="833" t="s">
        <v>1256</v>
      </c>
      <c r="C1326" s="834" t="s">
        <v>41</v>
      </c>
      <c r="D1326" s="835">
        <v>101.02</v>
      </c>
    </row>
    <row r="1327" spans="1:4" x14ac:dyDescent="0.2">
      <c r="A1327" s="827" t="s">
        <v>2758</v>
      </c>
      <c r="B1327" s="828" t="s">
        <v>1270</v>
      </c>
      <c r="C1327" s="829" t="s">
        <v>41</v>
      </c>
      <c r="D1327" s="830">
        <v>30.36</v>
      </c>
    </row>
    <row r="1328" spans="1:4" x14ac:dyDescent="0.2">
      <c r="A1328" s="832" t="s">
        <v>2759</v>
      </c>
      <c r="B1328" s="833" t="s">
        <v>1272</v>
      </c>
      <c r="C1328" s="834" t="s">
        <v>41</v>
      </c>
      <c r="D1328" s="835">
        <v>4.0999999999999996</v>
      </c>
    </row>
    <row r="1329" spans="1:4" x14ac:dyDescent="0.2">
      <c r="A1329" s="823" t="s">
        <v>1277</v>
      </c>
      <c r="B1329" s="824" t="s">
        <v>1278</v>
      </c>
      <c r="C1329" s="825"/>
      <c r="D1329" s="826"/>
    </row>
    <row r="1330" spans="1:4" x14ac:dyDescent="0.2">
      <c r="A1330" s="837" t="s">
        <v>2760</v>
      </c>
      <c r="B1330" s="838" t="s">
        <v>1453</v>
      </c>
      <c r="C1330" s="839"/>
      <c r="D1330" s="840"/>
    </row>
    <row r="1331" spans="1:4" x14ac:dyDescent="0.2">
      <c r="A1331" s="827" t="s">
        <v>2761</v>
      </c>
      <c r="B1331" s="828" t="s">
        <v>1280</v>
      </c>
      <c r="C1331" s="829" t="s">
        <v>41</v>
      </c>
      <c r="D1331" s="830">
        <v>738.8</v>
      </c>
    </row>
    <row r="1332" spans="1:4" x14ac:dyDescent="0.2">
      <c r="A1332" s="832" t="s">
        <v>2762</v>
      </c>
      <c r="B1332" s="833" t="s">
        <v>1282</v>
      </c>
      <c r="C1332" s="834" t="s">
        <v>41</v>
      </c>
      <c r="D1332" s="835">
        <v>25.01</v>
      </c>
    </row>
    <row r="1333" spans="1:4" x14ac:dyDescent="0.2">
      <c r="A1333" s="837" t="s">
        <v>2763</v>
      </c>
      <c r="B1333" s="838" t="s">
        <v>1458</v>
      </c>
      <c r="C1333" s="839"/>
      <c r="D1333" s="840"/>
    </row>
    <row r="1334" spans="1:4" x14ac:dyDescent="0.2">
      <c r="A1334" s="827" t="s">
        <v>2764</v>
      </c>
      <c r="B1334" s="828" t="s">
        <v>1280</v>
      </c>
      <c r="C1334" s="829" t="s">
        <v>41</v>
      </c>
      <c r="D1334" s="830">
        <v>4.49</v>
      </c>
    </row>
    <row r="1335" spans="1:4" x14ac:dyDescent="0.2">
      <c r="A1335" s="832" t="s">
        <v>2765</v>
      </c>
      <c r="B1335" s="833" t="s">
        <v>1282</v>
      </c>
      <c r="C1335" s="834" t="s">
        <v>41</v>
      </c>
      <c r="D1335" s="835">
        <v>978.39</v>
      </c>
    </row>
    <row r="1336" spans="1:4" x14ac:dyDescent="0.2">
      <c r="A1336" s="837" t="s">
        <v>2766</v>
      </c>
      <c r="B1336" s="838" t="s">
        <v>1462</v>
      </c>
      <c r="C1336" s="839"/>
      <c r="D1336" s="840"/>
    </row>
    <row r="1337" spans="1:4" x14ac:dyDescent="0.2">
      <c r="A1337" s="827" t="s">
        <v>2767</v>
      </c>
      <c r="B1337" s="828" t="s">
        <v>1280</v>
      </c>
      <c r="C1337" s="829" t="s">
        <v>41</v>
      </c>
      <c r="D1337" s="830">
        <v>4.49</v>
      </c>
    </row>
    <row r="1338" spans="1:4" x14ac:dyDescent="0.2">
      <c r="A1338" s="832" t="s">
        <v>2768</v>
      </c>
      <c r="B1338" s="833" t="s">
        <v>1282</v>
      </c>
      <c r="C1338" s="834" t="s">
        <v>41</v>
      </c>
      <c r="D1338" s="835">
        <v>980.76</v>
      </c>
    </row>
    <row r="1339" spans="1:4" x14ac:dyDescent="0.2">
      <c r="A1339" s="837" t="s">
        <v>2769</v>
      </c>
      <c r="B1339" s="838" t="s">
        <v>1466</v>
      </c>
      <c r="C1339" s="839"/>
      <c r="D1339" s="840"/>
    </row>
    <row r="1340" spans="1:4" x14ac:dyDescent="0.2">
      <c r="A1340" s="827" t="s">
        <v>2770</v>
      </c>
      <c r="B1340" s="828" t="s">
        <v>1280</v>
      </c>
      <c r="C1340" s="829" t="s">
        <v>41</v>
      </c>
      <c r="D1340" s="830">
        <v>4.49</v>
      </c>
    </row>
    <row r="1341" spans="1:4" x14ac:dyDescent="0.2">
      <c r="A1341" s="832" t="s">
        <v>2771</v>
      </c>
      <c r="B1341" s="833" t="s">
        <v>1282</v>
      </c>
      <c r="C1341" s="834" t="s">
        <v>41</v>
      </c>
      <c r="D1341" s="835">
        <v>1035.21</v>
      </c>
    </row>
    <row r="1342" spans="1:4" x14ac:dyDescent="0.2">
      <c r="A1342" s="837" t="s">
        <v>2772</v>
      </c>
      <c r="B1342" s="838" t="s">
        <v>1470</v>
      </c>
      <c r="C1342" s="839"/>
      <c r="D1342" s="840"/>
    </row>
    <row r="1343" spans="1:4" x14ac:dyDescent="0.2">
      <c r="A1343" s="827" t="s">
        <v>2773</v>
      </c>
      <c r="B1343" s="828" t="s">
        <v>1280</v>
      </c>
      <c r="C1343" s="829" t="s">
        <v>41</v>
      </c>
      <c r="D1343" s="830">
        <v>1.74</v>
      </c>
    </row>
    <row r="1344" spans="1:4" x14ac:dyDescent="0.2">
      <c r="A1344" s="832" t="s">
        <v>2774</v>
      </c>
      <c r="B1344" s="833" t="s">
        <v>1282</v>
      </c>
      <c r="C1344" s="834" t="s">
        <v>41</v>
      </c>
      <c r="D1344" s="835">
        <v>980.81</v>
      </c>
    </row>
    <row r="1345" spans="1:4" x14ac:dyDescent="0.2">
      <c r="A1345" s="837" t="s">
        <v>2775</v>
      </c>
      <c r="B1345" s="838" t="s">
        <v>1473</v>
      </c>
      <c r="C1345" s="839"/>
      <c r="D1345" s="840"/>
    </row>
    <row r="1346" spans="1:4" x14ac:dyDescent="0.2">
      <c r="A1346" s="827" t="s">
        <v>2776</v>
      </c>
      <c r="B1346" s="828" t="s">
        <v>1280</v>
      </c>
      <c r="C1346" s="829" t="s">
        <v>41</v>
      </c>
      <c r="D1346" s="830">
        <v>462.8</v>
      </c>
    </row>
    <row r="1347" spans="1:4" x14ac:dyDescent="0.2">
      <c r="A1347" s="832" t="s">
        <v>2777</v>
      </c>
      <c r="B1347" s="833" t="s">
        <v>1282</v>
      </c>
      <c r="C1347" s="834" t="s">
        <v>41</v>
      </c>
      <c r="D1347" s="835">
        <v>13.07</v>
      </c>
    </row>
    <row r="1348" spans="1:4" x14ac:dyDescent="0.2">
      <c r="A1348" s="837" t="s">
        <v>2778</v>
      </c>
      <c r="B1348" s="838" t="s">
        <v>1478</v>
      </c>
      <c r="C1348" s="839"/>
      <c r="D1348" s="840"/>
    </row>
    <row r="1349" spans="1:4" x14ac:dyDescent="0.2">
      <c r="A1349" s="827" t="s">
        <v>2779</v>
      </c>
      <c r="B1349" s="828" t="s">
        <v>1280</v>
      </c>
      <c r="C1349" s="829" t="s">
        <v>41</v>
      </c>
      <c r="D1349" s="830">
        <v>462.8</v>
      </c>
    </row>
    <row r="1350" spans="1:4" x14ac:dyDescent="0.2">
      <c r="A1350" s="832" t="s">
        <v>2780</v>
      </c>
      <c r="B1350" s="833" t="s">
        <v>1282</v>
      </c>
      <c r="C1350" s="834" t="s">
        <v>41</v>
      </c>
      <c r="D1350" s="835">
        <v>12.92</v>
      </c>
    </row>
    <row r="1351" spans="1:4" x14ac:dyDescent="0.2">
      <c r="A1351" s="837" t="s">
        <v>2781</v>
      </c>
      <c r="B1351" s="838" t="s">
        <v>1483</v>
      </c>
      <c r="C1351" s="839"/>
      <c r="D1351" s="840"/>
    </row>
    <row r="1352" spans="1:4" x14ac:dyDescent="0.2">
      <c r="A1352" s="827" t="s">
        <v>2782</v>
      </c>
      <c r="B1352" s="828" t="s">
        <v>1280</v>
      </c>
      <c r="C1352" s="829" t="s">
        <v>41</v>
      </c>
      <c r="D1352" s="830">
        <v>462.8</v>
      </c>
    </row>
    <row r="1353" spans="1:4" x14ac:dyDescent="0.2">
      <c r="A1353" s="832" t="s">
        <v>2783</v>
      </c>
      <c r="B1353" s="833" t="s">
        <v>1282</v>
      </c>
      <c r="C1353" s="834" t="s">
        <v>41</v>
      </c>
      <c r="D1353" s="835">
        <v>13.07</v>
      </c>
    </row>
    <row r="1354" spans="1:4" x14ac:dyDescent="0.2">
      <c r="A1354" s="837" t="s">
        <v>2784</v>
      </c>
      <c r="B1354" s="838" t="s">
        <v>1488</v>
      </c>
      <c r="C1354" s="839"/>
      <c r="D1354" s="840"/>
    </row>
    <row r="1355" spans="1:4" x14ac:dyDescent="0.2">
      <c r="A1355" s="827" t="s">
        <v>2785</v>
      </c>
      <c r="B1355" s="828" t="s">
        <v>1280</v>
      </c>
      <c r="C1355" s="829" t="s">
        <v>41</v>
      </c>
      <c r="D1355" s="830">
        <v>453.78</v>
      </c>
    </row>
    <row r="1356" spans="1:4" x14ac:dyDescent="0.2">
      <c r="A1356" s="832" t="s">
        <v>2786</v>
      </c>
      <c r="B1356" s="833" t="s">
        <v>1282</v>
      </c>
      <c r="C1356" s="834" t="s">
        <v>41</v>
      </c>
      <c r="D1356" s="835">
        <v>13.07</v>
      </c>
    </row>
    <row r="1357" spans="1:4" x14ac:dyDescent="0.2">
      <c r="A1357" s="837" t="s">
        <v>2787</v>
      </c>
      <c r="B1357" s="838" t="s">
        <v>1493</v>
      </c>
      <c r="C1357" s="839"/>
      <c r="D1357" s="840"/>
    </row>
    <row r="1358" spans="1:4" x14ac:dyDescent="0.2">
      <c r="A1358" s="827" t="s">
        <v>2788</v>
      </c>
      <c r="B1358" s="828" t="s">
        <v>1280</v>
      </c>
      <c r="C1358" s="829" t="s">
        <v>41</v>
      </c>
      <c r="D1358" s="830">
        <v>462.8</v>
      </c>
    </row>
    <row r="1359" spans="1:4" x14ac:dyDescent="0.2">
      <c r="A1359" s="832" t="s">
        <v>2789</v>
      </c>
      <c r="B1359" s="833" t="s">
        <v>1282</v>
      </c>
      <c r="C1359" s="834" t="s">
        <v>41</v>
      </c>
      <c r="D1359" s="835">
        <v>13.07</v>
      </c>
    </row>
    <row r="1360" spans="1:4" x14ac:dyDescent="0.2">
      <c r="A1360" s="837" t="s">
        <v>2790</v>
      </c>
      <c r="B1360" s="838" t="s">
        <v>1498</v>
      </c>
      <c r="C1360" s="839"/>
      <c r="D1360" s="840"/>
    </row>
    <row r="1361" spans="1:4" x14ac:dyDescent="0.2">
      <c r="A1361" s="827" t="s">
        <v>2791</v>
      </c>
      <c r="B1361" s="828" t="s">
        <v>1280</v>
      </c>
      <c r="C1361" s="829" t="s">
        <v>41</v>
      </c>
      <c r="D1361" s="830">
        <v>453.78</v>
      </c>
    </row>
    <row r="1362" spans="1:4" x14ac:dyDescent="0.2">
      <c r="A1362" s="832" t="s">
        <v>2792</v>
      </c>
      <c r="B1362" s="833" t="s">
        <v>1282</v>
      </c>
      <c r="C1362" s="834" t="s">
        <v>41</v>
      </c>
      <c r="D1362" s="835">
        <v>13.07</v>
      </c>
    </row>
    <row r="1363" spans="1:4" x14ac:dyDescent="0.2">
      <c r="A1363" s="837" t="s">
        <v>2793</v>
      </c>
      <c r="B1363" s="838" t="s">
        <v>1503</v>
      </c>
      <c r="C1363" s="839"/>
      <c r="D1363" s="840"/>
    </row>
    <row r="1364" spans="1:4" x14ac:dyDescent="0.2">
      <c r="A1364" s="827" t="s">
        <v>2794</v>
      </c>
      <c r="B1364" s="828" t="s">
        <v>1280</v>
      </c>
      <c r="C1364" s="829" t="s">
        <v>41</v>
      </c>
      <c r="D1364" s="830">
        <v>462.8</v>
      </c>
    </row>
    <row r="1365" spans="1:4" x14ac:dyDescent="0.2">
      <c r="A1365" s="832" t="s">
        <v>2795</v>
      </c>
      <c r="B1365" s="833" t="s">
        <v>1282</v>
      </c>
      <c r="C1365" s="834" t="s">
        <v>41</v>
      </c>
      <c r="D1365" s="835">
        <v>13.07</v>
      </c>
    </row>
    <row r="1366" spans="1:4" x14ac:dyDescent="0.2">
      <c r="A1366" s="837" t="s">
        <v>2796</v>
      </c>
      <c r="B1366" s="838" t="s">
        <v>1508</v>
      </c>
      <c r="C1366" s="839"/>
      <c r="D1366" s="840"/>
    </row>
    <row r="1367" spans="1:4" x14ac:dyDescent="0.2">
      <c r="A1367" s="827" t="s">
        <v>2797</v>
      </c>
      <c r="B1367" s="828" t="s">
        <v>1280</v>
      </c>
      <c r="C1367" s="829" t="s">
        <v>41</v>
      </c>
      <c r="D1367" s="830">
        <v>453.78</v>
      </c>
    </row>
    <row r="1368" spans="1:4" x14ac:dyDescent="0.2">
      <c r="A1368" s="832" t="s">
        <v>2798</v>
      </c>
      <c r="B1368" s="833" t="s">
        <v>1282</v>
      </c>
      <c r="C1368" s="834" t="s">
        <v>41</v>
      </c>
      <c r="D1368" s="835">
        <v>13.07</v>
      </c>
    </row>
    <row r="1369" spans="1:4" x14ac:dyDescent="0.2">
      <c r="A1369" s="837" t="s">
        <v>2799</v>
      </c>
      <c r="B1369" s="838" t="s">
        <v>1513</v>
      </c>
      <c r="C1369" s="839"/>
      <c r="D1369" s="840"/>
    </row>
    <row r="1370" spans="1:4" x14ac:dyDescent="0.2">
      <c r="A1370" s="827" t="s">
        <v>2800</v>
      </c>
      <c r="B1370" s="828" t="s">
        <v>1280</v>
      </c>
      <c r="C1370" s="829" t="s">
        <v>41</v>
      </c>
      <c r="D1370" s="830">
        <v>462.8</v>
      </c>
    </row>
    <row r="1371" spans="1:4" x14ac:dyDescent="0.2">
      <c r="A1371" s="832" t="s">
        <v>2801</v>
      </c>
      <c r="B1371" s="833" t="s">
        <v>1282</v>
      </c>
      <c r="C1371" s="834" t="s">
        <v>41</v>
      </c>
      <c r="D1371" s="835">
        <v>13.07</v>
      </c>
    </row>
    <row r="1372" spans="1:4" x14ac:dyDescent="0.2">
      <c r="A1372" s="837" t="s">
        <v>2802</v>
      </c>
      <c r="B1372" s="838" t="s">
        <v>1518</v>
      </c>
      <c r="C1372" s="839"/>
      <c r="D1372" s="840"/>
    </row>
    <row r="1373" spans="1:4" x14ac:dyDescent="0.2">
      <c r="A1373" s="827" t="s">
        <v>2803</v>
      </c>
      <c r="B1373" s="828" t="s">
        <v>1280</v>
      </c>
      <c r="C1373" s="829" t="s">
        <v>41</v>
      </c>
      <c r="D1373" s="830">
        <v>453.78</v>
      </c>
    </row>
    <row r="1374" spans="1:4" x14ac:dyDescent="0.2">
      <c r="A1374" s="832" t="s">
        <v>2804</v>
      </c>
      <c r="B1374" s="833" t="s">
        <v>1282</v>
      </c>
      <c r="C1374" s="834" t="s">
        <v>41</v>
      </c>
      <c r="D1374" s="835">
        <v>13.07</v>
      </c>
    </row>
    <row r="1375" spans="1:4" x14ac:dyDescent="0.2">
      <c r="A1375" s="837" t="s">
        <v>2805</v>
      </c>
      <c r="B1375" s="838" t="s">
        <v>1523</v>
      </c>
      <c r="C1375" s="839"/>
      <c r="D1375" s="840"/>
    </row>
    <row r="1376" spans="1:4" x14ac:dyDescent="0.2">
      <c r="A1376" s="827" t="s">
        <v>2806</v>
      </c>
      <c r="B1376" s="828" t="s">
        <v>1280</v>
      </c>
      <c r="C1376" s="829" t="s">
        <v>41</v>
      </c>
      <c r="D1376" s="830">
        <v>462.8</v>
      </c>
    </row>
    <row r="1377" spans="1:4" x14ac:dyDescent="0.2">
      <c r="A1377" s="832" t="s">
        <v>2807</v>
      </c>
      <c r="B1377" s="833" t="s">
        <v>1282</v>
      </c>
      <c r="C1377" s="834" t="s">
        <v>41</v>
      </c>
      <c r="D1377" s="835">
        <v>13.07</v>
      </c>
    </row>
    <row r="1378" spans="1:4" x14ac:dyDescent="0.2">
      <c r="A1378" s="837" t="s">
        <v>2808</v>
      </c>
      <c r="B1378" s="838" t="s">
        <v>1528</v>
      </c>
      <c r="C1378" s="839"/>
      <c r="D1378" s="840"/>
    </row>
    <row r="1379" spans="1:4" x14ac:dyDescent="0.2">
      <c r="A1379" s="827" t="s">
        <v>2809</v>
      </c>
      <c r="B1379" s="828" t="s">
        <v>1280</v>
      </c>
      <c r="C1379" s="829" t="s">
        <v>41</v>
      </c>
      <c r="D1379" s="830">
        <v>453.78</v>
      </c>
    </row>
    <row r="1380" spans="1:4" x14ac:dyDescent="0.2">
      <c r="A1380" s="832" t="s">
        <v>2810</v>
      </c>
      <c r="B1380" s="833" t="s">
        <v>1282</v>
      </c>
      <c r="C1380" s="834" t="s">
        <v>41</v>
      </c>
      <c r="D1380" s="835">
        <v>13.07</v>
      </c>
    </row>
    <row r="1381" spans="1:4" x14ac:dyDescent="0.2">
      <c r="A1381" s="837" t="s">
        <v>2811</v>
      </c>
      <c r="B1381" s="838" t="s">
        <v>1533</v>
      </c>
      <c r="C1381" s="839"/>
      <c r="D1381" s="840"/>
    </row>
    <row r="1382" spans="1:4" x14ac:dyDescent="0.2">
      <c r="A1382" s="827" t="s">
        <v>2812</v>
      </c>
      <c r="B1382" s="828" t="s">
        <v>1280</v>
      </c>
      <c r="C1382" s="829" t="s">
        <v>41</v>
      </c>
      <c r="D1382" s="830">
        <v>462.8</v>
      </c>
    </row>
    <row r="1383" spans="1:4" x14ac:dyDescent="0.2">
      <c r="A1383" s="832" t="s">
        <v>2813</v>
      </c>
      <c r="B1383" s="833" t="s">
        <v>1282</v>
      </c>
      <c r="C1383" s="834" t="s">
        <v>41</v>
      </c>
      <c r="D1383" s="835">
        <v>13.07</v>
      </c>
    </row>
    <row r="1384" spans="1:4" x14ac:dyDescent="0.2">
      <c r="A1384" s="837" t="s">
        <v>2814</v>
      </c>
      <c r="B1384" s="838" t="s">
        <v>1538</v>
      </c>
      <c r="C1384" s="839"/>
      <c r="D1384" s="840"/>
    </row>
    <row r="1385" spans="1:4" x14ac:dyDescent="0.2">
      <c r="A1385" s="827" t="s">
        <v>2815</v>
      </c>
      <c r="B1385" s="828" t="s">
        <v>1280</v>
      </c>
      <c r="C1385" s="829" t="s">
        <v>41</v>
      </c>
      <c r="D1385" s="830">
        <v>331.59</v>
      </c>
    </row>
    <row r="1386" spans="1:4" x14ac:dyDescent="0.2">
      <c r="A1386" s="832" t="s">
        <v>2816</v>
      </c>
      <c r="B1386" s="833" t="s">
        <v>1282</v>
      </c>
      <c r="C1386" s="834" t="s">
        <v>41</v>
      </c>
      <c r="D1386" s="835">
        <v>10.59</v>
      </c>
    </row>
    <row r="1387" spans="1:4" x14ac:dyDescent="0.2">
      <c r="A1387" s="837" t="s">
        <v>2817</v>
      </c>
      <c r="B1387" s="838" t="s">
        <v>1542</v>
      </c>
      <c r="C1387" s="839"/>
      <c r="D1387" s="840"/>
    </row>
    <row r="1388" spans="1:4" x14ac:dyDescent="0.2">
      <c r="A1388" s="827" t="s">
        <v>2818</v>
      </c>
      <c r="B1388" s="828" t="s">
        <v>1282</v>
      </c>
      <c r="C1388" s="829" t="s">
        <v>41</v>
      </c>
      <c r="D1388" s="830">
        <v>8.42</v>
      </c>
    </row>
    <row r="1389" spans="1:4" x14ac:dyDescent="0.2">
      <c r="A1389" s="837" t="s">
        <v>2819</v>
      </c>
      <c r="B1389" s="838" t="s">
        <v>1545</v>
      </c>
      <c r="C1389" s="839"/>
      <c r="D1389" s="840"/>
    </row>
    <row r="1390" spans="1:4" x14ac:dyDescent="0.2">
      <c r="A1390" s="832" t="s">
        <v>2820</v>
      </c>
      <c r="B1390" s="833" t="s">
        <v>1282</v>
      </c>
      <c r="C1390" s="834" t="s">
        <v>41</v>
      </c>
      <c r="D1390" s="835">
        <v>38.22</v>
      </c>
    </row>
    <row r="1391" spans="1:4" x14ac:dyDescent="0.2">
      <c r="A1391" s="823" t="s">
        <v>1283</v>
      </c>
      <c r="B1391" s="824" t="s">
        <v>557</v>
      </c>
      <c r="C1391" s="825"/>
      <c r="D1391" s="826"/>
    </row>
    <row r="1392" spans="1:4" x14ac:dyDescent="0.2">
      <c r="A1392" s="837" t="s">
        <v>2821</v>
      </c>
      <c r="B1392" s="838" t="s">
        <v>1453</v>
      </c>
      <c r="C1392" s="839"/>
      <c r="D1392" s="840"/>
    </row>
    <row r="1393" spans="1:4" x14ac:dyDescent="0.2">
      <c r="A1393" s="827" t="s">
        <v>2822</v>
      </c>
      <c r="B1393" s="828" t="s">
        <v>1287</v>
      </c>
      <c r="C1393" s="829" t="s">
        <v>54</v>
      </c>
      <c r="D1393" s="830">
        <v>340.43</v>
      </c>
    </row>
    <row r="1394" spans="1:4" x14ac:dyDescent="0.2">
      <c r="A1394" s="832" t="s">
        <v>2823</v>
      </c>
      <c r="B1394" s="833" t="s">
        <v>1289</v>
      </c>
      <c r="C1394" s="834" t="s">
        <v>41</v>
      </c>
      <c r="D1394" s="835">
        <v>18.43</v>
      </c>
    </row>
    <row r="1395" spans="1:4" x14ac:dyDescent="0.2">
      <c r="A1395" s="827" t="s">
        <v>2824</v>
      </c>
      <c r="B1395" s="828" t="s">
        <v>1291</v>
      </c>
      <c r="C1395" s="829" t="s">
        <v>54</v>
      </c>
      <c r="D1395" s="830">
        <v>15.01</v>
      </c>
    </row>
    <row r="1396" spans="1:4" x14ac:dyDescent="0.2">
      <c r="A1396" s="832" t="s">
        <v>2825</v>
      </c>
      <c r="B1396" s="833" t="s">
        <v>1305</v>
      </c>
      <c r="C1396" s="834" t="s">
        <v>41</v>
      </c>
      <c r="D1396" s="835">
        <v>0.4</v>
      </c>
    </row>
    <row r="1397" spans="1:4" x14ac:dyDescent="0.2">
      <c r="A1397" s="827" t="s">
        <v>2826</v>
      </c>
      <c r="B1397" s="828" t="s">
        <v>1317</v>
      </c>
      <c r="C1397" s="829" t="s">
        <v>41</v>
      </c>
      <c r="D1397" s="830">
        <v>1.77</v>
      </c>
    </row>
    <row r="1398" spans="1:4" x14ac:dyDescent="0.2">
      <c r="A1398" s="832" t="s">
        <v>2827</v>
      </c>
      <c r="B1398" s="833" t="s">
        <v>1319</v>
      </c>
      <c r="C1398" s="834" t="s">
        <v>41</v>
      </c>
      <c r="D1398" s="835">
        <v>1.55</v>
      </c>
    </row>
    <row r="1399" spans="1:4" x14ac:dyDescent="0.2">
      <c r="A1399" s="827" t="s">
        <v>2828</v>
      </c>
      <c r="B1399" s="828" t="s">
        <v>1321</v>
      </c>
      <c r="C1399" s="829" t="s">
        <v>41</v>
      </c>
      <c r="D1399" s="830">
        <v>1.72</v>
      </c>
    </row>
    <row r="1400" spans="1:4" x14ac:dyDescent="0.2">
      <c r="A1400" s="832" t="s">
        <v>2829</v>
      </c>
      <c r="B1400" s="833" t="s">
        <v>1331</v>
      </c>
      <c r="C1400" s="834" t="s">
        <v>41</v>
      </c>
      <c r="D1400" s="835">
        <v>1</v>
      </c>
    </row>
    <row r="1401" spans="1:4" x14ac:dyDescent="0.2">
      <c r="A1401" s="827" t="s">
        <v>2830</v>
      </c>
      <c r="B1401" s="828" t="s">
        <v>1333</v>
      </c>
      <c r="C1401" s="829" t="s">
        <v>41</v>
      </c>
      <c r="D1401" s="830">
        <v>10.36</v>
      </c>
    </row>
    <row r="1402" spans="1:4" x14ac:dyDescent="0.2">
      <c r="A1402" s="832" t="s">
        <v>2831</v>
      </c>
      <c r="B1402" s="833" t="s">
        <v>1335</v>
      </c>
      <c r="C1402" s="834" t="s">
        <v>41</v>
      </c>
      <c r="D1402" s="835">
        <v>1.3</v>
      </c>
    </row>
    <row r="1403" spans="1:4" x14ac:dyDescent="0.2">
      <c r="A1403" s="827" t="s">
        <v>2832</v>
      </c>
      <c r="B1403" s="828" t="s">
        <v>1337</v>
      </c>
      <c r="C1403" s="829" t="s">
        <v>41</v>
      </c>
      <c r="D1403" s="830">
        <v>3.06</v>
      </c>
    </row>
    <row r="1404" spans="1:4" x14ac:dyDescent="0.2">
      <c r="A1404" s="832" t="s">
        <v>2833</v>
      </c>
      <c r="B1404" s="833" t="s">
        <v>1339</v>
      </c>
      <c r="C1404" s="834" t="s">
        <v>41</v>
      </c>
      <c r="D1404" s="835">
        <v>1.65</v>
      </c>
    </row>
    <row r="1405" spans="1:4" x14ac:dyDescent="0.2">
      <c r="A1405" s="827" t="s">
        <v>2834</v>
      </c>
      <c r="B1405" s="828" t="s">
        <v>1341</v>
      </c>
      <c r="C1405" s="829" t="s">
        <v>41</v>
      </c>
      <c r="D1405" s="830">
        <v>3.69</v>
      </c>
    </row>
    <row r="1406" spans="1:4" x14ac:dyDescent="0.2">
      <c r="A1406" s="832" t="s">
        <v>2835</v>
      </c>
      <c r="B1406" s="833" t="s">
        <v>1343</v>
      </c>
      <c r="C1406" s="834" t="s">
        <v>41</v>
      </c>
      <c r="D1406" s="835">
        <v>3.44</v>
      </c>
    </row>
    <row r="1407" spans="1:4" x14ac:dyDescent="0.2">
      <c r="A1407" s="827" t="s">
        <v>2836</v>
      </c>
      <c r="B1407" s="828" t="s">
        <v>1345</v>
      </c>
      <c r="C1407" s="829" t="s">
        <v>41</v>
      </c>
      <c r="D1407" s="830">
        <v>3.11</v>
      </c>
    </row>
    <row r="1408" spans="1:4" x14ac:dyDescent="0.2">
      <c r="A1408" s="832" t="s">
        <v>2837</v>
      </c>
      <c r="B1408" s="833" t="s">
        <v>1347</v>
      </c>
      <c r="C1408" s="834" t="s">
        <v>41</v>
      </c>
      <c r="D1408" s="835">
        <v>9.24</v>
      </c>
    </row>
    <row r="1409" spans="1:4" x14ac:dyDescent="0.2">
      <c r="A1409" s="827" t="s">
        <v>2838</v>
      </c>
      <c r="B1409" s="828" t="s">
        <v>1349</v>
      </c>
      <c r="C1409" s="829" t="s">
        <v>41</v>
      </c>
      <c r="D1409" s="830">
        <v>20.309999999999999</v>
      </c>
    </row>
    <row r="1410" spans="1:4" x14ac:dyDescent="0.2">
      <c r="A1410" s="832" t="s">
        <v>2839</v>
      </c>
      <c r="B1410" s="833" t="s">
        <v>1351</v>
      </c>
      <c r="C1410" s="834" t="s">
        <v>41</v>
      </c>
      <c r="D1410" s="835">
        <v>8.83</v>
      </c>
    </row>
    <row r="1411" spans="1:4" x14ac:dyDescent="0.2">
      <c r="A1411" s="827" t="s">
        <v>2840</v>
      </c>
      <c r="B1411" s="828" t="s">
        <v>1353</v>
      </c>
      <c r="C1411" s="829" t="s">
        <v>41</v>
      </c>
      <c r="D1411" s="830">
        <v>16.63</v>
      </c>
    </row>
    <row r="1412" spans="1:4" x14ac:dyDescent="0.2">
      <c r="A1412" s="832" t="s">
        <v>2841</v>
      </c>
      <c r="B1412" s="833" t="s">
        <v>1355</v>
      </c>
      <c r="C1412" s="834" t="s">
        <v>41</v>
      </c>
      <c r="D1412" s="835">
        <v>2.09</v>
      </c>
    </row>
    <row r="1413" spans="1:4" x14ac:dyDescent="0.2">
      <c r="A1413" s="827" t="s">
        <v>2842</v>
      </c>
      <c r="B1413" s="828" t="s">
        <v>1357</v>
      </c>
      <c r="C1413" s="829" t="s">
        <v>41</v>
      </c>
      <c r="D1413" s="830">
        <v>2.35</v>
      </c>
    </row>
    <row r="1414" spans="1:4" x14ac:dyDescent="0.2">
      <c r="A1414" s="832" t="s">
        <v>2843</v>
      </c>
      <c r="B1414" s="833" t="s">
        <v>1365</v>
      </c>
      <c r="C1414" s="834" t="s">
        <v>41</v>
      </c>
      <c r="D1414" s="835">
        <v>6.42</v>
      </c>
    </row>
    <row r="1415" spans="1:4" ht="25.5" x14ac:dyDescent="0.2">
      <c r="A1415" s="827" t="s">
        <v>2844</v>
      </c>
      <c r="B1415" s="828" t="s">
        <v>1367</v>
      </c>
      <c r="C1415" s="829" t="s">
        <v>41</v>
      </c>
      <c r="D1415" s="830">
        <v>16.829999999999998</v>
      </c>
    </row>
    <row r="1416" spans="1:4" ht="25.5" x14ac:dyDescent="0.2">
      <c r="A1416" s="832" t="s">
        <v>2845</v>
      </c>
      <c r="B1416" s="833" t="s">
        <v>1369</v>
      </c>
      <c r="C1416" s="834" t="s">
        <v>41</v>
      </c>
      <c r="D1416" s="835">
        <v>18.64</v>
      </c>
    </row>
    <row r="1417" spans="1:4" ht="25.5" x14ac:dyDescent="0.2">
      <c r="A1417" s="827" t="s">
        <v>2846</v>
      </c>
      <c r="B1417" s="828" t="s">
        <v>1371</v>
      </c>
      <c r="C1417" s="829" t="s">
        <v>41</v>
      </c>
      <c r="D1417" s="830">
        <v>20.71</v>
      </c>
    </row>
    <row r="1418" spans="1:4" ht="25.5" x14ac:dyDescent="0.2">
      <c r="A1418" s="832" t="s">
        <v>2847</v>
      </c>
      <c r="B1418" s="833" t="s">
        <v>1373</v>
      </c>
      <c r="C1418" s="834" t="s">
        <v>41</v>
      </c>
      <c r="D1418" s="835">
        <v>23.13</v>
      </c>
    </row>
    <row r="1419" spans="1:4" ht="25.5" x14ac:dyDescent="0.2">
      <c r="A1419" s="827" t="s">
        <v>2848</v>
      </c>
      <c r="B1419" s="828" t="s">
        <v>1375</v>
      </c>
      <c r="C1419" s="829" t="s">
        <v>41</v>
      </c>
      <c r="D1419" s="830">
        <v>26.57</v>
      </c>
    </row>
    <row r="1420" spans="1:4" x14ac:dyDescent="0.2">
      <c r="A1420" s="837" t="s">
        <v>2849</v>
      </c>
      <c r="B1420" s="838" t="s">
        <v>1458</v>
      </c>
      <c r="C1420" s="839"/>
      <c r="D1420" s="840"/>
    </row>
    <row r="1421" spans="1:4" x14ac:dyDescent="0.2">
      <c r="A1421" s="832" t="s">
        <v>2850</v>
      </c>
      <c r="B1421" s="833" t="s">
        <v>1287</v>
      </c>
      <c r="C1421" s="834" t="s">
        <v>54</v>
      </c>
      <c r="D1421" s="835">
        <v>658.76</v>
      </c>
    </row>
    <row r="1422" spans="1:4" x14ac:dyDescent="0.2">
      <c r="A1422" s="827" t="s">
        <v>2851</v>
      </c>
      <c r="B1422" s="828" t="s">
        <v>1303</v>
      </c>
      <c r="C1422" s="829" t="s">
        <v>41</v>
      </c>
      <c r="D1422" s="830">
        <v>59.91</v>
      </c>
    </row>
    <row r="1423" spans="1:4" x14ac:dyDescent="0.2">
      <c r="A1423" s="832" t="s">
        <v>2852</v>
      </c>
      <c r="B1423" s="833" t="s">
        <v>1305</v>
      </c>
      <c r="C1423" s="834" t="s">
        <v>41</v>
      </c>
      <c r="D1423" s="835">
        <v>0.4</v>
      </c>
    </row>
    <row r="1424" spans="1:4" x14ac:dyDescent="0.2">
      <c r="A1424" s="827" t="s">
        <v>2853</v>
      </c>
      <c r="B1424" s="828" t="s">
        <v>1327</v>
      </c>
      <c r="C1424" s="829" t="s">
        <v>41</v>
      </c>
      <c r="D1424" s="830">
        <v>1.07</v>
      </c>
    </row>
    <row r="1425" spans="1:4" x14ac:dyDescent="0.2">
      <c r="A1425" s="832" t="s">
        <v>2854</v>
      </c>
      <c r="B1425" s="833" t="s">
        <v>1329</v>
      </c>
      <c r="C1425" s="834" t="s">
        <v>41</v>
      </c>
      <c r="D1425" s="835">
        <v>92.06</v>
      </c>
    </row>
    <row r="1426" spans="1:4" x14ac:dyDescent="0.2">
      <c r="A1426" s="837" t="s">
        <v>2855</v>
      </c>
      <c r="B1426" s="838" t="s">
        <v>1462</v>
      </c>
      <c r="C1426" s="839"/>
      <c r="D1426" s="840"/>
    </row>
    <row r="1427" spans="1:4" x14ac:dyDescent="0.2">
      <c r="A1427" s="827" t="s">
        <v>2856</v>
      </c>
      <c r="B1427" s="828" t="s">
        <v>1287</v>
      </c>
      <c r="C1427" s="829" t="s">
        <v>54</v>
      </c>
      <c r="D1427" s="830">
        <v>658.76</v>
      </c>
    </row>
    <row r="1428" spans="1:4" x14ac:dyDescent="0.2">
      <c r="A1428" s="832" t="s">
        <v>2857</v>
      </c>
      <c r="B1428" s="833" t="s">
        <v>1303</v>
      </c>
      <c r="C1428" s="834" t="s">
        <v>41</v>
      </c>
      <c r="D1428" s="835">
        <v>59.91</v>
      </c>
    </row>
    <row r="1429" spans="1:4" x14ac:dyDescent="0.2">
      <c r="A1429" s="827" t="s">
        <v>2858</v>
      </c>
      <c r="B1429" s="828" t="s">
        <v>1305</v>
      </c>
      <c r="C1429" s="829" t="s">
        <v>41</v>
      </c>
      <c r="D1429" s="830">
        <v>0.4</v>
      </c>
    </row>
    <row r="1430" spans="1:4" x14ac:dyDescent="0.2">
      <c r="A1430" s="832" t="s">
        <v>2859</v>
      </c>
      <c r="B1430" s="833" t="s">
        <v>1327</v>
      </c>
      <c r="C1430" s="834" t="s">
        <v>41</v>
      </c>
      <c r="D1430" s="835">
        <v>1.07</v>
      </c>
    </row>
    <row r="1431" spans="1:4" x14ac:dyDescent="0.2">
      <c r="A1431" s="827" t="s">
        <v>2860</v>
      </c>
      <c r="B1431" s="828" t="s">
        <v>1329</v>
      </c>
      <c r="C1431" s="829" t="s">
        <v>41</v>
      </c>
      <c r="D1431" s="830">
        <v>92.06</v>
      </c>
    </row>
    <row r="1432" spans="1:4" x14ac:dyDescent="0.2">
      <c r="A1432" s="837" t="s">
        <v>2861</v>
      </c>
      <c r="B1432" s="838" t="s">
        <v>1466</v>
      </c>
      <c r="C1432" s="839"/>
      <c r="D1432" s="840"/>
    </row>
    <row r="1433" spans="1:4" x14ac:dyDescent="0.2">
      <c r="A1433" s="832" t="s">
        <v>2862</v>
      </c>
      <c r="B1433" s="833" t="s">
        <v>1287</v>
      </c>
      <c r="C1433" s="834" t="s">
        <v>54</v>
      </c>
      <c r="D1433" s="835">
        <v>658.76</v>
      </c>
    </row>
    <row r="1434" spans="1:4" x14ac:dyDescent="0.2">
      <c r="A1434" s="827" t="s">
        <v>2863</v>
      </c>
      <c r="B1434" s="828" t="s">
        <v>1303</v>
      </c>
      <c r="C1434" s="829" t="s">
        <v>41</v>
      </c>
      <c r="D1434" s="830">
        <v>59.91</v>
      </c>
    </row>
    <row r="1435" spans="1:4" x14ac:dyDescent="0.2">
      <c r="A1435" s="832" t="s">
        <v>2864</v>
      </c>
      <c r="B1435" s="833" t="s">
        <v>1305</v>
      </c>
      <c r="C1435" s="834" t="s">
        <v>41</v>
      </c>
      <c r="D1435" s="835">
        <v>0.4</v>
      </c>
    </row>
    <row r="1436" spans="1:4" x14ac:dyDescent="0.2">
      <c r="A1436" s="827" t="s">
        <v>2865</v>
      </c>
      <c r="B1436" s="828" t="s">
        <v>1327</v>
      </c>
      <c r="C1436" s="829" t="s">
        <v>41</v>
      </c>
      <c r="D1436" s="830">
        <v>1.07</v>
      </c>
    </row>
    <row r="1437" spans="1:4" x14ac:dyDescent="0.2">
      <c r="A1437" s="832" t="s">
        <v>2866</v>
      </c>
      <c r="B1437" s="833" t="s">
        <v>1329</v>
      </c>
      <c r="C1437" s="834" t="s">
        <v>41</v>
      </c>
      <c r="D1437" s="835">
        <v>92.06</v>
      </c>
    </row>
    <row r="1438" spans="1:4" x14ac:dyDescent="0.2">
      <c r="A1438" s="837" t="s">
        <v>2867</v>
      </c>
      <c r="B1438" s="838" t="s">
        <v>1470</v>
      </c>
      <c r="C1438" s="839"/>
      <c r="D1438" s="840"/>
    </row>
    <row r="1439" spans="1:4" x14ac:dyDescent="0.2">
      <c r="A1439" s="827" t="s">
        <v>2868</v>
      </c>
      <c r="B1439" s="828" t="s">
        <v>1287</v>
      </c>
      <c r="C1439" s="829" t="s">
        <v>54</v>
      </c>
      <c r="D1439" s="830">
        <v>653.29999999999995</v>
      </c>
    </row>
    <row r="1440" spans="1:4" x14ac:dyDescent="0.2">
      <c r="A1440" s="832" t="s">
        <v>2869</v>
      </c>
      <c r="B1440" s="833" t="s">
        <v>1303</v>
      </c>
      <c r="C1440" s="834" t="s">
        <v>41</v>
      </c>
      <c r="D1440" s="835">
        <v>58.63</v>
      </c>
    </row>
    <row r="1441" spans="1:4" x14ac:dyDescent="0.2">
      <c r="A1441" s="827" t="s">
        <v>2870</v>
      </c>
      <c r="B1441" s="828" t="s">
        <v>1305</v>
      </c>
      <c r="C1441" s="829" t="s">
        <v>41</v>
      </c>
      <c r="D1441" s="830">
        <v>0.4</v>
      </c>
    </row>
    <row r="1442" spans="1:4" x14ac:dyDescent="0.2">
      <c r="A1442" s="832" t="s">
        <v>2871</v>
      </c>
      <c r="B1442" s="833" t="s">
        <v>1327</v>
      </c>
      <c r="C1442" s="834" t="s">
        <v>41</v>
      </c>
      <c r="D1442" s="835">
        <v>1.07</v>
      </c>
    </row>
    <row r="1443" spans="1:4" x14ac:dyDescent="0.2">
      <c r="A1443" s="827" t="s">
        <v>2872</v>
      </c>
      <c r="B1443" s="828" t="s">
        <v>1329</v>
      </c>
      <c r="C1443" s="829" t="s">
        <v>41</v>
      </c>
      <c r="D1443" s="830">
        <v>92.06</v>
      </c>
    </row>
    <row r="1444" spans="1:4" x14ac:dyDescent="0.2">
      <c r="A1444" s="837" t="s">
        <v>2873</v>
      </c>
      <c r="B1444" s="838" t="s">
        <v>1473</v>
      </c>
      <c r="C1444" s="839"/>
      <c r="D1444" s="840"/>
    </row>
    <row r="1445" spans="1:4" x14ac:dyDescent="0.2">
      <c r="A1445" s="832" t="s">
        <v>2874</v>
      </c>
      <c r="B1445" s="833" t="s">
        <v>1285</v>
      </c>
      <c r="C1445" s="834" t="s">
        <v>41</v>
      </c>
      <c r="D1445" s="835">
        <v>0.12</v>
      </c>
    </row>
    <row r="1446" spans="1:4" x14ac:dyDescent="0.2">
      <c r="A1446" s="827" t="s">
        <v>2875</v>
      </c>
      <c r="B1446" s="828" t="s">
        <v>1287</v>
      </c>
      <c r="C1446" s="829" t="s">
        <v>54</v>
      </c>
      <c r="D1446" s="830">
        <v>313.54000000000002</v>
      </c>
    </row>
    <row r="1447" spans="1:4" x14ac:dyDescent="0.2">
      <c r="A1447" s="832" t="s">
        <v>2876</v>
      </c>
      <c r="B1447" s="833" t="s">
        <v>1289</v>
      </c>
      <c r="C1447" s="834" t="s">
        <v>41</v>
      </c>
      <c r="D1447" s="835">
        <v>50.19</v>
      </c>
    </row>
    <row r="1448" spans="1:4" x14ac:dyDescent="0.2">
      <c r="A1448" s="827" t="s">
        <v>2877</v>
      </c>
      <c r="B1448" s="828" t="s">
        <v>1293</v>
      </c>
      <c r="C1448" s="829" t="s">
        <v>54</v>
      </c>
      <c r="D1448" s="830">
        <v>17.760000000000002</v>
      </c>
    </row>
    <row r="1449" spans="1:4" x14ac:dyDescent="0.2">
      <c r="A1449" s="832" t="s">
        <v>2878</v>
      </c>
      <c r="B1449" s="833" t="s">
        <v>1301</v>
      </c>
      <c r="C1449" s="834" t="s">
        <v>41</v>
      </c>
      <c r="D1449" s="835">
        <v>7.36</v>
      </c>
    </row>
    <row r="1450" spans="1:4" x14ac:dyDescent="0.2">
      <c r="A1450" s="827" t="s">
        <v>2879</v>
      </c>
      <c r="B1450" s="828" t="s">
        <v>1305</v>
      </c>
      <c r="C1450" s="829" t="s">
        <v>41</v>
      </c>
      <c r="D1450" s="830">
        <v>0.4</v>
      </c>
    </row>
    <row r="1451" spans="1:4" x14ac:dyDescent="0.2">
      <c r="A1451" s="832" t="s">
        <v>2880</v>
      </c>
      <c r="B1451" s="833" t="s">
        <v>1307</v>
      </c>
      <c r="C1451" s="834" t="s">
        <v>41</v>
      </c>
      <c r="D1451" s="835">
        <v>1.51</v>
      </c>
    </row>
    <row r="1452" spans="1:4" x14ac:dyDescent="0.2">
      <c r="A1452" s="827" t="s">
        <v>2881</v>
      </c>
      <c r="B1452" s="828" t="s">
        <v>1309</v>
      </c>
      <c r="C1452" s="829" t="s">
        <v>41</v>
      </c>
      <c r="D1452" s="830">
        <v>2.68</v>
      </c>
    </row>
    <row r="1453" spans="1:4" x14ac:dyDescent="0.2">
      <c r="A1453" s="832" t="s">
        <v>2882</v>
      </c>
      <c r="B1453" s="833" t="s">
        <v>1311</v>
      </c>
      <c r="C1453" s="834" t="s">
        <v>41</v>
      </c>
      <c r="D1453" s="835">
        <v>0.59</v>
      </c>
    </row>
    <row r="1454" spans="1:4" ht="25.5" x14ac:dyDescent="0.2">
      <c r="A1454" s="827" t="s">
        <v>2883</v>
      </c>
      <c r="B1454" s="828" t="s">
        <v>1313</v>
      </c>
      <c r="C1454" s="829" t="s">
        <v>41</v>
      </c>
      <c r="D1454" s="830">
        <v>47.25</v>
      </c>
    </row>
    <row r="1455" spans="1:4" ht="25.5" x14ac:dyDescent="0.2">
      <c r="A1455" s="832" t="s">
        <v>2884</v>
      </c>
      <c r="B1455" s="833" t="s">
        <v>1323</v>
      </c>
      <c r="C1455" s="834" t="s">
        <v>41</v>
      </c>
      <c r="D1455" s="835">
        <v>9.3800000000000008</v>
      </c>
    </row>
    <row r="1456" spans="1:4" x14ac:dyDescent="0.2">
      <c r="A1456" s="827" t="s">
        <v>2885</v>
      </c>
      <c r="B1456" s="828" t="s">
        <v>1325</v>
      </c>
      <c r="C1456" s="829" t="s">
        <v>41</v>
      </c>
      <c r="D1456" s="830">
        <v>5.9</v>
      </c>
    </row>
    <row r="1457" spans="1:4" x14ac:dyDescent="0.2">
      <c r="A1457" s="832" t="s">
        <v>2886</v>
      </c>
      <c r="B1457" s="833" t="s">
        <v>1359</v>
      </c>
      <c r="C1457" s="834" t="s">
        <v>41</v>
      </c>
      <c r="D1457" s="835">
        <v>4.67</v>
      </c>
    </row>
    <row r="1458" spans="1:4" x14ac:dyDescent="0.2">
      <c r="A1458" s="827" t="s">
        <v>2887</v>
      </c>
      <c r="B1458" s="828" t="s">
        <v>1361</v>
      </c>
      <c r="C1458" s="829" t="s">
        <v>41</v>
      </c>
      <c r="D1458" s="830">
        <v>6.05</v>
      </c>
    </row>
    <row r="1459" spans="1:4" x14ac:dyDescent="0.2">
      <c r="A1459" s="832" t="s">
        <v>2888</v>
      </c>
      <c r="B1459" s="833" t="s">
        <v>1363</v>
      </c>
      <c r="C1459" s="834" t="s">
        <v>41</v>
      </c>
      <c r="D1459" s="835">
        <v>16.73</v>
      </c>
    </row>
    <row r="1460" spans="1:4" x14ac:dyDescent="0.2">
      <c r="A1460" s="837" t="s">
        <v>2889</v>
      </c>
      <c r="B1460" s="838" t="s">
        <v>1478</v>
      </c>
      <c r="C1460" s="839"/>
      <c r="D1460" s="840"/>
    </row>
    <row r="1461" spans="1:4" x14ac:dyDescent="0.2">
      <c r="A1461" s="827" t="s">
        <v>2890</v>
      </c>
      <c r="B1461" s="828" t="s">
        <v>1285</v>
      </c>
      <c r="C1461" s="829" t="s">
        <v>41</v>
      </c>
      <c r="D1461" s="830">
        <v>0.12</v>
      </c>
    </row>
    <row r="1462" spans="1:4" x14ac:dyDescent="0.2">
      <c r="A1462" s="832" t="s">
        <v>2891</v>
      </c>
      <c r="B1462" s="833" t="s">
        <v>1287</v>
      </c>
      <c r="C1462" s="834" t="s">
        <v>54</v>
      </c>
      <c r="D1462" s="835">
        <v>313.54000000000002</v>
      </c>
    </row>
    <row r="1463" spans="1:4" x14ac:dyDescent="0.2">
      <c r="A1463" s="827" t="s">
        <v>2892</v>
      </c>
      <c r="B1463" s="828" t="s">
        <v>1289</v>
      </c>
      <c r="C1463" s="829" t="s">
        <v>41</v>
      </c>
      <c r="D1463" s="830">
        <v>50.19</v>
      </c>
    </row>
    <row r="1464" spans="1:4" x14ac:dyDescent="0.2">
      <c r="A1464" s="832" t="s">
        <v>2893</v>
      </c>
      <c r="B1464" s="833" t="s">
        <v>1293</v>
      </c>
      <c r="C1464" s="834" t="s">
        <v>54</v>
      </c>
      <c r="D1464" s="835">
        <v>17.760000000000002</v>
      </c>
    </row>
    <row r="1465" spans="1:4" x14ac:dyDescent="0.2">
      <c r="A1465" s="827" t="s">
        <v>2894</v>
      </c>
      <c r="B1465" s="828" t="s">
        <v>1301</v>
      </c>
      <c r="C1465" s="829" t="s">
        <v>41</v>
      </c>
      <c r="D1465" s="830">
        <v>7.36</v>
      </c>
    </row>
    <row r="1466" spans="1:4" x14ac:dyDescent="0.2">
      <c r="A1466" s="832" t="s">
        <v>2895</v>
      </c>
      <c r="B1466" s="833" t="s">
        <v>1305</v>
      </c>
      <c r="C1466" s="834" t="s">
        <v>41</v>
      </c>
      <c r="D1466" s="835">
        <v>0.4</v>
      </c>
    </row>
    <row r="1467" spans="1:4" x14ac:dyDescent="0.2">
      <c r="A1467" s="827" t="s">
        <v>2896</v>
      </c>
      <c r="B1467" s="828" t="s">
        <v>1307</v>
      </c>
      <c r="C1467" s="829" t="s">
        <v>41</v>
      </c>
      <c r="D1467" s="830">
        <v>1.51</v>
      </c>
    </row>
    <row r="1468" spans="1:4" x14ac:dyDescent="0.2">
      <c r="A1468" s="832" t="s">
        <v>2897</v>
      </c>
      <c r="B1468" s="833" t="s">
        <v>1309</v>
      </c>
      <c r="C1468" s="834" t="s">
        <v>41</v>
      </c>
      <c r="D1468" s="835">
        <v>2.68</v>
      </c>
    </row>
    <row r="1469" spans="1:4" x14ac:dyDescent="0.2">
      <c r="A1469" s="827" t="s">
        <v>2898</v>
      </c>
      <c r="B1469" s="828" t="s">
        <v>1311</v>
      </c>
      <c r="C1469" s="829" t="s">
        <v>41</v>
      </c>
      <c r="D1469" s="830">
        <v>0.59</v>
      </c>
    </row>
    <row r="1470" spans="1:4" ht="25.5" x14ac:dyDescent="0.2">
      <c r="A1470" s="832" t="s">
        <v>2899</v>
      </c>
      <c r="B1470" s="833" t="s">
        <v>1313</v>
      </c>
      <c r="C1470" s="834" t="s">
        <v>41</v>
      </c>
      <c r="D1470" s="835">
        <v>47.25</v>
      </c>
    </row>
    <row r="1471" spans="1:4" ht="25.5" x14ac:dyDescent="0.2">
      <c r="A1471" s="827" t="s">
        <v>2900</v>
      </c>
      <c r="B1471" s="828" t="s">
        <v>1323</v>
      </c>
      <c r="C1471" s="829" t="s">
        <v>41</v>
      </c>
      <c r="D1471" s="830">
        <v>9.3800000000000008</v>
      </c>
    </row>
    <row r="1472" spans="1:4" x14ac:dyDescent="0.2">
      <c r="A1472" s="832" t="s">
        <v>2901</v>
      </c>
      <c r="B1472" s="833" t="s">
        <v>1325</v>
      </c>
      <c r="C1472" s="834" t="s">
        <v>41</v>
      </c>
      <c r="D1472" s="835">
        <v>5.9</v>
      </c>
    </row>
    <row r="1473" spans="1:4" x14ac:dyDescent="0.2">
      <c r="A1473" s="827" t="s">
        <v>2902</v>
      </c>
      <c r="B1473" s="828" t="s">
        <v>1359</v>
      </c>
      <c r="C1473" s="829" t="s">
        <v>41</v>
      </c>
      <c r="D1473" s="830">
        <v>4.67</v>
      </c>
    </row>
    <row r="1474" spans="1:4" x14ac:dyDescent="0.2">
      <c r="A1474" s="832" t="s">
        <v>2903</v>
      </c>
      <c r="B1474" s="833" t="s">
        <v>1361</v>
      </c>
      <c r="C1474" s="834" t="s">
        <v>41</v>
      </c>
      <c r="D1474" s="835">
        <v>6.05</v>
      </c>
    </row>
    <row r="1475" spans="1:4" x14ac:dyDescent="0.2">
      <c r="A1475" s="827" t="s">
        <v>2904</v>
      </c>
      <c r="B1475" s="828" t="s">
        <v>1363</v>
      </c>
      <c r="C1475" s="829" t="s">
        <v>41</v>
      </c>
      <c r="D1475" s="830">
        <v>16.73</v>
      </c>
    </row>
    <row r="1476" spans="1:4" x14ac:dyDescent="0.2">
      <c r="A1476" s="837" t="s">
        <v>2905</v>
      </c>
      <c r="B1476" s="838" t="s">
        <v>1483</v>
      </c>
      <c r="C1476" s="839"/>
      <c r="D1476" s="840"/>
    </row>
    <row r="1477" spans="1:4" x14ac:dyDescent="0.2">
      <c r="A1477" s="832" t="s">
        <v>2906</v>
      </c>
      <c r="B1477" s="833" t="s">
        <v>1285</v>
      </c>
      <c r="C1477" s="834" t="s">
        <v>41</v>
      </c>
      <c r="D1477" s="835">
        <v>0.12</v>
      </c>
    </row>
    <row r="1478" spans="1:4" x14ac:dyDescent="0.2">
      <c r="A1478" s="827" t="s">
        <v>2907</v>
      </c>
      <c r="B1478" s="828" t="s">
        <v>1287</v>
      </c>
      <c r="C1478" s="829" t="s">
        <v>54</v>
      </c>
      <c r="D1478" s="830">
        <v>313.54000000000002</v>
      </c>
    </row>
    <row r="1479" spans="1:4" x14ac:dyDescent="0.2">
      <c r="A1479" s="832" t="s">
        <v>2908</v>
      </c>
      <c r="B1479" s="833" t="s">
        <v>1289</v>
      </c>
      <c r="C1479" s="834" t="s">
        <v>41</v>
      </c>
      <c r="D1479" s="835">
        <v>50.19</v>
      </c>
    </row>
    <row r="1480" spans="1:4" x14ac:dyDescent="0.2">
      <c r="A1480" s="827" t="s">
        <v>2909</v>
      </c>
      <c r="B1480" s="828" t="s">
        <v>1293</v>
      </c>
      <c r="C1480" s="829" t="s">
        <v>54</v>
      </c>
      <c r="D1480" s="830">
        <v>17.760000000000002</v>
      </c>
    </row>
    <row r="1481" spans="1:4" x14ac:dyDescent="0.2">
      <c r="A1481" s="832" t="s">
        <v>2910</v>
      </c>
      <c r="B1481" s="833" t="s">
        <v>1301</v>
      </c>
      <c r="C1481" s="834" t="s">
        <v>41</v>
      </c>
      <c r="D1481" s="835">
        <v>7.36</v>
      </c>
    </row>
    <row r="1482" spans="1:4" x14ac:dyDescent="0.2">
      <c r="A1482" s="827" t="s">
        <v>2911</v>
      </c>
      <c r="B1482" s="828" t="s">
        <v>1305</v>
      </c>
      <c r="C1482" s="829" t="s">
        <v>41</v>
      </c>
      <c r="D1482" s="830">
        <v>0.4</v>
      </c>
    </row>
    <row r="1483" spans="1:4" x14ac:dyDescent="0.2">
      <c r="A1483" s="832" t="s">
        <v>2912</v>
      </c>
      <c r="B1483" s="833" t="s">
        <v>1307</v>
      </c>
      <c r="C1483" s="834" t="s">
        <v>41</v>
      </c>
      <c r="D1483" s="835">
        <v>1.51</v>
      </c>
    </row>
    <row r="1484" spans="1:4" x14ac:dyDescent="0.2">
      <c r="A1484" s="827" t="s">
        <v>2913</v>
      </c>
      <c r="B1484" s="828" t="s">
        <v>1309</v>
      </c>
      <c r="C1484" s="829" t="s">
        <v>41</v>
      </c>
      <c r="D1484" s="830">
        <v>2.68</v>
      </c>
    </row>
    <row r="1485" spans="1:4" x14ac:dyDescent="0.2">
      <c r="A1485" s="832" t="s">
        <v>2914</v>
      </c>
      <c r="B1485" s="833" t="s">
        <v>1311</v>
      </c>
      <c r="C1485" s="834" t="s">
        <v>41</v>
      </c>
      <c r="D1485" s="835">
        <v>0.59</v>
      </c>
    </row>
    <row r="1486" spans="1:4" ht="25.5" x14ac:dyDescent="0.2">
      <c r="A1486" s="827" t="s">
        <v>2915</v>
      </c>
      <c r="B1486" s="828" t="s">
        <v>1313</v>
      </c>
      <c r="C1486" s="829" t="s">
        <v>41</v>
      </c>
      <c r="D1486" s="830">
        <v>47.25</v>
      </c>
    </row>
    <row r="1487" spans="1:4" ht="25.5" x14ac:dyDescent="0.2">
      <c r="A1487" s="832" t="s">
        <v>2916</v>
      </c>
      <c r="B1487" s="833" t="s">
        <v>1323</v>
      </c>
      <c r="C1487" s="834" t="s">
        <v>41</v>
      </c>
      <c r="D1487" s="835">
        <v>9.3800000000000008</v>
      </c>
    </row>
    <row r="1488" spans="1:4" x14ac:dyDescent="0.2">
      <c r="A1488" s="827" t="s">
        <v>2917</v>
      </c>
      <c r="B1488" s="828" t="s">
        <v>1325</v>
      </c>
      <c r="C1488" s="829" t="s">
        <v>41</v>
      </c>
      <c r="D1488" s="830">
        <v>5.9</v>
      </c>
    </row>
    <row r="1489" spans="1:4" x14ac:dyDescent="0.2">
      <c r="A1489" s="832" t="s">
        <v>2918</v>
      </c>
      <c r="B1489" s="833" t="s">
        <v>1359</v>
      </c>
      <c r="C1489" s="834" t="s">
        <v>41</v>
      </c>
      <c r="D1489" s="835">
        <v>4.67</v>
      </c>
    </row>
    <row r="1490" spans="1:4" x14ac:dyDescent="0.2">
      <c r="A1490" s="827" t="s">
        <v>2919</v>
      </c>
      <c r="B1490" s="828" t="s">
        <v>1361</v>
      </c>
      <c r="C1490" s="829" t="s">
        <v>41</v>
      </c>
      <c r="D1490" s="830">
        <v>6.05</v>
      </c>
    </row>
    <row r="1491" spans="1:4" x14ac:dyDescent="0.2">
      <c r="A1491" s="832" t="s">
        <v>2920</v>
      </c>
      <c r="B1491" s="833" t="s">
        <v>1363</v>
      </c>
      <c r="C1491" s="834" t="s">
        <v>41</v>
      </c>
      <c r="D1491" s="835">
        <v>16.73</v>
      </c>
    </row>
    <row r="1492" spans="1:4" x14ac:dyDescent="0.2">
      <c r="A1492" s="837" t="s">
        <v>2921</v>
      </c>
      <c r="B1492" s="838" t="s">
        <v>1488</v>
      </c>
      <c r="C1492" s="839"/>
      <c r="D1492" s="840"/>
    </row>
    <row r="1493" spans="1:4" x14ac:dyDescent="0.2">
      <c r="A1493" s="827" t="s">
        <v>2922</v>
      </c>
      <c r="B1493" s="828" t="s">
        <v>1285</v>
      </c>
      <c r="C1493" s="829" t="s">
        <v>41</v>
      </c>
      <c r="D1493" s="830">
        <v>0.17</v>
      </c>
    </row>
    <row r="1494" spans="1:4" x14ac:dyDescent="0.2">
      <c r="A1494" s="832" t="s">
        <v>2923</v>
      </c>
      <c r="B1494" s="833" t="s">
        <v>1287</v>
      </c>
      <c r="C1494" s="834" t="s">
        <v>54</v>
      </c>
      <c r="D1494" s="835">
        <v>318.39999999999998</v>
      </c>
    </row>
    <row r="1495" spans="1:4" x14ac:dyDescent="0.2">
      <c r="A1495" s="827" t="s">
        <v>2924</v>
      </c>
      <c r="B1495" s="828" t="s">
        <v>1289</v>
      </c>
      <c r="C1495" s="829" t="s">
        <v>41</v>
      </c>
      <c r="D1495" s="830">
        <v>50.25</v>
      </c>
    </row>
    <row r="1496" spans="1:4" x14ac:dyDescent="0.2">
      <c r="A1496" s="832" t="s">
        <v>2925</v>
      </c>
      <c r="B1496" s="833" t="s">
        <v>1293</v>
      </c>
      <c r="C1496" s="834" t="s">
        <v>54</v>
      </c>
      <c r="D1496" s="835">
        <v>17.7</v>
      </c>
    </row>
    <row r="1497" spans="1:4" x14ac:dyDescent="0.2">
      <c r="A1497" s="827" t="s">
        <v>2926</v>
      </c>
      <c r="B1497" s="828" t="s">
        <v>1301</v>
      </c>
      <c r="C1497" s="829" t="s">
        <v>41</v>
      </c>
      <c r="D1497" s="830">
        <v>7.36</v>
      </c>
    </row>
    <row r="1498" spans="1:4" x14ac:dyDescent="0.2">
      <c r="A1498" s="832" t="s">
        <v>2927</v>
      </c>
      <c r="B1498" s="833" t="s">
        <v>1305</v>
      </c>
      <c r="C1498" s="834" t="s">
        <v>41</v>
      </c>
      <c r="D1498" s="835">
        <v>0.4</v>
      </c>
    </row>
    <row r="1499" spans="1:4" x14ac:dyDescent="0.2">
      <c r="A1499" s="827" t="s">
        <v>2928</v>
      </c>
      <c r="B1499" s="828" t="s">
        <v>1307</v>
      </c>
      <c r="C1499" s="829" t="s">
        <v>41</v>
      </c>
      <c r="D1499" s="830">
        <v>1.51</v>
      </c>
    </row>
    <row r="1500" spans="1:4" x14ac:dyDescent="0.2">
      <c r="A1500" s="832" t="s">
        <v>2929</v>
      </c>
      <c r="B1500" s="833" t="s">
        <v>1309</v>
      </c>
      <c r="C1500" s="834" t="s">
        <v>41</v>
      </c>
      <c r="D1500" s="835">
        <v>2.68</v>
      </c>
    </row>
    <row r="1501" spans="1:4" x14ac:dyDescent="0.2">
      <c r="A1501" s="827" t="s">
        <v>2930</v>
      </c>
      <c r="B1501" s="828" t="s">
        <v>1311</v>
      </c>
      <c r="C1501" s="829" t="s">
        <v>41</v>
      </c>
      <c r="D1501" s="830">
        <v>0.59</v>
      </c>
    </row>
    <row r="1502" spans="1:4" ht="25.5" x14ac:dyDescent="0.2">
      <c r="A1502" s="832" t="s">
        <v>2931</v>
      </c>
      <c r="B1502" s="833" t="s">
        <v>1313</v>
      </c>
      <c r="C1502" s="834" t="s">
        <v>41</v>
      </c>
      <c r="D1502" s="835">
        <v>47.25</v>
      </c>
    </row>
    <row r="1503" spans="1:4" ht="25.5" x14ac:dyDescent="0.2">
      <c r="A1503" s="827" t="s">
        <v>2932</v>
      </c>
      <c r="B1503" s="828" t="s">
        <v>1323</v>
      </c>
      <c r="C1503" s="829" t="s">
        <v>41</v>
      </c>
      <c r="D1503" s="830">
        <v>9.3800000000000008</v>
      </c>
    </row>
    <row r="1504" spans="1:4" x14ac:dyDescent="0.2">
      <c r="A1504" s="832" t="s">
        <v>2933</v>
      </c>
      <c r="B1504" s="833" t="s">
        <v>1325</v>
      </c>
      <c r="C1504" s="834" t="s">
        <v>41</v>
      </c>
      <c r="D1504" s="835">
        <v>5.9</v>
      </c>
    </row>
    <row r="1505" spans="1:4" x14ac:dyDescent="0.2">
      <c r="A1505" s="827" t="s">
        <v>2934</v>
      </c>
      <c r="B1505" s="828" t="s">
        <v>1359</v>
      </c>
      <c r="C1505" s="829" t="s">
        <v>41</v>
      </c>
      <c r="D1505" s="830">
        <v>4.67</v>
      </c>
    </row>
    <row r="1506" spans="1:4" x14ac:dyDescent="0.2">
      <c r="A1506" s="832" t="s">
        <v>2935</v>
      </c>
      <c r="B1506" s="833" t="s">
        <v>1361</v>
      </c>
      <c r="C1506" s="834" t="s">
        <v>41</v>
      </c>
      <c r="D1506" s="835">
        <v>6.05</v>
      </c>
    </row>
    <row r="1507" spans="1:4" x14ac:dyDescent="0.2">
      <c r="A1507" s="827" t="s">
        <v>2936</v>
      </c>
      <c r="B1507" s="828" t="s">
        <v>1363</v>
      </c>
      <c r="C1507" s="829" t="s">
        <v>41</v>
      </c>
      <c r="D1507" s="830">
        <v>16.73</v>
      </c>
    </row>
    <row r="1508" spans="1:4" x14ac:dyDescent="0.2">
      <c r="A1508" s="837" t="s">
        <v>2937</v>
      </c>
      <c r="B1508" s="838" t="s">
        <v>1493</v>
      </c>
      <c r="C1508" s="839"/>
      <c r="D1508" s="840"/>
    </row>
    <row r="1509" spans="1:4" x14ac:dyDescent="0.2">
      <c r="A1509" s="832" t="s">
        <v>2938</v>
      </c>
      <c r="B1509" s="833" t="s">
        <v>1285</v>
      </c>
      <c r="C1509" s="834" t="s">
        <v>41</v>
      </c>
      <c r="D1509" s="835">
        <v>0.12</v>
      </c>
    </row>
    <row r="1510" spans="1:4" x14ac:dyDescent="0.2">
      <c r="A1510" s="827" t="s">
        <v>2939</v>
      </c>
      <c r="B1510" s="828" t="s">
        <v>1287</v>
      </c>
      <c r="C1510" s="829" t="s">
        <v>54</v>
      </c>
      <c r="D1510" s="830">
        <v>313.54000000000002</v>
      </c>
    </row>
    <row r="1511" spans="1:4" x14ac:dyDescent="0.2">
      <c r="A1511" s="832" t="s">
        <v>2940</v>
      </c>
      <c r="B1511" s="833" t="s">
        <v>1289</v>
      </c>
      <c r="C1511" s="834" t="s">
        <v>41</v>
      </c>
      <c r="D1511" s="835">
        <v>50.19</v>
      </c>
    </row>
    <row r="1512" spans="1:4" x14ac:dyDescent="0.2">
      <c r="A1512" s="827" t="s">
        <v>2941</v>
      </c>
      <c r="B1512" s="828" t="s">
        <v>1293</v>
      </c>
      <c r="C1512" s="829" t="s">
        <v>54</v>
      </c>
      <c r="D1512" s="830">
        <v>17.760000000000002</v>
      </c>
    </row>
    <row r="1513" spans="1:4" x14ac:dyDescent="0.2">
      <c r="A1513" s="832" t="s">
        <v>2942</v>
      </c>
      <c r="B1513" s="833" t="s">
        <v>1301</v>
      </c>
      <c r="C1513" s="834" t="s">
        <v>41</v>
      </c>
      <c r="D1513" s="835">
        <v>7.36</v>
      </c>
    </row>
    <row r="1514" spans="1:4" x14ac:dyDescent="0.2">
      <c r="A1514" s="827" t="s">
        <v>2943</v>
      </c>
      <c r="B1514" s="828" t="s">
        <v>1305</v>
      </c>
      <c r="C1514" s="829" t="s">
        <v>41</v>
      </c>
      <c r="D1514" s="830">
        <v>0.4</v>
      </c>
    </row>
    <row r="1515" spans="1:4" x14ac:dyDescent="0.2">
      <c r="A1515" s="832" t="s">
        <v>2944</v>
      </c>
      <c r="B1515" s="833" t="s">
        <v>1307</v>
      </c>
      <c r="C1515" s="834" t="s">
        <v>41</v>
      </c>
      <c r="D1515" s="835">
        <v>1.51</v>
      </c>
    </row>
    <row r="1516" spans="1:4" x14ac:dyDescent="0.2">
      <c r="A1516" s="827" t="s">
        <v>2945</v>
      </c>
      <c r="B1516" s="828" t="s">
        <v>1309</v>
      </c>
      <c r="C1516" s="829" t="s">
        <v>41</v>
      </c>
      <c r="D1516" s="830">
        <v>2.68</v>
      </c>
    </row>
    <row r="1517" spans="1:4" x14ac:dyDescent="0.2">
      <c r="A1517" s="832" t="s">
        <v>2946</v>
      </c>
      <c r="B1517" s="833" t="s">
        <v>1311</v>
      </c>
      <c r="C1517" s="834" t="s">
        <v>41</v>
      </c>
      <c r="D1517" s="835">
        <v>0.59</v>
      </c>
    </row>
    <row r="1518" spans="1:4" ht="25.5" x14ac:dyDescent="0.2">
      <c r="A1518" s="827" t="s">
        <v>2947</v>
      </c>
      <c r="B1518" s="828" t="s">
        <v>1313</v>
      </c>
      <c r="C1518" s="829" t="s">
        <v>41</v>
      </c>
      <c r="D1518" s="830">
        <v>47.25</v>
      </c>
    </row>
    <row r="1519" spans="1:4" ht="25.5" x14ac:dyDescent="0.2">
      <c r="A1519" s="832" t="s">
        <v>2948</v>
      </c>
      <c r="B1519" s="833" t="s">
        <v>1323</v>
      </c>
      <c r="C1519" s="834" t="s">
        <v>41</v>
      </c>
      <c r="D1519" s="835">
        <v>9.3800000000000008</v>
      </c>
    </row>
    <row r="1520" spans="1:4" x14ac:dyDescent="0.2">
      <c r="A1520" s="827" t="s">
        <v>2949</v>
      </c>
      <c r="B1520" s="828" t="s">
        <v>1325</v>
      </c>
      <c r="C1520" s="829" t="s">
        <v>41</v>
      </c>
      <c r="D1520" s="830">
        <v>5.9</v>
      </c>
    </row>
    <row r="1521" spans="1:4" x14ac:dyDescent="0.2">
      <c r="A1521" s="832" t="s">
        <v>2950</v>
      </c>
      <c r="B1521" s="833" t="s">
        <v>1359</v>
      </c>
      <c r="C1521" s="834" t="s">
        <v>41</v>
      </c>
      <c r="D1521" s="835">
        <v>4.67</v>
      </c>
    </row>
    <row r="1522" spans="1:4" x14ac:dyDescent="0.2">
      <c r="A1522" s="827" t="s">
        <v>2951</v>
      </c>
      <c r="B1522" s="828" t="s">
        <v>1361</v>
      </c>
      <c r="C1522" s="829" t="s">
        <v>41</v>
      </c>
      <c r="D1522" s="830">
        <v>6.05</v>
      </c>
    </row>
    <row r="1523" spans="1:4" x14ac:dyDescent="0.2">
      <c r="A1523" s="832" t="s">
        <v>2952</v>
      </c>
      <c r="B1523" s="833" t="s">
        <v>1363</v>
      </c>
      <c r="C1523" s="834" t="s">
        <v>41</v>
      </c>
      <c r="D1523" s="835">
        <v>16.73</v>
      </c>
    </row>
    <row r="1524" spans="1:4" x14ac:dyDescent="0.2">
      <c r="A1524" s="837" t="s">
        <v>2953</v>
      </c>
      <c r="B1524" s="838" t="s">
        <v>1498</v>
      </c>
      <c r="C1524" s="839"/>
      <c r="D1524" s="840"/>
    </row>
    <row r="1525" spans="1:4" x14ac:dyDescent="0.2">
      <c r="A1525" s="827" t="s">
        <v>2954</v>
      </c>
      <c r="B1525" s="828" t="s">
        <v>1285</v>
      </c>
      <c r="C1525" s="829" t="s">
        <v>41</v>
      </c>
      <c r="D1525" s="830">
        <v>0.17</v>
      </c>
    </row>
    <row r="1526" spans="1:4" x14ac:dyDescent="0.2">
      <c r="A1526" s="832" t="s">
        <v>2955</v>
      </c>
      <c r="B1526" s="833" t="s">
        <v>1287</v>
      </c>
      <c r="C1526" s="834" t="s">
        <v>54</v>
      </c>
      <c r="D1526" s="835">
        <v>318.39999999999998</v>
      </c>
    </row>
    <row r="1527" spans="1:4" x14ac:dyDescent="0.2">
      <c r="A1527" s="827" t="s">
        <v>2956</v>
      </c>
      <c r="B1527" s="828" t="s">
        <v>1289</v>
      </c>
      <c r="C1527" s="829" t="s">
        <v>41</v>
      </c>
      <c r="D1527" s="830">
        <v>50.25</v>
      </c>
    </row>
    <row r="1528" spans="1:4" x14ac:dyDescent="0.2">
      <c r="A1528" s="832" t="s">
        <v>2957</v>
      </c>
      <c r="B1528" s="833" t="s">
        <v>1293</v>
      </c>
      <c r="C1528" s="834" t="s">
        <v>54</v>
      </c>
      <c r="D1528" s="835">
        <v>17.7</v>
      </c>
    </row>
    <row r="1529" spans="1:4" x14ac:dyDescent="0.2">
      <c r="A1529" s="827" t="s">
        <v>2958</v>
      </c>
      <c r="B1529" s="828" t="s">
        <v>1299</v>
      </c>
      <c r="C1529" s="829" t="s">
        <v>54</v>
      </c>
      <c r="D1529" s="830">
        <v>6.89</v>
      </c>
    </row>
    <row r="1530" spans="1:4" x14ac:dyDescent="0.2">
      <c r="A1530" s="832" t="s">
        <v>2959</v>
      </c>
      <c r="B1530" s="833" t="s">
        <v>1301</v>
      </c>
      <c r="C1530" s="834" t="s">
        <v>41</v>
      </c>
      <c r="D1530" s="835">
        <v>7.36</v>
      </c>
    </row>
    <row r="1531" spans="1:4" x14ac:dyDescent="0.2">
      <c r="A1531" s="827" t="s">
        <v>2960</v>
      </c>
      <c r="B1531" s="828" t="s">
        <v>1305</v>
      </c>
      <c r="C1531" s="829" t="s">
        <v>41</v>
      </c>
      <c r="D1531" s="830">
        <v>0.4</v>
      </c>
    </row>
    <row r="1532" spans="1:4" x14ac:dyDescent="0.2">
      <c r="A1532" s="832" t="s">
        <v>2961</v>
      </c>
      <c r="B1532" s="833" t="s">
        <v>1307</v>
      </c>
      <c r="C1532" s="834" t="s">
        <v>41</v>
      </c>
      <c r="D1532" s="835">
        <v>1.51</v>
      </c>
    </row>
    <row r="1533" spans="1:4" x14ac:dyDescent="0.2">
      <c r="A1533" s="827" t="s">
        <v>2962</v>
      </c>
      <c r="B1533" s="828" t="s">
        <v>1309</v>
      </c>
      <c r="C1533" s="829" t="s">
        <v>41</v>
      </c>
      <c r="D1533" s="830">
        <v>2.68</v>
      </c>
    </row>
    <row r="1534" spans="1:4" x14ac:dyDescent="0.2">
      <c r="A1534" s="832" t="s">
        <v>2963</v>
      </c>
      <c r="B1534" s="833" t="s">
        <v>1311</v>
      </c>
      <c r="C1534" s="834" t="s">
        <v>41</v>
      </c>
      <c r="D1534" s="835">
        <v>0.59</v>
      </c>
    </row>
    <row r="1535" spans="1:4" ht="25.5" x14ac:dyDescent="0.2">
      <c r="A1535" s="827" t="s">
        <v>2964</v>
      </c>
      <c r="B1535" s="828" t="s">
        <v>1313</v>
      </c>
      <c r="C1535" s="829" t="s">
        <v>41</v>
      </c>
      <c r="D1535" s="830">
        <v>47.25</v>
      </c>
    </row>
    <row r="1536" spans="1:4" ht="25.5" x14ac:dyDescent="0.2">
      <c r="A1536" s="832" t="s">
        <v>2965</v>
      </c>
      <c r="B1536" s="833" t="s">
        <v>1323</v>
      </c>
      <c r="C1536" s="834" t="s">
        <v>41</v>
      </c>
      <c r="D1536" s="835">
        <v>9.3800000000000008</v>
      </c>
    </row>
    <row r="1537" spans="1:4" x14ac:dyDescent="0.2">
      <c r="A1537" s="827" t="s">
        <v>2966</v>
      </c>
      <c r="B1537" s="828" t="s">
        <v>1325</v>
      </c>
      <c r="C1537" s="829" t="s">
        <v>41</v>
      </c>
      <c r="D1537" s="830">
        <v>5.9</v>
      </c>
    </row>
    <row r="1538" spans="1:4" x14ac:dyDescent="0.2">
      <c r="A1538" s="832" t="s">
        <v>2967</v>
      </c>
      <c r="B1538" s="833" t="s">
        <v>1359</v>
      </c>
      <c r="C1538" s="834" t="s">
        <v>41</v>
      </c>
      <c r="D1538" s="835">
        <v>4.67</v>
      </c>
    </row>
    <row r="1539" spans="1:4" x14ac:dyDescent="0.2">
      <c r="A1539" s="827" t="s">
        <v>2968</v>
      </c>
      <c r="B1539" s="828" t="s">
        <v>1361</v>
      </c>
      <c r="C1539" s="829" t="s">
        <v>41</v>
      </c>
      <c r="D1539" s="830">
        <v>6.05</v>
      </c>
    </row>
    <row r="1540" spans="1:4" x14ac:dyDescent="0.2">
      <c r="A1540" s="832" t="s">
        <v>2969</v>
      </c>
      <c r="B1540" s="833" t="s">
        <v>1363</v>
      </c>
      <c r="C1540" s="834" t="s">
        <v>41</v>
      </c>
      <c r="D1540" s="835">
        <v>16.73</v>
      </c>
    </row>
    <row r="1541" spans="1:4" x14ac:dyDescent="0.2">
      <c r="A1541" s="837" t="s">
        <v>2970</v>
      </c>
      <c r="B1541" s="838" t="s">
        <v>1503</v>
      </c>
      <c r="C1541" s="839"/>
      <c r="D1541" s="840"/>
    </row>
    <row r="1542" spans="1:4" x14ac:dyDescent="0.2">
      <c r="A1542" s="827" t="s">
        <v>2971</v>
      </c>
      <c r="B1542" s="828" t="s">
        <v>1285</v>
      </c>
      <c r="C1542" s="829" t="s">
        <v>41</v>
      </c>
      <c r="D1542" s="830">
        <v>0.12</v>
      </c>
    </row>
    <row r="1543" spans="1:4" x14ac:dyDescent="0.2">
      <c r="A1543" s="832" t="s">
        <v>2972</v>
      </c>
      <c r="B1543" s="833" t="s">
        <v>1287</v>
      </c>
      <c r="C1543" s="834" t="s">
        <v>54</v>
      </c>
      <c r="D1543" s="835">
        <v>313.54000000000002</v>
      </c>
    </row>
    <row r="1544" spans="1:4" x14ac:dyDescent="0.2">
      <c r="A1544" s="827" t="s">
        <v>2973</v>
      </c>
      <c r="B1544" s="828" t="s">
        <v>1289</v>
      </c>
      <c r="C1544" s="829" t="s">
        <v>41</v>
      </c>
      <c r="D1544" s="830">
        <v>50.19</v>
      </c>
    </row>
    <row r="1545" spans="1:4" x14ac:dyDescent="0.2">
      <c r="A1545" s="832" t="s">
        <v>2974</v>
      </c>
      <c r="B1545" s="833" t="s">
        <v>1293</v>
      </c>
      <c r="C1545" s="834" t="s">
        <v>54</v>
      </c>
      <c r="D1545" s="835">
        <v>17.760000000000002</v>
      </c>
    </row>
    <row r="1546" spans="1:4" x14ac:dyDescent="0.2">
      <c r="A1546" s="827" t="s">
        <v>2975</v>
      </c>
      <c r="B1546" s="828" t="s">
        <v>1301</v>
      </c>
      <c r="C1546" s="829" t="s">
        <v>41</v>
      </c>
      <c r="D1546" s="830">
        <v>7.36</v>
      </c>
    </row>
    <row r="1547" spans="1:4" x14ac:dyDescent="0.2">
      <c r="A1547" s="832" t="s">
        <v>2976</v>
      </c>
      <c r="B1547" s="833" t="s">
        <v>1305</v>
      </c>
      <c r="C1547" s="834" t="s">
        <v>41</v>
      </c>
      <c r="D1547" s="835">
        <v>0.4</v>
      </c>
    </row>
    <row r="1548" spans="1:4" x14ac:dyDescent="0.2">
      <c r="A1548" s="827" t="s">
        <v>2977</v>
      </c>
      <c r="B1548" s="828" t="s">
        <v>1307</v>
      </c>
      <c r="C1548" s="829" t="s">
        <v>41</v>
      </c>
      <c r="D1548" s="830">
        <v>1.51</v>
      </c>
    </row>
    <row r="1549" spans="1:4" x14ac:dyDescent="0.2">
      <c r="A1549" s="832" t="s">
        <v>2978</v>
      </c>
      <c r="B1549" s="833" t="s">
        <v>1309</v>
      </c>
      <c r="C1549" s="834" t="s">
        <v>41</v>
      </c>
      <c r="D1549" s="835">
        <v>2.68</v>
      </c>
    </row>
    <row r="1550" spans="1:4" x14ac:dyDescent="0.2">
      <c r="A1550" s="827" t="s">
        <v>2979</v>
      </c>
      <c r="B1550" s="828" t="s">
        <v>1311</v>
      </c>
      <c r="C1550" s="829" t="s">
        <v>41</v>
      </c>
      <c r="D1550" s="830">
        <v>0.59</v>
      </c>
    </row>
    <row r="1551" spans="1:4" ht="25.5" x14ac:dyDescent="0.2">
      <c r="A1551" s="832" t="s">
        <v>2980</v>
      </c>
      <c r="B1551" s="833" t="s">
        <v>1313</v>
      </c>
      <c r="C1551" s="834" t="s">
        <v>41</v>
      </c>
      <c r="D1551" s="835">
        <v>47.25</v>
      </c>
    </row>
    <row r="1552" spans="1:4" ht="25.5" x14ac:dyDescent="0.2">
      <c r="A1552" s="827" t="s">
        <v>2981</v>
      </c>
      <c r="B1552" s="828" t="s">
        <v>1323</v>
      </c>
      <c r="C1552" s="829" t="s">
        <v>41</v>
      </c>
      <c r="D1552" s="830">
        <v>9.3800000000000008</v>
      </c>
    </row>
    <row r="1553" spans="1:4" x14ac:dyDescent="0.2">
      <c r="A1553" s="832" t="s">
        <v>2982</v>
      </c>
      <c r="B1553" s="833" t="s">
        <v>1325</v>
      </c>
      <c r="C1553" s="834" t="s">
        <v>41</v>
      </c>
      <c r="D1553" s="835">
        <v>5.9</v>
      </c>
    </row>
    <row r="1554" spans="1:4" x14ac:dyDescent="0.2">
      <c r="A1554" s="827" t="s">
        <v>2983</v>
      </c>
      <c r="B1554" s="828" t="s">
        <v>1359</v>
      </c>
      <c r="C1554" s="829" t="s">
        <v>41</v>
      </c>
      <c r="D1554" s="830">
        <v>4.67</v>
      </c>
    </row>
    <row r="1555" spans="1:4" x14ac:dyDescent="0.2">
      <c r="A1555" s="832" t="s">
        <v>2984</v>
      </c>
      <c r="B1555" s="833" t="s">
        <v>1361</v>
      </c>
      <c r="C1555" s="834" t="s">
        <v>41</v>
      </c>
      <c r="D1555" s="835">
        <v>6.05</v>
      </c>
    </row>
    <row r="1556" spans="1:4" x14ac:dyDescent="0.2">
      <c r="A1556" s="827" t="s">
        <v>2985</v>
      </c>
      <c r="B1556" s="828" t="s">
        <v>1363</v>
      </c>
      <c r="C1556" s="829" t="s">
        <v>41</v>
      </c>
      <c r="D1556" s="830">
        <v>16.73</v>
      </c>
    </row>
    <row r="1557" spans="1:4" x14ac:dyDescent="0.2">
      <c r="A1557" s="837" t="s">
        <v>2986</v>
      </c>
      <c r="B1557" s="838" t="s">
        <v>1508</v>
      </c>
      <c r="C1557" s="839"/>
      <c r="D1557" s="840"/>
    </row>
    <row r="1558" spans="1:4" x14ac:dyDescent="0.2">
      <c r="A1558" s="832" t="s">
        <v>2987</v>
      </c>
      <c r="B1558" s="833" t="s">
        <v>1285</v>
      </c>
      <c r="C1558" s="834" t="s">
        <v>41</v>
      </c>
      <c r="D1558" s="835">
        <v>0.17</v>
      </c>
    </row>
    <row r="1559" spans="1:4" x14ac:dyDescent="0.2">
      <c r="A1559" s="827" t="s">
        <v>2988</v>
      </c>
      <c r="B1559" s="828" t="s">
        <v>1287</v>
      </c>
      <c r="C1559" s="829" t="s">
        <v>54</v>
      </c>
      <c r="D1559" s="830">
        <v>318.39999999999998</v>
      </c>
    </row>
    <row r="1560" spans="1:4" x14ac:dyDescent="0.2">
      <c r="A1560" s="832" t="s">
        <v>2989</v>
      </c>
      <c r="B1560" s="833" t="s">
        <v>1289</v>
      </c>
      <c r="C1560" s="834" t="s">
        <v>41</v>
      </c>
      <c r="D1560" s="835">
        <v>50.25</v>
      </c>
    </row>
    <row r="1561" spans="1:4" x14ac:dyDescent="0.2">
      <c r="A1561" s="827" t="s">
        <v>2990</v>
      </c>
      <c r="B1561" s="828" t="s">
        <v>1293</v>
      </c>
      <c r="C1561" s="829" t="s">
        <v>54</v>
      </c>
      <c r="D1561" s="830">
        <v>17.7</v>
      </c>
    </row>
    <row r="1562" spans="1:4" x14ac:dyDescent="0.2">
      <c r="A1562" s="832" t="s">
        <v>2991</v>
      </c>
      <c r="B1562" s="833" t="s">
        <v>1301</v>
      </c>
      <c r="C1562" s="834" t="s">
        <v>41</v>
      </c>
      <c r="D1562" s="835">
        <v>7.36</v>
      </c>
    </row>
    <row r="1563" spans="1:4" x14ac:dyDescent="0.2">
      <c r="A1563" s="827" t="s">
        <v>2992</v>
      </c>
      <c r="B1563" s="828" t="s">
        <v>1305</v>
      </c>
      <c r="C1563" s="829" t="s">
        <v>41</v>
      </c>
      <c r="D1563" s="830">
        <v>0.4</v>
      </c>
    </row>
    <row r="1564" spans="1:4" x14ac:dyDescent="0.2">
      <c r="A1564" s="832" t="s">
        <v>2993</v>
      </c>
      <c r="B1564" s="833" t="s">
        <v>1307</v>
      </c>
      <c r="C1564" s="834" t="s">
        <v>41</v>
      </c>
      <c r="D1564" s="835">
        <v>1.51</v>
      </c>
    </row>
    <row r="1565" spans="1:4" x14ac:dyDescent="0.2">
      <c r="A1565" s="827" t="s">
        <v>2994</v>
      </c>
      <c r="B1565" s="828" t="s">
        <v>1309</v>
      </c>
      <c r="C1565" s="829" t="s">
        <v>41</v>
      </c>
      <c r="D1565" s="830">
        <v>2.68</v>
      </c>
    </row>
    <row r="1566" spans="1:4" x14ac:dyDescent="0.2">
      <c r="A1566" s="832" t="s">
        <v>2995</v>
      </c>
      <c r="B1566" s="833" t="s">
        <v>1311</v>
      </c>
      <c r="C1566" s="834" t="s">
        <v>41</v>
      </c>
      <c r="D1566" s="835">
        <v>0.59</v>
      </c>
    </row>
    <row r="1567" spans="1:4" ht="25.5" x14ac:dyDescent="0.2">
      <c r="A1567" s="827" t="s">
        <v>2996</v>
      </c>
      <c r="B1567" s="828" t="s">
        <v>1313</v>
      </c>
      <c r="C1567" s="829" t="s">
        <v>41</v>
      </c>
      <c r="D1567" s="830">
        <v>47.25</v>
      </c>
    </row>
    <row r="1568" spans="1:4" ht="25.5" x14ac:dyDescent="0.2">
      <c r="A1568" s="832" t="s">
        <v>2997</v>
      </c>
      <c r="B1568" s="833" t="s">
        <v>1323</v>
      </c>
      <c r="C1568" s="834" t="s">
        <v>41</v>
      </c>
      <c r="D1568" s="835">
        <v>9.3800000000000008</v>
      </c>
    </row>
    <row r="1569" spans="1:4" x14ac:dyDescent="0.2">
      <c r="A1569" s="827" t="s">
        <v>2998</v>
      </c>
      <c r="B1569" s="828" t="s">
        <v>1325</v>
      </c>
      <c r="C1569" s="829" t="s">
        <v>41</v>
      </c>
      <c r="D1569" s="830">
        <v>5.9</v>
      </c>
    </row>
    <row r="1570" spans="1:4" x14ac:dyDescent="0.2">
      <c r="A1570" s="832" t="s">
        <v>2999</v>
      </c>
      <c r="B1570" s="833" t="s">
        <v>1359</v>
      </c>
      <c r="C1570" s="834" t="s">
        <v>41</v>
      </c>
      <c r="D1570" s="835">
        <v>4.67</v>
      </c>
    </row>
    <row r="1571" spans="1:4" x14ac:dyDescent="0.2">
      <c r="A1571" s="827" t="s">
        <v>3000</v>
      </c>
      <c r="B1571" s="828" t="s">
        <v>1361</v>
      </c>
      <c r="C1571" s="829" t="s">
        <v>41</v>
      </c>
      <c r="D1571" s="830">
        <v>6.05</v>
      </c>
    </row>
    <row r="1572" spans="1:4" x14ac:dyDescent="0.2">
      <c r="A1572" s="832" t="s">
        <v>3001</v>
      </c>
      <c r="B1572" s="833" t="s">
        <v>1363</v>
      </c>
      <c r="C1572" s="834" t="s">
        <v>41</v>
      </c>
      <c r="D1572" s="835">
        <v>16.73</v>
      </c>
    </row>
    <row r="1573" spans="1:4" x14ac:dyDescent="0.2">
      <c r="A1573" s="837" t="s">
        <v>3002</v>
      </c>
      <c r="B1573" s="838" t="s">
        <v>1513</v>
      </c>
      <c r="C1573" s="839"/>
      <c r="D1573" s="840"/>
    </row>
    <row r="1574" spans="1:4" x14ac:dyDescent="0.2">
      <c r="A1574" s="827" t="s">
        <v>3003</v>
      </c>
      <c r="B1574" s="828" t="s">
        <v>1285</v>
      </c>
      <c r="C1574" s="829" t="s">
        <v>41</v>
      </c>
      <c r="D1574" s="830">
        <v>0.12</v>
      </c>
    </row>
    <row r="1575" spans="1:4" x14ac:dyDescent="0.2">
      <c r="A1575" s="832" t="s">
        <v>3004</v>
      </c>
      <c r="B1575" s="833" t="s">
        <v>1287</v>
      </c>
      <c r="C1575" s="834" t="s">
        <v>54</v>
      </c>
      <c r="D1575" s="835">
        <v>313.54000000000002</v>
      </c>
    </row>
    <row r="1576" spans="1:4" x14ac:dyDescent="0.2">
      <c r="A1576" s="827" t="s">
        <v>3005</v>
      </c>
      <c r="B1576" s="828" t="s">
        <v>1289</v>
      </c>
      <c r="C1576" s="829" t="s">
        <v>41</v>
      </c>
      <c r="D1576" s="830">
        <v>50.19</v>
      </c>
    </row>
    <row r="1577" spans="1:4" x14ac:dyDescent="0.2">
      <c r="A1577" s="832" t="s">
        <v>3006</v>
      </c>
      <c r="B1577" s="833" t="s">
        <v>1293</v>
      </c>
      <c r="C1577" s="834" t="s">
        <v>54</v>
      </c>
      <c r="D1577" s="835">
        <v>17.760000000000002</v>
      </c>
    </row>
    <row r="1578" spans="1:4" x14ac:dyDescent="0.2">
      <c r="A1578" s="827" t="s">
        <v>3007</v>
      </c>
      <c r="B1578" s="828" t="s">
        <v>1301</v>
      </c>
      <c r="C1578" s="829" t="s">
        <v>41</v>
      </c>
      <c r="D1578" s="830">
        <v>7.36</v>
      </c>
    </row>
    <row r="1579" spans="1:4" x14ac:dyDescent="0.2">
      <c r="A1579" s="832" t="s">
        <v>3008</v>
      </c>
      <c r="B1579" s="833" t="s">
        <v>1305</v>
      </c>
      <c r="C1579" s="834" t="s">
        <v>41</v>
      </c>
      <c r="D1579" s="835">
        <v>0.4</v>
      </c>
    </row>
    <row r="1580" spans="1:4" x14ac:dyDescent="0.2">
      <c r="A1580" s="827" t="s">
        <v>3009</v>
      </c>
      <c r="B1580" s="828" t="s">
        <v>1307</v>
      </c>
      <c r="C1580" s="829" t="s">
        <v>41</v>
      </c>
      <c r="D1580" s="830">
        <v>1.51</v>
      </c>
    </row>
    <row r="1581" spans="1:4" x14ac:dyDescent="0.2">
      <c r="A1581" s="832" t="s">
        <v>3010</v>
      </c>
      <c r="B1581" s="833" t="s">
        <v>1309</v>
      </c>
      <c r="C1581" s="834" t="s">
        <v>41</v>
      </c>
      <c r="D1581" s="835">
        <v>2.68</v>
      </c>
    </row>
    <row r="1582" spans="1:4" x14ac:dyDescent="0.2">
      <c r="A1582" s="827" t="s">
        <v>3011</v>
      </c>
      <c r="B1582" s="828" t="s">
        <v>1311</v>
      </c>
      <c r="C1582" s="829" t="s">
        <v>41</v>
      </c>
      <c r="D1582" s="830">
        <v>0.59</v>
      </c>
    </row>
    <row r="1583" spans="1:4" ht="25.5" x14ac:dyDescent="0.2">
      <c r="A1583" s="832" t="s">
        <v>3012</v>
      </c>
      <c r="B1583" s="833" t="s">
        <v>1313</v>
      </c>
      <c r="C1583" s="834" t="s">
        <v>41</v>
      </c>
      <c r="D1583" s="835">
        <v>47.25</v>
      </c>
    </row>
    <row r="1584" spans="1:4" ht="25.5" x14ac:dyDescent="0.2">
      <c r="A1584" s="827" t="s">
        <v>3013</v>
      </c>
      <c r="B1584" s="828" t="s">
        <v>1323</v>
      </c>
      <c r="C1584" s="829" t="s">
        <v>41</v>
      </c>
      <c r="D1584" s="830">
        <v>9.3800000000000008</v>
      </c>
    </row>
    <row r="1585" spans="1:4" x14ac:dyDescent="0.2">
      <c r="A1585" s="832" t="s">
        <v>3014</v>
      </c>
      <c r="B1585" s="833" t="s">
        <v>1325</v>
      </c>
      <c r="C1585" s="834" t="s">
        <v>41</v>
      </c>
      <c r="D1585" s="835">
        <v>5.9</v>
      </c>
    </row>
    <row r="1586" spans="1:4" x14ac:dyDescent="0.2">
      <c r="A1586" s="827" t="s">
        <v>3015</v>
      </c>
      <c r="B1586" s="828" t="s">
        <v>1359</v>
      </c>
      <c r="C1586" s="829" t="s">
        <v>41</v>
      </c>
      <c r="D1586" s="830">
        <v>4.67</v>
      </c>
    </row>
    <row r="1587" spans="1:4" x14ac:dyDescent="0.2">
      <c r="A1587" s="832" t="s">
        <v>3016</v>
      </c>
      <c r="B1587" s="833" t="s">
        <v>1361</v>
      </c>
      <c r="C1587" s="834" t="s">
        <v>41</v>
      </c>
      <c r="D1587" s="835">
        <v>6.05</v>
      </c>
    </row>
    <row r="1588" spans="1:4" x14ac:dyDescent="0.2">
      <c r="A1588" s="827" t="s">
        <v>3017</v>
      </c>
      <c r="B1588" s="828" t="s">
        <v>1363</v>
      </c>
      <c r="C1588" s="829" t="s">
        <v>41</v>
      </c>
      <c r="D1588" s="830">
        <v>16.73</v>
      </c>
    </row>
    <row r="1589" spans="1:4" x14ac:dyDescent="0.2">
      <c r="A1589" s="837" t="s">
        <v>3018</v>
      </c>
      <c r="B1589" s="838" t="s">
        <v>1518</v>
      </c>
      <c r="C1589" s="839"/>
      <c r="D1589" s="840"/>
    </row>
    <row r="1590" spans="1:4" x14ac:dyDescent="0.2">
      <c r="A1590" s="832" t="s">
        <v>3019</v>
      </c>
      <c r="B1590" s="833" t="s">
        <v>1285</v>
      </c>
      <c r="C1590" s="834" t="s">
        <v>41</v>
      </c>
      <c r="D1590" s="835">
        <v>0.17</v>
      </c>
    </row>
    <row r="1591" spans="1:4" x14ac:dyDescent="0.2">
      <c r="A1591" s="827" t="s">
        <v>3020</v>
      </c>
      <c r="B1591" s="828" t="s">
        <v>1287</v>
      </c>
      <c r="C1591" s="829" t="s">
        <v>54</v>
      </c>
      <c r="D1591" s="830">
        <v>318.39999999999998</v>
      </c>
    </row>
    <row r="1592" spans="1:4" x14ac:dyDescent="0.2">
      <c r="A1592" s="832" t="s">
        <v>3021</v>
      </c>
      <c r="B1592" s="833" t="s">
        <v>1289</v>
      </c>
      <c r="C1592" s="834" t="s">
        <v>41</v>
      </c>
      <c r="D1592" s="835">
        <v>50.25</v>
      </c>
    </row>
    <row r="1593" spans="1:4" x14ac:dyDescent="0.2">
      <c r="A1593" s="827" t="s">
        <v>3022</v>
      </c>
      <c r="B1593" s="828" t="s">
        <v>1293</v>
      </c>
      <c r="C1593" s="829" t="s">
        <v>54</v>
      </c>
      <c r="D1593" s="830">
        <v>17.7</v>
      </c>
    </row>
    <row r="1594" spans="1:4" x14ac:dyDescent="0.2">
      <c r="A1594" s="832" t="s">
        <v>3023</v>
      </c>
      <c r="B1594" s="833" t="s">
        <v>1301</v>
      </c>
      <c r="C1594" s="834" t="s">
        <v>41</v>
      </c>
      <c r="D1594" s="835">
        <v>7.36</v>
      </c>
    </row>
    <row r="1595" spans="1:4" x14ac:dyDescent="0.2">
      <c r="A1595" s="827" t="s">
        <v>3024</v>
      </c>
      <c r="B1595" s="828" t="s">
        <v>1305</v>
      </c>
      <c r="C1595" s="829" t="s">
        <v>41</v>
      </c>
      <c r="D1595" s="830">
        <v>0.4</v>
      </c>
    </row>
    <row r="1596" spans="1:4" x14ac:dyDescent="0.2">
      <c r="A1596" s="832" t="s">
        <v>3025</v>
      </c>
      <c r="B1596" s="833" t="s">
        <v>1307</v>
      </c>
      <c r="C1596" s="834" t="s">
        <v>41</v>
      </c>
      <c r="D1596" s="835">
        <v>1.51</v>
      </c>
    </row>
    <row r="1597" spans="1:4" x14ac:dyDescent="0.2">
      <c r="A1597" s="827" t="s">
        <v>3026</v>
      </c>
      <c r="B1597" s="828" t="s">
        <v>1309</v>
      </c>
      <c r="C1597" s="829" t="s">
        <v>41</v>
      </c>
      <c r="D1597" s="830">
        <v>2.68</v>
      </c>
    </row>
    <row r="1598" spans="1:4" x14ac:dyDescent="0.2">
      <c r="A1598" s="832" t="s">
        <v>3027</v>
      </c>
      <c r="B1598" s="833" t="s">
        <v>1311</v>
      </c>
      <c r="C1598" s="834" t="s">
        <v>41</v>
      </c>
      <c r="D1598" s="835">
        <v>0.59</v>
      </c>
    </row>
    <row r="1599" spans="1:4" ht="25.5" x14ac:dyDescent="0.2">
      <c r="A1599" s="827" t="s">
        <v>3028</v>
      </c>
      <c r="B1599" s="828" t="s">
        <v>1313</v>
      </c>
      <c r="C1599" s="829" t="s">
        <v>41</v>
      </c>
      <c r="D1599" s="830">
        <v>47.25</v>
      </c>
    </row>
    <row r="1600" spans="1:4" ht="25.5" x14ac:dyDescent="0.2">
      <c r="A1600" s="832" t="s">
        <v>3029</v>
      </c>
      <c r="B1600" s="833" t="s">
        <v>1323</v>
      </c>
      <c r="C1600" s="834" t="s">
        <v>41</v>
      </c>
      <c r="D1600" s="835">
        <v>9.3800000000000008</v>
      </c>
    </row>
    <row r="1601" spans="1:4" x14ac:dyDescent="0.2">
      <c r="A1601" s="827" t="s">
        <v>3030</v>
      </c>
      <c r="B1601" s="828" t="s">
        <v>1325</v>
      </c>
      <c r="C1601" s="829" t="s">
        <v>41</v>
      </c>
      <c r="D1601" s="830">
        <v>5.9</v>
      </c>
    </row>
    <row r="1602" spans="1:4" x14ac:dyDescent="0.2">
      <c r="A1602" s="832" t="s">
        <v>3031</v>
      </c>
      <c r="B1602" s="833" t="s">
        <v>1359</v>
      </c>
      <c r="C1602" s="834" t="s">
        <v>41</v>
      </c>
      <c r="D1602" s="835">
        <v>4.67</v>
      </c>
    </row>
    <row r="1603" spans="1:4" x14ac:dyDescent="0.2">
      <c r="A1603" s="827" t="s">
        <v>3032</v>
      </c>
      <c r="B1603" s="828" t="s">
        <v>1361</v>
      </c>
      <c r="C1603" s="829" t="s">
        <v>41</v>
      </c>
      <c r="D1603" s="830">
        <v>6.05</v>
      </c>
    </row>
    <row r="1604" spans="1:4" x14ac:dyDescent="0.2">
      <c r="A1604" s="832" t="s">
        <v>3033</v>
      </c>
      <c r="B1604" s="833" t="s">
        <v>1363</v>
      </c>
      <c r="C1604" s="834" t="s">
        <v>41</v>
      </c>
      <c r="D1604" s="835">
        <v>16.73</v>
      </c>
    </row>
    <row r="1605" spans="1:4" x14ac:dyDescent="0.2">
      <c r="A1605" s="837" t="s">
        <v>3034</v>
      </c>
      <c r="B1605" s="838" t="s">
        <v>1523</v>
      </c>
      <c r="C1605" s="839"/>
      <c r="D1605" s="840"/>
    </row>
    <row r="1606" spans="1:4" x14ac:dyDescent="0.2">
      <c r="A1606" s="827" t="s">
        <v>3035</v>
      </c>
      <c r="B1606" s="828" t="s">
        <v>1285</v>
      </c>
      <c r="C1606" s="829" t="s">
        <v>41</v>
      </c>
      <c r="D1606" s="830">
        <v>0.12</v>
      </c>
    </row>
    <row r="1607" spans="1:4" x14ac:dyDescent="0.2">
      <c r="A1607" s="832" t="s">
        <v>3036</v>
      </c>
      <c r="B1607" s="833" t="s">
        <v>1287</v>
      </c>
      <c r="C1607" s="834" t="s">
        <v>54</v>
      </c>
      <c r="D1607" s="835">
        <v>313.54000000000002</v>
      </c>
    </row>
    <row r="1608" spans="1:4" x14ac:dyDescent="0.2">
      <c r="A1608" s="827" t="s">
        <v>3037</v>
      </c>
      <c r="B1608" s="828" t="s">
        <v>1289</v>
      </c>
      <c r="C1608" s="829" t="s">
        <v>41</v>
      </c>
      <c r="D1608" s="830">
        <v>50.19</v>
      </c>
    </row>
    <row r="1609" spans="1:4" x14ac:dyDescent="0.2">
      <c r="A1609" s="832" t="s">
        <v>3038</v>
      </c>
      <c r="B1609" s="833" t="s">
        <v>1293</v>
      </c>
      <c r="C1609" s="834" t="s">
        <v>54</v>
      </c>
      <c r="D1609" s="835">
        <v>17.760000000000002</v>
      </c>
    </row>
    <row r="1610" spans="1:4" x14ac:dyDescent="0.2">
      <c r="A1610" s="827" t="s">
        <v>3039</v>
      </c>
      <c r="B1610" s="828" t="s">
        <v>1301</v>
      </c>
      <c r="C1610" s="829" t="s">
        <v>41</v>
      </c>
      <c r="D1610" s="830">
        <v>7.36</v>
      </c>
    </row>
    <row r="1611" spans="1:4" x14ac:dyDescent="0.2">
      <c r="A1611" s="832" t="s">
        <v>3040</v>
      </c>
      <c r="B1611" s="833" t="s">
        <v>1305</v>
      </c>
      <c r="C1611" s="834" t="s">
        <v>41</v>
      </c>
      <c r="D1611" s="835">
        <v>0.4</v>
      </c>
    </row>
    <row r="1612" spans="1:4" x14ac:dyDescent="0.2">
      <c r="A1612" s="827" t="s">
        <v>3041</v>
      </c>
      <c r="B1612" s="828" t="s">
        <v>1307</v>
      </c>
      <c r="C1612" s="829" t="s">
        <v>41</v>
      </c>
      <c r="D1612" s="830">
        <v>1.51</v>
      </c>
    </row>
    <row r="1613" spans="1:4" x14ac:dyDescent="0.2">
      <c r="A1613" s="832" t="s">
        <v>3042</v>
      </c>
      <c r="B1613" s="833" t="s">
        <v>1309</v>
      </c>
      <c r="C1613" s="834" t="s">
        <v>41</v>
      </c>
      <c r="D1613" s="835">
        <v>2.68</v>
      </c>
    </row>
    <row r="1614" spans="1:4" x14ac:dyDescent="0.2">
      <c r="A1614" s="827" t="s">
        <v>3043</v>
      </c>
      <c r="B1614" s="828" t="s">
        <v>1311</v>
      </c>
      <c r="C1614" s="829" t="s">
        <v>41</v>
      </c>
      <c r="D1614" s="830">
        <v>0.59</v>
      </c>
    </row>
    <row r="1615" spans="1:4" ht="25.5" x14ac:dyDescent="0.2">
      <c r="A1615" s="832" t="s">
        <v>3044</v>
      </c>
      <c r="B1615" s="833" t="s">
        <v>1313</v>
      </c>
      <c r="C1615" s="834" t="s">
        <v>41</v>
      </c>
      <c r="D1615" s="835">
        <v>47.25</v>
      </c>
    </row>
    <row r="1616" spans="1:4" ht="25.5" x14ac:dyDescent="0.2">
      <c r="A1616" s="827" t="s">
        <v>3045</v>
      </c>
      <c r="B1616" s="828" t="s">
        <v>1323</v>
      </c>
      <c r="C1616" s="829" t="s">
        <v>41</v>
      </c>
      <c r="D1616" s="830">
        <v>9.3800000000000008</v>
      </c>
    </row>
    <row r="1617" spans="1:4" x14ac:dyDescent="0.2">
      <c r="A1617" s="832" t="s">
        <v>3046</v>
      </c>
      <c r="B1617" s="833" t="s">
        <v>1325</v>
      </c>
      <c r="C1617" s="834" t="s">
        <v>41</v>
      </c>
      <c r="D1617" s="835">
        <v>5.9</v>
      </c>
    </row>
    <row r="1618" spans="1:4" x14ac:dyDescent="0.2">
      <c r="A1618" s="827" t="s">
        <v>3047</v>
      </c>
      <c r="B1618" s="828" t="s">
        <v>1359</v>
      </c>
      <c r="C1618" s="829" t="s">
        <v>41</v>
      </c>
      <c r="D1618" s="830">
        <v>4.67</v>
      </c>
    </row>
    <row r="1619" spans="1:4" x14ac:dyDescent="0.2">
      <c r="A1619" s="832" t="s">
        <v>3048</v>
      </c>
      <c r="B1619" s="833" t="s">
        <v>1361</v>
      </c>
      <c r="C1619" s="834" t="s">
        <v>41</v>
      </c>
      <c r="D1619" s="835">
        <v>6.05</v>
      </c>
    </row>
    <row r="1620" spans="1:4" x14ac:dyDescent="0.2">
      <c r="A1620" s="827" t="s">
        <v>3049</v>
      </c>
      <c r="B1620" s="828" t="s">
        <v>1363</v>
      </c>
      <c r="C1620" s="829" t="s">
        <v>41</v>
      </c>
      <c r="D1620" s="830">
        <v>16.73</v>
      </c>
    </row>
    <row r="1621" spans="1:4" x14ac:dyDescent="0.2">
      <c r="A1621" s="837" t="s">
        <v>3050</v>
      </c>
      <c r="B1621" s="838" t="s">
        <v>1528</v>
      </c>
      <c r="C1621" s="839"/>
      <c r="D1621" s="840"/>
    </row>
    <row r="1622" spans="1:4" x14ac:dyDescent="0.2">
      <c r="A1622" s="832" t="s">
        <v>3051</v>
      </c>
      <c r="B1622" s="833" t="s">
        <v>1285</v>
      </c>
      <c r="C1622" s="834" t="s">
        <v>41</v>
      </c>
      <c r="D1622" s="835">
        <v>0.17</v>
      </c>
    </row>
    <row r="1623" spans="1:4" x14ac:dyDescent="0.2">
      <c r="A1623" s="827" t="s">
        <v>3052</v>
      </c>
      <c r="B1623" s="828" t="s">
        <v>1287</v>
      </c>
      <c r="C1623" s="829" t="s">
        <v>54</v>
      </c>
      <c r="D1623" s="830">
        <v>318.39999999999998</v>
      </c>
    </row>
    <row r="1624" spans="1:4" x14ac:dyDescent="0.2">
      <c r="A1624" s="832" t="s">
        <v>3053</v>
      </c>
      <c r="B1624" s="833" t="s">
        <v>1289</v>
      </c>
      <c r="C1624" s="834" t="s">
        <v>41</v>
      </c>
      <c r="D1624" s="835">
        <v>50.25</v>
      </c>
    </row>
    <row r="1625" spans="1:4" x14ac:dyDescent="0.2">
      <c r="A1625" s="827" t="s">
        <v>3054</v>
      </c>
      <c r="B1625" s="828" t="s">
        <v>1293</v>
      </c>
      <c r="C1625" s="829" t="s">
        <v>54</v>
      </c>
      <c r="D1625" s="830">
        <v>17.7</v>
      </c>
    </row>
    <row r="1626" spans="1:4" x14ac:dyDescent="0.2">
      <c r="A1626" s="832" t="s">
        <v>3055</v>
      </c>
      <c r="B1626" s="833" t="s">
        <v>1301</v>
      </c>
      <c r="C1626" s="834" t="s">
        <v>41</v>
      </c>
      <c r="D1626" s="835">
        <v>7.36</v>
      </c>
    </row>
    <row r="1627" spans="1:4" x14ac:dyDescent="0.2">
      <c r="A1627" s="827" t="s">
        <v>3056</v>
      </c>
      <c r="B1627" s="828" t="s">
        <v>1305</v>
      </c>
      <c r="C1627" s="829" t="s">
        <v>41</v>
      </c>
      <c r="D1627" s="830">
        <v>0.4</v>
      </c>
    </row>
    <row r="1628" spans="1:4" x14ac:dyDescent="0.2">
      <c r="A1628" s="832" t="s">
        <v>3057</v>
      </c>
      <c r="B1628" s="833" t="s">
        <v>1307</v>
      </c>
      <c r="C1628" s="834" t="s">
        <v>41</v>
      </c>
      <c r="D1628" s="835">
        <v>1.51</v>
      </c>
    </row>
    <row r="1629" spans="1:4" x14ac:dyDescent="0.2">
      <c r="A1629" s="827" t="s">
        <v>3058</v>
      </c>
      <c r="B1629" s="828" t="s">
        <v>1309</v>
      </c>
      <c r="C1629" s="829" t="s">
        <v>41</v>
      </c>
      <c r="D1629" s="830">
        <v>2.68</v>
      </c>
    </row>
    <row r="1630" spans="1:4" x14ac:dyDescent="0.2">
      <c r="A1630" s="832" t="s">
        <v>3059</v>
      </c>
      <c r="B1630" s="833" t="s">
        <v>1311</v>
      </c>
      <c r="C1630" s="834" t="s">
        <v>41</v>
      </c>
      <c r="D1630" s="835">
        <v>0.59</v>
      </c>
    </row>
    <row r="1631" spans="1:4" ht="25.5" x14ac:dyDescent="0.2">
      <c r="A1631" s="827" t="s">
        <v>3060</v>
      </c>
      <c r="B1631" s="828" t="s">
        <v>1313</v>
      </c>
      <c r="C1631" s="829" t="s">
        <v>41</v>
      </c>
      <c r="D1631" s="830">
        <v>47.25</v>
      </c>
    </row>
    <row r="1632" spans="1:4" ht="25.5" x14ac:dyDescent="0.2">
      <c r="A1632" s="832" t="s">
        <v>3061</v>
      </c>
      <c r="B1632" s="833" t="s">
        <v>1323</v>
      </c>
      <c r="C1632" s="834" t="s">
        <v>41</v>
      </c>
      <c r="D1632" s="835">
        <v>9.3800000000000008</v>
      </c>
    </row>
    <row r="1633" spans="1:4" x14ac:dyDescent="0.2">
      <c r="A1633" s="827" t="s">
        <v>3062</v>
      </c>
      <c r="B1633" s="828" t="s">
        <v>1325</v>
      </c>
      <c r="C1633" s="829" t="s">
        <v>41</v>
      </c>
      <c r="D1633" s="830">
        <v>5.9</v>
      </c>
    </row>
    <row r="1634" spans="1:4" x14ac:dyDescent="0.2">
      <c r="A1634" s="832" t="s">
        <v>3063</v>
      </c>
      <c r="B1634" s="833" t="s">
        <v>1359</v>
      </c>
      <c r="C1634" s="834" t="s">
        <v>41</v>
      </c>
      <c r="D1634" s="835">
        <v>4.67</v>
      </c>
    </row>
    <row r="1635" spans="1:4" x14ac:dyDescent="0.2">
      <c r="A1635" s="827" t="s">
        <v>3064</v>
      </c>
      <c r="B1635" s="828" t="s">
        <v>1361</v>
      </c>
      <c r="C1635" s="829" t="s">
        <v>41</v>
      </c>
      <c r="D1635" s="830">
        <v>6.05</v>
      </c>
    </row>
    <row r="1636" spans="1:4" x14ac:dyDescent="0.2">
      <c r="A1636" s="832" t="s">
        <v>3065</v>
      </c>
      <c r="B1636" s="833" t="s">
        <v>1363</v>
      </c>
      <c r="C1636" s="834" t="s">
        <v>41</v>
      </c>
      <c r="D1636" s="835">
        <v>16.73</v>
      </c>
    </row>
    <row r="1637" spans="1:4" x14ac:dyDescent="0.2">
      <c r="A1637" s="837" t="s">
        <v>3066</v>
      </c>
      <c r="B1637" s="838" t="s">
        <v>1533</v>
      </c>
      <c r="C1637" s="839"/>
      <c r="D1637" s="840"/>
    </row>
    <row r="1638" spans="1:4" x14ac:dyDescent="0.2">
      <c r="A1638" s="827" t="s">
        <v>3067</v>
      </c>
      <c r="B1638" s="828" t="s">
        <v>1285</v>
      </c>
      <c r="C1638" s="829" t="s">
        <v>41</v>
      </c>
      <c r="D1638" s="830">
        <v>0.12</v>
      </c>
    </row>
    <row r="1639" spans="1:4" x14ac:dyDescent="0.2">
      <c r="A1639" s="832" t="s">
        <v>3068</v>
      </c>
      <c r="B1639" s="833" t="s">
        <v>1287</v>
      </c>
      <c r="C1639" s="834" t="s">
        <v>54</v>
      </c>
      <c r="D1639" s="835">
        <v>313.54000000000002</v>
      </c>
    </row>
    <row r="1640" spans="1:4" x14ac:dyDescent="0.2">
      <c r="A1640" s="827" t="s">
        <v>3069</v>
      </c>
      <c r="B1640" s="828" t="s">
        <v>1289</v>
      </c>
      <c r="C1640" s="829" t="s">
        <v>41</v>
      </c>
      <c r="D1640" s="830">
        <v>50.19</v>
      </c>
    </row>
    <row r="1641" spans="1:4" x14ac:dyDescent="0.2">
      <c r="A1641" s="832" t="s">
        <v>3070</v>
      </c>
      <c r="B1641" s="833" t="s">
        <v>1293</v>
      </c>
      <c r="C1641" s="834" t="s">
        <v>54</v>
      </c>
      <c r="D1641" s="835">
        <v>17.760000000000002</v>
      </c>
    </row>
    <row r="1642" spans="1:4" x14ac:dyDescent="0.2">
      <c r="A1642" s="827" t="s">
        <v>3071</v>
      </c>
      <c r="B1642" s="828" t="s">
        <v>1301</v>
      </c>
      <c r="C1642" s="829" t="s">
        <v>41</v>
      </c>
      <c r="D1642" s="830">
        <v>7.36</v>
      </c>
    </row>
    <row r="1643" spans="1:4" x14ac:dyDescent="0.2">
      <c r="A1643" s="832" t="s">
        <v>3072</v>
      </c>
      <c r="B1643" s="833" t="s">
        <v>1305</v>
      </c>
      <c r="C1643" s="834" t="s">
        <v>41</v>
      </c>
      <c r="D1643" s="835">
        <v>0.4</v>
      </c>
    </row>
    <row r="1644" spans="1:4" x14ac:dyDescent="0.2">
      <c r="A1644" s="827" t="s">
        <v>3073</v>
      </c>
      <c r="B1644" s="828" t="s">
        <v>1307</v>
      </c>
      <c r="C1644" s="829" t="s">
        <v>41</v>
      </c>
      <c r="D1644" s="830">
        <v>1.51</v>
      </c>
    </row>
    <row r="1645" spans="1:4" x14ac:dyDescent="0.2">
      <c r="A1645" s="832" t="s">
        <v>3074</v>
      </c>
      <c r="B1645" s="833" t="s">
        <v>1309</v>
      </c>
      <c r="C1645" s="834" t="s">
        <v>41</v>
      </c>
      <c r="D1645" s="835">
        <v>2.68</v>
      </c>
    </row>
    <row r="1646" spans="1:4" x14ac:dyDescent="0.2">
      <c r="A1646" s="827" t="s">
        <v>3075</v>
      </c>
      <c r="B1646" s="828" t="s">
        <v>1311</v>
      </c>
      <c r="C1646" s="829" t="s">
        <v>41</v>
      </c>
      <c r="D1646" s="830">
        <v>0.59</v>
      </c>
    </row>
    <row r="1647" spans="1:4" ht="25.5" x14ac:dyDescent="0.2">
      <c r="A1647" s="832" t="s">
        <v>3076</v>
      </c>
      <c r="B1647" s="833" t="s">
        <v>1313</v>
      </c>
      <c r="C1647" s="834" t="s">
        <v>41</v>
      </c>
      <c r="D1647" s="835">
        <v>47.25</v>
      </c>
    </row>
    <row r="1648" spans="1:4" ht="25.5" x14ac:dyDescent="0.2">
      <c r="A1648" s="827" t="s">
        <v>3077</v>
      </c>
      <c r="B1648" s="828" t="s">
        <v>1323</v>
      </c>
      <c r="C1648" s="829" t="s">
        <v>41</v>
      </c>
      <c r="D1648" s="830">
        <v>9.3800000000000008</v>
      </c>
    </row>
    <row r="1649" spans="1:4" x14ac:dyDescent="0.2">
      <c r="A1649" s="832" t="s">
        <v>3078</v>
      </c>
      <c r="B1649" s="833" t="s">
        <v>1325</v>
      </c>
      <c r="C1649" s="834" t="s">
        <v>41</v>
      </c>
      <c r="D1649" s="835">
        <v>5.9</v>
      </c>
    </row>
    <row r="1650" spans="1:4" x14ac:dyDescent="0.2">
      <c r="A1650" s="827" t="s">
        <v>3079</v>
      </c>
      <c r="B1650" s="828" t="s">
        <v>1359</v>
      </c>
      <c r="C1650" s="829" t="s">
        <v>41</v>
      </c>
      <c r="D1650" s="830">
        <v>4.67</v>
      </c>
    </row>
    <row r="1651" spans="1:4" x14ac:dyDescent="0.2">
      <c r="A1651" s="832" t="s">
        <v>3080</v>
      </c>
      <c r="B1651" s="833" t="s">
        <v>1361</v>
      </c>
      <c r="C1651" s="834" t="s">
        <v>41</v>
      </c>
      <c r="D1651" s="835">
        <v>6.05</v>
      </c>
    </row>
    <row r="1652" spans="1:4" x14ac:dyDescent="0.2">
      <c r="A1652" s="827" t="s">
        <v>3081</v>
      </c>
      <c r="B1652" s="828" t="s">
        <v>1363</v>
      </c>
      <c r="C1652" s="829" t="s">
        <v>41</v>
      </c>
      <c r="D1652" s="830">
        <v>16.73</v>
      </c>
    </row>
    <row r="1653" spans="1:4" x14ac:dyDescent="0.2">
      <c r="A1653" s="837" t="s">
        <v>3082</v>
      </c>
      <c r="B1653" s="838" t="s">
        <v>1538</v>
      </c>
      <c r="C1653" s="839"/>
      <c r="D1653" s="840"/>
    </row>
    <row r="1654" spans="1:4" x14ac:dyDescent="0.2">
      <c r="A1654" s="832" t="s">
        <v>3083</v>
      </c>
      <c r="B1654" s="833" t="s">
        <v>1285</v>
      </c>
      <c r="C1654" s="834" t="s">
        <v>41</v>
      </c>
      <c r="D1654" s="835">
        <v>0.05</v>
      </c>
    </row>
    <row r="1655" spans="1:4" x14ac:dyDescent="0.2">
      <c r="A1655" s="827" t="s">
        <v>3084</v>
      </c>
      <c r="B1655" s="828" t="s">
        <v>1287</v>
      </c>
      <c r="C1655" s="829" t="s">
        <v>54</v>
      </c>
      <c r="D1655" s="830">
        <v>299.95999999999998</v>
      </c>
    </row>
    <row r="1656" spans="1:4" x14ac:dyDescent="0.2">
      <c r="A1656" s="832" t="s">
        <v>3085</v>
      </c>
      <c r="B1656" s="833" t="s">
        <v>1289</v>
      </c>
      <c r="C1656" s="834" t="s">
        <v>41</v>
      </c>
      <c r="D1656" s="835">
        <v>235.52</v>
      </c>
    </row>
    <row r="1657" spans="1:4" x14ac:dyDescent="0.2">
      <c r="A1657" s="827" t="s">
        <v>3086</v>
      </c>
      <c r="B1657" s="828" t="s">
        <v>1291</v>
      </c>
      <c r="C1657" s="829" t="s">
        <v>54</v>
      </c>
      <c r="D1657" s="830">
        <v>1.33</v>
      </c>
    </row>
    <row r="1658" spans="1:4" x14ac:dyDescent="0.2">
      <c r="A1658" s="832" t="s">
        <v>3087</v>
      </c>
      <c r="B1658" s="833" t="s">
        <v>1293</v>
      </c>
      <c r="C1658" s="834" t="s">
        <v>54</v>
      </c>
      <c r="D1658" s="835">
        <v>1.97</v>
      </c>
    </row>
    <row r="1659" spans="1:4" x14ac:dyDescent="0.2">
      <c r="A1659" s="827" t="s">
        <v>3088</v>
      </c>
      <c r="B1659" s="828" t="s">
        <v>1295</v>
      </c>
      <c r="C1659" s="829" t="s">
        <v>54</v>
      </c>
      <c r="D1659" s="830">
        <v>16.05</v>
      </c>
    </row>
    <row r="1660" spans="1:4" x14ac:dyDescent="0.2">
      <c r="A1660" s="832" t="s">
        <v>3089</v>
      </c>
      <c r="B1660" s="833" t="s">
        <v>1297</v>
      </c>
      <c r="C1660" s="834" t="s">
        <v>54</v>
      </c>
      <c r="D1660" s="835">
        <v>36.75</v>
      </c>
    </row>
    <row r="1661" spans="1:4" x14ac:dyDescent="0.2">
      <c r="A1661" s="827" t="s">
        <v>3090</v>
      </c>
      <c r="B1661" s="828" t="s">
        <v>1305</v>
      </c>
      <c r="C1661" s="829" t="s">
        <v>41</v>
      </c>
      <c r="D1661" s="830">
        <v>0.4</v>
      </c>
    </row>
    <row r="1662" spans="1:4" x14ac:dyDescent="0.2">
      <c r="A1662" s="832" t="s">
        <v>3091</v>
      </c>
      <c r="B1662" s="833" t="s">
        <v>1333</v>
      </c>
      <c r="C1662" s="834" t="s">
        <v>41</v>
      </c>
      <c r="D1662" s="835">
        <v>1.73</v>
      </c>
    </row>
    <row r="1663" spans="1:4" x14ac:dyDescent="0.2">
      <c r="A1663" s="827" t="s">
        <v>3092</v>
      </c>
      <c r="B1663" s="828" t="s">
        <v>1359</v>
      </c>
      <c r="C1663" s="829" t="s">
        <v>41</v>
      </c>
      <c r="D1663" s="830">
        <v>4.67</v>
      </c>
    </row>
    <row r="1664" spans="1:4" x14ac:dyDescent="0.2">
      <c r="A1664" s="832" t="s">
        <v>3093</v>
      </c>
      <c r="B1664" s="833" t="s">
        <v>1363</v>
      </c>
      <c r="C1664" s="834" t="s">
        <v>41</v>
      </c>
      <c r="D1664" s="835">
        <v>16.73</v>
      </c>
    </row>
    <row r="1665" spans="1:4" x14ac:dyDescent="0.2">
      <c r="A1665" s="837" t="s">
        <v>3094</v>
      </c>
      <c r="B1665" s="838" t="s">
        <v>1542</v>
      </c>
      <c r="C1665" s="839"/>
      <c r="D1665" s="840"/>
    </row>
    <row r="1666" spans="1:4" x14ac:dyDescent="0.2">
      <c r="A1666" s="827" t="s">
        <v>3095</v>
      </c>
      <c r="B1666" s="828" t="s">
        <v>1287</v>
      </c>
      <c r="C1666" s="829" t="s">
        <v>54</v>
      </c>
      <c r="D1666" s="830">
        <v>10.32</v>
      </c>
    </row>
    <row r="1667" spans="1:4" x14ac:dyDescent="0.2">
      <c r="A1667" s="832" t="s">
        <v>3096</v>
      </c>
      <c r="B1667" s="833" t="s">
        <v>1305</v>
      </c>
      <c r="C1667" s="834" t="s">
        <v>41</v>
      </c>
      <c r="D1667" s="835">
        <v>0.4</v>
      </c>
    </row>
    <row r="1668" spans="1:4" x14ac:dyDescent="0.2">
      <c r="A1668" s="827" t="s">
        <v>3097</v>
      </c>
      <c r="B1668" s="828" t="s">
        <v>1315</v>
      </c>
      <c r="C1668" s="829" t="s">
        <v>41</v>
      </c>
      <c r="D1668" s="830">
        <v>1.34</v>
      </c>
    </row>
    <row r="1669" spans="1:4" x14ac:dyDescent="0.2">
      <c r="A1669" s="823" t="s">
        <v>1376</v>
      </c>
      <c r="B1669" s="824" t="s">
        <v>563</v>
      </c>
      <c r="C1669" s="825"/>
      <c r="D1669" s="826"/>
    </row>
    <row r="1670" spans="1:4" x14ac:dyDescent="0.2">
      <c r="A1670" s="837" t="s">
        <v>3098</v>
      </c>
      <c r="B1670" s="838" t="s">
        <v>1453</v>
      </c>
      <c r="C1670" s="839"/>
      <c r="D1670" s="840"/>
    </row>
    <row r="1671" spans="1:4" x14ac:dyDescent="0.2">
      <c r="A1671" s="832" t="s">
        <v>3099</v>
      </c>
      <c r="B1671" s="833" t="s">
        <v>1378</v>
      </c>
      <c r="C1671" s="834" t="s">
        <v>54</v>
      </c>
      <c r="D1671" s="835">
        <v>4.0199999999999996</v>
      </c>
    </row>
    <row r="1672" spans="1:4" x14ac:dyDescent="0.2">
      <c r="A1672" s="827" t="s">
        <v>3100</v>
      </c>
      <c r="B1672" s="828" t="s">
        <v>1382</v>
      </c>
      <c r="C1672" s="829" t="s">
        <v>54</v>
      </c>
      <c r="D1672" s="830">
        <v>2.0699999999999998</v>
      </c>
    </row>
    <row r="1673" spans="1:4" x14ac:dyDescent="0.2">
      <c r="A1673" s="832" t="s">
        <v>3101</v>
      </c>
      <c r="B1673" s="833" t="s">
        <v>1384</v>
      </c>
      <c r="C1673" s="834" t="s">
        <v>54</v>
      </c>
      <c r="D1673" s="835">
        <v>0.21</v>
      </c>
    </row>
    <row r="1674" spans="1:4" x14ac:dyDescent="0.2">
      <c r="A1674" s="827" t="s">
        <v>3102</v>
      </c>
      <c r="B1674" s="828" t="s">
        <v>1388</v>
      </c>
      <c r="C1674" s="829" t="s">
        <v>54</v>
      </c>
      <c r="D1674" s="830">
        <v>41.4</v>
      </c>
    </row>
    <row r="1675" spans="1:4" x14ac:dyDescent="0.2">
      <c r="A1675" s="832" t="s">
        <v>3103</v>
      </c>
      <c r="B1675" s="833" t="s">
        <v>1390</v>
      </c>
      <c r="C1675" s="834" t="s">
        <v>54</v>
      </c>
      <c r="D1675" s="835">
        <v>59.64</v>
      </c>
    </row>
    <row r="1676" spans="1:4" x14ac:dyDescent="0.2">
      <c r="A1676" s="827" t="s">
        <v>3104</v>
      </c>
      <c r="B1676" s="828" t="s">
        <v>1394</v>
      </c>
      <c r="C1676" s="829" t="s">
        <v>54</v>
      </c>
      <c r="D1676" s="830">
        <v>18.100000000000001</v>
      </c>
    </row>
    <row r="1677" spans="1:4" x14ac:dyDescent="0.2">
      <c r="A1677" s="832" t="s">
        <v>3105</v>
      </c>
      <c r="B1677" s="833" t="s">
        <v>1398</v>
      </c>
      <c r="C1677" s="834" t="s">
        <v>31</v>
      </c>
      <c r="D1677" s="835">
        <v>6</v>
      </c>
    </row>
    <row r="1678" spans="1:4" x14ac:dyDescent="0.2">
      <c r="A1678" s="827" t="s">
        <v>3106</v>
      </c>
      <c r="B1678" s="828" t="s">
        <v>1400</v>
      </c>
      <c r="C1678" s="829" t="s">
        <v>31</v>
      </c>
      <c r="D1678" s="830">
        <v>3</v>
      </c>
    </row>
    <row r="1679" spans="1:4" x14ac:dyDescent="0.2">
      <c r="A1679" s="837" t="s">
        <v>3107</v>
      </c>
      <c r="B1679" s="838" t="s">
        <v>1458</v>
      </c>
      <c r="C1679" s="839"/>
      <c r="D1679" s="840"/>
    </row>
    <row r="1680" spans="1:4" x14ac:dyDescent="0.2">
      <c r="A1680" s="832" t="s">
        <v>3108</v>
      </c>
      <c r="B1680" s="833" t="s">
        <v>1394</v>
      </c>
      <c r="C1680" s="834" t="s">
        <v>54</v>
      </c>
      <c r="D1680" s="835">
        <v>13.9</v>
      </c>
    </row>
    <row r="1681" spans="1:4" x14ac:dyDescent="0.2">
      <c r="A1681" s="837" t="s">
        <v>3109</v>
      </c>
      <c r="B1681" s="838" t="s">
        <v>1462</v>
      </c>
      <c r="C1681" s="839"/>
      <c r="D1681" s="840"/>
    </row>
    <row r="1682" spans="1:4" x14ac:dyDescent="0.2">
      <c r="A1682" s="827" t="s">
        <v>3110</v>
      </c>
      <c r="B1682" s="828" t="s">
        <v>1394</v>
      </c>
      <c r="C1682" s="829" t="s">
        <v>54</v>
      </c>
      <c r="D1682" s="830">
        <v>13.9</v>
      </c>
    </row>
    <row r="1683" spans="1:4" x14ac:dyDescent="0.2">
      <c r="A1683" s="837" t="s">
        <v>3111</v>
      </c>
      <c r="B1683" s="838" t="s">
        <v>1466</v>
      </c>
      <c r="C1683" s="839"/>
      <c r="D1683" s="840"/>
    </row>
    <row r="1684" spans="1:4" x14ac:dyDescent="0.2">
      <c r="A1684" s="832" t="s">
        <v>3112</v>
      </c>
      <c r="B1684" s="833" t="s">
        <v>1394</v>
      </c>
      <c r="C1684" s="834" t="s">
        <v>54</v>
      </c>
      <c r="D1684" s="835">
        <v>13.9</v>
      </c>
    </row>
    <row r="1685" spans="1:4" x14ac:dyDescent="0.2">
      <c r="A1685" s="837" t="s">
        <v>3113</v>
      </c>
      <c r="B1685" s="838" t="s">
        <v>1473</v>
      </c>
      <c r="C1685" s="839"/>
      <c r="D1685" s="840"/>
    </row>
    <row r="1686" spans="1:4" x14ac:dyDescent="0.2">
      <c r="A1686" s="827" t="s">
        <v>3114</v>
      </c>
      <c r="B1686" s="828" t="s">
        <v>1394</v>
      </c>
      <c r="C1686" s="829" t="s">
        <v>54</v>
      </c>
      <c r="D1686" s="830">
        <v>14.43</v>
      </c>
    </row>
    <row r="1687" spans="1:4" x14ac:dyDescent="0.2">
      <c r="A1687" s="832" t="s">
        <v>3115</v>
      </c>
      <c r="B1687" s="833" t="s">
        <v>1396</v>
      </c>
      <c r="C1687" s="834" t="s">
        <v>31</v>
      </c>
      <c r="D1687" s="835">
        <v>9</v>
      </c>
    </row>
    <row r="1688" spans="1:4" x14ac:dyDescent="0.2">
      <c r="A1688" s="827" t="s">
        <v>3116</v>
      </c>
      <c r="B1688" s="828" t="s">
        <v>1398</v>
      </c>
      <c r="C1688" s="829" t="s">
        <v>31</v>
      </c>
      <c r="D1688" s="830">
        <v>11</v>
      </c>
    </row>
    <row r="1689" spans="1:4" x14ac:dyDescent="0.2">
      <c r="A1689" s="832" t="s">
        <v>3117</v>
      </c>
      <c r="B1689" s="833" t="s">
        <v>1400</v>
      </c>
      <c r="C1689" s="834" t="s">
        <v>31</v>
      </c>
      <c r="D1689" s="835">
        <v>16</v>
      </c>
    </row>
    <row r="1690" spans="1:4" x14ac:dyDescent="0.2">
      <c r="A1690" s="827" t="s">
        <v>3118</v>
      </c>
      <c r="B1690" s="828" t="s">
        <v>1402</v>
      </c>
      <c r="C1690" s="829" t="s">
        <v>31</v>
      </c>
      <c r="D1690" s="830">
        <v>2</v>
      </c>
    </row>
    <row r="1691" spans="1:4" x14ac:dyDescent="0.2">
      <c r="A1691" s="837" t="s">
        <v>3119</v>
      </c>
      <c r="B1691" s="838" t="s">
        <v>1478</v>
      </c>
      <c r="C1691" s="839"/>
      <c r="D1691" s="840"/>
    </row>
    <row r="1692" spans="1:4" x14ac:dyDescent="0.2">
      <c r="A1692" s="832" t="s">
        <v>3120</v>
      </c>
      <c r="B1692" s="833" t="s">
        <v>1394</v>
      </c>
      <c r="C1692" s="834" t="s">
        <v>54</v>
      </c>
      <c r="D1692" s="835">
        <v>14.43</v>
      </c>
    </row>
    <row r="1693" spans="1:4" x14ac:dyDescent="0.2">
      <c r="A1693" s="827" t="s">
        <v>3121</v>
      </c>
      <c r="B1693" s="828" t="s">
        <v>1396</v>
      </c>
      <c r="C1693" s="829" t="s">
        <v>31</v>
      </c>
      <c r="D1693" s="830">
        <v>9</v>
      </c>
    </row>
    <row r="1694" spans="1:4" x14ac:dyDescent="0.2">
      <c r="A1694" s="832" t="s">
        <v>3122</v>
      </c>
      <c r="B1694" s="833" t="s">
        <v>1398</v>
      </c>
      <c r="C1694" s="834" t="s">
        <v>31</v>
      </c>
      <c r="D1694" s="835">
        <v>11</v>
      </c>
    </row>
    <row r="1695" spans="1:4" x14ac:dyDescent="0.2">
      <c r="A1695" s="827" t="s">
        <v>3123</v>
      </c>
      <c r="B1695" s="828" t="s">
        <v>1400</v>
      </c>
      <c r="C1695" s="829" t="s">
        <v>31</v>
      </c>
      <c r="D1695" s="830">
        <v>16</v>
      </c>
    </row>
    <row r="1696" spans="1:4" x14ac:dyDescent="0.2">
      <c r="A1696" s="832" t="s">
        <v>3124</v>
      </c>
      <c r="B1696" s="833" t="s">
        <v>1402</v>
      </c>
      <c r="C1696" s="834" t="s">
        <v>31</v>
      </c>
      <c r="D1696" s="835">
        <v>2</v>
      </c>
    </row>
    <row r="1697" spans="1:4" x14ac:dyDescent="0.2">
      <c r="A1697" s="837" t="s">
        <v>3125</v>
      </c>
      <c r="B1697" s="838" t="s">
        <v>1483</v>
      </c>
      <c r="C1697" s="839"/>
      <c r="D1697" s="840"/>
    </row>
    <row r="1698" spans="1:4" x14ac:dyDescent="0.2">
      <c r="A1698" s="827" t="s">
        <v>3126</v>
      </c>
      <c r="B1698" s="828" t="s">
        <v>1394</v>
      </c>
      <c r="C1698" s="829" t="s">
        <v>54</v>
      </c>
      <c r="D1698" s="830">
        <v>14.43</v>
      </c>
    </row>
    <row r="1699" spans="1:4" x14ac:dyDescent="0.2">
      <c r="A1699" s="832" t="s">
        <v>3127</v>
      </c>
      <c r="B1699" s="833" t="s">
        <v>1396</v>
      </c>
      <c r="C1699" s="834" t="s">
        <v>31</v>
      </c>
      <c r="D1699" s="835">
        <v>9</v>
      </c>
    </row>
    <row r="1700" spans="1:4" x14ac:dyDescent="0.2">
      <c r="A1700" s="827" t="s">
        <v>3128</v>
      </c>
      <c r="B1700" s="828" t="s">
        <v>1398</v>
      </c>
      <c r="C1700" s="829" t="s">
        <v>31</v>
      </c>
      <c r="D1700" s="830">
        <v>11</v>
      </c>
    </row>
    <row r="1701" spans="1:4" x14ac:dyDescent="0.2">
      <c r="A1701" s="832" t="s">
        <v>3129</v>
      </c>
      <c r="B1701" s="833" t="s">
        <v>1400</v>
      </c>
      <c r="C1701" s="834" t="s">
        <v>31</v>
      </c>
      <c r="D1701" s="835">
        <v>16</v>
      </c>
    </row>
    <row r="1702" spans="1:4" x14ac:dyDescent="0.2">
      <c r="A1702" s="827" t="s">
        <v>3130</v>
      </c>
      <c r="B1702" s="828" t="s">
        <v>1402</v>
      </c>
      <c r="C1702" s="829" t="s">
        <v>31</v>
      </c>
      <c r="D1702" s="830">
        <v>2</v>
      </c>
    </row>
    <row r="1703" spans="1:4" x14ac:dyDescent="0.2">
      <c r="A1703" s="837" t="s">
        <v>3131</v>
      </c>
      <c r="B1703" s="838" t="s">
        <v>1488</v>
      </c>
      <c r="C1703" s="839"/>
      <c r="D1703" s="840"/>
    </row>
    <row r="1704" spans="1:4" x14ac:dyDescent="0.2">
      <c r="A1704" s="832" t="s">
        <v>3132</v>
      </c>
      <c r="B1704" s="833" t="s">
        <v>1394</v>
      </c>
      <c r="C1704" s="834" t="s">
        <v>54</v>
      </c>
      <c r="D1704" s="835">
        <v>14.43</v>
      </c>
    </row>
    <row r="1705" spans="1:4" x14ac:dyDescent="0.2">
      <c r="A1705" s="827" t="s">
        <v>3133</v>
      </c>
      <c r="B1705" s="828" t="s">
        <v>1396</v>
      </c>
      <c r="C1705" s="829" t="s">
        <v>31</v>
      </c>
      <c r="D1705" s="830">
        <v>9</v>
      </c>
    </row>
    <row r="1706" spans="1:4" x14ac:dyDescent="0.2">
      <c r="A1706" s="832" t="s">
        <v>3134</v>
      </c>
      <c r="B1706" s="833" t="s">
        <v>1398</v>
      </c>
      <c r="C1706" s="834" t="s">
        <v>31</v>
      </c>
      <c r="D1706" s="835">
        <v>11</v>
      </c>
    </row>
    <row r="1707" spans="1:4" x14ac:dyDescent="0.2">
      <c r="A1707" s="827" t="s">
        <v>3135</v>
      </c>
      <c r="B1707" s="828" t="s">
        <v>1400</v>
      </c>
      <c r="C1707" s="829" t="s">
        <v>31</v>
      </c>
      <c r="D1707" s="830">
        <v>16</v>
      </c>
    </row>
    <row r="1708" spans="1:4" x14ac:dyDescent="0.2">
      <c r="A1708" s="832" t="s">
        <v>3136</v>
      </c>
      <c r="B1708" s="833" t="s">
        <v>1402</v>
      </c>
      <c r="C1708" s="834" t="s">
        <v>31</v>
      </c>
      <c r="D1708" s="835">
        <v>2</v>
      </c>
    </row>
    <row r="1709" spans="1:4" x14ac:dyDescent="0.2">
      <c r="A1709" s="837" t="s">
        <v>3137</v>
      </c>
      <c r="B1709" s="838" t="s">
        <v>1493</v>
      </c>
      <c r="C1709" s="839"/>
      <c r="D1709" s="840"/>
    </row>
    <row r="1710" spans="1:4" x14ac:dyDescent="0.2">
      <c r="A1710" s="827" t="s">
        <v>3138</v>
      </c>
      <c r="B1710" s="828" t="s">
        <v>1394</v>
      </c>
      <c r="C1710" s="829" t="s">
        <v>54</v>
      </c>
      <c r="D1710" s="830">
        <v>14.43</v>
      </c>
    </row>
    <row r="1711" spans="1:4" x14ac:dyDescent="0.2">
      <c r="A1711" s="832" t="s">
        <v>3139</v>
      </c>
      <c r="B1711" s="833" t="s">
        <v>1396</v>
      </c>
      <c r="C1711" s="834" t="s">
        <v>31</v>
      </c>
      <c r="D1711" s="835">
        <v>9</v>
      </c>
    </row>
    <row r="1712" spans="1:4" x14ac:dyDescent="0.2">
      <c r="A1712" s="827" t="s">
        <v>3140</v>
      </c>
      <c r="B1712" s="828" t="s">
        <v>1398</v>
      </c>
      <c r="C1712" s="829" t="s">
        <v>31</v>
      </c>
      <c r="D1712" s="830">
        <v>11</v>
      </c>
    </row>
    <row r="1713" spans="1:4" x14ac:dyDescent="0.2">
      <c r="A1713" s="832" t="s">
        <v>3141</v>
      </c>
      <c r="B1713" s="833" t="s">
        <v>1400</v>
      </c>
      <c r="C1713" s="834" t="s">
        <v>31</v>
      </c>
      <c r="D1713" s="835">
        <v>16</v>
      </c>
    </row>
    <row r="1714" spans="1:4" x14ac:dyDescent="0.2">
      <c r="A1714" s="827" t="s">
        <v>3142</v>
      </c>
      <c r="B1714" s="828" t="s">
        <v>1402</v>
      </c>
      <c r="C1714" s="829" t="s">
        <v>31</v>
      </c>
      <c r="D1714" s="830">
        <v>2</v>
      </c>
    </row>
    <row r="1715" spans="1:4" x14ac:dyDescent="0.2">
      <c r="A1715" s="837" t="s">
        <v>3143</v>
      </c>
      <c r="B1715" s="838" t="s">
        <v>1498</v>
      </c>
      <c r="C1715" s="839"/>
      <c r="D1715" s="840"/>
    </row>
    <row r="1716" spans="1:4" x14ac:dyDescent="0.2">
      <c r="A1716" s="832" t="s">
        <v>3144</v>
      </c>
      <c r="B1716" s="833" t="s">
        <v>1394</v>
      </c>
      <c r="C1716" s="834" t="s">
        <v>54</v>
      </c>
      <c r="D1716" s="835">
        <v>14.43</v>
      </c>
    </row>
    <row r="1717" spans="1:4" x14ac:dyDescent="0.2">
      <c r="A1717" s="827" t="s">
        <v>3145</v>
      </c>
      <c r="B1717" s="828" t="s">
        <v>1396</v>
      </c>
      <c r="C1717" s="829" t="s">
        <v>31</v>
      </c>
      <c r="D1717" s="830">
        <v>9</v>
      </c>
    </row>
    <row r="1718" spans="1:4" x14ac:dyDescent="0.2">
      <c r="A1718" s="832" t="s">
        <v>3146</v>
      </c>
      <c r="B1718" s="833" t="s">
        <v>1398</v>
      </c>
      <c r="C1718" s="834" t="s">
        <v>31</v>
      </c>
      <c r="D1718" s="835">
        <v>11</v>
      </c>
    </row>
    <row r="1719" spans="1:4" x14ac:dyDescent="0.2">
      <c r="A1719" s="827" t="s">
        <v>3147</v>
      </c>
      <c r="B1719" s="828" t="s">
        <v>1400</v>
      </c>
      <c r="C1719" s="829" t="s">
        <v>31</v>
      </c>
      <c r="D1719" s="830">
        <v>16</v>
      </c>
    </row>
    <row r="1720" spans="1:4" x14ac:dyDescent="0.2">
      <c r="A1720" s="832" t="s">
        <v>3148</v>
      </c>
      <c r="B1720" s="833" t="s">
        <v>1402</v>
      </c>
      <c r="C1720" s="834" t="s">
        <v>31</v>
      </c>
      <c r="D1720" s="835">
        <v>2</v>
      </c>
    </row>
    <row r="1721" spans="1:4" x14ac:dyDescent="0.2">
      <c r="A1721" s="837" t="s">
        <v>3149</v>
      </c>
      <c r="B1721" s="838" t="s">
        <v>1503</v>
      </c>
      <c r="C1721" s="839"/>
      <c r="D1721" s="840"/>
    </row>
    <row r="1722" spans="1:4" x14ac:dyDescent="0.2">
      <c r="A1722" s="827" t="s">
        <v>3150</v>
      </c>
      <c r="B1722" s="828" t="s">
        <v>1394</v>
      </c>
      <c r="C1722" s="829" t="s">
        <v>54</v>
      </c>
      <c r="D1722" s="830">
        <v>14.43</v>
      </c>
    </row>
    <row r="1723" spans="1:4" x14ac:dyDescent="0.2">
      <c r="A1723" s="832" t="s">
        <v>3151</v>
      </c>
      <c r="B1723" s="833" t="s">
        <v>1396</v>
      </c>
      <c r="C1723" s="834" t="s">
        <v>31</v>
      </c>
      <c r="D1723" s="835">
        <v>9</v>
      </c>
    </row>
    <row r="1724" spans="1:4" x14ac:dyDescent="0.2">
      <c r="A1724" s="827" t="s">
        <v>3152</v>
      </c>
      <c r="B1724" s="828" t="s">
        <v>1398</v>
      </c>
      <c r="C1724" s="829" t="s">
        <v>31</v>
      </c>
      <c r="D1724" s="830">
        <v>11</v>
      </c>
    </row>
    <row r="1725" spans="1:4" x14ac:dyDescent="0.2">
      <c r="A1725" s="832" t="s">
        <v>3153</v>
      </c>
      <c r="B1725" s="833" t="s">
        <v>1400</v>
      </c>
      <c r="C1725" s="834" t="s">
        <v>31</v>
      </c>
      <c r="D1725" s="835">
        <v>16</v>
      </c>
    </row>
    <row r="1726" spans="1:4" x14ac:dyDescent="0.2">
      <c r="A1726" s="827" t="s">
        <v>3154</v>
      </c>
      <c r="B1726" s="828" t="s">
        <v>1402</v>
      </c>
      <c r="C1726" s="829" t="s">
        <v>31</v>
      </c>
      <c r="D1726" s="830">
        <v>2</v>
      </c>
    </row>
    <row r="1727" spans="1:4" x14ac:dyDescent="0.2">
      <c r="A1727" s="837" t="s">
        <v>3155</v>
      </c>
      <c r="B1727" s="838" t="s">
        <v>1508</v>
      </c>
      <c r="C1727" s="839"/>
      <c r="D1727" s="840"/>
    </row>
    <row r="1728" spans="1:4" x14ac:dyDescent="0.2">
      <c r="A1728" s="832" t="s">
        <v>3156</v>
      </c>
      <c r="B1728" s="833" t="s">
        <v>1394</v>
      </c>
      <c r="C1728" s="834" t="s">
        <v>54</v>
      </c>
      <c r="D1728" s="835">
        <v>14.43</v>
      </c>
    </row>
    <row r="1729" spans="1:4" x14ac:dyDescent="0.2">
      <c r="A1729" s="827" t="s">
        <v>3157</v>
      </c>
      <c r="B1729" s="828" t="s">
        <v>1396</v>
      </c>
      <c r="C1729" s="829" t="s">
        <v>31</v>
      </c>
      <c r="D1729" s="830">
        <v>9</v>
      </c>
    </row>
    <row r="1730" spans="1:4" x14ac:dyDescent="0.2">
      <c r="A1730" s="832" t="s">
        <v>3158</v>
      </c>
      <c r="B1730" s="833" t="s">
        <v>1398</v>
      </c>
      <c r="C1730" s="834" t="s">
        <v>31</v>
      </c>
      <c r="D1730" s="835">
        <v>11</v>
      </c>
    </row>
    <row r="1731" spans="1:4" x14ac:dyDescent="0.2">
      <c r="A1731" s="827" t="s">
        <v>3159</v>
      </c>
      <c r="B1731" s="828" t="s">
        <v>1400</v>
      </c>
      <c r="C1731" s="829" t="s">
        <v>31</v>
      </c>
      <c r="D1731" s="830">
        <v>16</v>
      </c>
    </row>
    <row r="1732" spans="1:4" x14ac:dyDescent="0.2">
      <c r="A1732" s="832" t="s">
        <v>3160</v>
      </c>
      <c r="B1732" s="833" t="s">
        <v>1402</v>
      </c>
      <c r="C1732" s="834" t="s">
        <v>31</v>
      </c>
      <c r="D1732" s="835">
        <v>2</v>
      </c>
    </row>
    <row r="1733" spans="1:4" x14ac:dyDescent="0.2">
      <c r="A1733" s="837" t="s">
        <v>3161</v>
      </c>
      <c r="B1733" s="838" t="s">
        <v>1513</v>
      </c>
      <c r="C1733" s="839"/>
      <c r="D1733" s="840"/>
    </row>
    <row r="1734" spans="1:4" x14ac:dyDescent="0.2">
      <c r="A1734" s="827" t="s">
        <v>3162</v>
      </c>
      <c r="B1734" s="828" t="s">
        <v>1394</v>
      </c>
      <c r="C1734" s="829" t="s">
        <v>54</v>
      </c>
      <c r="D1734" s="830">
        <v>14.43</v>
      </c>
    </row>
    <row r="1735" spans="1:4" x14ac:dyDescent="0.2">
      <c r="A1735" s="832" t="s">
        <v>3163</v>
      </c>
      <c r="B1735" s="833" t="s">
        <v>1396</v>
      </c>
      <c r="C1735" s="834" t="s">
        <v>31</v>
      </c>
      <c r="D1735" s="835">
        <v>9</v>
      </c>
    </row>
    <row r="1736" spans="1:4" x14ac:dyDescent="0.2">
      <c r="A1736" s="827" t="s">
        <v>3164</v>
      </c>
      <c r="B1736" s="828" t="s">
        <v>1398</v>
      </c>
      <c r="C1736" s="829" t="s">
        <v>31</v>
      </c>
      <c r="D1736" s="830">
        <v>11</v>
      </c>
    </row>
    <row r="1737" spans="1:4" x14ac:dyDescent="0.2">
      <c r="A1737" s="832" t="s">
        <v>3165</v>
      </c>
      <c r="B1737" s="833" t="s">
        <v>1400</v>
      </c>
      <c r="C1737" s="834" t="s">
        <v>31</v>
      </c>
      <c r="D1737" s="835">
        <v>16</v>
      </c>
    </row>
    <row r="1738" spans="1:4" x14ac:dyDescent="0.2">
      <c r="A1738" s="827" t="s">
        <v>3166</v>
      </c>
      <c r="B1738" s="828" t="s">
        <v>1402</v>
      </c>
      <c r="C1738" s="829" t="s">
        <v>31</v>
      </c>
      <c r="D1738" s="830">
        <v>2</v>
      </c>
    </row>
    <row r="1739" spans="1:4" x14ac:dyDescent="0.2">
      <c r="A1739" s="837" t="s">
        <v>3167</v>
      </c>
      <c r="B1739" s="838" t="s">
        <v>1518</v>
      </c>
      <c r="C1739" s="839"/>
      <c r="D1739" s="840"/>
    </row>
    <row r="1740" spans="1:4" x14ac:dyDescent="0.2">
      <c r="A1740" s="832" t="s">
        <v>3168</v>
      </c>
      <c r="B1740" s="833" t="s">
        <v>1394</v>
      </c>
      <c r="C1740" s="834" t="s">
        <v>54</v>
      </c>
      <c r="D1740" s="835">
        <v>14.43</v>
      </c>
    </row>
    <row r="1741" spans="1:4" x14ac:dyDescent="0.2">
      <c r="A1741" s="827" t="s">
        <v>3169</v>
      </c>
      <c r="B1741" s="828" t="s">
        <v>1396</v>
      </c>
      <c r="C1741" s="829" t="s">
        <v>31</v>
      </c>
      <c r="D1741" s="830">
        <v>9</v>
      </c>
    </row>
    <row r="1742" spans="1:4" x14ac:dyDescent="0.2">
      <c r="A1742" s="832" t="s">
        <v>3170</v>
      </c>
      <c r="B1742" s="833" t="s">
        <v>1398</v>
      </c>
      <c r="C1742" s="834" t="s">
        <v>31</v>
      </c>
      <c r="D1742" s="835">
        <v>11</v>
      </c>
    </row>
    <row r="1743" spans="1:4" x14ac:dyDescent="0.2">
      <c r="A1743" s="827" t="s">
        <v>3171</v>
      </c>
      <c r="B1743" s="828" t="s">
        <v>1400</v>
      </c>
      <c r="C1743" s="829" t="s">
        <v>31</v>
      </c>
      <c r="D1743" s="830">
        <v>16</v>
      </c>
    </row>
    <row r="1744" spans="1:4" x14ac:dyDescent="0.2">
      <c r="A1744" s="832" t="s">
        <v>3172</v>
      </c>
      <c r="B1744" s="833" t="s">
        <v>1402</v>
      </c>
      <c r="C1744" s="834" t="s">
        <v>31</v>
      </c>
      <c r="D1744" s="835">
        <v>2</v>
      </c>
    </row>
    <row r="1745" spans="1:4" x14ac:dyDescent="0.2">
      <c r="A1745" s="837" t="s">
        <v>3173</v>
      </c>
      <c r="B1745" s="838" t="s">
        <v>1523</v>
      </c>
      <c r="C1745" s="839"/>
      <c r="D1745" s="840"/>
    </row>
    <row r="1746" spans="1:4" x14ac:dyDescent="0.2">
      <c r="A1746" s="827" t="s">
        <v>3174</v>
      </c>
      <c r="B1746" s="828" t="s">
        <v>1394</v>
      </c>
      <c r="C1746" s="829" t="s">
        <v>54</v>
      </c>
      <c r="D1746" s="830">
        <v>14.43</v>
      </c>
    </row>
    <row r="1747" spans="1:4" x14ac:dyDescent="0.2">
      <c r="A1747" s="832" t="s">
        <v>3175</v>
      </c>
      <c r="B1747" s="833" t="s">
        <v>1396</v>
      </c>
      <c r="C1747" s="834" t="s">
        <v>31</v>
      </c>
      <c r="D1747" s="835">
        <v>9</v>
      </c>
    </row>
    <row r="1748" spans="1:4" x14ac:dyDescent="0.2">
      <c r="A1748" s="827" t="s">
        <v>3176</v>
      </c>
      <c r="B1748" s="828" t="s">
        <v>1398</v>
      </c>
      <c r="C1748" s="829" t="s">
        <v>31</v>
      </c>
      <c r="D1748" s="830">
        <v>11</v>
      </c>
    </row>
    <row r="1749" spans="1:4" x14ac:dyDescent="0.2">
      <c r="A1749" s="832" t="s">
        <v>3177</v>
      </c>
      <c r="B1749" s="833" t="s">
        <v>1400</v>
      </c>
      <c r="C1749" s="834" t="s">
        <v>31</v>
      </c>
      <c r="D1749" s="835">
        <v>16</v>
      </c>
    </row>
    <row r="1750" spans="1:4" x14ac:dyDescent="0.2">
      <c r="A1750" s="827" t="s">
        <v>3178</v>
      </c>
      <c r="B1750" s="828" t="s">
        <v>1402</v>
      </c>
      <c r="C1750" s="829" t="s">
        <v>31</v>
      </c>
      <c r="D1750" s="830">
        <v>2</v>
      </c>
    </row>
    <row r="1751" spans="1:4" x14ac:dyDescent="0.2">
      <c r="A1751" s="837" t="s">
        <v>3179</v>
      </c>
      <c r="B1751" s="838" t="s">
        <v>1528</v>
      </c>
      <c r="C1751" s="839"/>
      <c r="D1751" s="840"/>
    </row>
    <row r="1752" spans="1:4" x14ac:dyDescent="0.2">
      <c r="A1752" s="832" t="s">
        <v>3180</v>
      </c>
      <c r="B1752" s="833" t="s">
        <v>1394</v>
      </c>
      <c r="C1752" s="834" t="s">
        <v>54</v>
      </c>
      <c r="D1752" s="835">
        <v>14.43</v>
      </c>
    </row>
    <row r="1753" spans="1:4" x14ac:dyDescent="0.2">
      <c r="A1753" s="827" t="s">
        <v>3181</v>
      </c>
      <c r="B1753" s="828" t="s">
        <v>1396</v>
      </c>
      <c r="C1753" s="829" t="s">
        <v>31</v>
      </c>
      <c r="D1753" s="830">
        <v>9</v>
      </c>
    </row>
    <row r="1754" spans="1:4" x14ac:dyDescent="0.2">
      <c r="A1754" s="832" t="s">
        <v>3182</v>
      </c>
      <c r="B1754" s="833" t="s">
        <v>1398</v>
      </c>
      <c r="C1754" s="834" t="s">
        <v>31</v>
      </c>
      <c r="D1754" s="835">
        <v>11</v>
      </c>
    </row>
    <row r="1755" spans="1:4" x14ac:dyDescent="0.2">
      <c r="A1755" s="827" t="s">
        <v>3183</v>
      </c>
      <c r="B1755" s="828" t="s">
        <v>1400</v>
      </c>
      <c r="C1755" s="829" t="s">
        <v>31</v>
      </c>
      <c r="D1755" s="830">
        <v>16</v>
      </c>
    </row>
    <row r="1756" spans="1:4" x14ac:dyDescent="0.2">
      <c r="A1756" s="832" t="s">
        <v>3184</v>
      </c>
      <c r="B1756" s="833" t="s">
        <v>1402</v>
      </c>
      <c r="C1756" s="834" t="s">
        <v>31</v>
      </c>
      <c r="D1756" s="835">
        <v>2</v>
      </c>
    </row>
    <row r="1757" spans="1:4" x14ac:dyDescent="0.2">
      <c r="A1757" s="837" t="s">
        <v>3185</v>
      </c>
      <c r="B1757" s="838" t="s">
        <v>1533</v>
      </c>
      <c r="C1757" s="839"/>
      <c r="D1757" s="840"/>
    </row>
    <row r="1758" spans="1:4" x14ac:dyDescent="0.2">
      <c r="A1758" s="827" t="s">
        <v>3186</v>
      </c>
      <c r="B1758" s="828" t="s">
        <v>1394</v>
      </c>
      <c r="C1758" s="829" t="s">
        <v>54</v>
      </c>
      <c r="D1758" s="830">
        <v>14.43</v>
      </c>
    </row>
    <row r="1759" spans="1:4" x14ac:dyDescent="0.2">
      <c r="A1759" s="832" t="s">
        <v>3187</v>
      </c>
      <c r="B1759" s="833" t="s">
        <v>1396</v>
      </c>
      <c r="C1759" s="834" t="s">
        <v>31</v>
      </c>
      <c r="D1759" s="835">
        <v>9</v>
      </c>
    </row>
    <row r="1760" spans="1:4" x14ac:dyDescent="0.2">
      <c r="A1760" s="827" t="s">
        <v>3188</v>
      </c>
      <c r="B1760" s="828" t="s">
        <v>1398</v>
      </c>
      <c r="C1760" s="829" t="s">
        <v>31</v>
      </c>
      <c r="D1760" s="830">
        <v>11</v>
      </c>
    </row>
    <row r="1761" spans="1:4" x14ac:dyDescent="0.2">
      <c r="A1761" s="832" t="s">
        <v>3189</v>
      </c>
      <c r="B1761" s="833" t="s">
        <v>1400</v>
      </c>
      <c r="C1761" s="834" t="s">
        <v>31</v>
      </c>
      <c r="D1761" s="835">
        <v>16</v>
      </c>
    </row>
    <row r="1762" spans="1:4" x14ac:dyDescent="0.2">
      <c r="A1762" s="827" t="s">
        <v>3190</v>
      </c>
      <c r="B1762" s="828" t="s">
        <v>1402</v>
      </c>
      <c r="C1762" s="829" t="s">
        <v>31</v>
      </c>
      <c r="D1762" s="830">
        <v>2</v>
      </c>
    </row>
    <row r="1763" spans="1:4" x14ac:dyDescent="0.2">
      <c r="A1763" s="837" t="s">
        <v>3191</v>
      </c>
      <c r="B1763" s="838" t="s">
        <v>1538</v>
      </c>
      <c r="C1763" s="839"/>
      <c r="D1763" s="840"/>
    </row>
    <row r="1764" spans="1:4" x14ac:dyDescent="0.2">
      <c r="A1764" s="832" t="s">
        <v>3192</v>
      </c>
      <c r="B1764" s="833" t="s">
        <v>1380</v>
      </c>
      <c r="C1764" s="834" t="s">
        <v>54</v>
      </c>
      <c r="D1764" s="835">
        <v>17.68</v>
      </c>
    </row>
    <row r="1765" spans="1:4" x14ac:dyDescent="0.2">
      <c r="A1765" s="827" t="s">
        <v>3193</v>
      </c>
      <c r="B1765" s="828" t="s">
        <v>1386</v>
      </c>
      <c r="C1765" s="829" t="s">
        <v>54</v>
      </c>
      <c r="D1765" s="830">
        <v>24.37</v>
      </c>
    </row>
    <row r="1766" spans="1:4" x14ac:dyDescent="0.2">
      <c r="A1766" s="832" t="s">
        <v>3194</v>
      </c>
      <c r="B1766" s="833" t="s">
        <v>1392</v>
      </c>
      <c r="C1766" s="834" t="s">
        <v>54</v>
      </c>
      <c r="D1766" s="835">
        <v>32</v>
      </c>
    </row>
    <row r="1767" spans="1:4" x14ac:dyDescent="0.2">
      <c r="A1767" s="827" t="s">
        <v>3195</v>
      </c>
      <c r="B1767" s="828" t="s">
        <v>1394</v>
      </c>
      <c r="C1767" s="829" t="s">
        <v>54</v>
      </c>
      <c r="D1767" s="830">
        <v>17.7</v>
      </c>
    </row>
    <row r="1768" spans="1:4" x14ac:dyDescent="0.2">
      <c r="A1768" s="832" t="s">
        <v>3196</v>
      </c>
      <c r="B1768" s="833" t="s">
        <v>1396</v>
      </c>
      <c r="C1768" s="834" t="s">
        <v>31</v>
      </c>
      <c r="D1768" s="835">
        <v>1</v>
      </c>
    </row>
    <row r="1769" spans="1:4" x14ac:dyDescent="0.2">
      <c r="A1769" s="827" t="s">
        <v>3197</v>
      </c>
      <c r="B1769" s="828" t="s">
        <v>1398</v>
      </c>
      <c r="C1769" s="829" t="s">
        <v>31</v>
      </c>
      <c r="D1769" s="830">
        <v>2</v>
      </c>
    </row>
    <row r="1770" spans="1:4" x14ac:dyDescent="0.2">
      <c r="A1770" s="832" t="s">
        <v>3198</v>
      </c>
      <c r="B1770" s="833" t="s">
        <v>1400</v>
      </c>
      <c r="C1770" s="834" t="s">
        <v>31</v>
      </c>
      <c r="D1770" s="835">
        <v>6</v>
      </c>
    </row>
    <row r="1771" spans="1:4" x14ac:dyDescent="0.2">
      <c r="A1771" s="837" t="s">
        <v>3199</v>
      </c>
      <c r="B1771" s="838" t="s">
        <v>1542</v>
      </c>
      <c r="C1771" s="839"/>
      <c r="D1771" s="840"/>
    </row>
    <row r="1772" spans="1:4" x14ac:dyDescent="0.2">
      <c r="A1772" s="827" t="s">
        <v>3200</v>
      </c>
      <c r="B1772" s="828" t="s">
        <v>1396</v>
      </c>
      <c r="C1772" s="829" t="s">
        <v>31</v>
      </c>
      <c r="D1772" s="830">
        <v>2</v>
      </c>
    </row>
    <row r="1773" spans="1:4" x14ac:dyDescent="0.2">
      <c r="A1773" s="823" t="s">
        <v>1403</v>
      </c>
      <c r="B1773" s="824" t="s">
        <v>571</v>
      </c>
      <c r="C1773" s="825"/>
      <c r="D1773" s="826"/>
    </row>
    <row r="1774" spans="1:4" x14ac:dyDescent="0.2">
      <c r="A1774" s="837" t="s">
        <v>3201</v>
      </c>
      <c r="B1774" s="838" t="s">
        <v>1453</v>
      </c>
      <c r="C1774" s="839"/>
      <c r="D1774" s="840"/>
    </row>
    <row r="1775" spans="1:4" x14ac:dyDescent="0.2">
      <c r="A1775" s="832" t="s">
        <v>3202</v>
      </c>
      <c r="B1775" s="833" t="s">
        <v>1405</v>
      </c>
      <c r="C1775" s="834" t="s">
        <v>31</v>
      </c>
      <c r="D1775" s="835">
        <v>2</v>
      </c>
    </row>
    <row r="1776" spans="1:4" x14ac:dyDescent="0.2">
      <c r="A1776" s="827" t="s">
        <v>3203</v>
      </c>
      <c r="B1776" s="828" t="s">
        <v>1409</v>
      </c>
      <c r="C1776" s="829" t="s">
        <v>31</v>
      </c>
      <c r="D1776" s="830">
        <v>2</v>
      </c>
    </row>
    <row r="1777" spans="1:4" x14ac:dyDescent="0.2">
      <c r="A1777" s="832" t="s">
        <v>3204</v>
      </c>
      <c r="B1777" s="833" t="s">
        <v>1411</v>
      </c>
      <c r="C1777" s="834" t="s">
        <v>31</v>
      </c>
      <c r="D1777" s="835">
        <v>3</v>
      </c>
    </row>
    <row r="1778" spans="1:4" x14ac:dyDescent="0.2">
      <c r="A1778" s="837" t="s">
        <v>3205</v>
      </c>
      <c r="B1778" s="838" t="s">
        <v>1458</v>
      </c>
      <c r="C1778" s="839"/>
      <c r="D1778" s="840"/>
    </row>
    <row r="1779" spans="1:4" x14ac:dyDescent="0.2">
      <c r="A1779" s="827" t="s">
        <v>3206</v>
      </c>
      <c r="B1779" s="828" t="s">
        <v>1405</v>
      </c>
      <c r="C1779" s="829" t="s">
        <v>31</v>
      </c>
      <c r="D1779" s="830">
        <v>2</v>
      </c>
    </row>
    <row r="1780" spans="1:4" x14ac:dyDescent="0.2">
      <c r="A1780" s="832" t="s">
        <v>3207</v>
      </c>
      <c r="B1780" s="833" t="s">
        <v>1407</v>
      </c>
      <c r="C1780" s="834" t="s">
        <v>31</v>
      </c>
      <c r="D1780" s="835">
        <v>2</v>
      </c>
    </row>
    <row r="1781" spans="1:4" x14ac:dyDescent="0.2">
      <c r="A1781" s="827" t="s">
        <v>3208</v>
      </c>
      <c r="B1781" s="828" t="s">
        <v>1411</v>
      </c>
      <c r="C1781" s="829" t="s">
        <v>31</v>
      </c>
      <c r="D1781" s="830">
        <v>3</v>
      </c>
    </row>
    <row r="1782" spans="1:4" x14ac:dyDescent="0.2">
      <c r="A1782" s="837" t="s">
        <v>3209</v>
      </c>
      <c r="B1782" s="838" t="s">
        <v>1462</v>
      </c>
      <c r="C1782" s="839"/>
      <c r="D1782" s="840"/>
    </row>
    <row r="1783" spans="1:4" x14ac:dyDescent="0.2">
      <c r="A1783" s="832" t="s">
        <v>3210</v>
      </c>
      <c r="B1783" s="833" t="s">
        <v>1407</v>
      </c>
      <c r="C1783" s="834" t="s">
        <v>31</v>
      </c>
      <c r="D1783" s="835">
        <v>2</v>
      </c>
    </row>
    <row r="1784" spans="1:4" x14ac:dyDescent="0.2">
      <c r="A1784" s="827" t="s">
        <v>3211</v>
      </c>
      <c r="B1784" s="828" t="s">
        <v>1411</v>
      </c>
      <c r="C1784" s="829" t="s">
        <v>31</v>
      </c>
      <c r="D1784" s="830">
        <v>3</v>
      </c>
    </row>
    <row r="1785" spans="1:4" x14ac:dyDescent="0.2">
      <c r="A1785" s="837" t="s">
        <v>3212</v>
      </c>
      <c r="B1785" s="838" t="s">
        <v>1466</v>
      </c>
      <c r="C1785" s="839"/>
      <c r="D1785" s="840"/>
    </row>
    <row r="1786" spans="1:4" x14ac:dyDescent="0.2">
      <c r="A1786" s="832" t="s">
        <v>3213</v>
      </c>
      <c r="B1786" s="833" t="s">
        <v>1407</v>
      </c>
      <c r="C1786" s="834" t="s">
        <v>31</v>
      </c>
      <c r="D1786" s="835">
        <v>2</v>
      </c>
    </row>
    <row r="1787" spans="1:4" x14ac:dyDescent="0.2">
      <c r="A1787" s="827" t="s">
        <v>3214</v>
      </c>
      <c r="B1787" s="828" t="s">
        <v>1411</v>
      </c>
      <c r="C1787" s="829" t="s">
        <v>31</v>
      </c>
      <c r="D1787" s="830">
        <v>3</v>
      </c>
    </row>
    <row r="1788" spans="1:4" x14ac:dyDescent="0.2">
      <c r="A1788" s="837" t="s">
        <v>3215</v>
      </c>
      <c r="B1788" s="838" t="s">
        <v>1470</v>
      </c>
      <c r="C1788" s="839"/>
      <c r="D1788" s="840"/>
    </row>
    <row r="1789" spans="1:4" x14ac:dyDescent="0.2">
      <c r="A1789" s="832" t="s">
        <v>3216</v>
      </c>
      <c r="B1789" s="833" t="s">
        <v>1407</v>
      </c>
      <c r="C1789" s="834" t="s">
        <v>31</v>
      </c>
      <c r="D1789" s="835">
        <v>2</v>
      </c>
    </row>
    <row r="1790" spans="1:4" x14ac:dyDescent="0.2">
      <c r="A1790" s="827" t="s">
        <v>3217</v>
      </c>
      <c r="B1790" s="828" t="s">
        <v>1411</v>
      </c>
      <c r="C1790" s="829" t="s">
        <v>31</v>
      </c>
      <c r="D1790" s="830">
        <v>3</v>
      </c>
    </row>
    <row r="1791" spans="1:4" x14ac:dyDescent="0.2">
      <c r="A1791" s="837" t="s">
        <v>3218</v>
      </c>
      <c r="B1791" s="838" t="s">
        <v>1473</v>
      </c>
      <c r="C1791" s="839"/>
      <c r="D1791" s="840"/>
    </row>
    <row r="1792" spans="1:4" x14ac:dyDescent="0.2">
      <c r="A1792" s="832" t="s">
        <v>3219</v>
      </c>
      <c r="B1792" s="833" t="s">
        <v>1407</v>
      </c>
      <c r="C1792" s="834" t="s">
        <v>31</v>
      </c>
      <c r="D1792" s="835">
        <v>2</v>
      </c>
    </row>
    <row r="1793" spans="1:4" x14ac:dyDescent="0.2">
      <c r="A1793" s="827" t="s">
        <v>3220</v>
      </c>
      <c r="B1793" s="828" t="s">
        <v>1411</v>
      </c>
      <c r="C1793" s="829" t="s">
        <v>31</v>
      </c>
      <c r="D1793" s="830">
        <v>3</v>
      </c>
    </row>
    <row r="1794" spans="1:4" x14ac:dyDescent="0.2">
      <c r="A1794" s="837" t="s">
        <v>3221</v>
      </c>
      <c r="B1794" s="838" t="s">
        <v>1478</v>
      </c>
      <c r="C1794" s="839"/>
      <c r="D1794" s="840"/>
    </row>
    <row r="1795" spans="1:4" x14ac:dyDescent="0.2">
      <c r="A1795" s="832" t="s">
        <v>3222</v>
      </c>
      <c r="B1795" s="833" t="s">
        <v>1407</v>
      </c>
      <c r="C1795" s="834" t="s">
        <v>31</v>
      </c>
      <c r="D1795" s="835">
        <v>2</v>
      </c>
    </row>
    <row r="1796" spans="1:4" x14ac:dyDescent="0.2">
      <c r="A1796" s="827" t="s">
        <v>3223</v>
      </c>
      <c r="B1796" s="828" t="s">
        <v>1411</v>
      </c>
      <c r="C1796" s="829" t="s">
        <v>31</v>
      </c>
      <c r="D1796" s="830">
        <v>3</v>
      </c>
    </row>
    <row r="1797" spans="1:4" x14ac:dyDescent="0.2">
      <c r="A1797" s="837" t="s">
        <v>3224</v>
      </c>
      <c r="B1797" s="838" t="s">
        <v>1483</v>
      </c>
      <c r="C1797" s="839"/>
      <c r="D1797" s="840"/>
    </row>
    <row r="1798" spans="1:4" x14ac:dyDescent="0.2">
      <c r="A1798" s="832" t="s">
        <v>3225</v>
      </c>
      <c r="B1798" s="833" t="s">
        <v>1407</v>
      </c>
      <c r="C1798" s="834" t="s">
        <v>31</v>
      </c>
      <c r="D1798" s="835">
        <v>2</v>
      </c>
    </row>
    <row r="1799" spans="1:4" x14ac:dyDescent="0.2">
      <c r="A1799" s="827" t="s">
        <v>3226</v>
      </c>
      <c r="B1799" s="828" t="s">
        <v>1411</v>
      </c>
      <c r="C1799" s="829" t="s">
        <v>31</v>
      </c>
      <c r="D1799" s="830">
        <v>3</v>
      </c>
    </row>
    <row r="1800" spans="1:4" x14ac:dyDescent="0.2">
      <c r="A1800" s="837" t="s">
        <v>3227</v>
      </c>
      <c r="B1800" s="838" t="s">
        <v>1488</v>
      </c>
      <c r="C1800" s="839"/>
      <c r="D1800" s="840"/>
    </row>
    <row r="1801" spans="1:4" x14ac:dyDescent="0.2">
      <c r="A1801" s="832" t="s">
        <v>3228</v>
      </c>
      <c r="B1801" s="833" t="s">
        <v>1407</v>
      </c>
      <c r="C1801" s="834" t="s">
        <v>31</v>
      </c>
      <c r="D1801" s="835">
        <v>2</v>
      </c>
    </row>
    <row r="1802" spans="1:4" x14ac:dyDescent="0.2">
      <c r="A1802" s="827" t="s">
        <v>3229</v>
      </c>
      <c r="B1802" s="828" t="s">
        <v>1411</v>
      </c>
      <c r="C1802" s="829" t="s">
        <v>31</v>
      </c>
      <c r="D1802" s="830">
        <v>3</v>
      </c>
    </row>
    <row r="1803" spans="1:4" x14ac:dyDescent="0.2">
      <c r="A1803" s="837" t="s">
        <v>3230</v>
      </c>
      <c r="B1803" s="838" t="s">
        <v>1493</v>
      </c>
      <c r="C1803" s="839"/>
      <c r="D1803" s="840"/>
    </row>
    <row r="1804" spans="1:4" x14ac:dyDescent="0.2">
      <c r="A1804" s="832" t="s">
        <v>3231</v>
      </c>
      <c r="B1804" s="833" t="s">
        <v>1407</v>
      </c>
      <c r="C1804" s="834" t="s">
        <v>31</v>
      </c>
      <c r="D1804" s="835">
        <v>2</v>
      </c>
    </row>
    <row r="1805" spans="1:4" x14ac:dyDescent="0.2">
      <c r="A1805" s="827" t="s">
        <v>3232</v>
      </c>
      <c r="B1805" s="828" t="s">
        <v>1411</v>
      </c>
      <c r="C1805" s="829" t="s">
        <v>31</v>
      </c>
      <c r="D1805" s="830">
        <v>3</v>
      </c>
    </row>
    <row r="1806" spans="1:4" x14ac:dyDescent="0.2">
      <c r="A1806" s="837" t="s">
        <v>3233</v>
      </c>
      <c r="B1806" s="838" t="s">
        <v>1498</v>
      </c>
      <c r="C1806" s="839"/>
      <c r="D1806" s="840"/>
    </row>
    <row r="1807" spans="1:4" x14ac:dyDescent="0.2">
      <c r="A1807" s="832" t="s">
        <v>3234</v>
      </c>
      <c r="B1807" s="833" t="s">
        <v>1407</v>
      </c>
      <c r="C1807" s="834" t="s">
        <v>31</v>
      </c>
      <c r="D1807" s="835">
        <v>2</v>
      </c>
    </row>
    <row r="1808" spans="1:4" x14ac:dyDescent="0.2">
      <c r="A1808" s="827" t="s">
        <v>3235</v>
      </c>
      <c r="B1808" s="828" t="s">
        <v>1411</v>
      </c>
      <c r="C1808" s="829" t="s">
        <v>31</v>
      </c>
      <c r="D1808" s="830">
        <v>3</v>
      </c>
    </row>
    <row r="1809" spans="1:4" x14ac:dyDescent="0.2">
      <c r="A1809" s="837" t="s">
        <v>3236</v>
      </c>
      <c r="B1809" s="838" t="s">
        <v>1503</v>
      </c>
      <c r="C1809" s="839"/>
      <c r="D1809" s="840"/>
    </row>
    <row r="1810" spans="1:4" x14ac:dyDescent="0.2">
      <c r="A1810" s="832" t="s">
        <v>3237</v>
      </c>
      <c r="B1810" s="833" t="s">
        <v>1407</v>
      </c>
      <c r="C1810" s="834" t="s">
        <v>31</v>
      </c>
      <c r="D1810" s="835">
        <v>2</v>
      </c>
    </row>
    <row r="1811" spans="1:4" x14ac:dyDescent="0.2">
      <c r="A1811" s="827" t="s">
        <v>3238</v>
      </c>
      <c r="B1811" s="828" t="s">
        <v>1411</v>
      </c>
      <c r="C1811" s="829" t="s">
        <v>31</v>
      </c>
      <c r="D1811" s="830">
        <v>3</v>
      </c>
    </row>
    <row r="1812" spans="1:4" x14ac:dyDescent="0.2">
      <c r="A1812" s="837" t="s">
        <v>3239</v>
      </c>
      <c r="B1812" s="838" t="s">
        <v>1508</v>
      </c>
      <c r="C1812" s="839"/>
      <c r="D1812" s="840"/>
    </row>
    <row r="1813" spans="1:4" x14ac:dyDescent="0.2">
      <c r="A1813" s="832" t="s">
        <v>3240</v>
      </c>
      <c r="B1813" s="833" t="s">
        <v>1407</v>
      </c>
      <c r="C1813" s="834" t="s">
        <v>31</v>
      </c>
      <c r="D1813" s="835">
        <v>2</v>
      </c>
    </row>
    <row r="1814" spans="1:4" x14ac:dyDescent="0.2">
      <c r="A1814" s="827" t="s">
        <v>3241</v>
      </c>
      <c r="B1814" s="828" t="s">
        <v>1411</v>
      </c>
      <c r="C1814" s="829" t="s">
        <v>31</v>
      </c>
      <c r="D1814" s="830">
        <v>3</v>
      </c>
    </row>
    <row r="1815" spans="1:4" x14ac:dyDescent="0.2">
      <c r="A1815" s="837" t="s">
        <v>3242</v>
      </c>
      <c r="B1815" s="838" t="s">
        <v>1513</v>
      </c>
      <c r="C1815" s="839"/>
      <c r="D1815" s="840"/>
    </row>
    <row r="1816" spans="1:4" x14ac:dyDescent="0.2">
      <c r="A1816" s="832" t="s">
        <v>3243</v>
      </c>
      <c r="B1816" s="833" t="s">
        <v>1407</v>
      </c>
      <c r="C1816" s="834" t="s">
        <v>31</v>
      </c>
      <c r="D1816" s="835">
        <v>2</v>
      </c>
    </row>
    <row r="1817" spans="1:4" x14ac:dyDescent="0.2">
      <c r="A1817" s="827" t="s">
        <v>3244</v>
      </c>
      <c r="B1817" s="828" t="s">
        <v>1411</v>
      </c>
      <c r="C1817" s="829" t="s">
        <v>31</v>
      </c>
      <c r="D1817" s="830">
        <v>3</v>
      </c>
    </row>
    <row r="1818" spans="1:4" x14ac:dyDescent="0.2">
      <c r="A1818" s="837" t="s">
        <v>3245</v>
      </c>
      <c r="B1818" s="838" t="s">
        <v>1518</v>
      </c>
      <c r="C1818" s="839"/>
      <c r="D1818" s="840"/>
    </row>
    <row r="1819" spans="1:4" x14ac:dyDescent="0.2">
      <c r="A1819" s="832" t="s">
        <v>3246</v>
      </c>
      <c r="B1819" s="833" t="s">
        <v>1407</v>
      </c>
      <c r="C1819" s="834" t="s">
        <v>31</v>
      </c>
      <c r="D1819" s="835">
        <v>2</v>
      </c>
    </row>
    <row r="1820" spans="1:4" x14ac:dyDescent="0.2">
      <c r="A1820" s="827" t="s">
        <v>3247</v>
      </c>
      <c r="B1820" s="828" t="s">
        <v>1411</v>
      </c>
      <c r="C1820" s="829" t="s">
        <v>31</v>
      </c>
      <c r="D1820" s="830">
        <v>3</v>
      </c>
    </row>
    <row r="1821" spans="1:4" x14ac:dyDescent="0.2">
      <c r="A1821" s="837" t="s">
        <v>3248</v>
      </c>
      <c r="B1821" s="838" t="s">
        <v>1523</v>
      </c>
      <c r="C1821" s="839"/>
      <c r="D1821" s="840"/>
    </row>
    <row r="1822" spans="1:4" x14ac:dyDescent="0.2">
      <c r="A1822" s="832" t="s">
        <v>3249</v>
      </c>
      <c r="B1822" s="833" t="s">
        <v>1407</v>
      </c>
      <c r="C1822" s="834" t="s">
        <v>31</v>
      </c>
      <c r="D1822" s="835">
        <v>2</v>
      </c>
    </row>
    <row r="1823" spans="1:4" x14ac:dyDescent="0.2">
      <c r="A1823" s="827" t="s">
        <v>3250</v>
      </c>
      <c r="B1823" s="828" t="s">
        <v>1411</v>
      </c>
      <c r="C1823" s="829" t="s">
        <v>31</v>
      </c>
      <c r="D1823" s="830">
        <v>3</v>
      </c>
    </row>
    <row r="1824" spans="1:4" x14ac:dyDescent="0.2">
      <c r="A1824" s="837" t="s">
        <v>3251</v>
      </c>
      <c r="B1824" s="838" t="s">
        <v>1528</v>
      </c>
      <c r="C1824" s="839"/>
      <c r="D1824" s="840"/>
    </row>
    <row r="1825" spans="1:4" x14ac:dyDescent="0.2">
      <c r="A1825" s="832" t="s">
        <v>3252</v>
      </c>
      <c r="B1825" s="833" t="s">
        <v>1407</v>
      </c>
      <c r="C1825" s="834" t="s">
        <v>31</v>
      </c>
      <c r="D1825" s="835">
        <v>2</v>
      </c>
    </row>
    <row r="1826" spans="1:4" x14ac:dyDescent="0.2">
      <c r="A1826" s="827" t="s">
        <v>3253</v>
      </c>
      <c r="B1826" s="828" t="s">
        <v>1411</v>
      </c>
      <c r="C1826" s="829" t="s">
        <v>31</v>
      </c>
      <c r="D1826" s="830">
        <v>3</v>
      </c>
    </row>
    <row r="1827" spans="1:4" x14ac:dyDescent="0.2">
      <c r="A1827" s="837" t="s">
        <v>3254</v>
      </c>
      <c r="B1827" s="838" t="s">
        <v>1533</v>
      </c>
      <c r="C1827" s="839"/>
      <c r="D1827" s="840"/>
    </row>
    <row r="1828" spans="1:4" x14ac:dyDescent="0.2">
      <c r="A1828" s="832" t="s">
        <v>3255</v>
      </c>
      <c r="B1828" s="833" t="s">
        <v>1407</v>
      </c>
      <c r="C1828" s="834" t="s">
        <v>31</v>
      </c>
      <c r="D1828" s="835">
        <v>2</v>
      </c>
    </row>
    <row r="1829" spans="1:4" x14ac:dyDescent="0.2">
      <c r="A1829" s="827" t="s">
        <v>3256</v>
      </c>
      <c r="B1829" s="828" t="s">
        <v>1411</v>
      </c>
      <c r="C1829" s="829" t="s">
        <v>31</v>
      </c>
      <c r="D1829" s="830">
        <v>3</v>
      </c>
    </row>
    <row r="1830" spans="1:4" x14ac:dyDescent="0.2">
      <c r="A1830" s="837" t="s">
        <v>3257</v>
      </c>
      <c r="B1830" s="838" t="s">
        <v>1538</v>
      </c>
      <c r="C1830" s="839"/>
      <c r="D1830" s="840"/>
    </row>
    <row r="1831" spans="1:4" x14ac:dyDescent="0.2">
      <c r="A1831" s="832" t="s">
        <v>3258</v>
      </c>
      <c r="B1831" s="833" t="s">
        <v>1409</v>
      </c>
      <c r="C1831" s="834" t="s">
        <v>31</v>
      </c>
      <c r="D1831" s="835">
        <v>2</v>
      </c>
    </row>
    <row r="1832" spans="1:4" x14ac:dyDescent="0.2">
      <c r="A1832" s="827" t="s">
        <v>3259</v>
      </c>
      <c r="B1832" s="828" t="s">
        <v>1411</v>
      </c>
      <c r="C1832" s="829" t="s">
        <v>31</v>
      </c>
      <c r="D1832" s="830">
        <v>3</v>
      </c>
    </row>
    <row r="1833" spans="1:4" x14ac:dyDescent="0.2">
      <c r="A1833" s="837" t="s">
        <v>3260</v>
      </c>
      <c r="B1833" s="838" t="s">
        <v>1542</v>
      </c>
      <c r="C1833" s="839"/>
      <c r="D1833" s="840"/>
    </row>
    <row r="1834" spans="1:4" x14ac:dyDescent="0.2">
      <c r="A1834" s="832" t="s">
        <v>3261</v>
      </c>
      <c r="B1834" s="833" t="s">
        <v>1405</v>
      </c>
      <c r="C1834" s="834" t="s">
        <v>31</v>
      </c>
      <c r="D1834" s="835">
        <v>1</v>
      </c>
    </row>
    <row r="1835" spans="1:4" x14ac:dyDescent="0.2">
      <c r="A1835" s="827" t="s">
        <v>3262</v>
      </c>
      <c r="B1835" s="828" t="s">
        <v>1407</v>
      </c>
      <c r="C1835" s="829" t="s">
        <v>31</v>
      </c>
      <c r="D1835" s="830">
        <v>2</v>
      </c>
    </row>
    <row r="1836" spans="1:4" x14ac:dyDescent="0.2">
      <c r="A1836" s="823" t="s">
        <v>1412</v>
      </c>
      <c r="B1836" s="824" t="s">
        <v>1413</v>
      </c>
      <c r="C1836" s="825"/>
      <c r="D1836" s="826"/>
    </row>
    <row r="1837" spans="1:4" x14ac:dyDescent="0.2">
      <c r="A1837" s="837" t="s">
        <v>3263</v>
      </c>
      <c r="B1837" s="838" t="s">
        <v>1453</v>
      </c>
      <c r="C1837" s="839"/>
      <c r="D1837" s="840"/>
    </row>
    <row r="1838" spans="1:4" x14ac:dyDescent="0.2">
      <c r="A1838" s="832" t="s">
        <v>3264</v>
      </c>
      <c r="B1838" s="833" t="s">
        <v>1415</v>
      </c>
      <c r="C1838" s="834" t="s">
        <v>41</v>
      </c>
      <c r="D1838" s="835">
        <v>543.28</v>
      </c>
    </row>
    <row r="1839" spans="1:4" x14ac:dyDescent="0.2">
      <c r="A1839" s="827" t="s">
        <v>3265</v>
      </c>
      <c r="B1839" s="828" t="s">
        <v>1417</v>
      </c>
      <c r="C1839" s="829" t="s">
        <v>41</v>
      </c>
      <c r="D1839" s="830">
        <v>318.33999999999997</v>
      </c>
    </row>
    <row r="1840" spans="1:4" x14ac:dyDescent="0.2">
      <c r="A1840" s="837" t="s">
        <v>3266</v>
      </c>
      <c r="B1840" s="838" t="s">
        <v>1458</v>
      </c>
      <c r="C1840" s="839"/>
      <c r="D1840" s="840"/>
    </row>
    <row r="1841" spans="1:4" x14ac:dyDescent="0.2">
      <c r="A1841" s="832" t="s">
        <v>3267</v>
      </c>
      <c r="B1841" s="833" t="s">
        <v>1415</v>
      </c>
      <c r="C1841" s="834" t="s">
        <v>41</v>
      </c>
      <c r="D1841" s="835">
        <v>693.28</v>
      </c>
    </row>
    <row r="1842" spans="1:4" x14ac:dyDescent="0.2">
      <c r="A1842" s="827" t="s">
        <v>3268</v>
      </c>
      <c r="B1842" s="828" t="s">
        <v>1417</v>
      </c>
      <c r="C1842" s="829" t="s">
        <v>41</v>
      </c>
      <c r="D1842" s="830">
        <v>150</v>
      </c>
    </row>
    <row r="1843" spans="1:4" x14ac:dyDescent="0.2">
      <c r="A1843" s="837" t="s">
        <v>3269</v>
      </c>
      <c r="B1843" s="838" t="s">
        <v>1462</v>
      </c>
      <c r="C1843" s="839"/>
      <c r="D1843" s="840"/>
    </row>
    <row r="1844" spans="1:4" x14ac:dyDescent="0.2">
      <c r="A1844" s="832" t="s">
        <v>3270</v>
      </c>
      <c r="B1844" s="833" t="s">
        <v>1415</v>
      </c>
      <c r="C1844" s="834" t="s">
        <v>41</v>
      </c>
      <c r="D1844" s="835">
        <v>552.16999999999996</v>
      </c>
    </row>
    <row r="1845" spans="1:4" x14ac:dyDescent="0.2">
      <c r="A1845" s="827" t="s">
        <v>3271</v>
      </c>
      <c r="B1845" s="828" t="s">
        <v>1417</v>
      </c>
      <c r="C1845" s="829" t="s">
        <v>41</v>
      </c>
      <c r="D1845" s="830">
        <v>149.77000000000001</v>
      </c>
    </row>
    <row r="1846" spans="1:4" x14ac:dyDescent="0.2">
      <c r="A1846" s="837" t="s">
        <v>3272</v>
      </c>
      <c r="B1846" s="838" t="s">
        <v>1466</v>
      </c>
      <c r="C1846" s="839"/>
      <c r="D1846" s="840"/>
    </row>
    <row r="1847" spans="1:4" x14ac:dyDescent="0.2">
      <c r="A1847" s="832" t="s">
        <v>3273</v>
      </c>
      <c r="B1847" s="833" t="s">
        <v>1415</v>
      </c>
      <c r="C1847" s="834" t="s">
        <v>41</v>
      </c>
      <c r="D1847" s="835">
        <v>551.99</v>
      </c>
    </row>
    <row r="1848" spans="1:4" x14ac:dyDescent="0.2">
      <c r="A1848" s="827" t="s">
        <v>3274</v>
      </c>
      <c r="B1848" s="828" t="s">
        <v>1417</v>
      </c>
      <c r="C1848" s="829" t="s">
        <v>41</v>
      </c>
      <c r="D1848" s="830">
        <v>149.63999999999999</v>
      </c>
    </row>
    <row r="1849" spans="1:4" x14ac:dyDescent="0.2">
      <c r="A1849" s="837" t="s">
        <v>3275</v>
      </c>
      <c r="B1849" s="838" t="s">
        <v>1470</v>
      </c>
      <c r="C1849" s="839"/>
      <c r="D1849" s="840"/>
    </row>
    <row r="1850" spans="1:4" x14ac:dyDescent="0.2">
      <c r="A1850" s="832" t="s">
        <v>3276</v>
      </c>
      <c r="B1850" s="833" t="s">
        <v>1415</v>
      </c>
      <c r="C1850" s="834" t="s">
        <v>41</v>
      </c>
      <c r="D1850" s="835">
        <v>704.55</v>
      </c>
    </row>
    <row r="1851" spans="1:4" x14ac:dyDescent="0.2">
      <c r="A1851" s="827" t="s">
        <v>3277</v>
      </c>
      <c r="B1851" s="828" t="s">
        <v>1417</v>
      </c>
      <c r="C1851" s="829" t="s">
        <v>41</v>
      </c>
      <c r="D1851" s="830">
        <v>80.44</v>
      </c>
    </row>
    <row r="1852" spans="1:4" x14ac:dyDescent="0.2">
      <c r="A1852" s="837" t="s">
        <v>3278</v>
      </c>
      <c r="B1852" s="838" t="s">
        <v>1473</v>
      </c>
      <c r="C1852" s="839"/>
      <c r="D1852" s="840"/>
    </row>
    <row r="1853" spans="1:4" x14ac:dyDescent="0.2">
      <c r="A1853" s="832" t="s">
        <v>3279</v>
      </c>
      <c r="B1853" s="833" t="s">
        <v>1415</v>
      </c>
      <c r="C1853" s="834" t="s">
        <v>41</v>
      </c>
      <c r="D1853" s="835">
        <v>166.52</v>
      </c>
    </row>
    <row r="1854" spans="1:4" x14ac:dyDescent="0.2">
      <c r="A1854" s="827" t="s">
        <v>3280</v>
      </c>
      <c r="B1854" s="828" t="s">
        <v>1417</v>
      </c>
      <c r="C1854" s="829" t="s">
        <v>41</v>
      </c>
      <c r="D1854" s="830">
        <v>122.18</v>
      </c>
    </row>
    <row r="1855" spans="1:4" x14ac:dyDescent="0.2">
      <c r="A1855" s="837" t="s">
        <v>3281</v>
      </c>
      <c r="B1855" s="838" t="s">
        <v>1478</v>
      </c>
      <c r="C1855" s="839"/>
      <c r="D1855" s="840"/>
    </row>
    <row r="1856" spans="1:4" x14ac:dyDescent="0.2">
      <c r="A1856" s="832" t="s">
        <v>3282</v>
      </c>
      <c r="B1856" s="833" t="s">
        <v>1415</v>
      </c>
      <c r="C1856" s="834" t="s">
        <v>41</v>
      </c>
      <c r="D1856" s="835">
        <v>162.69999999999999</v>
      </c>
    </row>
    <row r="1857" spans="1:4" x14ac:dyDescent="0.2">
      <c r="A1857" s="827" t="s">
        <v>3283</v>
      </c>
      <c r="B1857" s="828" t="s">
        <v>1417</v>
      </c>
      <c r="C1857" s="829" t="s">
        <v>41</v>
      </c>
      <c r="D1857" s="830">
        <v>130.72</v>
      </c>
    </row>
    <row r="1858" spans="1:4" x14ac:dyDescent="0.2">
      <c r="A1858" s="837" t="s">
        <v>3284</v>
      </c>
      <c r="B1858" s="838" t="s">
        <v>1483</v>
      </c>
      <c r="C1858" s="839"/>
      <c r="D1858" s="840"/>
    </row>
    <row r="1859" spans="1:4" x14ac:dyDescent="0.2">
      <c r="A1859" s="832" t="s">
        <v>3285</v>
      </c>
      <c r="B1859" s="833" t="s">
        <v>1415</v>
      </c>
      <c r="C1859" s="834" t="s">
        <v>41</v>
      </c>
      <c r="D1859" s="835">
        <v>164.12</v>
      </c>
    </row>
    <row r="1860" spans="1:4" x14ac:dyDescent="0.2">
      <c r="A1860" s="827" t="s">
        <v>3286</v>
      </c>
      <c r="B1860" s="828" t="s">
        <v>1417</v>
      </c>
      <c r="C1860" s="829" t="s">
        <v>41</v>
      </c>
      <c r="D1860" s="830">
        <v>125.74</v>
      </c>
    </row>
    <row r="1861" spans="1:4" x14ac:dyDescent="0.2">
      <c r="A1861" s="837" t="s">
        <v>3287</v>
      </c>
      <c r="B1861" s="838" t="s">
        <v>1488</v>
      </c>
      <c r="C1861" s="839"/>
      <c r="D1861" s="840"/>
    </row>
    <row r="1862" spans="1:4" x14ac:dyDescent="0.2">
      <c r="A1862" s="832" t="s">
        <v>3288</v>
      </c>
      <c r="B1862" s="833" t="s">
        <v>1415</v>
      </c>
      <c r="C1862" s="834" t="s">
        <v>41</v>
      </c>
      <c r="D1862" s="835">
        <v>165.21</v>
      </c>
    </row>
    <row r="1863" spans="1:4" x14ac:dyDescent="0.2">
      <c r="A1863" s="827" t="s">
        <v>3289</v>
      </c>
      <c r="B1863" s="828" t="s">
        <v>1417</v>
      </c>
      <c r="C1863" s="829" t="s">
        <v>41</v>
      </c>
      <c r="D1863" s="830">
        <v>125.02</v>
      </c>
    </row>
    <row r="1864" spans="1:4" x14ac:dyDescent="0.2">
      <c r="A1864" s="837" t="s">
        <v>3290</v>
      </c>
      <c r="B1864" s="838" t="s">
        <v>1493</v>
      </c>
      <c r="C1864" s="839"/>
      <c r="D1864" s="840"/>
    </row>
    <row r="1865" spans="1:4" x14ac:dyDescent="0.2">
      <c r="A1865" s="832" t="s">
        <v>3291</v>
      </c>
      <c r="B1865" s="833" t="s">
        <v>1415</v>
      </c>
      <c r="C1865" s="834" t="s">
        <v>41</v>
      </c>
      <c r="D1865" s="835">
        <v>164.12</v>
      </c>
    </row>
    <row r="1866" spans="1:4" x14ac:dyDescent="0.2">
      <c r="A1866" s="827" t="s">
        <v>3292</v>
      </c>
      <c r="B1866" s="828" t="s">
        <v>1417</v>
      </c>
      <c r="C1866" s="829" t="s">
        <v>41</v>
      </c>
      <c r="D1866" s="830">
        <v>126.37</v>
      </c>
    </row>
    <row r="1867" spans="1:4" x14ac:dyDescent="0.2">
      <c r="A1867" s="837" t="s">
        <v>3293</v>
      </c>
      <c r="B1867" s="838" t="s">
        <v>1498</v>
      </c>
      <c r="C1867" s="839"/>
      <c r="D1867" s="840"/>
    </row>
    <row r="1868" spans="1:4" x14ac:dyDescent="0.2">
      <c r="A1868" s="832" t="s">
        <v>3294</v>
      </c>
      <c r="B1868" s="833" t="s">
        <v>1415</v>
      </c>
      <c r="C1868" s="834" t="s">
        <v>41</v>
      </c>
      <c r="D1868" s="835">
        <v>175.44</v>
      </c>
    </row>
    <row r="1869" spans="1:4" x14ac:dyDescent="0.2">
      <c r="A1869" s="827" t="s">
        <v>3295</v>
      </c>
      <c r="B1869" s="828" t="s">
        <v>1417</v>
      </c>
      <c r="C1869" s="829" t="s">
        <v>41</v>
      </c>
      <c r="D1869" s="830">
        <v>111.91</v>
      </c>
    </row>
    <row r="1870" spans="1:4" x14ac:dyDescent="0.2">
      <c r="A1870" s="837" t="s">
        <v>3296</v>
      </c>
      <c r="B1870" s="838" t="s">
        <v>1503</v>
      </c>
      <c r="C1870" s="839"/>
      <c r="D1870" s="840"/>
    </row>
    <row r="1871" spans="1:4" x14ac:dyDescent="0.2">
      <c r="A1871" s="832" t="s">
        <v>3297</v>
      </c>
      <c r="B1871" s="833" t="s">
        <v>1415</v>
      </c>
      <c r="C1871" s="834" t="s">
        <v>41</v>
      </c>
      <c r="D1871" s="835">
        <v>171.12</v>
      </c>
    </row>
    <row r="1872" spans="1:4" x14ac:dyDescent="0.2">
      <c r="A1872" s="827" t="s">
        <v>3298</v>
      </c>
      <c r="B1872" s="828" t="s">
        <v>1417</v>
      </c>
      <c r="C1872" s="829" t="s">
        <v>41</v>
      </c>
      <c r="D1872" s="830">
        <v>115.63</v>
      </c>
    </row>
    <row r="1873" spans="1:4" x14ac:dyDescent="0.2">
      <c r="A1873" s="837" t="s">
        <v>3299</v>
      </c>
      <c r="B1873" s="838" t="s">
        <v>1508</v>
      </c>
      <c r="C1873" s="839"/>
      <c r="D1873" s="840"/>
    </row>
    <row r="1874" spans="1:4" x14ac:dyDescent="0.2">
      <c r="A1874" s="832" t="s">
        <v>3300</v>
      </c>
      <c r="B1874" s="833" t="s">
        <v>1415</v>
      </c>
      <c r="C1874" s="834" t="s">
        <v>41</v>
      </c>
      <c r="D1874" s="835">
        <v>169.81</v>
      </c>
    </row>
    <row r="1875" spans="1:4" x14ac:dyDescent="0.2">
      <c r="A1875" s="827" t="s">
        <v>3301</v>
      </c>
      <c r="B1875" s="828" t="s">
        <v>1417</v>
      </c>
      <c r="C1875" s="829" t="s">
        <v>41</v>
      </c>
      <c r="D1875" s="830">
        <v>116.56</v>
      </c>
    </row>
    <row r="1876" spans="1:4" x14ac:dyDescent="0.2">
      <c r="A1876" s="837" t="s">
        <v>3302</v>
      </c>
      <c r="B1876" s="838" t="s">
        <v>1513</v>
      </c>
      <c r="C1876" s="839"/>
      <c r="D1876" s="840"/>
    </row>
    <row r="1877" spans="1:4" x14ac:dyDescent="0.2">
      <c r="A1877" s="832" t="s">
        <v>3303</v>
      </c>
      <c r="B1877" s="833" t="s">
        <v>1415</v>
      </c>
      <c r="C1877" s="834" t="s">
        <v>41</v>
      </c>
      <c r="D1877" s="835">
        <v>166.55</v>
      </c>
    </row>
    <row r="1878" spans="1:4" x14ac:dyDescent="0.2">
      <c r="A1878" s="827" t="s">
        <v>3304</v>
      </c>
      <c r="B1878" s="828" t="s">
        <v>1417</v>
      </c>
      <c r="C1878" s="829" t="s">
        <v>41</v>
      </c>
      <c r="D1878" s="830">
        <v>127.01</v>
      </c>
    </row>
    <row r="1879" spans="1:4" x14ac:dyDescent="0.2">
      <c r="A1879" s="837" t="s">
        <v>3305</v>
      </c>
      <c r="B1879" s="838" t="s">
        <v>1518</v>
      </c>
      <c r="C1879" s="839"/>
      <c r="D1879" s="840"/>
    </row>
    <row r="1880" spans="1:4" x14ac:dyDescent="0.2">
      <c r="A1880" s="832" t="s">
        <v>3306</v>
      </c>
      <c r="B1880" s="833" t="s">
        <v>1415</v>
      </c>
      <c r="C1880" s="834" t="s">
        <v>41</v>
      </c>
      <c r="D1880" s="835">
        <v>162.77000000000001</v>
      </c>
    </row>
    <row r="1881" spans="1:4" x14ac:dyDescent="0.2">
      <c r="A1881" s="827" t="s">
        <v>3307</v>
      </c>
      <c r="B1881" s="828" t="s">
        <v>1417</v>
      </c>
      <c r="C1881" s="829" t="s">
        <v>41</v>
      </c>
      <c r="D1881" s="830">
        <v>124.16</v>
      </c>
    </row>
    <row r="1882" spans="1:4" x14ac:dyDescent="0.2">
      <c r="A1882" s="837" t="s">
        <v>3308</v>
      </c>
      <c r="B1882" s="838" t="s">
        <v>1523</v>
      </c>
      <c r="C1882" s="839"/>
      <c r="D1882" s="840"/>
    </row>
    <row r="1883" spans="1:4" x14ac:dyDescent="0.2">
      <c r="A1883" s="832" t="s">
        <v>3309</v>
      </c>
      <c r="B1883" s="833" t="s">
        <v>1415</v>
      </c>
      <c r="C1883" s="834" t="s">
        <v>41</v>
      </c>
      <c r="D1883" s="835">
        <v>166.55</v>
      </c>
    </row>
    <row r="1884" spans="1:4" x14ac:dyDescent="0.2">
      <c r="A1884" s="827" t="s">
        <v>3310</v>
      </c>
      <c r="B1884" s="828" t="s">
        <v>1417</v>
      </c>
      <c r="C1884" s="829" t="s">
        <v>41</v>
      </c>
      <c r="D1884" s="830">
        <v>127.01</v>
      </c>
    </row>
    <row r="1885" spans="1:4" x14ac:dyDescent="0.2">
      <c r="A1885" s="837" t="s">
        <v>3311</v>
      </c>
      <c r="B1885" s="838" t="s">
        <v>1528</v>
      </c>
      <c r="C1885" s="839"/>
      <c r="D1885" s="840"/>
    </row>
    <row r="1886" spans="1:4" x14ac:dyDescent="0.2">
      <c r="A1886" s="832" t="s">
        <v>3312</v>
      </c>
      <c r="B1886" s="833" t="s">
        <v>1415</v>
      </c>
      <c r="C1886" s="834" t="s">
        <v>41</v>
      </c>
      <c r="D1886" s="835">
        <v>162.77000000000001</v>
      </c>
    </row>
    <row r="1887" spans="1:4" x14ac:dyDescent="0.2">
      <c r="A1887" s="827" t="s">
        <v>3313</v>
      </c>
      <c r="B1887" s="828" t="s">
        <v>1417</v>
      </c>
      <c r="C1887" s="829" t="s">
        <v>41</v>
      </c>
      <c r="D1887" s="830">
        <v>124.99</v>
      </c>
    </row>
    <row r="1888" spans="1:4" x14ac:dyDescent="0.2">
      <c r="A1888" s="837" t="s">
        <v>3314</v>
      </c>
      <c r="B1888" s="838" t="s">
        <v>1533</v>
      </c>
      <c r="C1888" s="839"/>
      <c r="D1888" s="840"/>
    </row>
    <row r="1889" spans="1:4" x14ac:dyDescent="0.2">
      <c r="A1889" s="832" t="s">
        <v>3315</v>
      </c>
      <c r="B1889" s="833" t="s">
        <v>1415</v>
      </c>
      <c r="C1889" s="834" t="s">
        <v>41</v>
      </c>
      <c r="D1889" s="835">
        <v>164.53</v>
      </c>
    </row>
    <row r="1890" spans="1:4" x14ac:dyDescent="0.2">
      <c r="A1890" s="827" t="s">
        <v>3316</v>
      </c>
      <c r="B1890" s="828" t="s">
        <v>1417</v>
      </c>
      <c r="C1890" s="829" t="s">
        <v>41</v>
      </c>
      <c r="D1890" s="830">
        <v>127.49</v>
      </c>
    </row>
    <row r="1891" spans="1:4" x14ac:dyDescent="0.2">
      <c r="A1891" s="837" t="s">
        <v>3317</v>
      </c>
      <c r="B1891" s="838" t="s">
        <v>1538</v>
      </c>
      <c r="C1891" s="839"/>
      <c r="D1891" s="840"/>
    </row>
    <row r="1892" spans="1:4" x14ac:dyDescent="0.2">
      <c r="A1892" s="832" t="s">
        <v>3318</v>
      </c>
      <c r="B1892" s="833" t="s">
        <v>1415</v>
      </c>
      <c r="C1892" s="834" t="s">
        <v>41</v>
      </c>
      <c r="D1892" s="835">
        <v>213.78</v>
      </c>
    </row>
    <row r="1893" spans="1:4" x14ac:dyDescent="0.2">
      <c r="A1893" s="827" t="s">
        <v>3319</v>
      </c>
      <c r="B1893" s="828" t="s">
        <v>1417</v>
      </c>
      <c r="C1893" s="829" t="s">
        <v>41</v>
      </c>
      <c r="D1893" s="830">
        <v>336.05</v>
      </c>
    </row>
    <row r="1894" spans="1:4" x14ac:dyDescent="0.2">
      <c r="A1894" s="837" t="s">
        <v>3320</v>
      </c>
      <c r="B1894" s="838" t="s">
        <v>1542</v>
      </c>
      <c r="C1894" s="839"/>
      <c r="D1894" s="840"/>
    </row>
    <row r="1895" spans="1:4" x14ac:dyDescent="0.2">
      <c r="A1895" s="832" t="s">
        <v>3321</v>
      </c>
      <c r="B1895" s="833" t="s">
        <v>1415</v>
      </c>
      <c r="C1895" s="834" t="s">
        <v>41</v>
      </c>
      <c r="D1895" s="835">
        <v>390.5</v>
      </c>
    </row>
    <row r="1896" spans="1:4" x14ac:dyDescent="0.2">
      <c r="A1896" s="837" t="s">
        <v>3322</v>
      </c>
      <c r="B1896" s="838" t="s">
        <v>1545</v>
      </c>
      <c r="C1896" s="839"/>
      <c r="D1896" s="840"/>
    </row>
    <row r="1897" spans="1:4" x14ac:dyDescent="0.2">
      <c r="A1897" s="827" t="s">
        <v>3323</v>
      </c>
      <c r="B1897" s="828" t="s">
        <v>1415</v>
      </c>
      <c r="C1897" s="829" t="s">
        <v>41</v>
      </c>
      <c r="D1897" s="830">
        <v>70.09</v>
      </c>
    </row>
    <row r="1898" spans="1:4" x14ac:dyDescent="0.2">
      <c r="A1898" s="837" t="s">
        <v>3324</v>
      </c>
      <c r="B1898" s="838" t="s">
        <v>1548</v>
      </c>
      <c r="C1898" s="839"/>
      <c r="D1898" s="840"/>
    </row>
    <row r="1899" spans="1:4" x14ac:dyDescent="0.2">
      <c r="A1899" s="832" t="s">
        <v>3325</v>
      </c>
      <c r="B1899" s="833" t="s">
        <v>1415</v>
      </c>
      <c r="C1899" s="834" t="s">
        <v>41</v>
      </c>
      <c r="D1899" s="835">
        <v>82.94</v>
      </c>
    </row>
    <row r="1900" spans="1:4" x14ac:dyDescent="0.2">
      <c r="A1900" s="823" t="s">
        <v>1418</v>
      </c>
      <c r="B1900" s="824" t="s">
        <v>589</v>
      </c>
      <c r="C1900" s="825"/>
      <c r="D1900" s="826"/>
    </row>
    <row r="1901" spans="1:4" x14ac:dyDescent="0.2">
      <c r="A1901" s="837" t="s">
        <v>3326</v>
      </c>
      <c r="B1901" s="838" t="s">
        <v>1453</v>
      </c>
      <c r="C1901" s="839"/>
      <c r="D1901" s="840"/>
    </row>
    <row r="1902" spans="1:4" x14ac:dyDescent="0.2">
      <c r="A1902" s="827" t="s">
        <v>3327</v>
      </c>
      <c r="B1902" s="828" t="s">
        <v>1426</v>
      </c>
      <c r="C1902" s="829" t="s">
        <v>41</v>
      </c>
      <c r="D1902" s="830">
        <v>9.4</v>
      </c>
    </row>
    <row r="1903" spans="1:4" x14ac:dyDescent="0.2">
      <c r="A1903" s="837" t="s">
        <v>3328</v>
      </c>
      <c r="B1903" s="838" t="s">
        <v>1458</v>
      </c>
      <c r="C1903" s="839"/>
      <c r="D1903" s="840"/>
    </row>
    <row r="1904" spans="1:4" ht="15" x14ac:dyDescent="0.2">
      <c r="A1904" s="1007" t="s">
        <v>3329</v>
      </c>
      <c r="B1904" s="1008" t="s">
        <v>4214</v>
      </c>
      <c r="C1904" s="1009" t="s">
        <v>41</v>
      </c>
      <c r="D1904" s="1010">
        <v>193.41</v>
      </c>
    </row>
    <row r="1905" spans="1:4" ht="15" x14ac:dyDescent="0.2">
      <c r="A1905" s="1011" t="s">
        <v>4215</v>
      </c>
      <c r="B1905" s="1012" t="s">
        <v>1426</v>
      </c>
      <c r="C1905" s="1013" t="s">
        <v>41</v>
      </c>
      <c r="D1905" s="1014">
        <v>18.68</v>
      </c>
    </row>
    <row r="1906" spans="1:4" x14ac:dyDescent="0.2">
      <c r="A1906" s="837" t="s">
        <v>3330</v>
      </c>
      <c r="B1906" s="838" t="s">
        <v>1462</v>
      </c>
      <c r="C1906" s="839"/>
      <c r="D1906" s="840"/>
    </row>
    <row r="1907" spans="1:4" ht="15" x14ac:dyDescent="0.2">
      <c r="A1907" s="1007" t="s">
        <v>3331</v>
      </c>
      <c r="B1907" s="1008" t="s">
        <v>4214</v>
      </c>
      <c r="C1907" s="1009" t="s">
        <v>41</v>
      </c>
      <c r="D1907" s="1010">
        <v>138.97</v>
      </c>
    </row>
    <row r="1908" spans="1:4" ht="15" x14ac:dyDescent="0.2">
      <c r="A1908" s="1011" t="s">
        <v>4216</v>
      </c>
      <c r="B1908" s="1012" t="s">
        <v>1426</v>
      </c>
      <c r="C1908" s="1013" t="s">
        <v>41</v>
      </c>
      <c r="D1908" s="1014">
        <v>18.61</v>
      </c>
    </row>
    <row r="1909" spans="1:4" x14ac:dyDescent="0.2">
      <c r="A1909" s="837" t="s">
        <v>3332</v>
      </c>
      <c r="B1909" s="838" t="s">
        <v>1466</v>
      </c>
      <c r="C1909" s="839"/>
      <c r="D1909" s="840"/>
    </row>
    <row r="1910" spans="1:4" ht="15" x14ac:dyDescent="0.2">
      <c r="A1910" s="1007" t="s">
        <v>3333</v>
      </c>
      <c r="B1910" s="1008" t="s">
        <v>4214</v>
      </c>
      <c r="C1910" s="1009" t="s">
        <v>41</v>
      </c>
      <c r="D1910" s="1010">
        <v>139.99</v>
      </c>
    </row>
    <row r="1911" spans="1:4" ht="15" x14ac:dyDescent="0.2">
      <c r="A1911" s="1011" t="s">
        <v>4217</v>
      </c>
      <c r="B1911" s="1012" t="s">
        <v>1426</v>
      </c>
      <c r="C1911" s="1013" t="s">
        <v>41</v>
      </c>
      <c r="D1911" s="1014">
        <v>18.61</v>
      </c>
    </row>
    <row r="1912" spans="1:4" x14ac:dyDescent="0.2">
      <c r="A1912" s="837" t="s">
        <v>3334</v>
      </c>
      <c r="B1912" s="838" t="s">
        <v>1470</v>
      </c>
      <c r="C1912" s="839"/>
      <c r="D1912" s="840"/>
    </row>
    <row r="1913" spans="1:4" ht="15" x14ac:dyDescent="0.2">
      <c r="A1913" s="1007" t="s">
        <v>3335</v>
      </c>
      <c r="B1913" s="1008" t="s">
        <v>4210</v>
      </c>
      <c r="C1913" s="1009" t="s">
        <v>54</v>
      </c>
      <c r="D1913" s="1010">
        <v>68.42</v>
      </c>
    </row>
    <row r="1914" spans="1:4" ht="15" x14ac:dyDescent="0.2">
      <c r="A1914" s="1011" t="s">
        <v>3336</v>
      </c>
      <c r="B1914" s="1012" t="s">
        <v>4211</v>
      </c>
      <c r="C1914" s="1013" t="s">
        <v>54</v>
      </c>
      <c r="D1914" s="1014">
        <v>42.28</v>
      </c>
    </row>
    <row r="1915" spans="1:4" ht="15" x14ac:dyDescent="0.2">
      <c r="A1915" s="1007" t="s">
        <v>4218</v>
      </c>
      <c r="B1915" s="1008" t="s">
        <v>4214</v>
      </c>
      <c r="C1915" s="1009" t="s">
        <v>41</v>
      </c>
      <c r="D1915" s="1010">
        <v>133.36000000000001</v>
      </c>
    </row>
    <row r="1916" spans="1:4" ht="15" x14ac:dyDescent="0.2">
      <c r="A1916" s="1011" t="s">
        <v>4219</v>
      </c>
      <c r="B1916" s="1012" t="s">
        <v>1420</v>
      </c>
      <c r="C1916" s="1013" t="s">
        <v>41</v>
      </c>
      <c r="D1916" s="1014">
        <v>64.31</v>
      </c>
    </row>
    <row r="1917" spans="1:4" ht="15" x14ac:dyDescent="0.2">
      <c r="A1917" s="1007" t="s">
        <v>4220</v>
      </c>
      <c r="B1917" s="1008" t="s">
        <v>1426</v>
      </c>
      <c r="C1917" s="1009" t="s">
        <v>41</v>
      </c>
      <c r="D1917" s="1010">
        <v>26.06</v>
      </c>
    </row>
    <row r="1918" spans="1:4" ht="15" x14ac:dyDescent="0.2">
      <c r="A1918" s="1003" t="s">
        <v>3337</v>
      </c>
      <c r="B1918" s="1004" t="s">
        <v>1473</v>
      </c>
      <c r="C1918" s="1005"/>
      <c r="D1918" s="1006"/>
    </row>
    <row r="1919" spans="1:4" ht="15" x14ac:dyDescent="0.2">
      <c r="A1919" s="1011" t="s">
        <v>3338</v>
      </c>
      <c r="B1919" s="1012" t="s">
        <v>4221</v>
      </c>
      <c r="C1919" s="1013" t="s">
        <v>54</v>
      </c>
      <c r="D1919" s="1014">
        <v>4.67</v>
      </c>
    </row>
    <row r="1920" spans="1:4" ht="15" x14ac:dyDescent="0.2">
      <c r="A1920" s="1003" t="s">
        <v>3339</v>
      </c>
      <c r="B1920" s="1004" t="s">
        <v>1478</v>
      </c>
      <c r="C1920" s="1005"/>
      <c r="D1920" s="1006"/>
    </row>
    <row r="1921" spans="1:4" ht="15" x14ac:dyDescent="0.2">
      <c r="A1921" s="1007" t="s">
        <v>3340</v>
      </c>
      <c r="B1921" s="1008" t="s">
        <v>4210</v>
      </c>
      <c r="C1921" s="1009" t="s">
        <v>54</v>
      </c>
      <c r="D1921" s="1010">
        <v>107.34</v>
      </c>
    </row>
    <row r="1922" spans="1:4" ht="15" x14ac:dyDescent="0.2">
      <c r="A1922" s="1011" t="s">
        <v>4222</v>
      </c>
      <c r="B1922" s="1012" t="s">
        <v>4221</v>
      </c>
      <c r="C1922" s="1013" t="s">
        <v>54</v>
      </c>
      <c r="D1922" s="1014">
        <v>5.61</v>
      </c>
    </row>
    <row r="1923" spans="1:4" ht="15" x14ac:dyDescent="0.2">
      <c r="A1923" s="1003" t="s">
        <v>3341</v>
      </c>
      <c r="B1923" s="1004" t="s">
        <v>1483</v>
      </c>
      <c r="C1923" s="1005"/>
      <c r="D1923" s="1006"/>
    </row>
    <row r="1924" spans="1:4" ht="15" x14ac:dyDescent="0.2">
      <c r="A1924" s="1007" t="s">
        <v>3342</v>
      </c>
      <c r="B1924" s="1008" t="s">
        <v>4210</v>
      </c>
      <c r="C1924" s="1009" t="s">
        <v>54</v>
      </c>
      <c r="D1924" s="1010">
        <v>107.34</v>
      </c>
    </row>
    <row r="1925" spans="1:4" ht="15" x14ac:dyDescent="0.2">
      <c r="A1925" s="1011" t="s">
        <v>4223</v>
      </c>
      <c r="B1925" s="1012" t="s">
        <v>4221</v>
      </c>
      <c r="C1925" s="1013" t="s">
        <v>54</v>
      </c>
      <c r="D1925" s="1014">
        <v>4.75</v>
      </c>
    </row>
    <row r="1926" spans="1:4" ht="15" x14ac:dyDescent="0.2">
      <c r="A1926" s="1003" t="s">
        <v>3343</v>
      </c>
      <c r="B1926" s="1004" t="s">
        <v>1488</v>
      </c>
      <c r="C1926" s="1005"/>
      <c r="D1926" s="1006"/>
    </row>
    <row r="1927" spans="1:4" ht="15" x14ac:dyDescent="0.2">
      <c r="A1927" s="1007" t="s">
        <v>3344</v>
      </c>
      <c r="B1927" s="1008" t="s">
        <v>4210</v>
      </c>
      <c r="C1927" s="1009" t="s">
        <v>54</v>
      </c>
      <c r="D1927" s="1010">
        <v>107.34</v>
      </c>
    </row>
    <row r="1928" spans="1:4" ht="15" x14ac:dyDescent="0.2">
      <c r="A1928" s="1011" t="s">
        <v>3345</v>
      </c>
      <c r="B1928" s="1012" t="s">
        <v>4221</v>
      </c>
      <c r="C1928" s="1013" t="s">
        <v>54</v>
      </c>
      <c r="D1928" s="1014">
        <v>5.62</v>
      </c>
    </row>
    <row r="1929" spans="1:4" ht="15" x14ac:dyDescent="0.2">
      <c r="A1929" s="1003" t="s">
        <v>3346</v>
      </c>
      <c r="B1929" s="1004" t="s">
        <v>1493</v>
      </c>
      <c r="C1929" s="1005"/>
      <c r="D1929" s="1006"/>
    </row>
    <row r="1930" spans="1:4" ht="15" x14ac:dyDescent="0.2">
      <c r="A1930" s="1007" t="s">
        <v>3347</v>
      </c>
      <c r="B1930" s="1008" t="s">
        <v>4210</v>
      </c>
      <c r="C1930" s="1009" t="s">
        <v>54</v>
      </c>
      <c r="D1930" s="1010">
        <v>107.34</v>
      </c>
    </row>
    <row r="1931" spans="1:4" ht="15" x14ac:dyDescent="0.2">
      <c r="A1931" s="1011" t="s">
        <v>4224</v>
      </c>
      <c r="B1931" s="1012" t="s">
        <v>4221</v>
      </c>
      <c r="C1931" s="1013" t="s">
        <v>54</v>
      </c>
      <c r="D1931" s="1014">
        <v>4.75</v>
      </c>
    </row>
    <row r="1932" spans="1:4" x14ac:dyDescent="0.2">
      <c r="A1932" s="837" t="s">
        <v>3337</v>
      </c>
      <c r="B1932" s="838" t="s">
        <v>1498</v>
      </c>
      <c r="C1932" s="839"/>
      <c r="D1932" s="840"/>
    </row>
    <row r="1933" spans="1:4" ht="15" x14ac:dyDescent="0.2">
      <c r="A1933" s="1007" t="s">
        <v>3349</v>
      </c>
      <c r="B1933" s="1008" t="s">
        <v>4210</v>
      </c>
      <c r="C1933" s="1009" t="s">
        <v>54</v>
      </c>
      <c r="D1933" s="1010">
        <v>107.34</v>
      </c>
    </row>
    <row r="1934" spans="1:4" ht="15" x14ac:dyDescent="0.2">
      <c r="A1934" s="1011" t="s">
        <v>4225</v>
      </c>
      <c r="B1934" s="1012" t="s">
        <v>4221</v>
      </c>
      <c r="C1934" s="1013" t="s">
        <v>54</v>
      </c>
      <c r="D1934" s="1014">
        <v>5.22</v>
      </c>
    </row>
    <row r="1935" spans="1:4" ht="15" x14ac:dyDescent="0.2">
      <c r="A1935" s="1007" t="s">
        <v>4226</v>
      </c>
      <c r="B1935" s="1008" t="s">
        <v>1426</v>
      </c>
      <c r="C1935" s="1009" t="s">
        <v>41</v>
      </c>
      <c r="D1935" s="1010">
        <v>25.14</v>
      </c>
    </row>
    <row r="1936" spans="1:4" x14ac:dyDescent="0.2">
      <c r="A1936" s="837" t="s">
        <v>3339</v>
      </c>
      <c r="B1936" s="838" t="s">
        <v>1503</v>
      </c>
      <c r="C1936" s="839"/>
      <c r="D1936" s="840"/>
    </row>
    <row r="1937" spans="1:4" x14ac:dyDescent="0.2">
      <c r="A1937" s="832" t="s">
        <v>3351</v>
      </c>
      <c r="B1937" s="833" t="s">
        <v>4210</v>
      </c>
      <c r="C1937" s="834" t="s">
        <v>54</v>
      </c>
      <c r="D1937" s="835">
        <v>107.34</v>
      </c>
    </row>
    <row r="1938" spans="1:4" x14ac:dyDescent="0.2">
      <c r="A1938" s="832" t="s">
        <v>4227</v>
      </c>
      <c r="B1938" s="833" t="s">
        <v>4221</v>
      </c>
      <c r="C1938" s="834" t="s">
        <v>54</v>
      </c>
      <c r="D1938" s="835">
        <v>4.75</v>
      </c>
    </row>
    <row r="1939" spans="1:4" x14ac:dyDescent="0.2">
      <c r="A1939" s="832" t="s">
        <v>4228</v>
      </c>
      <c r="B1939" s="833" t="s">
        <v>1426</v>
      </c>
      <c r="C1939" s="834" t="s">
        <v>41</v>
      </c>
      <c r="D1939" s="835">
        <v>25.16</v>
      </c>
    </row>
    <row r="1940" spans="1:4" x14ac:dyDescent="0.2">
      <c r="A1940" s="837" t="s">
        <v>3341</v>
      </c>
      <c r="B1940" s="838" t="s">
        <v>1508</v>
      </c>
      <c r="C1940" s="839"/>
      <c r="D1940" s="840"/>
    </row>
    <row r="1941" spans="1:4" ht="15" x14ac:dyDescent="0.2">
      <c r="A1941" s="1007" t="s">
        <v>4229</v>
      </c>
      <c r="B1941" s="1008" t="s">
        <v>4210</v>
      </c>
      <c r="C1941" s="1009" t="s">
        <v>54</v>
      </c>
      <c r="D1941" s="1010">
        <v>107.34</v>
      </c>
    </row>
    <row r="1942" spans="1:4" ht="15" x14ac:dyDescent="0.2">
      <c r="A1942" s="1011" t="s">
        <v>4230</v>
      </c>
      <c r="B1942" s="1012" t="s">
        <v>4221</v>
      </c>
      <c r="C1942" s="1013" t="s">
        <v>54</v>
      </c>
      <c r="D1942" s="1014">
        <v>5.62</v>
      </c>
    </row>
    <row r="1943" spans="1:4" ht="15" x14ac:dyDescent="0.2">
      <c r="A1943" s="1007" t="s">
        <v>4231</v>
      </c>
      <c r="B1943" s="1008" t="s">
        <v>1426</v>
      </c>
      <c r="C1943" s="1009" t="s">
        <v>41</v>
      </c>
      <c r="D1943" s="1010">
        <v>25.17</v>
      </c>
    </row>
    <row r="1944" spans="1:4" ht="15" x14ac:dyDescent="0.2">
      <c r="A1944" s="1003" t="s">
        <v>4232</v>
      </c>
      <c r="B1944" s="1004" t="s">
        <v>1513</v>
      </c>
      <c r="C1944" s="1005"/>
      <c r="D1944" s="1006"/>
    </row>
    <row r="1945" spans="1:4" ht="15" x14ac:dyDescent="0.2">
      <c r="A1945" s="1011" t="s">
        <v>4233</v>
      </c>
      <c r="B1945" s="1012" t="s">
        <v>4210</v>
      </c>
      <c r="C1945" s="1013" t="s">
        <v>54</v>
      </c>
      <c r="D1945" s="1014">
        <v>107.34</v>
      </c>
    </row>
    <row r="1946" spans="1:4" ht="15" x14ac:dyDescent="0.2">
      <c r="A1946" s="1007" t="s">
        <v>4234</v>
      </c>
      <c r="B1946" s="1008" t="s">
        <v>4221</v>
      </c>
      <c r="C1946" s="1009" t="s">
        <v>54</v>
      </c>
      <c r="D1946" s="1010">
        <v>4.75</v>
      </c>
    </row>
    <row r="1947" spans="1:4" ht="15" x14ac:dyDescent="0.2">
      <c r="A1947" s="1003" t="s">
        <v>4235</v>
      </c>
      <c r="B1947" s="1004" t="s">
        <v>1518</v>
      </c>
      <c r="C1947" s="1005"/>
      <c r="D1947" s="1006"/>
    </row>
    <row r="1948" spans="1:4" ht="15" x14ac:dyDescent="0.2">
      <c r="A1948" s="1011" t="s">
        <v>4236</v>
      </c>
      <c r="B1948" s="1012" t="s">
        <v>4210</v>
      </c>
      <c r="C1948" s="1013" t="s">
        <v>54</v>
      </c>
      <c r="D1948" s="1014">
        <v>107.34</v>
      </c>
    </row>
    <row r="1949" spans="1:4" ht="15" x14ac:dyDescent="0.2">
      <c r="A1949" s="1007" t="s">
        <v>4237</v>
      </c>
      <c r="B1949" s="1008" t="s">
        <v>4221</v>
      </c>
      <c r="C1949" s="1009" t="s">
        <v>54</v>
      </c>
      <c r="D1949" s="1010">
        <v>5.62</v>
      </c>
    </row>
    <row r="1950" spans="1:4" ht="15" x14ac:dyDescent="0.2">
      <c r="A1950" s="1003" t="s">
        <v>4238</v>
      </c>
      <c r="B1950" s="1004" t="s">
        <v>1523</v>
      </c>
      <c r="C1950" s="1005"/>
      <c r="D1950" s="1006"/>
    </row>
    <row r="1951" spans="1:4" ht="15" x14ac:dyDescent="0.2">
      <c r="A1951" s="1011" t="s">
        <v>4239</v>
      </c>
      <c r="B1951" s="1012" t="s">
        <v>4210</v>
      </c>
      <c r="C1951" s="1013" t="s">
        <v>54</v>
      </c>
      <c r="D1951" s="1014">
        <v>107.34</v>
      </c>
    </row>
    <row r="1952" spans="1:4" ht="15" x14ac:dyDescent="0.2">
      <c r="A1952" s="1007" t="s">
        <v>4240</v>
      </c>
      <c r="B1952" s="1008" t="s">
        <v>4221</v>
      </c>
      <c r="C1952" s="1009" t="s">
        <v>54</v>
      </c>
      <c r="D1952" s="1010">
        <v>4.75</v>
      </c>
    </row>
    <row r="1953" spans="1:4" ht="15" x14ac:dyDescent="0.2">
      <c r="A1953" s="1003" t="s">
        <v>4241</v>
      </c>
      <c r="B1953" s="1004" t="s">
        <v>1528</v>
      </c>
      <c r="C1953" s="1005"/>
      <c r="D1953" s="1006"/>
    </row>
    <row r="1954" spans="1:4" ht="15" x14ac:dyDescent="0.2">
      <c r="A1954" s="1011" t="s">
        <v>4242</v>
      </c>
      <c r="B1954" s="1012" t="s">
        <v>4210</v>
      </c>
      <c r="C1954" s="1013" t="s">
        <v>54</v>
      </c>
      <c r="D1954" s="1014">
        <v>107.34</v>
      </c>
    </row>
    <row r="1955" spans="1:4" ht="15" x14ac:dyDescent="0.2">
      <c r="A1955" s="1007" t="s">
        <v>4243</v>
      </c>
      <c r="B1955" s="1008" t="s">
        <v>4221</v>
      </c>
      <c r="C1955" s="1009" t="s">
        <v>54</v>
      </c>
      <c r="D1955" s="1010">
        <v>5.62</v>
      </c>
    </row>
    <row r="1956" spans="1:4" ht="15" x14ac:dyDescent="0.2">
      <c r="A1956" s="1003" t="s">
        <v>4244</v>
      </c>
      <c r="B1956" s="1004" t="s">
        <v>1533</v>
      </c>
      <c r="C1956" s="1005"/>
      <c r="D1956" s="1006"/>
    </row>
    <row r="1957" spans="1:4" ht="15" x14ac:dyDescent="0.2">
      <c r="A1957" s="1011" t="s">
        <v>4245</v>
      </c>
      <c r="B1957" s="1012" t="s">
        <v>4210</v>
      </c>
      <c r="C1957" s="1013" t="s">
        <v>54</v>
      </c>
      <c r="D1957" s="1014">
        <v>107.34</v>
      </c>
    </row>
    <row r="1958" spans="1:4" ht="15" x14ac:dyDescent="0.2">
      <c r="A1958" s="1007" t="s">
        <v>4246</v>
      </c>
      <c r="B1958" s="1008" t="s">
        <v>4221</v>
      </c>
      <c r="C1958" s="1009" t="s">
        <v>54</v>
      </c>
      <c r="D1958" s="1010">
        <v>5.0599999999999996</v>
      </c>
    </row>
    <row r="1959" spans="1:4" x14ac:dyDescent="0.2">
      <c r="A1959" s="837" t="s">
        <v>3343</v>
      </c>
      <c r="B1959" s="838" t="s">
        <v>1538</v>
      </c>
      <c r="C1959" s="839"/>
      <c r="D1959" s="840"/>
    </row>
    <row r="1960" spans="1:4" ht="15" x14ac:dyDescent="0.2">
      <c r="A1960" s="1011" t="s">
        <v>4247</v>
      </c>
      <c r="B1960" s="1012" t="s">
        <v>4210</v>
      </c>
      <c r="C1960" s="1013" t="s">
        <v>54</v>
      </c>
      <c r="D1960" s="1014">
        <v>85.32</v>
      </c>
    </row>
    <row r="1961" spans="1:4" ht="15" x14ac:dyDescent="0.2">
      <c r="A1961" s="1007" t="s">
        <v>4248</v>
      </c>
      <c r="B1961" s="1008" t="s">
        <v>1422</v>
      </c>
      <c r="C1961" s="1009" t="s">
        <v>41</v>
      </c>
      <c r="D1961" s="1010">
        <v>15.06</v>
      </c>
    </row>
    <row r="1962" spans="1:4" ht="15" x14ac:dyDescent="0.2">
      <c r="A1962" s="1011" t="s">
        <v>4249</v>
      </c>
      <c r="B1962" s="1012" t="s">
        <v>1424</v>
      </c>
      <c r="C1962" s="1013" t="s">
        <v>41</v>
      </c>
      <c r="D1962" s="1014">
        <v>30.58</v>
      </c>
    </row>
    <row r="1963" spans="1:4" ht="15" x14ac:dyDescent="0.2">
      <c r="A1963" s="1007" t="s">
        <v>4250</v>
      </c>
      <c r="B1963" s="1008" t="s">
        <v>1428</v>
      </c>
      <c r="C1963" s="1009" t="s">
        <v>41</v>
      </c>
      <c r="D1963" s="1010">
        <v>18.86</v>
      </c>
    </row>
    <row r="1964" spans="1:4" x14ac:dyDescent="0.2">
      <c r="A1964" s="837" t="s">
        <v>3346</v>
      </c>
      <c r="B1964" s="838" t="s">
        <v>1542</v>
      </c>
      <c r="C1964" s="839"/>
      <c r="D1964" s="840"/>
    </row>
    <row r="1965" spans="1:4" x14ac:dyDescent="0.2">
      <c r="A1965" s="827" t="s">
        <v>3347</v>
      </c>
      <c r="B1965" s="828" t="s">
        <v>1426</v>
      </c>
      <c r="C1965" s="829" t="s">
        <v>41</v>
      </c>
      <c r="D1965" s="830">
        <v>390.5</v>
      </c>
    </row>
    <row r="1966" spans="1:4" x14ac:dyDescent="0.2">
      <c r="A1966" s="837" t="s">
        <v>3348</v>
      </c>
      <c r="B1966" s="838" t="s">
        <v>1545</v>
      </c>
      <c r="C1966" s="839"/>
      <c r="D1966" s="840"/>
    </row>
    <row r="1967" spans="1:4" x14ac:dyDescent="0.2">
      <c r="A1967" s="832" t="s">
        <v>3349</v>
      </c>
      <c r="B1967" s="833" t="s">
        <v>1426</v>
      </c>
      <c r="C1967" s="834" t="s">
        <v>41</v>
      </c>
      <c r="D1967" s="835">
        <v>70.09</v>
      </c>
    </row>
    <row r="1968" spans="1:4" x14ac:dyDescent="0.2">
      <c r="A1968" s="837" t="s">
        <v>3350</v>
      </c>
      <c r="B1968" s="838" t="s">
        <v>1548</v>
      </c>
      <c r="C1968" s="839"/>
      <c r="D1968" s="840"/>
    </row>
    <row r="1969" spans="1:4" x14ac:dyDescent="0.2">
      <c r="A1969" s="827" t="s">
        <v>3351</v>
      </c>
      <c r="B1969" s="828" t="s">
        <v>1426</v>
      </c>
      <c r="C1969" s="829" t="s">
        <v>41</v>
      </c>
      <c r="D1969" s="830">
        <v>82.94</v>
      </c>
    </row>
    <row r="1970" spans="1:4" x14ac:dyDescent="0.2">
      <c r="A1970" s="823" t="s">
        <v>1429</v>
      </c>
      <c r="B1970" s="824" t="s">
        <v>1430</v>
      </c>
      <c r="C1970" s="825"/>
      <c r="D1970" s="826"/>
    </row>
    <row r="1971" spans="1:4" x14ac:dyDescent="0.2">
      <c r="A1971" s="837" t="s">
        <v>3352</v>
      </c>
      <c r="B1971" s="838" t="s">
        <v>1453</v>
      </c>
      <c r="C1971" s="839"/>
      <c r="D1971" s="840"/>
    </row>
    <row r="1972" spans="1:4" x14ac:dyDescent="0.2">
      <c r="A1972" s="832" t="s">
        <v>3353</v>
      </c>
      <c r="B1972" s="833" t="s">
        <v>1432</v>
      </c>
      <c r="C1972" s="834" t="s">
        <v>41</v>
      </c>
      <c r="D1972" s="835">
        <v>861.62</v>
      </c>
    </row>
    <row r="1973" spans="1:4" x14ac:dyDescent="0.2">
      <c r="A1973" s="837" t="s">
        <v>3354</v>
      </c>
      <c r="B1973" s="838" t="s">
        <v>1458</v>
      </c>
      <c r="C1973" s="839"/>
      <c r="D1973" s="840"/>
    </row>
    <row r="1974" spans="1:4" x14ac:dyDescent="0.2">
      <c r="A1974" s="827" t="s">
        <v>3355</v>
      </c>
      <c r="B1974" s="828" t="s">
        <v>1432</v>
      </c>
      <c r="C1974" s="829" t="s">
        <v>41</v>
      </c>
      <c r="D1974" s="830">
        <v>843.28</v>
      </c>
    </row>
    <row r="1975" spans="1:4" x14ac:dyDescent="0.2">
      <c r="A1975" s="837" t="s">
        <v>3356</v>
      </c>
      <c r="B1975" s="838" t="s">
        <v>1462</v>
      </c>
      <c r="C1975" s="839"/>
      <c r="D1975" s="840"/>
    </row>
    <row r="1976" spans="1:4" x14ac:dyDescent="0.2">
      <c r="A1976" s="832" t="s">
        <v>3357</v>
      </c>
      <c r="B1976" s="833" t="s">
        <v>1432</v>
      </c>
      <c r="C1976" s="834" t="s">
        <v>41</v>
      </c>
      <c r="D1976" s="835">
        <v>701.94</v>
      </c>
    </row>
    <row r="1977" spans="1:4" x14ac:dyDescent="0.2">
      <c r="A1977" s="837" t="s">
        <v>3358</v>
      </c>
      <c r="B1977" s="838" t="s">
        <v>1466</v>
      </c>
      <c r="C1977" s="839"/>
      <c r="D1977" s="840"/>
    </row>
    <row r="1978" spans="1:4" x14ac:dyDescent="0.2">
      <c r="A1978" s="827" t="s">
        <v>3359</v>
      </c>
      <c r="B1978" s="828" t="s">
        <v>1432</v>
      </c>
      <c r="C1978" s="829" t="s">
        <v>41</v>
      </c>
      <c r="D1978" s="830">
        <v>701.63</v>
      </c>
    </row>
    <row r="1979" spans="1:4" x14ac:dyDescent="0.2">
      <c r="A1979" s="837" t="s">
        <v>3360</v>
      </c>
      <c r="B1979" s="838" t="s">
        <v>1470</v>
      </c>
      <c r="C1979" s="839"/>
      <c r="D1979" s="840"/>
    </row>
    <row r="1980" spans="1:4" x14ac:dyDescent="0.2">
      <c r="A1980" s="832" t="s">
        <v>3361</v>
      </c>
      <c r="B1980" s="833" t="s">
        <v>1432</v>
      </c>
      <c r="C1980" s="834" t="s">
        <v>41</v>
      </c>
      <c r="D1980" s="835">
        <v>784.98</v>
      </c>
    </row>
    <row r="1981" spans="1:4" x14ac:dyDescent="0.2">
      <c r="A1981" s="837" t="s">
        <v>3362</v>
      </c>
      <c r="B1981" s="838" t="s">
        <v>1473</v>
      </c>
      <c r="C1981" s="839"/>
      <c r="D1981" s="840"/>
    </row>
    <row r="1982" spans="1:4" x14ac:dyDescent="0.2">
      <c r="A1982" s="827" t="s">
        <v>3363</v>
      </c>
      <c r="B1982" s="828" t="s">
        <v>1432</v>
      </c>
      <c r="C1982" s="829" t="s">
        <v>41</v>
      </c>
      <c r="D1982" s="830">
        <v>288.7</v>
      </c>
    </row>
    <row r="1983" spans="1:4" x14ac:dyDescent="0.2">
      <c r="A1983" s="837" t="s">
        <v>3364</v>
      </c>
      <c r="B1983" s="838" t="s">
        <v>1478</v>
      </c>
      <c r="C1983" s="839"/>
      <c r="D1983" s="840"/>
    </row>
    <row r="1984" spans="1:4" x14ac:dyDescent="0.2">
      <c r="A1984" s="832" t="s">
        <v>3365</v>
      </c>
      <c r="B1984" s="833" t="s">
        <v>1432</v>
      </c>
      <c r="C1984" s="834" t="s">
        <v>41</v>
      </c>
      <c r="D1984" s="835">
        <v>293.42</v>
      </c>
    </row>
    <row r="1985" spans="1:4" x14ac:dyDescent="0.2">
      <c r="A1985" s="837" t="s">
        <v>3366</v>
      </c>
      <c r="B1985" s="838" t="s">
        <v>1483</v>
      </c>
      <c r="C1985" s="839"/>
      <c r="D1985" s="840"/>
    </row>
    <row r="1986" spans="1:4" x14ac:dyDescent="0.2">
      <c r="A1986" s="827" t="s">
        <v>3367</v>
      </c>
      <c r="B1986" s="828" t="s">
        <v>1432</v>
      </c>
      <c r="C1986" s="829" t="s">
        <v>41</v>
      </c>
      <c r="D1986" s="830">
        <v>289.86</v>
      </c>
    </row>
    <row r="1987" spans="1:4" x14ac:dyDescent="0.2">
      <c r="A1987" s="837" t="s">
        <v>3368</v>
      </c>
      <c r="B1987" s="838" t="s">
        <v>1488</v>
      </c>
      <c r="C1987" s="839"/>
      <c r="D1987" s="840"/>
    </row>
    <row r="1988" spans="1:4" x14ac:dyDescent="0.2">
      <c r="A1988" s="832" t="s">
        <v>3369</v>
      </c>
      <c r="B1988" s="833" t="s">
        <v>1432</v>
      </c>
      <c r="C1988" s="834" t="s">
        <v>41</v>
      </c>
      <c r="D1988" s="835">
        <v>290.23</v>
      </c>
    </row>
    <row r="1989" spans="1:4" x14ac:dyDescent="0.2">
      <c r="A1989" s="837" t="s">
        <v>3370</v>
      </c>
      <c r="B1989" s="838" t="s">
        <v>1493</v>
      </c>
      <c r="C1989" s="839"/>
      <c r="D1989" s="840"/>
    </row>
    <row r="1990" spans="1:4" x14ac:dyDescent="0.2">
      <c r="A1990" s="827" t="s">
        <v>3371</v>
      </c>
      <c r="B1990" s="828" t="s">
        <v>1432</v>
      </c>
      <c r="C1990" s="829" t="s">
        <v>41</v>
      </c>
      <c r="D1990" s="830">
        <v>290.49</v>
      </c>
    </row>
    <row r="1991" spans="1:4" x14ac:dyDescent="0.2">
      <c r="A1991" s="837" t="s">
        <v>3372</v>
      </c>
      <c r="B1991" s="838" t="s">
        <v>1498</v>
      </c>
      <c r="C1991" s="839"/>
      <c r="D1991" s="840"/>
    </row>
    <row r="1992" spans="1:4" x14ac:dyDescent="0.2">
      <c r="A1992" s="832" t="s">
        <v>3373</v>
      </c>
      <c r="B1992" s="833" t="s">
        <v>1432</v>
      </c>
      <c r="C1992" s="834" t="s">
        <v>41</v>
      </c>
      <c r="D1992" s="835">
        <v>287.36</v>
      </c>
    </row>
    <row r="1993" spans="1:4" x14ac:dyDescent="0.2">
      <c r="A1993" s="837" t="s">
        <v>3374</v>
      </c>
      <c r="B1993" s="838" t="s">
        <v>1503</v>
      </c>
      <c r="C1993" s="839"/>
      <c r="D1993" s="840"/>
    </row>
    <row r="1994" spans="1:4" x14ac:dyDescent="0.2">
      <c r="A1994" s="827" t="s">
        <v>3375</v>
      </c>
      <c r="B1994" s="828" t="s">
        <v>1432</v>
      </c>
      <c r="C1994" s="829" t="s">
        <v>41</v>
      </c>
      <c r="D1994" s="830">
        <v>286.75</v>
      </c>
    </row>
    <row r="1995" spans="1:4" x14ac:dyDescent="0.2">
      <c r="A1995" s="837" t="s">
        <v>3376</v>
      </c>
      <c r="B1995" s="838" t="s">
        <v>1508</v>
      </c>
      <c r="C1995" s="839"/>
      <c r="D1995" s="840"/>
    </row>
    <row r="1996" spans="1:4" x14ac:dyDescent="0.2">
      <c r="A1996" s="832" t="s">
        <v>3377</v>
      </c>
      <c r="B1996" s="833" t="s">
        <v>1432</v>
      </c>
      <c r="C1996" s="834" t="s">
        <v>41</v>
      </c>
      <c r="D1996" s="835">
        <v>286.37</v>
      </c>
    </row>
    <row r="1997" spans="1:4" x14ac:dyDescent="0.2">
      <c r="A1997" s="837" t="s">
        <v>3378</v>
      </c>
      <c r="B1997" s="838" t="s">
        <v>1513</v>
      </c>
      <c r="C1997" s="839"/>
      <c r="D1997" s="840"/>
    </row>
    <row r="1998" spans="1:4" x14ac:dyDescent="0.2">
      <c r="A1998" s="827" t="s">
        <v>3379</v>
      </c>
      <c r="B1998" s="828" t="s">
        <v>1432</v>
      </c>
      <c r="C1998" s="829" t="s">
        <v>41</v>
      </c>
      <c r="D1998" s="830">
        <v>293.56</v>
      </c>
    </row>
    <row r="1999" spans="1:4" x14ac:dyDescent="0.2">
      <c r="A1999" s="837" t="s">
        <v>3380</v>
      </c>
      <c r="B1999" s="838" t="s">
        <v>1518</v>
      </c>
      <c r="C1999" s="839"/>
      <c r="D1999" s="840"/>
    </row>
    <row r="2000" spans="1:4" x14ac:dyDescent="0.2">
      <c r="A2000" s="832" t="s">
        <v>3381</v>
      </c>
      <c r="B2000" s="833" t="s">
        <v>1432</v>
      </c>
      <c r="C2000" s="834" t="s">
        <v>41</v>
      </c>
      <c r="D2000" s="835">
        <v>286.93</v>
      </c>
    </row>
    <row r="2001" spans="1:4" x14ac:dyDescent="0.2">
      <c r="A2001" s="837" t="s">
        <v>3382</v>
      </c>
      <c r="B2001" s="838" t="s">
        <v>1523</v>
      </c>
      <c r="C2001" s="839"/>
      <c r="D2001" s="840"/>
    </row>
    <row r="2002" spans="1:4" x14ac:dyDescent="0.2">
      <c r="A2002" s="827" t="s">
        <v>3383</v>
      </c>
      <c r="B2002" s="828" t="s">
        <v>1432</v>
      </c>
      <c r="C2002" s="829" t="s">
        <v>41</v>
      </c>
      <c r="D2002" s="830">
        <v>293.56</v>
      </c>
    </row>
    <row r="2003" spans="1:4" x14ac:dyDescent="0.2">
      <c r="A2003" s="837" t="s">
        <v>3384</v>
      </c>
      <c r="B2003" s="838" t="s">
        <v>1528</v>
      </c>
      <c r="C2003" s="839"/>
      <c r="D2003" s="840"/>
    </row>
    <row r="2004" spans="1:4" x14ac:dyDescent="0.2">
      <c r="A2004" s="832" t="s">
        <v>3385</v>
      </c>
      <c r="B2004" s="833" t="s">
        <v>1432</v>
      </c>
      <c r="C2004" s="834" t="s">
        <v>41</v>
      </c>
      <c r="D2004" s="835">
        <v>287.76</v>
      </c>
    </row>
    <row r="2005" spans="1:4" x14ac:dyDescent="0.2">
      <c r="A2005" s="837" t="s">
        <v>3386</v>
      </c>
      <c r="B2005" s="838" t="s">
        <v>1533</v>
      </c>
      <c r="C2005" s="839"/>
      <c r="D2005" s="840"/>
    </row>
    <row r="2006" spans="1:4" x14ac:dyDescent="0.2">
      <c r="A2006" s="827" t="s">
        <v>3387</v>
      </c>
      <c r="B2006" s="828" t="s">
        <v>1432</v>
      </c>
      <c r="C2006" s="829" t="s">
        <v>41</v>
      </c>
      <c r="D2006" s="830">
        <v>292.01</v>
      </c>
    </row>
    <row r="2007" spans="1:4" x14ac:dyDescent="0.2">
      <c r="A2007" s="837" t="s">
        <v>3388</v>
      </c>
      <c r="B2007" s="838" t="s">
        <v>1538</v>
      </c>
      <c r="C2007" s="839"/>
      <c r="D2007" s="840"/>
    </row>
    <row r="2008" spans="1:4" x14ac:dyDescent="0.2">
      <c r="A2008" s="832" t="s">
        <v>3389</v>
      </c>
      <c r="B2008" s="833" t="s">
        <v>1432</v>
      </c>
      <c r="C2008" s="834" t="s">
        <v>41</v>
      </c>
      <c r="D2008" s="835">
        <v>549.84</v>
      </c>
    </row>
    <row r="2009" spans="1:4" x14ac:dyDescent="0.2">
      <c r="A2009" s="837" t="s">
        <v>3390</v>
      </c>
      <c r="B2009" s="838" t="s">
        <v>1542</v>
      </c>
      <c r="C2009" s="839"/>
      <c r="D2009" s="840"/>
    </row>
    <row r="2010" spans="1:4" x14ac:dyDescent="0.2">
      <c r="A2010" s="827" t="s">
        <v>3391</v>
      </c>
      <c r="B2010" s="828" t="s">
        <v>1432</v>
      </c>
      <c r="C2010" s="829" t="s">
        <v>41</v>
      </c>
      <c r="D2010" s="830">
        <v>390.5</v>
      </c>
    </row>
    <row r="2011" spans="1:4" x14ac:dyDescent="0.2">
      <c r="A2011" s="837" t="s">
        <v>3392</v>
      </c>
      <c r="B2011" s="838" t="s">
        <v>1545</v>
      </c>
      <c r="C2011" s="839"/>
      <c r="D2011" s="840"/>
    </row>
    <row r="2012" spans="1:4" x14ac:dyDescent="0.2">
      <c r="A2012" s="832" t="s">
        <v>3393</v>
      </c>
      <c r="B2012" s="833" t="s">
        <v>1432</v>
      </c>
      <c r="C2012" s="834" t="s">
        <v>41</v>
      </c>
      <c r="D2012" s="835">
        <v>70.09</v>
      </c>
    </row>
    <row r="2013" spans="1:4" x14ac:dyDescent="0.2">
      <c r="A2013" s="837" t="s">
        <v>3394</v>
      </c>
      <c r="B2013" s="838" t="s">
        <v>1548</v>
      </c>
      <c r="C2013" s="839"/>
      <c r="D2013" s="840"/>
    </row>
    <row r="2014" spans="1:4" x14ac:dyDescent="0.2">
      <c r="A2014" s="827" t="s">
        <v>3395</v>
      </c>
      <c r="B2014" s="828" t="s">
        <v>1432</v>
      </c>
      <c r="C2014" s="829" t="s">
        <v>41</v>
      </c>
      <c r="D2014" s="830">
        <v>82.94</v>
      </c>
    </row>
    <row r="2015" spans="1:4" x14ac:dyDescent="0.2">
      <c r="A2015" s="823" t="s">
        <v>1433</v>
      </c>
      <c r="B2015" s="824" t="s">
        <v>585</v>
      </c>
      <c r="C2015" s="825"/>
      <c r="D2015" s="826"/>
    </row>
    <row r="2016" spans="1:4" x14ac:dyDescent="0.2">
      <c r="A2016" s="837" t="s">
        <v>3396</v>
      </c>
      <c r="B2016" s="838" t="s">
        <v>1453</v>
      </c>
      <c r="C2016" s="839"/>
      <c r="D2016" s="840"/>
    </row>
    <row r="2017" spans="1:4" x14ac:dyDescent="0.2">
      <c r="A2017" s="832" t="s">
        <v>3397</v>
      </c>
      <c r="B2017" s="833" t="s">
        <v>1435</v>
      </c>
      <c r="C2017" s="834" t="s">
        <v>41</v>
      </c>
      <c r="D2017" s="835">
        <v>243.2</v>
      </c>
    </row>
    <row r="2018" spans="1:4" x14ac:dyDescent="0.2">
      <c r="A2018" s="827" t="s">
        <v>3398</v>
      </c>
      <c r="B2018" s="828" t="s">
        <v>1437</v>
      </c>
      <c r="C2018" s="829" t="s">
        <v>41</v>
      </c>
      <c r="D2018" s="830">
        <v>108.42</v>
      </c>
    </row>
    <row r="2019" spans="1:4" x14ac:dyDescent="0.2">
      <c r="A2019" s="832" t="s">
        <v>3399</v>
      </c>
      <c r="B2019" s="833" t="s">
        <v>1439</v>
      </c>
      <c r="C2019" s="834" t="s">
        <v>41</v>
      </c>
      <c r="D2019" s="835">
        <v>1.66</v>
      </c>
    </row>
    <row r="2020" spans="1:4" ht="25.5" x14ac:dyDescent="0.2">
      <c r="A2020" s="827" t="s">
        <v>3400</v>
      </c>
      <c r="B2020" s="828" t="s">
        <v>1441</v>
      </c>
      <c r="C2020" s="829" t="s">
        <v>41</v>
      </c>
      <c r="D2020" s="830">
        <v>498.94</v>
      </c>
    </row>
    <row r="2021" spans="1:4" x14ac:dyDescent="0.2">
      <c r="A2021" s="837" t="s">
        <v>3401</v>
      </c>
      <c r="B2021" s="838" t="s">
        <v>1458</v>
      </c>
      <c r="C2021" s="839"/>
      <c r="D2021" s="840"/>
    </row>
    <row r="2022" spans="1:4" x14ac:dyDescent="0.2">
      <c r="A2022" s="832" t="s">
        <v>3402</v>
      </c>
      <c r="B2022" s="833" t="s">
        <v>1435</v>
      </c>
      <c r="C2022" s="834" t="s">
        <v>41</v>
      </c>
      <c r="D2022" s="835">
        <v>164.14</v>
      </c>
    </row>
    <row r="2023" spans="1:4" x14ac:dyDescent="0.2">
      <c r="A2023" s="827" t="s">
        <v>3403</v>
      </c>
      <c r="B2023" s="828" t="s">
        <v>1439</v>
      </c>
      <c r="C2023" s="829" t="s">
        <v>41</v>
      </c>
      <c r="D2023" s="830">
        <v>520.29</v>
      </c>
    </row>
    <row r="2024" spans="1:4" ht="25.5" x14ac:dyDescent="0.2">
      <c r="A2024" s="832" t="s">
        <v>3404</v>
      </c>
      <c r="B2024" s="833" t="s">
        <v>1443</v>
      </c>
      <c r="C2024" s="834" t="s">
        <v>41</v>
      </c>
      <c r="D2024" s="835">
        <v>140.16999999999999</v>
      </c>
    </row>
    <row r="2025" spans="1:4" x14ac:dyDescent="0.2">
      <c r="A2025" s="837" t="s">
        <v>3405</v>
      </c>
      <c r="B2025" s="838" t="s">
        <v>1462</v>
      </c>
      <c r="C2025" s="839"/>
      <c r="D2025" s="840"/>
    </row>
    <row r="2026" spans="1:4" x14ac:dyDescent="0.2">
      <c r="A2026" s="827" t="s">
        <v>3406</v>
      </c>
      <c r="B2026" s="828" t="s">
        <v>1435</v>
      </c>
      <c r="C2026" s="829" t="s">
        <v>41</v>
      </c>
      <c r="D2026" s="830">
        <v>164.06</v>
      </c>
    </row>
    <row r="2027" spans="1:4" x14ac:dyDescent="0.2">
      <c r="A2027" s="832" t="s">
        <v>3407</v>
      </c>
      <c r="B2027" s="833" t="s">
        <v>1439</v>
      </c>
      <c r="C2027" s="834" t="s">
        <v>41</v>
      </c>
      <c r="D2027" s="835">
        <v>379.6</v>
      </c>
    </row>
    <row r="2028" spans="1:4" ht="25.5" x14ac:dyDescent="0.2">
      <c r="A2028" s="827" t="s">
        <v>3408</v>
      </c>
      <c r="B2028" s="828" t="s">
        <v>1443</v>
      </c>
      <c r="C2028" s="829" t="s">
        <v>41</v>
      </c>
      <c r="D2028" s="830">
        <v>139.66</v>
      </c>
    </row>
    <row r="2029" spans="1:4" x14ac:dyDescent="0.2">
      <c r="A2029" s="837" t="s">
        <v>3409</v>
      </c>
      <c r="B2029" s="838" t="s">
        <v>1466</v>
      </c>
      <c r="C2029" s="839"/>
      <c r="D2029" s="840"/>
    </row>
    <row r="2030" spans="1:4" x14ac:dyDescent="0.2">
      <c r="A2030" s="832" t="s">
        <v>3410</v>
      </c>
      <c r="B2030" s="833" t="s">
        <v>1435</v>
      </c>
      <c r="C2030" s="834" t="s">
        <v>41</v>
      </c>
      <c r="D2030" s="835">
        <v>164.06</v>
      </c>
    </row>
    <row r="2031" spans="1:4" x14ac:dyDescent="0.2">
      <c r="A2031" s="827" t="s">
        <v>3411</v>
      </c>
      <c r="B2031" s="828" t="s">
        <v>1439</v>
      </c>
      <c r="C2031" s="829" t="s">
        <v>41</v>
      </c>
      <c r="D2031" s="830">
        <v>379.63</v>
      </c>
    </row>
    <row r="2032" spans="1:4" ht="25.5" x14ac:dyDescent="0.2">
      <c r="A2032" s="832" t="s">
        <v>3412</v>
      </c>
      <c r="B2032" s="833" t="s">
        <v>1443</v>
      </c>
      <c r="C2032" s="834" t="s">
        <v>41</v>
      </c>
      <c r="D2032" s="835">
        <v>139.32</v>
      </c>
    </row>
    <row r="2033" spans="1:4" x14ac:dyDescent="0.2">
      <c r="A2033" s="837" t="s">
        <v>3413</v>
      </c>
      <c r="B2033" s="838" t="s">
        <v>1470</v>
      </c>
      <c r="C2033" s="839"/>
      <c r="D2033" s="840"/>
    </row>
    <row r="2034" spans="1:4" x14ac:dyDescent="0.2">
      <c r="A2034" s="827" t="s">
        <v>3414</v>
      </c>
      <c r="B2034" s="828" t="s">
        <v>1435</v>
      </c>
      <c r="C2034" s="829" t="s">
        <v>41</v>
      </c>
      <c r="D2034" s="830">
        <v>225.7</v>
      </c>
    </row>
    <row r="2035" spans="1:4" x14ac:dyDescent="0.2">
      <c r="A2035" s="832" t="s">
        <v>3415</v>
      </c>
      <c r="B2035" s="833" t="s">
        <v>1439</v>
      </c>
      <c r="C2035" s="834" t="s">
        <v>41</v>
      </c>
      <c r="D2035" s="835">
        <v>380.16</v>
      </c>
    </row>
    <row r="2036" spans="1:4" ht="25.5" x14ac:dyDescent="0.2">
      <c r="A2036" s="827" t="s">
        <v>3416</v>
      </c>
      <c r="B2036" s="828" t="s">
        <v>1443</v>
      </c>
      <c r="C2036" s="829" t="s">
        <v>41</v>
      </c>
      <c r="D2036" s="830">
        <v>153.06</v>
      </c>
    </row>
    <row r="2037" spans="1:4" x14ac:dyDescent="0.2">
      <c r="A2037" s="837" t="s">
        <v>3417</v>
      </c>
      <c r="B2037" s="838" t="s">
        <v>1473</v>
      </c>
      <c r="C2037" s="839"/>
      <c r="D2037" s="840"/>
    </row>
    <row r="2038" spans="1:4" x14ac:dyDescent="0.2">
      <c r="A2038" s="832" t="s">
        <v>3418</v>
      </c>
      <c r="B2038" s="833" t="s">
        <v>1439</v>
      </c>
      <c r="C2038" s="834" t="s">
        <v>41</v>
      </c>
      <c r="D2038" s="835">
        <v>51</v>
      </c>
    </row>
    <row r="2039" spans="1:4" ht="25.5" x14ac:dyDescent="0.2">
      <c r="A2039" s="827" t="s">
        <v>3419</v>
      </c>
      <c r="B2039" s="828" t="s">
        <v>1441</v>
      </c>
      <c r="C2039" s="829" t="s">
        <v>41</v>
      </c>
      <c r="D2039" s="830">
        <v>281.08</v>
      </c>
    </row>
    <row r="2040" spans="1:4" x14ac:dyDescent="0.2">
      <c r="A2040" s="837" t="s">
        <v>3420</v>
      </c>
      <c r="B2040" s="838" t="s">
        <v>1478</v>
      </c>
      <c r="C2040" s="839"/>
      <c r="D2040" s="840"/>
    </row>
    <row r="2041" spans="1:4" x14ac:dyDescent="0.2">
      <c r="A2041" s="832" t="s">
        <v>3421</v>
      </c>
      <c r="B2041" s="833" t="s">
        <v>1439</v>
      </c>
      <c r="C2041" s="834" t="s">
        <v>41</v>
      </c>
      <c r="D2041" s="835">
        <v>87.97</v>
      </c>
    </row>
    <row r="2042" spans="1:4" ht="25.5" x14ac:dyDescent="0.2">
      <c r="A2042" s="827" t="s">
        <v>3422</v>
      </c>
      <c r="B2042" s="828" t="s">
        <v>1441</v>
      </c>
      <c r="C2042" s="829" t="s">
        <v>41</v>
      </c>
      <c r="D2042" s="830">
        <v>274.81</v>
      </c>
    </row>
    <row r="2043" spans="1:4" x14ac:dyDescent="0.2">
      <c r="A2043" s="837" t="s">
        <v>3423</v>
      </c>
      <c r="B2043" s="838" t="s">
        <v>1483</v>
      </c>
      <c r="C2043" s="839"/>
      <c r="D2043" s="840"/>
    </row>
    <row r="2044" spans="1:4" x14ac:dyDescent="0.2">
      <c r="A2044" s="832" t="s">
        <v>3424</v>
      </c>
      <c r="B2044" s="833" t="s">
        <v>1439</v>
      </c>
      <c r="C2044" s="834" t="s">
        <v>41</v>
      </c>
      <c r="D2044" s="835">
        <v>75.040000000000006</v>
      </c>
    </row>
    <row r="2045" spans="1:4" ht="25.5" x14ac:dyDescent="0.2">
      <c r="A2045" s="827" t="s">
        <v>3425</v>
      </c>
      <c r="B2045" s="828" t="s">
        <v>1441</v>
      </c>
      <c r="C2045" s="829" t="s">
        <v>41</v>
      </c>
      <c r="D2045" s="830">
        <v>276.45</v>
      </c>
    </row>
    <row r="2046" spans="1:4" x14ac:dyDescent="0.2">
      <c r="A2046" s="837" t="s">
        <v>3426</v>
      </c>
      <c r="B2046" s="838" t="s">
        <v>1488</v>
      </c>
      <c r="C2046" s="839"/>
      <c r="D2046" s="840"/>
    </row>
    <row r="2047" spans="1:4" x14ac:dyDescent="0.2">
      <c r="A2047" s="832" t="s">
        <v>3427</v>
      </c>
      <c r="B2047" s="833" t="s">
        <v>1439</v>
      </c>
      <c r="C2047" s="834" t="s">
        <v>41</v>
      </c>
      <c r="D2047" s="835">
        <v>83.6</v>
      </c>
    </row>
    <row r="2048" spans="1:4" ht="25.5" x14ac:dyDescent="0.2">
      <c r="A2048" s="827" t="s">
        <v>3428</v>
      </c>
      <c r="B2048" s="828" t="s">
        <v>1441</v>
      </c>
      <c r="C2048" s="829" t="s">
        <v>41</v>
      </c>
      <c r="D2048" s="830">
        <v>276.01</v>
      </c>
    </row>
    <row r="2049" spans="1:4" x14ac:dyDescent="0.2">
      <c r="A2049" s="837" t="s">
        <v>3429</v>
      </c>
      <c r="B2049" s="838" t="s">
        <v>1493</v>
      </c>
      <c r="C2049" s="839"/>
      <c r="D2049" s="840"/>
    </row>
    <row r="2050" spans="1:4" x14ac:dyDescent="0.2">
      <c r="A2050" s="832" t="s">
        <v>3430</v>
      </c>
      <c r="B2050" s="833" t="s">
        <v>1439</v>
      </c>
      <c r="C2050" s="834" t="s">
        <v>41</v>
      </c>
      <c r="D2050" s="835">
        <v>75.180000000000007</v>
      </c>
    </row>
    <row r="2051" spans="1:4" ht="25.5" x14ac:dyDescent="0.2">
      <c r="A2051" s="827" t="s">
        <v>3431</v>
      </c>
      <c r="B2051" s="828" t="s">
        <v>1441</v>
      </c>
      <c r="C2051" s="829" t="s">
        <v>41</v>
      </c>
      <c r="D2051" s="830">
        <v>277.06</v>
      </c>
    </row>
    <row r="2052" spans="1:4" x14ac:dyDescent="0.2">
      <c r="A2052" s="837" t="s">
        <v>3432</v>
      </c>
      <c r="B2052" s="838" t="s">
        <v>1498</v>
      </c>
      <c r="C2052" s="839"/>
      <c r="D2052" s="840"/>
    </row>
    <row r="2053" spans="1:4" x14ac:dyDescent="0.2">
      <c r="A2053" s="832" t="s">
        <v>3433</v>
      </c>
      <c r="B2053" s="833" t="s">
        <v>1439</v>
      </c>
      <c r="C2053" s="834" t="s">
        <v>41</v>
      </c>
      <c r="D2053" s="835">
        <v>77.5</v>
      </c>
    </row>
    <row r="2054" spans="1:4" ht="25.5" x14ac:dyDescent="0.2">
      <c r="A2054" s="827" t="s">
        <v>3434</v>
      </c>
      <c r="B2054" s="828" t="s">
        <v>1441</v>
      </c>
      <c r="C2054" s="829" t="s">
        <v>41</v>
      </c>
      <c r="D2054" s="830">
        <v>254.16</v>
      </c>
    </row>
    <row r="2055" spans="1:4" x14ac:dyDescent="0.2">
      <c r="A2055" s="837" t="s">
        <v>3435</v>
      </c>
      <c r="B2055" s="838" t="s">
        <v>1503</v>
      </c>
      <c r="C2055" s="839"/>
      <c r="D2055" s="840"/>
    </row>
    <row r="2056" spans="1:4" x14ac:dyDescent="0.2">
      <c r="A2056" s="832" t="s">
        <v>3436</v>
      </c>
      <c r="B2056" s="833" t="s">
        <v>1439</v>
      </c>
      <c r="C2056" s="834" t="s">
        <v>41</v>
      </c>
      <c r="D2056" s="835">
        <v>69.86</v>
      </c>
    </row>
    <row r="2057" spans="1:4" ht="25.5" x14ac:dyDescent="0.2">
      <c r="A2057" s="827" t="s">
        <v>3437</v>
      </c>
      <c r="B2057" s="828" t="s">
        <v>1441</v>
      </c>
      <c r="C2057" s="829" t="s">
        <v>41</v>
      </c>
      <c r="D2057" s="830">
        <v>253.53</v>
      </c>
    </row>
    <row r="2058" spans="1:4" x14ac:dyDescent="0.2">
      <c r="A2058" s="837" t="s">
        <v>3438</v>
      </c>
      <c r="B2058" s="838" t="s">
        <v>1508</v>
      </c>
      <c r="C2058" s="839"/>
      <c r="D2058" s="840"/>
    </row>
    <row r="2059" spans="1:4" x14ac:dyDescent="0.2">
      <c r="A2059" s="832" t="s">
        <v>3439</v>
      </c>
      <c r="B2059" s="833" t="s">
        <v>1439</v>
      </c>
      <c r="C2059" s="834" t="s">
        <v>41</v>
      </c>
      <c r="D2059" s="835">
        <v>82.82</v>
      </c>
    </row>
    <row r="2060" spans="1:4" ht="25.5" x14ac:dyDescent="0.2">
      <c r="A2060" s="827" t="s">
        <v>3440</v>
      </c>
      <c r="B2060" s="828" t="s">
        <v>1441</v>
      </c>
      <c r="C2060" s="829" t="s">
        <v>41</v>
      </c>
      <c r="D2060" s="830">
        <v>247.81</v>
      </c>
    </row>
    <row r="2061" spans="1:4" x14ac:dyDescent="0.2">
      <c r="A2061" s="837" t="s">
        <v>3441</v>
      </c>
      <c r="B2061" s="838" t="s">
        <v>1513</v>
      </c>
      <c r="C2061" s="839"/>
      <c r="D2061" s="840"/>
    </row>
    <row r="2062" spans="1:4" x14ac:dyDescent="0.2">
      <c r="A2062" s="832" t="s">
        <v>3442</v>
      </c>
      <c r="B2062" s="833" t="s">
        <v>1439</v>
      </c>
      <c r="C2062" s="834" t="s">
        <v>41</v>
      </c>
      <c r="D2062" s="835">
        <v>75.989999999999995</v>
      </c>
    </row>
    <row r="2063" spans="1:4" ht="25.5" x14ac:dyDescent="0.2">
      <c r="A2063" s="827" t="s">
        <v>3443</v>
      </c>
      <c r="B2063" s="828" t="s">
        <v>1441</v>
      </c>
      <c r="C2063" s="829" t="s">
        <v>41</v>
      </c>
      <c r="D2063" s="830">
        <v>279.31</v>
      </c>
    </row>
    <row r="2064" spans="1:4" x14ac:dyDescent="0.2">
      <c r="A2064" s="837" t="s">
        <v>3444</v>
      </c>
      <c r="B2064" s="838" t="s">
        <v>1518</v>
      </c>
      <c r="C2064" s="839"/>
      <c r="D2064" s="840"/>
    </row>
    <row r="2065" spans="1:4" x14ac:dyDescent="0.2">
      <c r="A2065" s="832" t="s">
        <v>3445</v>
      </c>
      <c r="B2065" s="833" t="s">
        <v>1439</v>
      </c>
      <c r="C2065" s="834" t="s">
        <v>41</v>
      </c>
      <c r="D2065" s="835">
        <v>82.77</v>
      </c>
    </row>
    <row r="2066" spans="1:4" ht="25.5" x14ac:dyDescent="0.2">
      <c r="A2066" s="827" t="s">
        <v>3446</v>
      </c>
      <c r="B2066" s="828" t="s">
        <v>1441</v>
      </c>
      <c r="C2066" s="829" t="s">
        <v>41</v>
      </c>
      <c r="D2066" s="830">
        <v>273.54000000000002</v>
      </c>
    </row>
    <row r="2067" spans="1:4" x14ac:dyDescent="0.2">
      <c r="A2067" s="837" t="s">
        <v>3447</v>
      </c>
      <c r="B2067" s="838" t="s">
        <v>1523</v>
      </c>
      <c r="C2067" s="839"/>
      <c r="D2067" s="840"/>
    </row>
    <row r="2068" spans="1:4" x14ac:dyDescent="0.2">
      <c r="A2068" s="832" t="s">
        <v>3448</v>
      </c>
      <c r="B2068" s="833" t="s">
        <v>1439</v>
      </c>
      <c r="C2068" s="834" t="s">
        <v>41</v>
      </c>
      <c r="D2068" s="835">
        <v>75.989999999999995</v>
      </c>
    </row>
    <row r="2069" spans="1:4" ht="25.5" x14ac:dyDescent="0.2">
      <c r="A2069" s="827" t="s">
        <v>3449</v>
      </c>
      <c r="B2069" s="828" t="s">
        <v>1441</v>
      </c>
      <c r="C2069" s="829" t="s">
        <v>41</v>
      </c>
      <c r="D2069" s="830">
        <v>279.31</v>
      </c>
    </row>
    <row r="2070" spans="1:4" x14ac:dyDescent="0.2">
      <c r="A2070" s="837" t="s">
        <v>3450</v>
      </c>
      <c r="B2070" s="838" t="s">
        <v>1528</v>
      </c>
      <c r="C2070" s="839"/>
      <c r="D2070" s="840"/>
    </row>
    <row r="2071" spans="1:4" x14ac:dyDescent="0.2">
      <c r="A2071" s="832" t="s">
        <v>3451</v>
      </c>
      <c r="B2071" s="833" t="s">
        <v>1439</v>
      </c>
      <c r="C2071" s="834" t="s">
        <v>41</v>
      </c>
      <c r="D2071" s="835">
        <v>83.6</v>
      </c>
    </row>
    <row r="2072" spans="1:4" ht="25.5" x14ac:dyDescent="0.2">
      <c r="A2072" s="827" t="s">
        <v>3452</v>
      </c>
      <c r="B2072" s="828" t="s">
        <v>1441</v>
      </c>
      <c r="C2072" s="829" t="s">
        <v>41</v>
      </c>
      <c r="D2072" s="830">
        <v>273.54000000000002</v>
      </c>
    </row>
    <row r="2073" spans="1:4" x14ac:dyDescent="0.2">
      <c r="A2073" s="837" t="s">
        <v>3453</v>
      </c>
      <c r="B2073" s="838" t="s">
        <v>1533</v>
      </c>
      <c r="C2073" s="839"/>
      <c r="D2073" s="840"/>
    </row>
    <row r="2074" spans="1:4" x14ac:dyDescent="0.2">
      <c r="A2074" s="832" t="s">
        <v>3454</v>
      </c>
      <c r="B2074" s="833" t="s">
        <v>1439</v>
      </c>
      <c r="C2074" s="834" t="s">
        <v>41</v>
      </c>
      <c r="D2074" s="835">
        <v>77.84</v>
      </c>
    </row>
    <row r="2075" spans="1:4" ht="25.5" x14ac:dyDescent="0.2">
      <c r="A2075" s="827" t="s">
        <v>3455</v>
      </c>
      <c r="B2075" s="828" t="s">
        <v>1441</v>
      </c>
      <c r="C2075" s="829" t="s">
        <v>41</v>
      </c>
      <c r="D2075" s="830">
        <v>277.19</v>
      </c>
    </row>
    <row r="2076" spans="1:4" x14ac:dyDescent="0.2">
      <c r="A2076" s="837" t="s">
        <v>3456</v>
      </c>
      <c r="B2076" s="838" t="s">
        <v>1538</v>
      </c>
      <c r="C2076" s="839"/>
      <c r="D2076" s="840"/>
    </row>
    <row r="2077" spans="1:4" x14ac:dyDescent="0.2">
      <c r="A2077" s="832" t="s">
        <v>3457</v>
      </c>
      <c r="B2077" s="833" t="s">
        <v>1439</v>
      </c>
      <c r="C2077" s="834" t="s">
        <v>41</v>
      </c>
      <c r="D2077" s="835">
        <v>172.95</v>
      </c>
    </row>
    <row r="2078" spans="1:4" ht="25.5" x14ac:dyDescent="0.2">
      <c r="A2078" s="827" t="s">
        <v>3458</v>
      </c>
      <c r="B2078" s="828" t="s">
        <v>1441</v>
      </c>
      <c r="C2078" s="829" t="s">
        <v>41</v>
      </c>
      <c r="D2078" s="830">
        <v>323.17</v>
      </c>
    </row>
    <row r="2079" spans="1:4" x14ac:dyDescent="0.2">
      <c r="A2079" s="823" t="s">
        <v>1444</v>
      </c>
      <c r="B2079" s="824" t="s">
        <v>1445</v>
      </c>
      <c r="C2079" s="825"/>
      <c r="D2079" s="826"/>
    </row>
    <row r="2080" spans="1:4" x14ac:dyDescent="0.2">
      <c r="A2080" s="837" t="s">
        <v>3459</v>
      </c>
      <c r="B2080" s="838" t="s">
        <v>1453</v>
      </c>
      <c r="C2080" s="839"/>
      <c r="D2080" s="840"/>
    </row>
    <row r="2081" spans="1:4" x14ac:dyDescent="0.2">
      <c r="A2081" s="832" t="s">
        <v>3460</v>
      </c>
      <c r="B2081" s="833" t="s">
        <v>1188</v>
      </c>
      <c r="C2081" s="834" t="s">
        <v>41</v>
      </c>
      <c r="D2081" s="835">
        <v>625.62</v>
      </c>
    </row>
    <row r="2082" spans="1:4" x14ac:dyDescent="0.2">
      <c r="A2082" s="827" t="s">
        <v>3461</v>
      </c>
      <c r="B2082" s="828" t="s">
        <v>1190</v>
      </c>
      <c r="C2082" s="829" t="s">
        <v>41</v>
      </c>
      <c r="D2082" s="830">
        <v>43.39</v>
      </c>
    </row>
    <row r="2083" spans="1:4" x14ac:dyDescent="0.2">
      <c r="A2083" s="823" t="s">
        <v>1448</v>
      </c>
      <c r="B2083" s="824" t="s">
        <v>598</v>
      </c>
      <c r="C2083" s="825"/>
      <c r="D2083" s="826"/>
    </row>
    <row r="2084" spans="1:4" x14ac:dyDescent="0.2">
      <c r="A2084" s="837" t="s">
        <v>3462</v>
      </c>
      <c r="B2084" s="838" t="s">
        <v>1453</v>
      </c>
      <c r="C2084" s="839"/>
      <c r="D2084" s="840"/>
    </row>
    <row r="2085" spans="1:4" x14ac:dyDescent="0.2">
      <c r="A2085" s="832" t="s">
        <v>3463</v>
      </c>
      <c r="B2085" s="833" t="s">
        <v>1450</v>
      </c>
      <c r="C2085" s="834" t="s">
        <v>41</v>
      </c>
      <c r="D2085" s="835">
        <v>116.39</v>
      </c>
    </row>
    <row r="2086" spans="1:4" x14ac:dyDescent="0.2">
      <c r="A2086" s="837" t="s">
        <v>3464</v>
      </c>
      <c r="B2086" s="838" t="s">
        <v>1473</v>
      </c>
      <c r="C2086" s="839"/>
      <c r="D2086" s="840"/>
    </row>
    <row r="2087" spans="1:4" x14ac:dyDescent="0.2">
      <c r="A2087" s="827" t="s">
        <v>3465</v>
      </c>
      <c r="B2087" s="828" t="s">
        <v>1450</v>
      </c>
      <c r="C2087" s="829" t="s">
        <v>41</v>
      </c>
      <c r="D2087" s="830">
        <v>2.16</v>
      </c>
    </row>
    <row r="2088" spans="1:4" x14ac:dyDescent="0.2">
      <c r="A2088" s="837" t="s">
        <v>3466</v>
      </c>
      <c r="B2088" s="838" t="s">
        <v>1478</v>
      </c>
      <c r="C2088" s="839"/>
      <c r="D2088" s="840"/>
    </row>
    <row r="2089" spans="1:4" x14ac:dyDescent="0.2">
      <c r="A2089" s="832" t="s">
        <v>3467</v>
      </c>
      <c r="B2089" s="833" t="s">
        <v>1450</v>
      </c>
      <c r="C2089" s="834" t="s">
        <v>41</v>
      </c>
      <c r="D2089" s="835">
        <v>1.33</v>
      </c>
    </row>
    <row r="2090" spans="1:4" x14ac:dyDescent="0.2">
      <c r="A2090" s="837" t="s">
        <v>3468</v>
      </c>
      <c r="B2090" s="838" t="s">
        <v>1483</v>
      </c>
      <c r="C2090" s="839"/>
      <c r="D2090" s="840"/>
    </row>
    <row r="2091" spans="1:4" x14ac:dyDescent="0.2">
      <c r="A2091" s="827" t="s">
        <v>3469</v>
      </c>
      <c r="B2091" s="828" t="s">
        <v>1450</v>
      </c>
      <c r="C2091" s="829" t="s">
        <v>41</v>
      </c>
      <c r="D2091" s="830">
        <v>1.33</v>
      </c>
    </row>
    <row r="2092" spans="1:4" x14ac:dyDescent="0.2">
      <c r="A2092" s="837" t="s">
        <v>3470</v>
      </c>
      <c r="B2092" s="838" t="s">
        <v>1488</v>
      </c>
      <c r="C2092" s="839"/>
      <c r="D2092" s="840"/>
    </row>
    <row r="2093" spans="1:4" x14ac:dyDescent="0.2">
      <c r="A2093" s="832" t="s">
        <v>3471</v>
      </c>
      <c r="B2093" s="833" t="s">
        <v>1450</v>
      </c>
      <c r="C2093" s="834" t="s">
        <v>41</v>
      </c>
      <c r="D2093" s="835">
        <v>1.99</v>
      </c>
    </row>
    <row r="2094" spans="1:4" x14ac:dyDescent="0.2">
      <c r="A2094" s="837" t="s">
        <v>3472</v>
      </c>
      <c r="B2094" s="838" t="s">
        <v>1493</v>
      </c>
      <c r="C2094" s="839"/>
      <c r="D2094" s="840"/>
    </row>
    <row r="2095" spans="1:4" x14ac:dyDescent="0.2">
      <c r="A2095" s="827" t="s">
        <v>3473</v>
      </c>
      <c r="B2095" s="828" t="s">
        <v>1450</v>
      </c>
      <c r="C2095" s="829" t="s">
        <v>41</v>
      </c>
      <c r="D2095" s="830">
        <v>1.33</v>
      </c>
    </row>
    <row r="2096" spans="1:4" x14ac:dyDescent="0.2">
      <c r="A2096" s="837" t="s">
        <v>3474</v>
      </c>
      <c r="B2096" s="838" t="s">
        <v>1498</v>
      </c>
      <c r="C2096" s="839"/>
      <c r="D2096" s="840"/>
    </row>
    <row r="2097" spans="1:4" x14ac:dyDescent="0.2">
      <c r="A2097" s="832" t="s">
        <v>3475</v>
      </c>
      <c r="B2097" s="833" t="s">
        <v>1450</v>
      </c>
      <c r="C2097" s="834" t="s">
        <v>41</v>
      </c>
      <c r="D2097" s="835">
        <v>1.99</v>
      </c>
    </row>
    <row r="2098" spans="1:4" x14ac:dyDescent="0.2">
      <c r="A2098" s="837" t="s">
        <v>3476</v>
      </c>
      <c r="B2098" s="838" t="s">
        <v>1503</v>
      </c>
      <c r="C2098" s="839"/>
      <c r="D2098" s="840"/>
    </row>
    <row r="2099" spans="1:4" x14ac:dyDescent="0.2">
      <c r="A2099" s="827" t="s">
        <v>3477</v>
      </c>
      <c r="B2099" s="828" t="s">
        <v>1450</v>
      </c>
      <c r="C2099" s="829" t="s">
        <v>41</v>
      </c>
      <c r="D2099" s="830">
        <v>1.33</v>
      </c>
    </row>
    <row r="2100" spans="1:4" x14ac:dyDescent="0.2">
      <c r="A2100" s="837" t="s">
        <v>3478</v>
      </c>
      <c r="B2100" s="838" t="s">
        <v>1508</v>
      </c>
      <c r="C2100" s="839"/>
      <c r="D2100" s="840"/>
    </row>
    <row r="2101" spans="1:4" x14ac:dyDescent="0.2">
      <c r="A2101" s="832" t="s">
        <v>3479</v>
      </c>
      <c r="B2101" s="833" t="s">
        <v>1450</v>
      </c>
      <c r="C2101" s="834" t="s">
        <v>41</v>
      </c>
      <c r="D2101" s="835">
        <v>1.1599999999999999</v>
      </c>
    </row>
    <row r="2102" spans="1:4" x14ac:dyDescent="0.2">
      <c r="A2102" s="837" t="s">
        <v>3480</v>
      </c>
      <c r="B2102" s="838" t="s">
        <v>1513</v>
      </c>
      <c r="C2102" s="839"/>
      <c r="D2102" s="840"/>
    </row>
    <row r="2103" spans="1:4" x14ac:dyDescent="0.2">
      <c r="A2103" s="827" t="s">
        <v>3481</v>
      </c>
      <c r="B2103" s="828" t="s">
        <v>1450</v>
      </c>
      <c r="C2103" s="829" t="s">
        <v>41</v>
      </c>
      <c r="D2103" s="830">
        <v>2.16</v>
      </c>
    </row>
    <row r="2104" spans="1:4" x14ac:dyDescent="0.2">
      <c r="A2104" s="837" t="s">
        <v>3482</v>
      </c>
      <c r="B2104" s="838" t="s">
        <v>1518</v>
      </c>
      <c r="C2104" s="839"/>
      <c r="D2104" s="840"/>
    </row>
    <row r="2105" spans="1:4" x14ac:dyDescent="0.2">
      <c r="A2105" s="832" t="s">
        <v>3483</v>
      </c>
      <c r="B2105" s="833" t="s">
        <v>1450</v>
      </c>
      <c r="C2105" s="834" t="s">
        <v>41</v>
      </c>
      <c r="D2105" s="835">
        <v>1.1599999999999999</v>
      </c>
    </row>
    <row r="2106" spans="1:4" x14ac:dyDescent="0.2">
      <c r="A2106" s="837" t="s">
        <v>3484</v>
      </c>
      <c r="B2106" s="838" t="s">
        <v>1523</v>
      </c>
      <c r="C2106" s="839"/>
      <c r="D2106" s="840"/>
    </row>
    <row r="2107" spans="1:4" x14ac:dyDescent="0.2">
      <c r="A2107" s="827" t="s">
        <v>3485</v>
      </c>
      <c r="B2107" s="828" t="s">
        <v>1450</v>
      </c>
      <c r="C2107" s="829" t="s">
        <v>41</v>
      </c>
      <c r="D2107" s="830">
        <v>2.16</v>
      </c>
    </row>
    <row r="2108" spans="1:4" x14ac:dyDescent="0.2">
      <c r="A2108" s="837" t="s">
        <v>3486</v>
      </c>
      <c r="B2108" s="838" t="s">
        <v>1528</v>
      </c>
      <c r="C2108" s="839"/>
      <c r="D2108" s="840"/>
    </row>
    <row r="2109" spans="1:4" x14ac:dyDescent="0.2">
      <c r="A2109" s="832" t="s">
        <v>3487</v>
      </c>
      <c r="B2109" s="833" t="s">
        <v>1450</v>
      </c>
      <c r="C2109" s="834" t="s">
        <v>41</v>
      </c>
      <c r="D2109" s="835">
        <v>1.1599999999999999</v>
      </c>
    </row>
    <row r="2110" spans="1:4" x14ac:dyDescent="0.2">
      <c r="A2110" s="837" t="s">
        <v>3488</v>
      </c>
      <c r="B2110" s="838" t="s">
        <v>1533</v>
      </c>
      <c r="C2110" s="839"/>
      <c r="D2110" s="840"/>
    </row>
    <row r="2111" spans="1:4" x14ac:dyDescent="0.2">
      <c r="A2111" s="827" t="s">
        <v>3489</v>
      </c>
      <c r="B2111" s="828" t="s">
        <v>1450</v>
      </c>
      <c r="C2111" s="829" t="s">
        <v>41</v>
      </c>
      <c r="D2111" s="830">
        <v>1.33</v>
      </c>
    </row>
    <row r="2112" spans="1:4" x14ac:dyDescent="0.2">
      <c r="A2112" s="837" t="s">
        <v>3490</v>
      </c>
      <c r="B2112" s="838" t="s">
        <v>1538</v>
      </c>
      <c r="C2112" s="839"/>
      <c r="D2112" s="840"/>
    </row>
    <row r="2113" spans="1:4" x14ac:dyDescent="0.2">
      <c r="A2113" s="832" t="s">
        <v>3491</v>
      </c>
      <c r="B2113" s="833" t="s">
        <v>1450</v>
      </c>
      <c r="C2113" s="834" t="s">
        <v>41</v>
      </c>
      <c r="D2113" s="835">
        <v>14.39</v>
      </c>
    </row>
  </sheetData>
  <autoFilter ref="A10:D2113" xr:uid="{00000000-0009-0000-0000-000009000000}"/>
  <mergeCells count="7">
    <mergeCell ref="A1:D1"/>
    <mergeCell ref="A8:D8"/>
    <mergeCell ref="A9:D9"/>
    <mergeCell ref="A10:A11"/>
    <mergeCell ref="B10:B11"/>
    <mergeCell ref="C10:C11"/>
    <mergeCell ref="D10:D11"/>
  </mergeCells>
  <phoneticPr fontId="23" type="noConversion"/>
  <conditionalFormatting sqref="J7">
    <cfRule type="expression" dxfId="4469" priority="16">
      <formula>$I7="ETAPA"</formula>
    </cfRule>
  </conditionalFormatting>
  <conditionalFormatting sqref="J7">
    <cfRule type="expression" dxfId="4468" priority="14">
      <formula>$I7="SUBETAPA"</formula>
    </cfRule>
    <cfRule type="expression" dxfId="4467" priority="15">
      <formula>$I7="CÉLULA CONSTRUTIVA"</formula>
    </cfRule>
  </conditionalFormatting>
  <conditionalFormatting sqref="J7">
    <cfRule type="expression" dxfId="4466" priority="13">
      <formula>$I7="ETAPA"</formula>
    </cfRule>
  </conditionalFormatting>
  <conditionalFormatting sqref="J8">
    <cfRule type="expression" dxfId="4465" priority="12">
      <formula>$I8="ETAPA"</formula>
    </cfRule>
  </conditionalFormatting>
  <conditionalFormatting sqref="J8">
    <cfRule type="expression" dxfId="4464" priority="10">
      <formula>$I8="SUBETAPA"</formula>
    </cfRule>
    <cfRule type="expression" dxfId="4463" priority="11">
      <formula>$I8="CÉLULA CONSTRUTIVA"</formula>
    </cfRule>
  </conditionalFormatting>
  <conditionalFormatting sqref="J8">
    <cfRule type="expression" dxfId="4462" priority="9">
      <formula>$I8="ETAPA"</formula>
    </cfRule>
  </conditionalFormatting>
  <conditionalFormatting sqref="J9">
    <cfRule type="expression" dxfId="4461" priority="8">
      <formula>$I9="ETAPA"</formula>
    </cfRule>
  </conditionalFormatting>
  <conditionalFormatting sqref="J9">
    <cfRule type="expression" dxfId="4460" priority="6">
      <formula>$I9="SUBETAPA"</formula>
    </cfRule>
    <cfRule type="expression" dxfId="4459" priority="7">
      <formula>$I9="CÉLULA CONSTRUTIVA"</formula>
    </cfRule>
  </conditionalFormatting>
  <conditionalFormatting sqref="J9">
    <cfRule type="expression" dxfId="4458" priority="5">
      <formula>$I9="ETAPA"</formula>
    </cfRule>
  </conditionalFormatting>
  <conditionalFormatting sqref="J10">
    <cfRule type="expression" dxfId="4457" priority="4">
      <formula>$I10="ETAPA"</formula>
    </cfRule>
  </conditionalFormatting>
  <conditionalFormatting sqref="J10">
    <cfRule type="expression" dxfId="4456" priority="2">
      <formula>$I10="SUBETAPA"</formula>
    </cfRule>
    <cfRule type="expression" dxfId="4455" priority="3">
      <formula>$I10="CÉLULA CONSTRUTIVA"</formula>
    </cfRule>
  </conditionalFormatting>
  <conditionalFormatting sqref="J10">
    <cfRule type="expression" dxfId="4454" priority="1">
      <formula>$I10="ETAPA"</formula>
    </cfRule>
  </conditionalFormatting>
  <pageMargins left="0.78749999999999998" right="0.78749999999999998" top="1.05277777777778" bottom="1.05277777777778" header="0.78749999999999998" footer="0.78749999999999998"/>
  <pageSetup paperSize="9" scale="28" orientation="landscape" useFirstPageNumber="1" horizontalDpi="300" verticalDpi="300" r:id="rId1"/>
  <headerFooter>
    <oddHeader>&amp;C&amp;"Times New Roman,Normal"&amp;12&amp;A</oddHeader>
    <oddFooter>&amp;C&amp;"Times New Roman,Normal"&amp;12Página &amp;P</oddFooter>
  </headerFooter>
  <ignoredErrors>
    <ignoredError sqref="J8" formula="1"/>
    <ignoredError sqref="P2 U2 AD2:AD6" formulaRange="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FF"/>
    <pageSetUpPr fitToPage="1"/>
  </sheetPr>
  <dimension ref="A1:I1086"/>
  <sheetViews>
    <sheetView showGridLines="0" showZeros="0" zoomScale="55" zoomScaleNormal="55" zoomScaleSheetLayoutView="55" workbookViewId="0">
      <pane xSplit="9" ySplit="7" topLeftCell="J8" activePane="bottomRight" state="frozen"/>
      <selection activeCell="D48" sqref="D48"/>
      <selection pane="topRight" activeCell="D48" sqref="D48"/>
      <selection pane="bottomLeft" activeCell="D48" sqref="D48"/>
      <selection pane="bottomRight" activeCell="J45" sqref="J45"/>
    </sheetView>
  </sheetViews>
  <sheetFormatPr defaultColWidth="14.42578125" defaultRowHeight="15" x14ac:dyDescent="0.25"/>
  <cols>
    <col min="1" max="1" width="2.28515625" style="225" customWidth="1"/>
    <col min="2" max="2" width="1.42578125" style="225" customWidth="1"/>
    <col min="3" max="3" width="31.7109375" style="225" bestFit="1" customWidth="1"/>
    <col min="4" max="4" width="104" style="225" bestFit="1" customWidth="1"/>
    <col min="5" max="5" width="19.140625" style="225" customWidth="1"/>
    <col min="6" max="7" width="19.140625" style="267" customWidth="1"/>
    <col min="8" max="8" width="19.140625" style="891" customWidth="1"/>
    <col min="9" max="9" width="20.85546875" style="891" bestFit="1" customWidth="1"/>
    <col min="10" max="16384" width="14.42578125" style="225"/>
  </cols>
  <sheetData>
    <row r="1" spans="3:9" ht="28.5" x14ac:dyDescent="0.6">
      <c r="C1" s="287" t="s">
        <v>0</v>
      </c>
      <c r="D1" s="285" t="str">
        <f>Obra!D1</f>
        <v>Atlantia</v>
      </c>
      <c r="E1" s="3"/>
      <c r="F1" s="4"/>
      <c r="G1" s="281"/>
      <c r="H1" s="282"/>
      <c r="I1" s="196"/>
    </row>
    <row r="2" spans="3:9" ht="28.5" x14ac:dyDescent="0.6">
      <c r="C2" s="288" t="s">
        <v>1</v>
      </c>
      <c r="D2" s="286" t="str">
        <f>Obra!D2</f>
        <v>H empreendimentos</v>
      </c>
      <c r="E2" s="8"/>
      <c r="F2" s="9"/>
      <c r="G2" s="283"/>
      <c r="H2" s="284"/>
      <c r="I2" s="197"/>
    </row>
    <row r="3" spans="3:9" ht="28.5" x14ac:dyDescent="0.6">
      <c r="C3" s="288" t="s">
        <v>2</v>
      </c>
      <c r="D3" s="286" t="str">
        <f>Obra!D3</f>
        <v>R03 - Valquiria</v>
      </c>
      <c r="E3" s="8"/>
      <c r="F3" s="9"/>
      <c r="G3" s="283"/>
      <c r="H3" s="284"/>
      <c r="I3" s="197"/>
    </row>
    <row r="4" spans="3:9" ht="35.25" thickBot="1" x14ac:dyDescent="0.3">
      <c r="C4" s="1064" t="s">
        <v>289</v>
      </c>
      <c r="D4" s="1065"/>
      <c r="E4" s="1065"/>
      <c r="F4" s="1065"/>
      <c r="G4" s="1065"/>
      <c r="H4" s="1065"/>
      <c r="I4" s="1065"/>
    </row>
    <row r="5" spans="3:9" ht="27.75" customHeight="1" thickTop="1" x14ac:dyDescent="0.25">
      <c r="C5" s="1066" t="s">
        <v>267</v>
      </c>
      <c r="D5" s="1069" t="s">
        <v>268</v>
      </c>
      <c r="E5" s="1069" t="s">
        <v>269</v>
      </c>
      <c r="F5" s="1069" t="s">
        <v>270</v>
      </c>
      <c r="G5" s="1069" t="s">
        <v>271</v>
      </c>
      <c r="H5" s="1058" t="s">
        <v>272</v>
      </c>
      <c r="I5" s="1061" t="s">
        <v>273</v>
      </c>
    </row>
    <row r="6" spans="3:9" x14ac:dyDescent="0.25">
      <c r="C6" s="1067"/>
      <c r="D6" s="1070"/>
      <c r="E6" s="1070"/>
      <c r="F6" s="1070"/>
      <c r="G6" s="1070"/>
      <c r="H6" s="1059"/>
      <c r="I6" s="1062"/>
    </row>
    <row r="7" spans="3:9" x14ac:dyDescent="0.25">
      <c r="C7" s="1068"/>
      <c r="D7" s="1071"/>
      <c r="E7" s="1071"/>
      <c r="F7" s="1071"/>
      <c r="G7" s="1071"/>
      <c r="H7" s="1060"/>
      <c r="I7" s="1063"/>
    </row>
    <row r="8" spans="3:9" ht="15.75" x14ac:dyDescent="0.25">
      <c r="C8" s="234" t="s">
        <v>275</v>
      </c>
      <c r="D8" s="235" t="s">
        <v>1396</v>
      </c>
      <c r="E8" s="236"/>
      <c r="F8" s="237">
        <v>0.9</v>
      </c>
      <c r="G8" s="237">
        <v>2.1</v>
      </c>
      <c r="H8" s="911">
        <f>F8*G8*I8</f>
        <v>226.8</v>
      </c>
      <c r="I8" s="912">
        <f>_xlfn.XLOOKUP(D8,'ARQ. RES'!$B$12:$B$228,'ARQ. RES'!$D$12:$D$228,0)</f>
        <v>120</v>
      </c>
    </row>
    <row r="9" spans="3:9" ht="15.75" x14ac:dyDescent="0.25">
      <c r="C9" s="234" t="s">
        <v>275</v>
      </c>
      <c r="D9" s="235" t="s">
        <v>1398</v>
      </c>
      <c r="E9" s="236"/>
      <c r="F9" s="237">
        <v>0.8</v>
      </c>
      <c r="G9" s="237">
        <v>2.1</v>
      </c>
      <c r="H9" s="911">
        <f t="shared" ref="H9:H11" si="0">F9*G9*I9</f>
        <v>253.68000000000004</v>
      </c>
      <c r="I9" s="912">
        <f>_xlfn.XLOOKUP(D9,'ARQ. RES'!$B$12:$B$228,'ARQ. RES'!$D$12:$D$228,0)</f>
        <v>151</v>
      </c>
    </row>
    <row r="10" spans="3:9" ht="15.75" x14ac:dyDescent="0.25">
      <c r="C10" s="241" t="s">
        <v>275</v>
      </c>
      <c r="D10" s="235" t="s">
        <v>1400</v>
      </c>
      <c r="E10" s="242"/>
      <c r="F10" s="243">
        <v>0.7</v>
      </c>
      <c r="G10" s="237">
        <v>2.1</v>
      </c>
      <c r="H10" s="911">
        <f t="shared" si="0"/>
        <v>318.99</v>
      </c>
      <c r="I10" s="912">
        <f>_xlfn.XLOOKUP(D10,'ARQ. RES'!$B$12:$B$228,'ARQ. RES'!$D$12:$D$228,0)</f>
        <v>217</v>
      </c>
    </row>
    <row r="11" spans="3:9" ht="15.75" x14ac:dyDescent="0.25">
      <c r="C11" s="241" t="s">
        <v>275</v>
      </c>
      <c r="D11" s="235" t="s">
        <v>1402</v>
      </c>
      <c r="E11" s="242"/>
      <c r="F11" s="237">
        <v>0.8</v>
      </c>
      <c r="G11" s="237">
        <v>2.1</v>
      </c>
      <c r="H11" s="911">
        <f t="shared" si="0"/>
        <v>43.680000000000007</v>
      </c>
      <c r="I11" s="912">
        <f>_xlfn.XLOOKUP(D11,'ARQ. RES'!$B$12:$B$228,'ARQ. RES'!$D$12:$D$228,0)</f>
        <v>26</v>
      </c>
    </row>
    <row r="12" spans="3:9" ht="15.75" x14ac:dyDescent="0.25">
      <c r="C12" s="241" t="s">
        <v>275</v>
      </c>
      <c r="D12" s="235"/>
      <c r="E12" s="242"/>
      <c r="F12" s="243"/>
      <c r="G12" s="243"/>
      <c r="H12" s="911"/>
      <c r="I12" s="913"/>
    </row>
    <row r="13" spans="3:9" ht="16.5" thickBot="1" x14ac:dyDescent="0.3">
      <c r="C13" s="244" t="s">
        <v>275</v>
      </c>
      <c r="D13" s="245"/>
      <c r="E13" s="246"/>
      <c r="F13" s="247"/>
      <c r="G13" s="247"/>
      <c r="H13" s="914"/>
      <c r="I13" s="915"/>
    </row>
    <row r="14" spans="3:9" ht="16.5" thickTop="1" x14ac:dyDescent="0.25">
      <c r="C14" s="241" t="s">
        <v>276</v>
      </c>
      <c r="D14" s="235" t="s">
        <v>1394</v>
      </c>
      <c r="E14" s="242"/>
      <c r="F14" s="243"/>
      <c r="G14" s="251"/>
      <c r="H14" s="911">
        <f>_xlfn.XLOOKUP(D14,'ARQ. RES'!$B$12:$B$228,'ARQ. RES'!$D$12:$D$228,0)</f>
        <v>265.14</v>
      </c>
      <c r="I14" s="912"/>
    </row>
    <row r="15" spans="3:9" ht="15.75" x14ac:dyDescent="0.25">
      <c r="C15" s="252" t="s">
        <v>276</v>
      </c>
      <c r="D15" s="253"/>
      <c r="E15" s="254"/>
      <c r="F15" s="255"/>
      <c r="G15" s="256"/>
      <c r="H15" s="916"/>
      <c r="I15" s="917"/>
    </row>
    <row r="16" spans="3:9" ht="15.75" x14ac:dyDescent="0.25">
      <c r="C16" s="252" t="s">
        <v>276</v>
      </c>
      <c r="D16" s="253"/>
      <c r="E16" s="254"/>
      <c r="F16" s="255"/>
      <c r="G16" s="256"/>
      <c r="H16" s="916"/>
      <c r="I16" s="917"/>
    </row>
    <row r="17" spans="3:9" ht="15.75" x14ac:dyDescent="0.25">
      <c r="C17" s="252" t="s">
        <v>276</v>
      </c>
      <c r="D17" s="253"/>
      <c r="E17" s="254"/>
      <c r="F17" s="255"/>
      <c r="G17" s="256"/>
      <c r="H17" s="916"/>
      <c r="I17" s="917"/>
    </row>
    <row r="18" spans="3:9" ht="15.75" x14ac:dyDescent="0.25">
      <c r="C18" s="252" t="s">
        <v>276</v>
      </c>
      <c r="D18" s="253"/>
      <c r="E18" s="254"/>
      <c r="F18" s="255"/>
      <c r="G18" s="256"/>
      <c r="H18" s="916"/>
      <c r="I18" s="917"/>
    </row>
    <row r="19" spans="3:9" ht="15.75" x14ac:dyDescent="0.25">
      <c r="C19" s="252" t="s">
        <v>276</v>
      </c>
      <c r="D19" s="253"/>
      <c r="E19" s="254"/>
      <c r="F19" s="255"/>
      <c r="G19" s="256"/>
      <c r="H19" s="916"/>
      <c r="I19" s="917"/>
    </row>
    <row r="20" spans="3:9" ht="16.5" thickBot="1" x14ac:dyDescent="0.3">
      <c r="C20" s="244" t="s">
        <v>276</v>
      </c>
      <c r="D20" s="245"/>
      <c r="E20" s="246"/>
      <c r="F20" s="247"/>
      <c r="G20" s="260"/>
      <c r="H20" s="914"/>
      <c r="I20" s="915"/>
    </row>
    <row r="21" spans="3:9" ht="16.5" thickTop="1" x14ac:dyDescent="0.25">
      <c r="C21" s="241" t="s">
        <v>3575</v>
      </c>
      <c r="D21" s="235" t="s">
        <v>1378</v>
      </c>
      <c r="E21" s="242"/>
      <c r="F21" s="243">
        <v>1.4</v>
      </c>
      <c r="G21" s="251"/>
      <c r="H21" s="911">
        <f>_xlfn.XLOOKUP(D21,'ARQ. RES'!$B$12:$B$228,'ARQ. RES'!$D$12:$D$228,0)</f>
        <v>4.0199999999999996</v>
      </c>
      <c r="I21" s="913">
        <v>1</v>
      </c>
    </row>
    <row r="22" spans="3:9" ht="15.75" x14ac:dyDescent="0.25">
      <c r="C22" s="241" t="s">
        <v>3575</v>
      </c>
      <c r="D22" s="253" t="s">
        <v>1380</v>
      </c>
      <c r="E22" s="254"/>
      <c r="F22" s="255">
        <v>1.56</v>
      </c>
      <c r="G22" s="256"/>
      <c r="H22" s="911">
        <f>_xlfn.XLOOKUP(D22,'ARQ. RES'!$B$12:$B$228,'ARQ. RES'!$D$12:$D$228,0)</f>
        <v>17.68</v>
      </c>
      <c r="I22" s="917">
        <v>1</v>
      </c>
    </row>
    <row r="23" spans="3:9" ht="15.75" x14ac:dyDescent="0.25">
      <c r="C23" s="241" t="s">
        <v>3575</v>
      </c>
      <c r="D23" s="253" t="s">
        <v>1382</v>
      </c>
      <c r="E23" s="254"/>
      <c r="F23" s="255">
        <v>2.82</v>
      </c>
      <c r="G23" s="256"/>
      <c r="H23" s="911">
        <f>_xlfn.XLOOKUP(D23,'ARQ. RES'!$B$12:$B$228,'ARQ. RES'!$D$12:$D$228,0)</f>
        <v>2.0699999999999998</v>
      </c>
      <c r="I23" s="917">
        <v>1</v>
      </c>
    </row>
    <row r="24" spans="3:9" ht="15.75" x14ac:dyDescent="0.25">
      <c r="C24" s="241" t="s">
        <v>3575</v>
      </c>
      <c r="D24" s="253" t="s">
        <v>1384</v>
      </c>
      <c r="E24" s="254"/>
      <c r="F24" s="255">
        <v>2.91</v>
      </c>
      <c r="G24" s="256"/>
      <c r="H24" s="911">
        <f>_xlfn.XLOOKUP(D24,'ARQ. RES'!$B$12:$B$228,'ARQ. RES'!$D$12:$D$228,0)</f>
        <v>0.21</v>
      </c>
      <c r="I24" s="917">
        <v>1</v>
      </c>
    </row>
    <row r="25" spans="3:9" ht="15.75" x14ac:dyDescent="0.25">
      <c r="C25" s="241" t="s">
        <v>3575</v>
      </c>
      <c r="D25" s="253" t="s">
        <v>1386</v>
      </c>
      <c r="E25" s="254"/>
      <c r="F25" s="255">
        <v>3.96</v>
      </c>
      <c r="G25" s="256"/>
      <c r="H25" s="911">
        <f>_xlfn.XLOOKUP(D25,'ARQ. RES'!$B$12:$B$228,'ARQ. RES'!$D$12:$D$228,0)</f>
        <v>24.37</v>
      </c>
      <c r="I25" s="917">
        <v>1</v>
      </c>
    </row>
    <row r="26" spans="3:9" ht="15.75" x14ac:dyDescent="0.25">
      <c r="C26" s="241" t="s">
        <v>3575</v>
      </c>
      <c r="D26" s="253" t="s">
        <v>1388</v>
      </c>
      <c r="E26" s="254"/>
      <c r="F26" s="255">
        <v>4.0599999999999996</v>
      </c>
      <c r="G26" s="256"/>
      <c r="H26" s="911">
        <f>_xlfn.XLOOKUP(D26,'ARQ. RES'!$B$12:$B$228,'ARQ. RES'!$D$12:$D$228,0)</f>
        <v>41.4</v>
      </c>
      <c r="I26" s="917">
        <v>1</v>
      </c>
    </row>
    <row r="27" spans="3:9" ht="15.75" x14ac:dyDescent="0.25">
      <c r="C27" s="241" t="s">
        <v>3575</v>
      </c>
      <c r="D27" s="253" t="s">
        <v>1390</v>
      </c>
      <c r="E27" s="254"/>
      <c r="F27" s="255">
        <v>71</v>
      </c>
      <c r="G27" s="256"/>
      <c r="H27" s="911">
        <f>_xlfn.XLOOKUP(D27,'ARQ. RES'!$B$12:$B$228,'ARQ. RES'!$D$12:$D$228,0)</f>
        <v>59.64</v>
      </c>
      <c r="I27" s="917">
        <v>1</v>
      </c>
    </row>
    <row r="28" spans="3:9" ht="15.75" x14ac:dyDescent="0.25">
      <c r="C28" s="241" t="s">
        <v>3575</v>
      </c>
      <c r="D28" s="253" t="s">
        <v>1392</v>
      </c>
      <c r="E28" s="254"/>
      <c r="F28" s="255">
        <v>0.96</v>
      </c>
      <c r="G28" s="256"/>
      <c r="H28" s="911">
        <f>_xlfn.XLOOKUP(D28,'ARQ. RES'!$B$12:$B$228,'ARQ. RES'!$D$12:$D$228,0)</f>
        <v>32</v>
      </c>
      <c r="I28" s="917">
        <v>1</v>
      </c>
    </row>
    <row r="29" spans="3:9" ht="16.5" thickBot="1" x14ac:dyDescent="0.3">
      <c r="C29" s="244" t="s">
        <v>3575</v>
      </c>
      <c r="D29" s="245"/>
      <c r="E29" s="246"/>
      <c r="F29" s="247"/>
      <c r="G29" s="260"/>
      <c r="H29" s="914"/>
      <c r="I29" s="915"/>
    </row>
    <row r="30" spans="3:9" ht="16.5" thickTop="1" x14ac:dyDescent="0.25">
      <c r="C30" s="252" t="s">
        <v>277</v>
      </c>
      <c r="D30" s="253" t="s">
        <v>1287</v>
      </c>
      <c r="E30" s="254"/>
      <c r="F30" s="255"/>
      <c r="G30" s="255"/>
      <c r="H30" s="911">
        <f>_xlfn.XLOOKUP(D30,'ARQ. RES'!$B$12:$B$228,'ARQ. RES'!$D$12:$D$228,0)</f>
        <v>7380.63</v>
      </c>
      <c r="I30" s="917"/>
    </row>
    <row r="31" spans="3:9" ht="15.75" x14ac:dyDescent="0.25">
      <c r="C31" s="252" t="s">
        <v>277</v>
      </c>
      <c r="D31" s="253"/>
      <c r="E31" s="254"/>
      <c r="F31" s="255"/>
      <c r="G31" s="255"/>
      <c r="H31" s="916"/>
      <c r="I31" s="917"/>
    </row>
    <row r="32" spans="3:9" ht="15.75" x14ac:dyDescent="0.25">
      <c r="C32" s="252" t="s">
        <v>277</v>
      </c>
      <c r="D32" s="253"/>
      <c r="E32" s="254"/>
      <c r="F32" s="255"/>
      <c r="G32" s="255"/>
      <c r="H32" s="916"/>
      <c r="I32" s="917"/>
    </row>
    <row r="33" spans="3:9" ht="15.75" x14ac:dyDescent="0.25">
      <c r="C33" s="252" t="s">
        <v>277</v>
      </c>
      <c r="D33" s="253"/>
      <c r="E33" s="254"/>
      <c r="F33" s="255"/>
      <c r="G33" s="255"/>
      <c r="H33" s="916"/>
      <c r="I33" s="917"/>
    </row>
    <row r="34" spans="3:9" ht="16.5" thickBot="1" x14ac:dyDescent="0.3">
      <c r="C34" s="244" t="s">
        <v>277</v>
      </c>
      <c r="D34" s="245"/>
      <c r="E34" s="246"/>
      <c r="F34" s="247"/>
      <c r="G34" s="247"/>
      <c r="H34" s="914"/>
      <c r="I34" s="915"/>
    </row>
    <row r="35" spans="3:9" ht="16.5" thickTop="1" x14ac:dyDescent="0.25">
      <c r="C35" s="261" t="s">
        <v>278</v>
      </c>
      <c r="D35" s="262"/>
      <c r="E35" s="263"/>
      <c r="F35" s="264"/>
      <c r="G35" s="264"/>
      <c r="H35" s="918"/>
      <c r="I35" s="919"/>
    </row>
    <row r="36" spans="3:9" ht="15.75" x14ac:dyDescent="0.25">
      <c r="C36" s="252" t="s">
        <v>278</v>
      </c>
      <c r="D36" s="253"/>
      <c r="E36" s="254"/>
      <c r="F36" s="255"/>
      <c r="G36" s="255"/>
      <c r="H36" s="916"/>
      <c r="I36" s="917"/>
    </row>
    <row r="37" spans="3:9" ht="15.75" x14ac:dyDescent="0.25">
      <c r="C37" s="252" t="s">
        <v>278</v>
      </c>
      <c r="D37" s="253"/>
      <c r="E37" s="254"/>
      <c r="F37" s="255"/>
      <c r="G37" s="255"/>
      <c r="H37" s="916"/>
      <c r="I37" s="917"/>
    </row>
    <row r="38" spans="3:9" ht="16.5" thickBot="1" x14ac:dyDescent="0.3">
      <c r="C38" s="244" t="s">
        <v>278</v>
      </c>
      <c r="D38" s="265"/>
      <c r="E38" s="246"/>
      <c r="F38" s="247"/>
      <c r="G38" s="247"/>
      <c r="H38" s="914"/>
      <c r="I38" s="915"/>
    </row>
    <row r="39" spans="3:9" ht="16.5" thickTop="1" x14ac:dyDescent="0.25">
      <c r="C39" s="252" t="s">
        <v>279</v>
      </c>
      <c r="D39" s="253" t="s">
        <v>1333</v>
      </c>
      <c r="E39" s="254"/>
      <c r="F39" s="255">
        <v>0.8</v>
      </c>
      <c r="G39" s="255">
        <v>2.1</v>
      </c>
      <c r="H39" s="911">
        <f>_xlfn.XLOOKUP(D39,'ARQ. RES'!$B$12:$B$228,'ARQ. RES'!$D$12:$D$228,0)</f>
        <v>12.09</v>
      </c>
      <c r="I39" s="917">
        <v>7</v>
      </c>
    </row>
    <row r="40" spans="3:9" ht="15.75" x14ac:dyDescent="0.25">
      <c r="C40" s="252" t="s">
        <v>279</v>
      </c>
      <c r="D40" s="253" t="s">
        <v>1335</v>
      </c>
      <c r="E40" s="254"/>
      <c r="F40" s="255">
        <v>0.6</v>
      </c>
      <c r="G40" s="255">
        <v>2.1</v>
      </c>
      <c r="H40" s="911">
        <f>_xlfn.XLOOKUP(D40,'ARQ. RES'!$B$12:$B$228,'ARQ. RES'!$D$12:$D$228,0)</f>
        <v>1.3</v>
      </c>
      <c r="I40" s="917">
        <v>1</v>
      </c>
    </row>
    <row r="41" spans="3:9" ht="15.75" x14ac:dyDescent="0.25">
      <c r="C41" s="252" t="s">
        <v>279</v>
      </c>
      <c r="D41" s="253" t="s">
        <v>1337</v>
      </c>
      <c r="E41" s="254"/>
      <c r="F41" s="255">
        <v>4</v>
      </c>
      <c r="G41" s="255">
        <v>2.2999999999999998</v>
      </c>
      <c r="H41" s="911">
        <f>_xlfn.XLOOKUP(D41,'ARQ. RES'!$B$12:$B$228,'ARQ. RES'!$D$12:$D$228,0)</f>
        <v>3.06</v>
      </c>
      <c r="I41" s="917">
        <v>1</v>
      </c>
    </row>
    <row r="42" spans="3:9" ht="15.75" x14ac:dyDescent="0.25">
      <c r="C42" s="252" t="s">
        <v>279</v>
      </c>
      <c r="D42" s="253" t="s">
        <v>1339</v>
      </c>
      <c r="E42" s="254"/>
      <c r="F42" s="255">
        <v>1.4</v>
      </c>
      <c r="G42" s="255">
        <v>1.1499999999999999</v>
      </c>
      <c r="H42" s="911">
        <f>_xlfn.XLOOKUP(D42,'ARQ. RES'!$B$12:$B$228,'ARQ. RES'!$D$12:$D$228,0)</f>
        <v>1.65</v>
      </c>
      <c r="I42" s="917">
        <v>1</v>
      </c>
    </row>
    <row r="43" spans="3:9" ht="15.75" x14ac:dyDescent="0.25">
      <c r="C43" s="252" t="s">
        <v>279</v>
      </c>
      <c r="D43" s="253" t="s">
        <v>1357</v>
      </c>
      <c r="E43" s="254"/>
      <c r="F43" s="255">
        <v>1</v>
      </c>
      <c r="G43" s="255">
        <v>2.2999999999999998</v>
      </c>
      <c r="H43" s="911">
        <f>_xlfn.XLOOKUP(D43,'ARQ. RES'!$B$12:$B$228,'ARQ. RES'!$D$12:$D$228,0)</f>
        <v>2.35</v>
      </c>
      <c r="I43" s="917">
        <v>1</v>
      </c>
    </row>
    <row r="44" spans="3:9" ht="15.75" x14ac:dyDescent="0.25">
      <c r="C44" s="252" t="s">
        <v>279</v>
      </c>
      <c r="D44" s="253" t="s">
        <v>1359</v>
      </c>
      <c r="E44" s="254"/>
      <c r="F44" s="255">
        <v>2</v>
      </c>
      <c r="G44" s="255">
        <v>2.2999999999999998</v>
      </c>
      <c r="H44" s="911">
        <f>_xlfn.XLOOKUP(D44,'ARQ. RES'!$B$12:$B$228,'ARQ. RES'!$D$12:$D$228,0)</f>
        <v>65.37</v>
      </c>
      <c r="I44" s="917">
        <v>15</v>
      </c>
    </row>
    <row r="45" spans="3:9" ht="15.75" x14ac:dyDescent="0.25">
      <c r="C45" s="252" t="s">
        <v>279</v>
      </c>
      <c r="D45" s="253" t="s">
        <v>1361</v>
      </c>
      <c r="E45" s="254"/>
      <c r="F45" s="255">
        <v>2.6</v>
      </c>
      <c r="G45" s="255">
        <v>2.2999999999999998</v>
      </c>
      <c r="H45" s="911">
        <f>_xlfn.XLOOKUP(D45,'ARQ. RES'!$B$12:$B$228,'ARQ. RES'!$D$12:$D$228,0)</f>
        <v>78.680000000000007</v>
      </c>
      <c r="I45" s="917">
        <v>14</v>
      </c>
    </row>
    <row r="46" spans="3:9" ht="15.75" x14ac:dyDescent="0.25">
      <c r="C46" s="252" t="s">
        <v>279</v>
      </c>
      <c r="D46" s="253" t="s">
        <v>1363</v>
      </c>
      <c r="E46" s="254"/>
      <c r="F46" s="255">
        <v>3.6</v>
      </c>
      <c r="G46" s="255">
        <v>2.2999999999999998</v>
      </c>
      <c r="H46" s="911">
        <f>_xlfn.XLOOKUP(D46,'ARQ. RES'!$B$12:$B$228,'ARQ. RES'!$D$12:$D$228,0)</f>
        <v>234.22</v>
      </c>
      <c r="I46" s="917">
        <v>30</v>
      </c>
    </row>
    <row r="47" spans="3:9" ht="15.75" x14ac:dyDescent="0.25">
      <c r="C47" s="252" t="s">
        <v>279</v>
      </c>
      <c r="D47" s="253" t="s">
        <v>1365</v>
      </c>
      <c r="E47" s="254"/>
      <c r="F47" s="255">
        <v>1.5</v>
      </c>
      <c r="G47" s="255">
        <v>2.1</v>
      </c>
      <c r="H47" s="911">
        <f>_xlfn.XLOOKUP(D47,'ARQ. RES'!$B$12:$B$228,'ARQ. RES'!$D$12:$D$228,0)</f>
        <v>6.42</v>
      </c>
      <c r="I47" s="917">
        <v>2</v>
      </c>
    </row>
    <row r="48" spans="3:9" ht="15.75" x14ac:dyDescent="0.25">
      <c r="C48" s="252" t="s">
        <v>279</v>
      </c>
      <c r="D48" s="253" t="s">
        <v>1367</v>
      </c>
      <c r="E48" s="254"/>
      <c r="F48" s="255">
        <v>5.26</v>
      </c>
      <c r="G48" s="255">
        <v>3.16</v>
      </c>
      <c r="H48" s="911">
        <f>_xlfn.XLOOKUP(D48,'ARQ. RES'!$B$12:$B$228,'ARQ. RES'!$D$12:$D$228,0)</f>
        <v>16.829999999999998</v>
      </c>
      <c r="I48" s="917">
        <v>1</v>
      </c>
    </row>
    <row r="49" spans="3:9" ht="15.75" x14ac:dyDescent="0.25">
      <c r="C49" s="252" t="s">
        <v>279</v>
      </c>
      <c r="D49" s="253" t="s">
        <v>1369</v>
      </c>
      <c r="E49" s="254"/>
      <c r="F49" s="255">
        <v>5.8</v>
      </c>
      <c r="G49" s="255">
        <v>3.16</v>
      </c>
      <c r="H49" s="911">
        <f>_xlfn.XLOOKUP(D49,'ARQ. RES'!$B$12:$B$228,'ARQ. RES'!$D$12:$D$228,0)</f>
        <v>18.64</v>
      </c>
      <c r="I49" s="917">
        <v>1</v>
      </c>
    </row>
    <row r="50" spans="3:9" ht="15.75" x14ac:dyDescent="0.25">
      <c r="C50" s="252" t="s">
        <v>279</v>
      </c>
      <c r="D50" s="253" t="s">
        <v>1371</v>
      </c>
      <c r="E50" s="254"/>
      <c r="F50" s="255">
        <v>6.47</v>
      </c>
      <c r="G50" s="255">
        <v>3.16</v>
      </c>
      <c r="H50" s="911">
        <f>_xlfn.XLOOKUP(D50,'ARQ. RES'!$B$12:$B$228,'ARQ. RES'!$D$12:$D$228,0)</f>
        <v>20.71</v>
      </c>
      <c r="I50" s="917">
        <v>1</v>
      </c>
    </row>
    <row r="51" spans="3:9" ht="15.75" x14ac:dyDescent="0.25">
      <c r="C51" s="252" t="s">
        <v>279</v>
      </c>
      <c r="D51" s="253" t="s">
        <v>1373</v>
      </c>
      <c r="E51" s="254"/>
      <c r="F51" s="255">
        <v>7.24</v>
      </c>
      <c r="G51" s="255">
        <v>3.16</v>
      </c>
      <c r="H51" s="911">
        <f>_xlfn.XLOOKUP(D51,'ARQ. RES'!$B$12:$B$228,'ARQ. RES'!$D$12:$D$228,0)</f>
        <v>23.13</v>
      </c>
      <c r="I51" s="917">
        <v>1</v>
      </c>
    </row>
    <row r="52" spans="3:9" ht="15.75" x14ac:dyDescent="0.25">
      <c r="C52" s="252" t="s">
        <v>279</v>
      </c>
      <c r="D52" s="253" t="s">
        <v>1375</v>
      </c>
      <c r="E52" s="254"/>
      <c r="F52" s="255">
        <v>8.3000000000000007</v>
      </c>
      <c r="G52" s="255">
        <v>3.16</v>
      </c>
      <c r="H52" s="911">
        <f>_xlfn.XLOOKUP(D52,'ARQ. RES'!$B$12:$B$228,'ARQ. RES'!$D$12:$D$228,0)</f>
        <v>26.57</v>
      </c>
      <c r="I52" s="917">
        <v>1</v>
      </c>
    </row>
    <row r="53" spans="3:9" ht="15.75" x14ac:dyDescent="0.25">
      <c r="C53" s="252" t="s">
        <v>279</v>
      </c>
      <c r="D53" s="253"/>
      <c r="E53" s="254"/>
      <c r="F53" s="255"/>
      <c r="G53" s="255"/>
      <c r="H53" s="916"/>
      <c r="I53" s="917"/>
    </row>
    <row r="54" spans="3:9" ht="15.75" x14ac:dyDescent="0.25">
      <c r="C54" s="252" t="s">
        <v>279</v>
      </c>
      <c r="D54" s="253"/>
      <c r="E54" s="254"/>
      <c r="F54" s="255"/>
      <c r="G54" s="255"/>
      <c r="H54" s="916"/>
      <c r="I54" s="917"/>
    </row>
    <row r="55" spans="3:9" ht="16.5" thickBot="1" x14ac:dyDescent="0.3">
      <c r="C55" s="244" t="s">
        <v>279</v>
      </c>
      <c r="D55" s="265"/>
      <c r="E55" s="246"/>
      <c r="F55" s="247"/>
      <c r="G55" s="247"/>
      <c r="H55" s="914"/>
      <c r="I55" s="915"/>
    </row>
    <row r="56" spans="3:9" ht="16.5" thickTop="1" x14ac:dyDescent="0.25">
      <c r="C56" s="234" t="s">
        <v>280</v>
      </c>
      <c r="D56" s="266" t="s">
        <v>1301</v>
      </c>
      <c r="E56" s="236"/>
      <c r="F56" s="237">
        <v>3</v>
      </c>
      <c r="G56" s="237">
        <v>1.2</v>
      </c>
      <c r="H56" s="911">
        <f>_xlfn.XLOOKUP(D56,'ARQ. RES'!$B$12:$B$228,'ARQ. RES'!$D$12:$D$228,0)</f>
        <v>95.64</v>
      </c>
      <c r="I56" s="912">
        <v>29</v>
      </c>
    </row>
    <row r="57" spans="3:9" ht="15.75" x14ac:dyDescent="0.25">
      <c r="C57" s="241" t="s">
        <v>280</v>
      </c>
      <c r="D57" s="235" t="s">
        <v>1303</v>
      </c>
      <c r="E57" s="242"/>
      <c r="F57" s="243">
        <v>0.6</v>
      </c>
      <c r="G57" s="243">
        <v>2.13</v>
      </c>
      <c r="H57" s="911">
        <f>_xlfn.XLOOKUP(D57,'ARQ. RES'!$B$12:$B$228,'ARQ. RES'!$D$12:$D$228,0)</f>
        <v>238.36</v>
      </c>
      <c r="I57" s="913">
        <v>187</v>
      </c>
    </row>
    <row r="58" spans="3:9" ht="15.75" x14ac:dyDescent="0.25">
      <c r="C58" s="241" t="s">
        <v>280</v>
      </c>
      <c r="D58" s="235" t="s">
        <v>1305</v>
      </c>
      <c r="E58" s="242"/>
      <c r="F58" s="243">
        <v>0.6</v>
      </c>
      <c r="G58" s="243">
        <v>0.3</v>
      </c>
      <c r="H58" s="911">
        <f>_xlfn.XLOOKUP(D58,'ARQ. RES'!$B$12:$B$228,'ARQ. RES'!$D$12:$D$228,0)</f>
        <v>7.94</v>
      </c>
      <c r="I58" s="913">
        <v>46</v>
      </c>
    </row>
    <row r="59" spans="3:9" ht="15.75" x14ac:dyDescent="0.25">
      <c r="C59" s="241" t="s">
        <v>280</v>
      </c>
      <c r="D59" s="235" t="s">
        <v>1307</v>
      </c>
      <c r="E59" s="242"/>
      <c r="F59" s="243">
        <v>0.6</v>
      </c>
      <c r="G59" s="243">
        <v>1.2</v>
      </c>
      <c r="H59" s="911">
        <f>_xlfn.XLOOKUP(D59,'ARQ. RES'!$B$12:$B$228,'ARQ. RES'!$D$12:$D$228,0)</f>
        <v>19.63</v>
      </c>
      <c r="I59" s="913">
        <v>29</v>
      </c>
    </row>
    <row r="60" spans="3:9" ht="15.75" x14ac:dyDescent="0.25">
      <c r="C60" s="241" t="s">
        <v>280</v>
      </c>
      <c r="D60" s="235" t="s">
        <v>1309</v>
      </c>
      <c r="E60" s="242"/>
      <c r="F60" s="243">
        <v>0.6</v>
      </c>
      <c r="G60" s="243">
        <v>0.7</v>
      </c>
      <c r="H60" s="911">
        <f>_xlfn.XLOOKUP(D60,'ARQ. RES'!$B$12:$B$228,'ARQ. RES'!$D$12:$D$228,0)</f>
        <v>34.799999999999997</v>
      </c>
      <c r="I60" s="913">
        <v>89</v>
      </c>
    </row>
    <row r="61" spans="3:9" ht="15.75" x14ac:dyDescent="0.25">
      <c r="C61" s="241" t="s">
        <v>280</v>
      </c>
      <c r="D61" s="235" t="s">
        <v>1311</v>
      </c>
      <c r="E61" s="242"/>
      <c r="F61" s="243">
        <v>0.8</v>
      </c>
      <c r="G61" s="243">
        <v>0.7</v>
      </c>
      <c r="H61" s="911">
        <f>_xlfn.XLOOKUP(D61,'ARQ. RES'!$B$12:$B$228,'ARQ. RES'!$D$12:$D$228,0)</f>
        <v>7.67</v>
      </c>
      <c r="I61" s="913">
        <v>15</v>
      </c>
    </row>
    <row r="62" spans="3:9" ht="15.75" x14ac:dyDescent="0.25">
      <c r="C62" s="241" t="s">
        <v>280</v>
      </c>
      <c r="D62" s="235" t="s">
        <v>1313</v>
      </c>
      <c r="E62" s="242"/>
      <c r="F62" s="243">
        <v>1.5</v>
      </c>
      <c r="G62" s="243">
        <v>1.2</v>
      </c>
      <c r="H62" s="911">
        <f>_xlfn.XLOOKUP(D62,'ARQ. RES'!$B$12:$B$228,'ARQ. RES'!$D$12:$D$228,0)</f>
        <v>614.29</v>
      </c>
      <c r="I62" s="913">
        <v>368</v>
      </c>
    </row>
    <row r="63" spans="3:9" ht="15.75" x14ac:dyDescent="0.25">
      <c r="C63" s="241" t="s">
        <v>280</v>
      </c>
      <c r="D63" s="235" t="s">
        <v>1315</v>
      </c>
      <c r="E63" s="242"/>
      <c r="F63" s="243">
        <v>0.8</v>
      </c>
      <c r="G63" s="243">
        <v>0.8</v>
      </c>
      <c r="H63" s="911">
        <f>_xlfn.XLOOKUP(D63,'ARQ. RES'!$B$12:$B$228,'ARQ. RES'!$D$12:$D$228,0)</f>
        <v>1.34</v>
      </c>
      <c r="I63" s="913">
        <v>2</v>
      </c>
    </row>
    <row r="64" spans="3:9" ht="15.75" x14ac:dyDescent="0.25">
      <c r="C64" s="241" t="s">
        <v>280</v>
      </c>
      <c r="D64" s="235" t="s">
        <v>1317</v>
      </c>
      <c r="E64" s="242"/>
      <c r="F64" s="243">
        <v>1.8</v>
      </c>
      <c r="G64" s="243">
        <v>0.95</v>
      </c>
      <c r="H64" s="911">
        <f>_xlfn.XLOOKUP(D64,'ARQ. RES'!$B$12:$B$228,'ARQ. RES'!$D$12:$D$228,0)</f>
        <v>1.77</v>
      </c>
      <c r="I64" s="913">
        <v>1</v>
      </c>
    </row>
    <row r="65" spans="3:9" ht="15.75" x14ac:dyDescent="0.25">
      <c r="C65" s="241" t="s">
        <v>280</v>
      </c>
      <c r="D65" s="235" t="s">
        <v>1319</v>
      </c>
      <c r="E65" s="242"/>
      <c r="F65" s="243">
        <v>1.5</v>
      </c>
      <c r="G65" s="243">
        <v>1</v>
      </c>
      <c r="H65" s="911">
        <f>_xlfn.XLOOKUP(D65,'ARQ. RES'!$B$12:$B$228,'ARQ. RES'!$D$12:$D$228,0)</f>
        <v>1.55</v>
      </c>
      <c r="I65" s="913">
        <v>1</v>
      </c>
    </row>
    <row r="66" spans="3:9" ht="15.75" x14ac:dyDescent="0.25">
      <c r="C66" s="241" t="s">
        <v>280</v>
      </c>
      <c r="D66" s="235" t="s">
        <v>1321</v>
      </c>
      <c r="E66" s="242"/>
      <c r="F66" s="243">
        <v>0.9</v>
      </c>
      <c r="G66" s="243">
        <v>1.85</v>
      </c>
      <c r="H66" s="911">
        <f>_xlfn.XLOOKUP(D66,'ARQ. RES'!$B$12:$B$228,'ARQ. RES'!$D$12:$D$228,0)</f>
        <v>1.72</v>
      </c>
      <c r="I66" s="913">
        <v>1</v>
      </c>
    </row>
    <row r="67" spans="3:9" ht="15.75" x14ac:dyDescent="0.25">
      <c r="C67" s="241" t="s">
        <v>280</v>
      </c>
      <c r="D67" s="235" t="s">
        <v>1323</v>
      </c>
      <c r="E67" s="242"/>
      <c r="F67" s="243">
        <v>2</v>
      </c>
      <c r="G67" s="243">
        <v>1.2</v>
      </c>
      <c r="H67" s="911">
        <f>_xlfn.XLOOKUP(D67,'ARQ. RES'!$B$12:$B$228,'ARQ. RES'!$D$12:$D$228,0)</f>
        <v>121.92</v>
      </c>
      <c r="I67" s="913">
        <v>55</v>
      </c>
    </row>
    <row r="68" spans="3:9" ht="15.75" x14ac:dyDescent="0.25">
      <c r="C68" s="241" t="s">
        <v>280</v>
      </c>
      <c r="D68" s="235" t="s">
        <v>1325</v>
      </c>
      <c r="E68" s="242"/>
      <c r="F68" s="243">
        <v>2.4</v>
      </c>
      <c r="G68" s="243">
        <v>1.2</v>
      </c>
      <c r="H68" s="911">
        <f>_xlfn.XLOOKUP(D68,'ARQ. RES'!$B$12:$B$228,'ARQ. RES'!$D$12:$D$228,0)</f>
        <v>76.64</v>
      </c>
      <c r="I68" s="913">
        <v>29</v>
      </c>
    </row>
    <row r="69" spans="3:9" ht="15.75" x14ac:dyDescent="0.25">
      <c r="C69" s="241" t="s">
        <v>280</v>
      </c>
      <c r="D69" s="235" t="s">
        <v>1327</v>
      </c>
      <c r="E69" s="242"/>
      <c r="F69" s="243">
        <v>0.5</v>
      </c>
      <c r="G69" s="243">
        <v>2.13</v>
      </c>
      <c r="H69" s="911">
        <f>_xlfn.XLOOKUP(D69,'ARQ. RES'!$B$12:$B$228,'ARQ. RES'!$D$12:$D$228,0)</f>
        <v>4.26</v>
      </c>
      <c r="I69" s="913">
        <v>4</v>
      </c>
    </row>
    <row r="70" spans="3:9" ht="15.75" x14ac:dyDescent="0.25">
      <c r="C70" s="241" t="s">
        <v>280</v>
      </c>
      <c r="D70" s="235" t="s">
        <v>1329</v>
      </c>
      <c r="E70" s="242"/>
      <c r="F70" s="243">
        <v>0.6</v>
      </c>
      <c r="G70" s="243">
        <v>2.13</v>
      </c>
      <c r="H70" s="911">
        <f>_xlfn.XLOOKUP(D70,'ARQ. RES'!$B$12:$B$228,'ARQ. RES'!$D$12:$D$228,0)</f>
        <v>368.23</v>
      </c>
      <c r="I70" s="913">
        <v>288</v>
      </c>
    </row>
    <row r="71" spans="3:9" ht="15.75" x14ac:dyDescent="0.25">
      <c r="C71" s="241" t="s">
        <v>280</v>
      </c>
      <c r="D71" s="235" t="s">
        <v>1331</v>
      </c>
      <c r="E71" s="242"/>
      <c r="F71" s="243">
        <v>1.2</v>
      </c>
      <c r="G71" s="243">
        <v>0.89</v>
      </c>
      <c r="H71" s="911">
        <f>_xlfn.XLOOKUP(D71,'ARQ. RES'!$B$12:$B$228,'ARQ. RES'!$D$12:$D$228,0)</f>
        <v>1</v>
      </c>
      <c r="I71" s="913">
        <v>1</v>
      </c>
    </row>
    <row r="72" spans="3:9" ht="15.75" x14ac:dyDescent="0.25">
      <c r="C72" s="241" t="s">
        <v>280</v>
      </c>
      <c r="D72" s="235" t="s">
        <v>1285</v>
      </c>
      <c r="E72" s="242"/>
      <c r="F72" s="243">
        <v>0.6</v>
      </c>
      <c r="G72" s="243">
        <v>0.6</v>
      </c>
      <c r="H72" s="911">
        <f>_xlfn.XLOOKUP(D72,'ARQ. RES'!$B$12:$B$228,'ARQ. RES'!$D$12:$D$228,0)</f>
        <v>1.82</v>
      </c>
      <c r="I72" s="913">
        <v>6</v>
      </c>
    </row>
    <row r="73" spans="3:9" ht="16.5" thickBot="1" x14ac:dyDescent="0.3">
      <c r="C73" s="244" t="s">
        <v>280</v>
      </c>
      <c r="D73" s="245"/>
      <c r="E73" s="246"/>
      <c r="F73" s="247"/>
      <c r="G73" s="247"/>
      <c r="H73" s="914"/>
      <c r="I73" s="915"/>
    </row>
    <row r="74" spans="3:9" ht="16.5" thickTop="1" x14ac:dyDescent="0.25">
      <c r="C74" s="241" t="s">
        <v>281</v>
      </c>
      <c r="D74" s="235" t="s">
        <v>3697</v>
      </c>
      <c r="E74" s="242"/>
      <c r="F74" s="243">
        <v>61.01</v>
      </c>
      <c r="G74" s="243">
        <v>12.6</v>
      </c>
      <c r="H74" s="911">
        <f>G74*F74</f>
        <v>768.726</v>
      </c>
      <c r="I74" s="913">
        <v>1</v>
      </c>
    </row>
    <row r="75" spans="3:9" ht="15.75" x14ac:dyDescent="0.25">
      <c r="C75" s="241" t="s">
        <v>281</v>
      </c>
      <c r="D75" s="235" t="s">
        <v>3697</v>
      </c>
      <c r="E75" s="242"/>
      <c r="F75" s="243">
        <v>41.401899999999998</v>
      </c>
      <c r="G75" s="243">
        <v>12.6</v>
      </c>
      <c r="H75" s="911">
        <f>G75*F75</f>
        <v>521.66393999999991</v>
      </c>
      <c r="I75" s="913">
        <v>1</v>
      </c>
    </row>
    <row r="76" spans="3:9" ht="15.75" x14ac:dyDescent="0.25">
      <c r="C76" s="241" t="s">
        <v>281</v>
      </c>
      <c r="D76" s="235"/>
      <c r="E76" s="242"/>
      <c r="F76" s="243"/>
      <c r="G76" s="243"/>
      <c r="H76" s="911"/>
      <c r="I76" s="913"/>
    </row>
    <row r="77" spans="3:9" ht="16.5" thickBot="1" x14ac:dyDescent="0.3">
      <c r="C77" s="244" t="s">
        <v>281</v>
      </c>
      <c r="D77" s="245"/>
      <c r="E77" s="246"/>
      <c r="F77" s="247"/>
      <c r="G77" s="247"/>
      <c r="H77" s="914"/>
      <c r="I77" s="915"/>
    </row>
    <row r="78" spans="3:9" ht="16.5" thickTop="1" x14ac:dyDescent="0.25">
      <c r="C78" s="241" t="s">
        <v>282</v>
      </c>
      <c r="D78" s="235" t="s">
        <v>1291</v>
      </c>
      <c r="E78" s="242"/>
      <c r="F78" s="243">
        <v>16.34</v>
      </c>
      <c r="G78" s="243"/>
      <c r="H78" s="911">
        <f>_xlfn.XLOOKUP(D78,'ARQ. RES'!$B$12:$B$228,'ARQ. RES'!$D$12:$D$228,0)</f>
        <v>16.34</v>
      </c>
      <c r="I78" s="913">
        <v>1</v>
      </c>
    </row>
    <row r="79" spans="3:9" ht="15.75" x14ac:dyDescent="0.25">
      <c r="C79" s="241" t="s">
        <v>282</v>
      </c>
      <c r="D79" s="235" t="s">
        <v>1293</v>
      </c>
      <c r="E79" s="242"/>
      <c r="F79" s="243">
        <v>250.29</v>
      </c>
      <c r="G79" s="243"/>
      <c r="H79" s="911">
        <f>_xlfn.XLOOKUP(D79,'ARQ. RES'!$B$12:$B$228,'ARQ. RES'!$D$12:$D$228,0)</f>
        <v>232.59</v>
      </c>
      <c r="I79" s="913">
        <v>1</v>
      </c>
    </row>
    <row r="80" spans="3:9" ht="15.75" x14ac:dyDescent="0.25">
      <c r="C80" s="241" t="s">
        <v>282</v>
      </c>
      <c r="D80" s="235" t="s">
        <v>1295</v>
      </c>
      <c r="E80" s="242"/>
      <c r="F80" s="243">
        <v>16.05</v>
      </c>
      <c r="G80" s="243"/>
      <c r="H80" s="911">
        <f>_xlfn.XLOOKUP(D80,'ARQ. RES'!$B$12:$B$228,'ARQ. RES'!$D$12:$D$228,0)</f>
        <v>16.05</v>
      </c>
      <c r="I80" s="913">
        <v>1</v>
      </c>
    </row>
    <row r="81" spans="3:9" ht="15.75" x14ac:dyDescent="0.25">
      <c r="C81" s="241" t="s">
        <v>282</v>
      </c>
      <c r="D81" s="235" t="s">
        <v>1297</v>
      </c>
      <c r="E81" s="242"/>
      <c r="F81" s="243">
        <v>36.75</v>
      </c>
      <c r="G81" s="243"/>
      <c r="H81" s="911">
        <f>_xlfn.XLOOKUP(D81,'ARQ. RES'!$B$12:$B$228,'ARQ. RES'!$D$12:$D$228,0)</f>
        <v>36.75</v>
      </c>
      <c r="I81" s="913">
        <v>1</v>
      </c>
    </row>
    <row r="82" spans="3:9" ht="16.5" thickBot="1" x14ac:dyDescent="0.3">
      <c r="C82" s="244" t="s">
        <v>282</v>
      </c>
      <c r="D82" s="245" t="s">
        <v>1299</v>
      </c>
      <c r="E82" s="246"/>
      <c r="F82" s="247">
        <v>6.89</v>
      </c>
      <c r="G82" s="247"/>
      <c r="H82" s="914">
        <f>_xlfn.XLOOKUP(D82,'ARQ. RES'!$B$12:$B$228,'ARQ. RES'!$D$12:$D$228,0)</f>
        <v>6.89</v>
      </c>
      <c r="I82" s="915">
        <v>1</v>
      </c>
    </row>
    <row r="83" spans="3:9" ht="17.25" thickTop="1" thickBot="1" x14ac:dyDescent="0.3">
      <c r="C83" s="244" t="s">
        <v>282</v>
      </c>
      <c r="D83" s="245"/>
      <c r="E83" s="246"/>
      <c r="F83" s="247"/>
      <c r="G83" s="247"/>
      <c r="H83" s="914"/>
      <c r="I83" s="915"/>
    </row>
    <row r="84" spans="3:9" ht="16.5" thickTop="1" x14ac:dyDescent="0.25">
      <c r="C84" s="241" t="s">
        <v>283</v>
      </c>
      <c r="D84" s="235" t="s">
        <v>1341</v>
      </c>
      <c r="E84" s="242"/>
      <c r="F84" s="243">
        <v>1.1675</v>
      </c>
      <c r="G84" s="243">
        <v>3.16</v>
      </c>
      <c r="H84" s="911">
        <f>_xlfn.XLOOKUP(D84,'ARQ. RES'!$B$12:$B$228,'ARQ. RES'!$D$12:$D$228,0)</f>
        <v>3.69</v>
      </c>
      <c r="I84" s="913">
        <v>1</v>
      </c>
    </row>
    <row r="85" spans="3:9" ht="15.75" x14ac:dyDescent="0.25">
      <c r="C85" s="241" t="s">
        <v>283</v>
      </c>
      <c r="D85" s="235" t="s">
        <v>1343</v>
      </c>
      <c r="E85" s="242"/>
      <c r="F85" s="243">
        <v>122</v>
      </c>
      <c r="G85" s="243">
        <v>2.8</v>
      </c>
      <c r="H85" s="911">
        <f>_xlfn.XLOOKUP(D85,'ARQ. RES'!$B$12:$B$228,'ARQ. RES'!$D$12:$D$228,0)</f>
        <v>3.44</v>
      </c>
      <c r="I85" s="913">
        <v>1</v>
      </c>
    </row>
    <row r="86" spans="3:9" ht="15.75" x14ac:dyDescent="0.25">
      <c r="C86" s="241" t="s">
        <v>283</v>
      </c>
      <c r="D86" s="235" t="s">
        <v>1345</v>
      </c>
      <c r="E86" s="242"/>
      <c r="F86" s="243">
        <v>1.5</v>
      </c>
      <c r="G86" s="243">
        <v>2.06</v>
      </c>
      <c r="H86" s="911">
        <f>_xlfn.XLOOKUP(D86,'ARQ. RES'!$B$12:$B$228,'ARQ. RES'!$D$12:$D$228,0)</f>
        <v>3.11</v>
      </c>
      <c r="I86" s="913">
        <v>1</v>
      </c>
    </row>
    <row r="87" spans="3:9" ht="15.75" x14ac:dyDescent="0.25">
      <c r="C87" s="241" t="s">
        <v>283</v>
      </c>
      <c r="D87" s="235" t="s">
        <v>1347</v>
      </c>
      <c r="E87" s="242"/>
      <c r="F87" s="243">
        <v>1.585</v>
      </c>
      <c r="G87" s="243">
        <v>2.8</v>
      </c>
      <c r="H87" s="911">
        <f>_xlfn.XLOOKUP(D87,'ARQ. RES'!$B$12:$B$228,'ARQ. RES'!$D$12:$D$228,0)</f>
        <v>9.24</v>
      </c>
      <c r="I87" s="913">
        <v>1</v>
      </c>
    </row>
    <row r="88" spans="3:9" ht="15.75" x14ac:dyDescent="0.25">
      <c r="C88" s="241" t="s">
        <v>283</v>
      </c>
      <c r="D88" s="235" t="s">
        <v>1349</v>
      </c>
      <c r="E88" s="242"/>
      <c r="F88" s="243">
        <v>2.4649999999999999</v>
      </c>
      <c r="G88" s="243">
        <v>3.16</v>
      </c>
      <c r="H88" s="911">
        <f>_xlfn.XLOOKUP(D88,'ARQ. RES'!$B$12:$B$228,'ARQ. RES'!$D$12:$D$228,0)</f>
        <v>20.309999999999999</v>
      </c>
      <c r="I88" s="913">
        <v>1</v>
      </c>
    </row>
    <row r="89" spans="3:9" ht="15.75" x14ac:dyDescent="0.25">
      <c r="C89" s="241" t="s">
        <v>283</v>
      </c>
      <c r="D89" s="235" t="s">
        <v>1351</v>
      </c>
      <c r="E89" s="242"/>
      <c r="F89" s="243">
        <v>3.15</v>
      </c>
      <c r="G89" s="243">
        <v>2.8</v>
      </c>
      <c r="H89" s="911">
        <f>_xlfn.XLOOKUP(D89,'ARQ. RES'!$B$12:$B$228,'ARQ. RES'!$D$12:$D$228,0)</f>
        <v>8.83</v>
      </c>
      <c r="I89" s="913">
        <v>1</v>
      </c>
    </row>
    <row r="90" spans="3:9" ht="15.75" x14ac:dyDescent="0.25">
      <c r="C90" s="241" t="s">
        <v>283</v>
      </c>
      <c r="D90" s="235" t="s">
        <v>1353</v>
      </c>
      <c r="E90" s="242"/>
      <c r="F90" s="243">
        <v>5.9349999999999996</v>
      </c>
      <c r="G90" s="243">
        <v>2.8</v>
      </c>
      <c r="H90" s="911">
        <f>_xlfn.XLOOKUP(D90,'ARQ. RES'!$B$12:$B$228,'ARQ. RES'!$D$12:$D$228,0)</f>
        <v>16.63</v>
      </c>
      <c r="I90" s="913">
        <v>1</v>
      </c>
    </row>
    <row r="91" spans="3:9" ht="15.75" x14ac:dyDescent="0.25">
      <c r="C91" s="241" t="s">
        <v>283</v>
      </c>
      <c r="D91" s="235" t="s">
        <v>1355</v>
      </c>
      <c r="E91" s="242"/>
      <c r="F91" s="243">
        <v>0.66</v>
      </c>
      <c r="G91" s="243">
        <v>3.16</v>
      </c>
      <c r="H91" s="911">
        <f>_xlfn.XLOOKUP(D91,'ARQ. RES'!$B$12:$B$228,'ARQ. RES'!$D$12:$D$228,0)</f>
        <v>2.09</v>
      </c>
      <c r="I91" s="913">
        <v>1</v>
      </c>
    </row>
    <row r="92" spans="3:9" ht="15.75" x14ac:dyDescent="0.25">
      <c r="C92" s="241" t="s">
        <v>283</v>
      </c>
      <c r="D92" s="235" t="s">
        <v>1289</v>
      </c>
      <c r="E92" s="242"/>
      <c r="F92" s="243"/>
      <c r="G92" s="243"/>
      <c r="H92" s="911">
        <f>_xlfn.XLOOKUP(D92,'ARQ. RES'!$B$12:$B$228,'ARQ. RES'!$D$12:$D$228,0)</f>
        <v>906.77</v>
      </c>
      <c r="I92" s="913">
        <v>1</v>
      </c>
    </row>
    <row r="93" spans="3:9" ht="15.75" x14ac:dyDescent="0.25">
      <c r="C93" s="241" t="s">
        <v>283</v>
      </c>
      <c r="D93" s="235"/>
      <c r="E93" s="242"/>
      <c r="F93" s="243"/>
      <c r="G93" s="243"/>
      <c r="H93" s="911"/>
      <c r="I93" s="913"/>
    </row>
    <row r="94" spans="3:9" ht="16.5" thickBot="1" x14ac:dyDescent="0.3">
      <c r="C94" s="244" t="s">
        <v>283</v>
      </c>
      <c r="D94" s="245"/>
      <c r="E94" s="246"/>
      <c r="F94" s="247"/>
      <c r="G94" s="247"/>
      <c r="H94" s="914"/>
      <c r="I94" s="915"/>
    </row>
    <row r="95" spans="3:9" ht="16.5" thickTop="1" x14ac:dyDescent="0.25">
      <c r="C95" s="241" t="s">
        <v>284</v>
      </c>
      <c r="D95" s="235" t="s">
        <v>1405</v>
      </c>
      <c r="E95" s="242"/>
      <c r="F95" s="243">
        <v>0.8</v>
      </c>
      <c r="G95" s="243">
        <v>210</v>
      </c>
      <c r="H95" s="911">
        <f>F95*G95*I95</f>
        <v>840</v>
      </c>
      <c r="I95" s="913">
        <f>_xlfn.XLOOKUP(D95,'ARQ. RES'!$B$12:$B$228,'ARQ. RES'!$D$12:$D$228,0)</f>
        <v>5</v>
      </c>
    </row>
    <row r="96" spans="3:9" ht="15.75" x14ac:dyDescent="0.25">
      <c r="C96" s="241" t="s">
        <v>284</v>
      </c>
      <c r="D96" s="235" t="s">
        <v>1407</v>
      </c>
      <c r="E96" s="242"/>
      <c r="F96" s="243">
        <v>0.9</v>
      </c>
      <c r="G96" s="243">
        <v>210</v>
      </c>
      <c r="H96" s="911">
        <f t="shared" ref="H96:H97" si="1">F96*G96*I96</f>
        <v>6804</v>
      </c>
      <c r="I96" s="913">
        <f>_xlfn.XLOOKUP(D96,'ARQ. RES'!$B$12:$B$228,'ARQ. RES'!$D$12:$D$228,0)</f>
        <v>36</v>
      </c>
    </row>
    <row r="97" spans="3:9" ht="15.75" x14ac:dyDescent="0.25">
      <c r="C97" s="241" t="s">
        <v>284</v>
      </c>
      <c r="D97" s="235" t="s">
        <v>1409</v>
      </c>
      <c r="E97" s="242"/>
      <c r="F97" s="243">
        <v>1</v>
      </c>
      <c r="G97" s="243">
        <v>210</v>
      </c>
      <c r="H97" s="911">
        <f t="shared" si="1"/>
        <v>840</v>
      </c>
      <c r="I97" s="913">
        <f>_xlfn.XLOOKUP(D97,'ARQ. RES'!$B$12:$B$228,'ARQ. RES'!$D$12:$D$228,0)</f>
        <v>4</v>
      </c>
    </row>
    <row r="98" spans="3:9" ht="16.5" thickBot="1" x14ac:dyDescent="0.3">
      <c r="C98" s="244" t="s">
        <v>284</v>
      </c>
      <c r="D98" s="245"/>
      <c r="E98" s="246"/>
      <c r="F98" s="247"/>
      <c r="G98" s="247"/>
      <c r="H98" s="914"/>
      <c r="I98" s="915"/>
    </row>
    <row r="99" spans="3:9" ht="16.5" thickTop="1" x14ac:dyDescent="0.25">
      <c r="C99" s="241" t="s">
        <v>285</v>
      </c>
      <c r="D99" s="235"/>
      <c r="E99" s="242"/>
      <c r="F99" s="243"/>
      <c r="G99" s="243"/>
      <c r="H99" s="911"/>
      <c r="I99" s="913"/>
    </row>
    <row r="100" spans="3:9" ht="15.75" x14ac:dyDescent="0.25">
      <c r="C100" s="241" t="s">
        <v>285</v>
      </c>
      <c r="D100" s="235"/>
      <c r="E100" s="242"/>
      <c r="F100" s="243"/>
      <c r="G100" s="243"/>
      <c r="H100" s="911"/>
      <c r="I100" s="913"/>
    </row>
    <row r="101" spans="3:9" ht="15.75" x14ac:dyDescent="0.25">
      <c r="C101" s="241" t="s">
        <v>285</v>
      </c>
      <c r="D101" s="235"/>
      <c r="E101" s="242"/>
      <c r="F101" s="243"/>
      <c r="G101" s="243"/>
      <c r="H101" s="911"/>
      <c r="I101" s="913"/>
    </row>
    <row r="102" spans="3:9" ht="16.5" thickBot="1" x14ac:dyDescent="0.3">
      <c r="C102" s="244" t="s">
        <v>285</v>
      </c>
      <c r="D102" s="245"/>
      <c r="E102" s="246"/>
      <c r="F102" s="247"/>
      <c r="G102" s="247"/>
      <c r="H102" s="914"/>
      <c r="I102" s="915"/>
    </row>
    <row r="103" spans="3:9" ht="16.5" thickTop="1" x14ac:dyDescent="0.25">
      <c r="C103" s="241" t="s">
        <v>286</v>
      </c>
      <c r="D103" s="235"/>
      <c r="E103" s="242"/>
      <c r="F103" s="243"/>
      <c r="G103" s="243"/>
      <c r="H103" s="911"/>
      <c r="I103" s="913"/>
    </row>
    <row r="104" spans="3:9" ht="15.75" x14ac:dyDescent="0.25">
      <c r="C104" s="241" t="s">
        <v>286</v>
      </c>
      <c r="D104" s="235"/>
      <c r="E104" s="242"/>
      <c r="F104" s="243"/>
      <c r="G104" s="243"/>
      <c r="H104" s="911"/>
      <c r="I104" s="913"/>
    </row>
    <row r="105" spans="3:9" ht="15.75" x14ac:dyDescent="0.25">
      <c r="C105" s="241" t="s">
        <v>286</v>
      </c>
      <c r="D105" s="235"/>
      <c r="E105" s="242"/>
      <c r="F105" s="243"/>
      <c r="G105" s="243"/>
      <c r="H105" s="911"/>
      <c r="I105" s="913"/>
    </row>
    <row r="106" spans="3:9" ht="16.5" thickBot="1" x14ac:dyDescent="0.3">
      <c r="C106" s="244" t="s">
        <v>286</v>
      </c>
      <c r="D106" s="245"/>
      <c r="E106" s="246"/>
      <c r="F106" s="247"/>
      <c r="G106" s="247"/>
      <c r="H106" s="914"/>
      <c r="I106" s="915"/>
    </row>
    <row r="107" spans="3:9" ht="16.5" thickTop="1" x14ac:dyDescent="0.25">
      <c r="C107" s="241" t="s">
        <v>287</v>
      </c>
      <c r="D107" s="235"/>
      <c r="E107" s="242"/>
      <c r="F107" s="243"/>
      <c r="G107" s="251"/>
      <c r="H107" s="911"/>
      <c r="I107" s="913"/>
    </row>
    <row r="108" spans="3:9" ht="15.75" x14ac:dyDescent="0.25">
      <c r="C108" s="241" t="s">
        <v>287</v>
      </c>
      <c r="D108" s="235"/>
      <c r="E108" s="242"/>
      <c r="F108" s="243"/>
      <c r="G108" s="251"/>
      <c r="H108" s="911"/>
      <c r="I108" s="913"/>
    </row>
    <row r="109" spans="3:9" ht="15.75" x14ac:dyDescent="0.25">
      <c r="C109" s="241" t="s">
        <v>287</v>
      </c>
      <c r="D109" s="235"/>
      <c r="E109" s="242"/>
      <c r="F109" s="243"/>
      <c r="G109" s="251"/>
      <c r="H109" s="911"/>
      <c r="I109" s="913"/>
    </row>
    <row r="110" spans="3:9" ht="16.5" thickBot="1" x14ac:dyDescent="0.3">
      <c r="C110" s="244" t="s">
        <v>287</v>
      </c>
      <c r="D110" s="245"/>
      <c r="E110" s="246"/>
      <c r="F110" s="247"/>
      <c r="G110" s="260"/>
      <c r="H110" s="914"/>
      <c r="I110" s="915"/>
    </row>
    <row r="111" spans="3:9" ht="16.5" thickTop="1" x14ac:dyDescent="0.25">
      <c r="C111" s="241" t="s">
        <v>4177</v>
      </c>
      <c r="D111" s="235"/>
      <c r="E111" s="242"/>
      <c r="F111" s="243"/>
      <c r="G111" s="251"/>
      <c r="H111" s="911"/>
      <c r="I111" s="913"/>
    </row>
    <row r="112" spans="3:9" ht="15.75" x14ac:dyDescent="0.25">
      <c r="C112" s="241" t="s">
        <v>4177</v>
      </c>
      <c r="D112" s="235"/>
      <c r="E112" s="242"/>
      <c r="F112" s="243"/>
      <c r="G112" s="251"/>
      <c r="H112" s="911"/>
      <c r="I112" s="913"/>
    </row>
    <row r="113" spans="1:9" ht="15.75" x14ac:dyDescent="0.25">
      <c r="C113" s="241" t="s">
        <v>4177</v>
      </c>
      <c r="D113" s="235"/>
      <c r="E113" s="242"/>
      <c r="F113" s="243"/>
      <c r="G113" s="251"/>
      <c r="H113" s="911"/>
      <c r="I113" s="913"/>
    </row>
    <row r="114" spans="1:9" ht="16.5" thickBot="1" x14ac:dyDescent="0.3">
      <c r="C114" s="244" t="s">
        <v>4177</v>
      </c>
      <c r="D114" s="245"/>
      <c r="E114" s="246"/>
      <c r="F114" s="247"/>
      <c r="G114" s="260"/>
      <c r="H114" s="914"/>
      <c r="I114" s="915"/>
    </row>
    <row r="115" spans="1:9" ht="16.5" thickTop="1" x14ac:dyDescent="0.25">
      <c r="C115" s="241" t="s">
        <v>288</v>
      </c>
      <c r="D115" s="235"/>
      <c r="E115" s="242"/>
      <c r="F115" s="243"/>
      <c r="G115" s="251"/>
      <c r="H115" s="911"/>
      <c r="I115" s="913"/>
    </row>
    <row r="116" spans="1:9" ht="15.75" x14ac:dyDescent="0.25">
      <c r="C116" s="252" t="s">
        <v>288</v>
      </c>
      <c r="D116" s="253"/>
      <c r="E116" s="254"/>
      <c r="F116" s="255"/>
      <c r="G116" s="251"/>
      <c r="H116" s="916"/>
      <c r="I116" s="913"/>
    </row>
    <row r="117" spans="1:9" ht="16.5" thickBot="1" x14ac:dyDescent="0.3">
      <c r="C117" s="268" t="s">
        <v>288</v>
      </c>
      <c r="D117" s="269"/>
      <c r="E117" s="270"/>
      <c r="F117" s="271"/>
      <c r="G117" s="272"/>
      <c r="H117" s="920"/>
      <c r="I117" s="921"/>
    </row>
    <row r="118" spans="1:9" ht="18" hidden="1" x14ac:dyDescent="0.25">
      <c r="C118" s="223"/>
      <c r="D118" s="223"/>
      <c r="E118" s="223"/>
      <c r="F118" s="224"/>
      <c r="H118" s="922" t="s">
        <v>277</v>
      </c>
      <c r="I118" s="923">
        <f>SUMIF($C$5:$C$117,H118,$H$5:$H$117)</f>
        <v>7380.63</v>
      </c>
    </row>
    <row r="119" spans="1:9" ht="18" hidden="1" x14ac:dyDescent="0.25">
      <c r="C119" s="223"/>
      <c r="D119" s="223"/>
      <c r="E119" s="223"/>
      <c r="F119" s="224"/>
      <c r="H119" s="922" t="s">
        <v>276</v>
      </c>
      <c r="I119" s="923">
        <f t="shared" ref="I119:I125" si="2">SUMIF($C$5:$C$117,H119,$H$5:$H$117)</f>
        <v>265.14</v>
      </c>
    </row>
    <row r="120" spans="1:9" ht="18" hidden="1" x14ac:dyDescent="0.25">
      <c r="A120" s="223"/>
      <c r="B120" s="223"/>
      <c r="C120" s="223"/>
      <c r="D120" s="223"/>
      <c r="E120" s="223"/>
      <c r="F120" s="224"/>
      <c r="H120" s="922" t="s">
        <v>3575</v>
      </c>
      <c r="I120" s="923">
        <f>SUMIF($C$5:$C$117,H120,$H$5:$H$117)</f>
        <v>181.39</v>
      </c>
    </row>
    <row r="121" spans="1:9" ht="18" hidden="1" x14ac:dyDescent="0.25">
      <c r="A121" s="223"/>
      <c r="B121" s="223"/>
      <c r="C121" s="223"/>
      <c r="D121" s="223"/>
      <c r="E121" s="223"/>
      <c r="F121" s="224"/>
      <c r="H121" s="922" t="s">
        <v>279</v>
      </c>
      <c r="I121" s="923">
        <f t="shared" si="2"/>
        <v>511.02</v>
      </c>
    </row>
    <row r="122" spans="1:9" ht="18" hidden="1" x14ac:dyDescent="0.25">
      <c r="A122" s="223"/>
      <c r="B122" s="223"/>
      <c r="C122" s="223"/>
      <c r="D122" s="223"/>
      <c r="E122" s="223"/>
      <c r="F122" s="224"/>
      <c r="H122" s="922" t="s">
        <v>280</v>
      </c>
      <c r="I122" s="923">
        <f t="shared" si="2"/>
        <v>1598.58</v>
      </c>
    </row>
    <row r="123" spans="1:9" ht="18" hidden="1" x14ac:dyDescent="0.25">
      <c r="A123" s="223"/>
      <c r="B123" s="223"/>
      <c r="C123" s="223"/>
      <c r="D123" s="223"/>
      <c r="E123" s="223"/>
      <c r="F123" s="224"/>
      <c r="H123" s="922" t="s">
        <v>282</v>
      </c>
      <c r="I123" s="923">
        <f t="shared" ref="I123" si="3">SUMIF($C$5:$C$117,H123,$H$5:$H$117)</f>
        <v>308.62</v>
      </c>
    </row>
    <row r="124" spans="1:9" ht="18" hidden="1" x14ac:dyDescent="0.25">
      <c r="A124" s="223"/>
      <c r="B124" s="223"/>
      <c r="C124" s="223"/>
      <c r="D124" s="223"/>
      <c r="E124" s="223"/>
      <c r="F124" s="224"/>
      <c r="H124" s="922" t="s">
        <v>281</v>
      </c>
      <c r="I124" s="923">
        <f t="shared" si="2"/>
        <v>1290.38994</v>
      </c>
    </row>
    <row r="125" spans="1:9" ht="18" hidden="1" x14ac:dyDescent="0.25">
      <c r="A125" s="223"/>
      <c r="B125" s="223"/>
      <c r="C125" s="223"/>
      <c r="D125" s="223"/>
      <c r="E125" s="223"/>
      <c r="F125" s="224"/>
      <c r="H125" s="922" t="s">
        <v>283</v>
      </c>
      <c r="I125" s="923">
        <f t="shared" si="2"/>
        <v>974.11</v>
      </c>
    </row>
    <row r="126" spans="1:9" hidden="1" x14ac:dyDescent="0.25">
      <c r="A126" s="223"/>
      <c r="B126" s="223"/>
      <c r="C126" s="223"/>
      <c r="D126" s="223"/>
      <c r="E126" s="223"/>
      <c r="F126" s="224"/>
      <c r="G126" s="224"/>
      <c r="H126" s="890"/>
      <c r="I126" s="890"/>
    </row>
    <row r="127" spans="1:9" x14ac:dyDescent="0.25">
      <c r="A127" s="223"/>
      <c r="B127" s="223"/>
      <c r="C127" s="223"/>
      <c r="D127" s="223"/>
      <c r="E127" s="223"/>
      <c r="F127" s="224"/>
      <c r="G127" s="224"/>
      <c r="H127" s="890"/>
      <c r="I127" s="890"/>
    </row>
    <row r="128" spans="1:9" x14ac:dyDescent="0.25">
      <c r="A128" s="223"/>
      <c r="B128" s="223"/>
      <c r="C128" s="223"/>
      <c r="D128" s="223"/>
      <c r="E128" s="223"/>
      <c r="F128" s="224"/>
      <c r="G128" s="224"/>
      <c r="H128" s="890"/>
      <c r="I128" s="890"/>
    </row>
    <row r="129" spans="1:9" x14ac:dyDescent="0.25">
      <c r="A129" s="223"/>
      <c r="B129" s="223"/>
      <c r="C129" s="223"/>
      <c r="D129" s="223"/>
      <c r="E129" s="223"/>
      <c r="F129" s="224"/>
      <c r="G129" s="224"/>
      <c r="H129" s="890"/>
      <c r="I129" s="890"/>
    </row>
    <row r="130" spans="1:9" x14ac:dyDescent="0.25">
      <c r="A130" s="223"/>
      <c r="B130" s="223"/>
      <c r="C130" s="223"/>
      <c r="D130" s="223"/>
      <c r="E130" s="223"/>
      <c r="F130" s="224"/>
      <c r="G130" s="224"/>
      <c r="H130" s="890"/>
      <c r="I130" s="890"/>
    </row>
    <row r="131" spans="1:9" x14ac:dyDescent="0.25">
      <c r="A131" s="223"/>
      <c r="B131" s="223"/>
      <c r="C131" s="223"/>
      <c r="D131" s="223"/>
      <c r="E131" s="223"/>
      <c r="F131" s="224"/>
      <c r="G131" s="224"/>
      <c r="H131" s="890"/>
      <c r="I131" s="890"/>
    </row>
    <row r="132" spans="1:9" x14ac:dyDescent="0.25">
      <c r="A132" s="223"/>
      <c r="B132" s="223"/>
      <c r="C132" s="223"/>
      <c r="E132" s="223"/>
      <c r="F132" s="224"/>
      <c r="G132" s="224"/>
      <c r="H132" s="890"/>
      <c r="I132" s="890"/>
    </row>
    <row r="133" spans="1:9" x14ac:dyDescent="0.25">
      <c r="A133" s="223"/>
      <c r="B133" s="223"/>
      <c r="C133" s="223"/>
      <c r="E133" s="223"/>
      <c r="F133" s="224"/>
      <c r="G133" s="224"/>
      <c r="H133" s="890"/>
      <c r="I133" s="890"/>
    </row>
    <row r="134" spans="1:9" x14ac:dyDescent="0.25">
      <c r="A134" s="223"/>
      <c r="B134" s="223"/>
      <c r="C134" s="223"/>
      <c r="E134" s="223"/>
      <c r="F134" s="224"/>
      <c r="G134" s="224"/>
      <c r="H134" s="890"/>
      <c r="I134" s="890"/>
    </row>
    <row r="135" spans="1:9" x14ac:dyDescent="0.25">
      <c r="A135" s="223"/>
      <c r="B135" s="223"/>
      <c r="C135" s="223"/>
      <c r="E135" s="223"/>
      <c r="F135" s="224"/>
      <c r="G135" s="224"/>
      <c r="H135" s="890"/>
      <c r="I135" s="890"/>
    </row>
    <row r="136" spans="1:9" x14ac:dyDescent="0.25">
      <c r="A136" s="223"/>
      <c r="B136" s="223"/>
      <c r="C136" s="223"/>
      <c r="E136" s="223"/>
      <c r="F136" s="224"/>
      <c r="G136" s="224"/>
      <c r="H136" s="890"/>
      <c r="I136" s="890"/>
    </row>
    <row r="137" spans="1:9" x14ac:dyDescent="0.25">
      <c r="A137" s="223"/>
      <c r="B137" s="223"/>
      <c r="C137" s="223"/>
      <c r="E137" s="223"/>
      <c r="F137" s="224"/>
      <c r="G137" s="224"/>
      <c r="H137" s="890"/>
      <c r="I137" s="890"/>
    </row>
    <row r="138" spans="1:9" x14ac:dyDescent="0.25">
      <c r="A138" s="223"/>
      <c r="B138" s="223"/>
      <c r="C138" s="223"/>
      <c r="E138" s="223"/>
      <c r="F138" s="224"/>
      <c r="G138" s="224"/>
      <c r="H138" s="890"/>
      <c r="I138" s="890"/>
    </row>
    <row r="139" spans="1:9" x14ac:dyDescent="0.25">
      <c r="A139" s="223"/>
      <c r="B139" s="223"/>
      <c r="C139" s="223"/>
      <c r="E139" s="223"/>
      <c r="F139" s="224"/>
      <c r="G139" s="224"/>
      <c r="H139" s="890"/>
      <c r="I139" s="890"/>
    </row>
    <row r="140" spans="1:9" x14ac:dyDescent="0.25">
      <c r="A140" s="223"/>
      <c r="B140" s="223"/>
      <c r="C140" s="223"/>
      <c r="E140" s="223"/>
      <c r="F140" s="224"/>
      <c r="G140" s="224"/>
      <c r="H140" s="890"/>
      <c r="I140" s="890"/>
    </row>
    <row r="141" spans="1:9" x14ac:dyDescent="0.25">
      <c r="A141" s="223"/>
      <c r="B141" s="223"/>
      <c r="C141" s="223"/>
      <c r="E141" s="223"/>
      <c r="F141" s="224"/>
      <c r="G141" s="224"/>
      <c r="H141" s="890"/>
      <c r="I141" s="890"/>
    </row>
    <row r="142" spans="1:9" x14ac:dyDescent="0.25">
      <c r="A142" s="223"/>
      <c r="B142" s="223"/>
      <c r="C142" s="223"/>
      <c r="E142" s="223"/>
      <c r="F142" s="224"/>
      <c r="G142" s="224"/>
      <c r="H142" s="890"/>
      <c r="I142" s="890"/>
    </row>
    <row r="143" spans="1:9" x14ac:dyDescent="0.25">
      <c r="A143" s="223"/>
      <c r="B143" s="223"/>
      <c r="C143" s="223"/>
      <c r="E143" s="223"/>
      <c r="F143" s="224"/>
      <c r="G143" s="224"/>
      <c r="H143" s="890"/>
      <c r="I143" s="890"/>
    </row>
    <row r="144" spans="1:9" x14ac:dyDescent="0.25">
      <c r="A144" s="223"/>
      <c r="B144" s="223"/>
      <c r="C144" s="223"/>
      <c r="E144" s="223"/>
      <c r="F144" s="224"/>
      <c r="G144" s="224"/>
      <c r="H144" s="890"/>
      <c r="I144" s="890"/>
    </row>
    <row r="145" spans="1:9" x14ac:dyDescent="0.25">
      <c r="A145" s="223"/>
      <c r="B145" s="223"/>
      <c r="C145" s="223"/>
      <c r="E145" s="223"/>
      <c r="F145" s="224"/>
      <c r="G145" s="224"/>
      <c r="H145" s="890"/>
      <c r="I145" s="890"/>
    </row>
    <row r="146" spans="1:9" x14ac:dyDescent="0.25">
      <c r="A146" s="223"/>
      <c r="B146" s="223"/>
      <c r="C146" s="223"/>
      <c r="E146" s="223"/>
      <c r="F146" s="224"/>
      <c r="G146" s="224"/>
      <c r="H146" s="890"/>
      <c r="I146" s="890"/>
    </row>
    <row r="147" spans="1:9" x14ac:dyDescent="0.25">
      <c r="A147" s="223"/>
      <c r="B147" s="223"/>
      <c r="C147" s="223"/>
      <c r="E147" s="223"/>
      <c r="F147" s="224"/>
      <c r="G147" s="224"/>
      <c r="H147" s="890"/>
      <c r="I147" s="890"/>
    </row>
    <row r="148" spans="1:9" x14ac:dyDescent="0.25">
      <c r="A148" s="223"/>
      <c r="B148" s="223"/>
      <c r="C148" s="223"/>
      <c r="E148" s="223"/>
      <c r="F148" s="224"/>
      <c r="G148" s="224"/>
      <c r="H148" s="890"/>
      <c r="I148" s="890"/>
    </row>
    <row r="149" spans="1:9" x14ac:dyDescent="0.25">
      <c r="A149" s="223"/>
      <c r="B149" s="223"/>
      <c r="C149" s="223"/>
      <c r="E149" s="223"/>
      <c r="F149" s="224"/>
      <c r="G149" s="224"/>
      <c r="H149" s="890"/>
      <c r="I149" s="890"/>
    </row>
    <row r="150" spans="1:9" x14ac:dyDescent="0.25">
      <c r="A150" s="223"/>
      <c r="B150" s="223"/>
      <c r="C150" s="223"/>
      <c r="E150" s="223"/>
      <c r="F150" s="224"/>
      <c r="G150" s="224"/>
      <c r="H150" s="890"/>
      <c r="I150" s="890"/>
    </row>
    <row r="151" spans="1:9" x14ac:dyDescent="0.25">
      <c r="A151" s="223"/>
      <c r="B151" s="223"/>
      <c r="C151" s="223"/>
      <c r="E151" s="223"/>
      <c r="F151" s="224"/>
      <c r="G151" s="224"/>
      <c r="H151" s="890"/>
      <c r="I151" s="890"/>
    </row>
    <row r="152" spans="1:9" x14ac:dyDescent="0.25">
      <c r="A152" s="223"/>
      <c r="B152" s="223"/>
      <c r="C152" s="223"/>
      <c r="E152" s="223"/>
      <c r="F152" s="224"/>
      <c r="G152" s="224"/>
      <c r="H152" s="890"/>
      <c r="I152" s="890"/>
    </row>
    <row r="153" spans="1:9" x14ac:dyDescent="0.25">
      <c r="A153" s="223"/>
      <c r="B153" s="223"/>
      <c r="C153" s="223"/>
      <c r="E153" s="223"/>
      <c r="F153" s="224"/>
      <c r="G153" s="224"/>
      <c r="H153" s="890"/>
      <c r="I153" s="890"/>
    </row>
    <row r="154" spans="1:9" x14ac:dyDescent="0.25">
      <c r="A154" s="223"/>
      <c r="B154" s="223"/>
      <c r="C154" s="223"/>
      <c r="E154" s="223"/>
      <c r="F154" s="224"/>
      <c r="G154" s="224"/>
      <c r="H154" s="890"/>
      <c r="I154" s="890"/>
    </row>
    <row r="155" spans="1:9" x14ac:dyDescent="0.25">
      <c r="A155" s="223"/>
      <c r="B155" s="223"/>
      <c r="C155" s="223"/>
      <c r="E155" s="223"/>
      <c r="F155" s="224"/>
      <c r="G155" s="224"/>
      <c r="H155" s="890"/>
      <c r="I155" s="890"/>
    </row>
    <row r="156" spans="1:9" x14ac:dyDescent="0.25">
      <c r="A156" s="223"/>
      <c r="B156" s="223"/>
      <c r="C156" s="223"/>
      <c r="E156" s="223"/>
      <c r="F156" s="224"/>
      <c r="G156" s="224"/>
      <c r="H156" s="890"/>
      <c r="I156" s="890"/>
    </row>
    <row r="157" spans="1:9" x14ac:dyDescent="0.25">
      <c r="A157" s="223"/>
      <c r="B157" s="223"/>
      <c r="C157" s="223"/>
      <c r="E157" s="223"/>
      <c r="F157" s="224"/>
      <c r="G157" s="224"/>
      <c r="H157" s="890"/>
      <c r="I157" s="890"/>
    </row>
    <row r="158" spans="1:9" x14ac:dyDescent="0.25">
      <c r="A158" s="223"/>
      <c r="B158" s="223"/>
      <c r="C158" s="223"/>
      <c r="E158" s="223"/>
      <c r="F158" s="224"/>
      <c r="G158" s="224"/>
      <c r="H158" s="890"/>
      <c r="I158" s="890"/>
    </row>
    <row r="159" spans="1:9" x14ac:dyDescent="0.25">
      <c r="A159" s="223"/>
      <c r="B159" s="223"/>
      <c r="C159" s="223"/>
      <c r="E159" s="223"/>
      <c r="F159" s="224"/>
      <c r="G159" s="224"/>
      <c r="H159" s="890"/>
      <c r="I159" s="890"/>
    </row>
    <row r="160" spans="1:9" x14ac:dyDescent="0.25">
      <c r="A160" s="223"/>
      <c r="B160" s="223"/>
      <c r="C160" s="223"/>
      <c r="E160" s="223"/>
      <c r="F160" s="224"/>
      <c r="G160" s="224"/>
      <c r="H160" s="890"/>
      <c r="I160" s="890"/>
    </row>
    <row r="161" spans="1:9" x14ac:dyDescent="0.25">
      <c r="A161" s="223"/>
      <c r="B161" s="223"/>
      <c r="C161" s="223"/>
      <c r="E161" s="223"/>
      <c r="F161" s="224"/>
      <c r="G161" s="224"/>
      <c r="H161" s="890"/>
      <c r="I161" s="890"/>
    </row>
    <row r="162" spans="1:9" x14ac:dyDescent="0.25">
      <c r="A162" s="223"/>
      <c r="B162" s="223"/>
      <c r="C162" s="223"/>
      <c r="E162" s="223"/>
      <c r="F162" s="224"/>
      <c r="G162" s="224"/>
      <c r="H162" s="890"/>
      <c r="I162" s="890"/>
    </row>
    <row r="163" spans="1:9" x14ac:dyDescent="0.25">
      <c r="A163" s="223"/>
      <c r="B163" s="223"/>
      <c r="C163" s="223"/>
      <c r="E163" s="223"/>
      <c r="F163" s="224"/>
      <c r="G163" s="224"/>
      <c r="H163" s="890"/>
      <c r="I163" s="890"/>
    </row>
    <row r="164" spans="1:9" x14ac:dyDescent="0.25">
      <c r="A164" s="223"/>
      <c r="B164" s="223"/>
      <c r="C164" s="223"/>
      <c r="E164" s="223"/>
      <c r="F164" s="224"/>
      <c r="G164" s="224"/>
      <c r="H164" s="890"/>
      <c r="I164" s="890"/>
    </row>
    <row r="165" spans="1:9" x14ac:dyDescent="0.25">
      <c r="A165" s="223"/>
      <c r="B165" s="223"/>
      <c r="C165" s="223"/>
      <c r="D165" s="278"/>
      <c r="E165" s="223"/>
      <c r="F165" s="224"/>
      <c r="G165" s="224"/>
      <c r="H165" s="890"/>
      <c r="I165" s="890"/>
    </row>
    <row r="166" spans="1:9" x14ac:dyDescent="0.25">
      <c r="A166" s="223"/>
      <c r="B166" s="223"/>
      <c r="C166" s="223"/>
      <c r="D166" s="278"/>
      <c r="E166" s="223"/>
      <c r="F166" s="224"/>
      <c r="G166" s="224"/>
      <c r="H166" s="890"/>
      <c r="I166" s="890"/>
    </row>
    <row r="167" spans="1:9" x14ac:dyDescent="0.25">
      <c r="A167" s="223"/>
      <c r="B167" s="223"/>
      <c r="C167" s="223"/>
      <c r="D167" s="278"/>
      <c r="E167" s="223"/>
      <c r="F167" s="224"/>
      <c r="G167" s="224"/>
      <c r="H167" s="890"/>
      <c r="I167" s="890"/>
    </row>
    <row r="168" spans="1:9" x14ac:dyDescent="0.25">
      <c r="A168" s="223"/>
      <c r="B168" s="223"/>
      <c r="C168" s="223"/>
      <c r="D168" s="278"/>
      <c r="E168" s="223"/>
      <c r="F168" s="224"/>
      <c r="G168" s="224"/>
      <c r="H168" s="890"/>
      <c r="I168" s="890"/>
    </row>
    <row r="169" spans="1:9" x14ac:dyDescent="0.25">
      <c r="A169" s="223"/>
      <c r="B169" s="223"/>
      <c r="C169" s="223"/>
      <c r="D169" s="278"/>
      <c r="E169" s="223"/>
      <c r="F169" s="224"/>
      <c r="G169" s="224"/>
      <c r="H169" s="890"/>
      <c r="I169" s="890"/>
    </row>
    <row r="170" spans="1:9" x14ac:dyDescent="0.25">
      <c r="A170" s="223"/>
      <c r="B170" s="223"/>
      <c r="C170" s="223"/>
      <c r="D170" s="278"/>
      <c r="E170" s="223"/>
      <c r="F170" s="224"/>
      <c r="G170" s="224"/>
      <c r="H170" s="890"/>
      <c r="I170" s="890"/>
    </row>
    <row r="171" spans="1:9" x14ac:dyDescent="0.25">
      <c r="A171" s="223"/>
      <c r="B171" s="223"/>
      <c r="C171" s="223"/>
      <c r="D171" s="278"/>
      <c r="E171" s="223"/>
      <c r="F171" s="224"/>
      <c r="G171" s="224"/>
      <c r="H171" s="890"/>
      <c r="I171" s="890"/>
    </row>
    <row r="172" spans="1:9" x14ac:dyDescent="0.25">
      <c r="A172" s="223"/>
      <c r="B172" s="223"/>
      <c r="C172" s="223"/>
      <c r="D172" s="278"/>
      <c r="E172" s="223"/>
      <c r="F172" s="224"/>
      <c r="G172" s="224"/>
      <c r="H172" s="890"/>
      <c r="I172" s="890"/>
    </row>
    <row r="173" spans="1:9" x14ac:dyDescent="0.25">
      <c r="A173" s="223"/>
      <c r="B173" s="223"/>
      <c r="C173" s="223"/>
      <c r="D173" s="278"/>
      <c r="E173" s="223"/>
      <c r="F173" s="224"/>
      <c r="G173" s="224"/>
      <c r="H173" s="890"/>
      <c r="I173" s="890"/>
    </row>
    <row r="174" spans="1:9" x14ac:dyDescent="0.25">
      <c r="A174" s="223"/>
      <c r="B174" s="223"/>
      <c r="C174" s="223"/>
      <c r="D174" s="223"/>
      <c r="E174" s="223"/>
      <c r="F174" s="224"/>
      <c r="G174" s="224"/>
      <c r="H174" s="890"/>
      <c r="I174" s="890"/>
    </row>
    <row r="175" spans="1:9" x14ac:dyDescent="0.25">
      <c r="A175" s="223"/>
      <c r="B175" s="223"/>
      <c r="C175" s="223"/>
      <c r="D175" s="223"/>
      <c r="E175" s="223"/>
      <c r="F175" s="224"/>
      <c r="G175" s="224"/>
      <c r="H175" s="890"/>
      <c r="I175" s="890"/>
    </row>
    <row r="176" spans="1:9" x14ac:dyDescent="0.25">
      <c r="A176" s="223"/>
      <c r="B176" s="223"/>
      <c r="C176" s="223"/>
      <c r="D176" s="223"/>
      <c r="E176" s="223"/>
      <c r="F176" s="224"/>
      <c r="G176" s="224"/>
      <c r="H176" s="890"/>
      <c r="I176" s="890"/>
    </row>
    <row r="177" spans="1:9" x14ac:dyDescent="0.25">
      <c r="A177" s="223"/>
      <c r="B177" s="223"/>
      <c r="C177" s="223"/>
      <c r="D177" s="223"/>
      <c r="E177" s="223"/>
      <c r="F177" s="224"/>
      <c r="G177" s="224"/>
      <c r="H177" s="890"/>
      <c r="I177" s="890"/>
    </row>
    <row r="178" spans="1:9" x14ac:dyDescent="0.25">
      <c r="A178" s="223"/>
      <c r="B178" s="223"/>
      <c r="C178" s="223"/>
      <c r="D178" s="223"/>
      <c r="E178" s="223"/>
      <c r="F178" s="224"/>
      <c r="G178" s="224"/>
      <c r="H178" s="890"/>
      <c r="I178" s="890"/>
    </row>
    <row r="179" spans="1:9" x14ac:dyDescent="0.25">
      <c r="A179" s="223"/>
      <c r="B179" s="223"/>
      <c r="C179" s="223"/>
      <c r="D179" s="223"/>
      <c r="E179" s="223"/>
      <c r="F179" s="224"/>
      <c r="G179" s="224"/>
      <c r="H179" s="890"/>
      <c r="I179" s="890"/>
    </row>
    <row r="180" spans="1:9" x14ac:dyDescent="0.25">
      <c r="A180" s="223"/>
      <c r="B180" s="223"/>
      <c r="C180" s="223"/>
      <c r="D180" s="223"/>
      <c r="E180" s="223"/>
      <c r="F180" s="224"/>
      <c r="G180" s="224"/>
      <c r="H180" s="890"/>
      <c r="I180" s="890"/>
    </row>
    <row r="181" spans="1:9" x14ac:dyDescent="0.25">
      <c r="A181" s="223"/>
      <c r="B181" s="223"/>
      <c r="C181" s="223"/>
      <c r="D181" s="223"/>
      <c r="E181" s="223"/>
      <c r="F181" s="224"/>
      <c r="G181" s="224"/>
      <c r="H181" s="890"/>
      <c r="I181" s="890"/>
    </row>
    <row r="182" spans="1:9" x14ac:dyDescent="0.25">
      <c r="A182" s="223"/>
      <c r="B182" s="223"/>
      <c r="C182" s="223"/>
      <c r="D182" s="223"/>
      <c r="E182" s="223"/>
      <c r="F182" s="224"/>
      <c r="G182" s="224"/>
      <c r="H182" s="890"/>
      <c r="I182" s="890"/>
    </row>
    <row r="183" spans="1:9" x14ac:dyDescent="0.25">
      <c r="A183" s="223"/>
      <c r="B183" s="223"/>
      <c r="C183" s="223"/>
      <c r="D183" s="223"/>
      <c r="E183" s="223"/>
      <c r="F183" s="224"/>
      <c r="G183" s="224"/>
      <c r="H183" s="890"/>
      <c r="I183" s="890"/>
    </row>
    <row r="184" spans="1:9" x14ac:dyDescent="0.25">
      <c r="A184" s="223"/>
      <c r="B184" s="223"/>
      <c r="C184" s="223"/>
      <c r="D184" s="223"/>
      <c r="E184" s="223"/>
      <c r="F184" s="224"/>
      <c r="G184" s="224"/>
      <c r="H184" s="890"/>
      <c r="I184" s="890"/>
    </row>
    <row r="185" spans="1:9" x14ac:dyDescent="0.25">
      <c r="A185" s="223"/>
      <c r="B185" s="223"/>
      <c r="C185" s="223"/>
      <c r="D185" s="223"/>
      <c r="E185" s="223"/>
      <c r="F185" s="224"/>
      <c r="G185" s="224"/>
      <c r="H185" s="890"/>
      <c r="I185" s="890"/>
    </row>
    <row r="186" spans="1:9" x14ac:dyDescent="0.25">
      <c r="A186" s="223"/>
      <c r="B186" s="223"/>
      <c r="C186" s="223"/>
      <c r="D186" s="223"/>
      <c r="E186" s="223"/>
      <c r="F186" s="224"/>
      <c r="G186" s="224"/>
      <c r="H186" s="890"/>
      <c r="I186" s="890"/>
    </row>
    <row r="187" spans="1:9" x14ac:dyDescent="0.25">
      <c r="A187" s="223"/>
      <c r="B187" s="223"/>
      <c r="C187" s="223"/>
      <c r="D187" s="223"/>
      <c r="E187" s="223"/>
      <c r="F187" s="224"/>
      <c r="G187" s="224"/>
      <c r="H187" s="890"/>
      <c r="I187" s="890"/>
    </row>
    <row r="188" spans="1:9" x14ac:dyDescent="0.25">
      <c r="A188" s="223"/>
      <c r="B188" s="223"/>
      <c r="C188" s="223"/>
      <c r="D188" s="223"/>
      <c r="E188" s="223"/>
      <c r="F188" s="224"/>
      <c r="G188" s="224"/>
      <c r="H188" s="890"/>
      <c r="I188" s="890"/>
    </row>
    <row r="189" spans="1:9" x14ac:dyDescent="0.25">
      <c r="A189" s="223"/>
      <c r="B189" s="223"/>
      <c r="C189" s="223"/>
      <c r="D189" s="223"/>
      <c r="E189" s="223"/>
      <c r="F189" s="224"/>
      <c r="G189" s="224"/>
      <c r="H189" s="890"/>
      <c r="I189" s="890"/>
    </row>
    <row r="190" spans="1:9" x14ac:dyDescent="0.25">
      <c r="A190" s="223"/>
      <c r="B190" s="223"/>
      <c r="C190" s="223"/>
      <c r="D190" s="223"/>
      <c r="E190" s="223"/>
      <c r="F190" s="224"/>
      <c r="G190" s="224"/>
      <c r="H190" s="890"/>
      <c r="I190" s="890"/>
    </row>
    <row r="191" spans="1:9" x14ac:dyDescent="0.25">
      <c r="A191" s="223"/>
      <c r="B191" s="223"/>
      <c r="C191" s="223"/>
      <c r="D191" s="223"/>
      <c r="E191" s="223"/>
      <c r="F191" s="224"/>
      <c r="G191" s="224"/>
      <c r="H191" s="890"/>
      <c r="I191" s="890"/>
    </row>
    <row r="192" spans="1:9" x14ac:dyDescent="0.25">
      <c r="A192" s="223"/>
      <c r="B192" s="223"/>
      <c r="C192" s="223"/>
      <c r="D192" s="223"/>
      <c r="E192" s="223"/>
      <c r="F192" s="224"/>
      <c r="G192" s="224"/>
      <c r="H192" s="890"/>
      <c r="I192" s="890"/>
    </row>
    <row r="193" spans="1:9" x14ac:dyDescent="0.25">
      <c r="A193" s="223"/>
      <c r="B193" s="223"/>
      <c r="C193" s="223"/>
      <c r="D193" s="223"/>
      <c r="E193" s="223"/>
      <c r="F193" s="224"/>
      <c r="G193" s="224"/>
      <c r="H193" s="890"/>
      <c r="I193" s="890"/>
    </row>
    <row r="194" spans="1:9" x14ac:dyDescent="0.25">
      <c r="A194" s="223"/>
      <c r="B194" s="223"/>
      <c r="C194" s="223"/>
      <c r="D194" s="223"/>
      <c r="E194" s="223"/>
      <c r="F194" s="224"/>
      <c r="G194" s="224"/>
      <c r="H194" s="890"/>
      <c r="I194" s="890"/>
    </row>
    <row r="195" spans="1:9" x14ac:dyDescent="0.25">
      <c r="A195" s="223"/>
      <c r="B195" s="223"/>
      <c r="C195" s="223"/>
      <c r="D195" s="223"/>
      <c r="E195" s="223"/>
      <c r="F195" s="224"/>
      <c r="G195" s="224"/>
      <c r="H195" s="890"/>
      <c r="I195" s="890"/>
    </row>
    <row r="196" spans="1:9" x14ac:dyDescent="0.25">
      <c r="A196" s="223"/>
      <c r="B196" s="223"/>
      <c r="C196" s="223"/>
      <c r="D196" s="223"/>
      <c r="E196" s="223"/>
      <c r="F196" s="224"/>
      <c r="G196" s="224"/>
      <c r="H196" s="890"/>
      <c r="I196" s="890"/>
    </row>
    <row r="197" spans="1:9" x14ac:dyDescent="0.25">
      <c r="A197" s="223"/>
      <c r="B197" s="223"/>
      <c r="C197" s="223"/>
      <c r="D197" s="223"/>
      <c r="E197" s="223"/>
      <c r="F197" s="224"/>
      <c r="G197" s="224"/>
      <c r="H197" s="890"/>
      <c r="I197" s="890"/>
    </row>
    <row r="198" spans="1:9" x14ac:dyDescent="0.25">
      <c r="A198" s="223"/>
      <c r="B198" s="223"/>
      <c r="C198" s="223"/>
      <c r="D198" s="223"/>
      <c r="E198" s="223"/>
      <c r="F198" s="224"/>
      <c r="G198" s="224"/>
      <c r="H198" s="890"/>
      <c r="I198" s="890"/>
    </row>
    <row r="199" spans="1:9" x14ac:dyDescent="0.25">
      <c r="A199" s="223"/>
      <c r="B199" s="223"/>
      <c r="C199" s="223"/>
      <c r="D199" s="223"/>
      <c r="E199" s="223"/>
      <c r="F199" s="224"/>
      <c r="G199" s="224"/>
      <c r="H199" s="890"/>
      <c r="I199" s="890"/>
    </row>
    <row r="200" spans="1:9" x14ac:dyDescent="0.25">
      <c r="A200" s="223"/>
      <c r="B200" s="223"/>
      <c r="C200" s="223"/>
      <c r="D200" s="223"/>
      <c r="E200" s="223"/>
      <c r="F200" s="224"/>
      <c r="G200" s="224"/>
      <c r="H200" s="890"/>
      <c r="I200" s="890"/>
    </row>
    <row r="201" spans="1:9" x14ac:dyDescent="0.25">
      <c r="A201" s="223"/>
      <c r="B201" s="223"/>
      <c r="C201" s="223"/>
      <c r="D201" s="223"/>
      <c r="E201" s="223"/>
      <c r="F201" s="224"/>
      <c r="G201" s="224"/>
      <c r="H201" s="890"/>
      <c r="I201" s="890"/>
    </row>
    <row r="202" spans="1:9" x14ac:dyDescent="0.25">
      <c r="A202" s="223"/>
      <c r="B202" s="223"/>
      <c r="C202" s="223"/>
      <c r="D202" s="223"/>
      <c r="E202" s="223"/>
      <c r="F202" s="224"/>
      <c r="G202" s="224"/>
      <c r="H202" s="890"/>
      <c r="I202" s="890"/>
    </row>
    <row r="203" spans="1:9" x14ac:dyDescent="0.25">
      <c r="A203" s="223"/>
      <c r="B203" s="223"/>
      <c r="C203" s="223"/>
      <c r="D203" s="223"/>
      <c r="E203" s="223"/>
      <c r="F203" s="224"/>
      <c r="G203" s="224"/>
      <c r="H203" s="890"/>
      <c r="I203" s="890"/>
    </row>
    <row r="204" spans="1:9" x14ac:dyDescent="0.25">
      <c r="A204" s="223"/>
      <c r="B204" s="223"/>
      <c r="C204" s="223"/>
      <c r="D204" s="223"/>
      <c r="E204" s="223"/>
      <c r="F204" s="224"/>
      <c r="G204" s="224"/>
      <c r="H204" s="890"/>
      <c r="I204" s="890"/>
    </row>
    <row r="205" spans="1:9" x14ac:dyDescent="0.25">
      <c r="A205" s="223"/>
      <c r="B205" s="223"/>
      <c r="C205" s="223"/>
      <c r="D205" s="223"/>
      <c r="E205" s="223"/>
      <c r="F205" s="224"/>
      <c r="G205" s="224"/>
      <c r="H205" s="890"/>
      <c r="I205" s="890"/>
    </row>
    <row r="206" spans="1:9" x14ac:dyDescent="0.25">
      <c r="A206" s="223"/>
      <c r="B206" s="223"/>
      <c r="C206" s="223"/>
      <c r="D206" s="223"/>
      <c r="E206" s="223"/>
      <c r="F206" s="224"/>
      <c r="G206" s="224"/>
      <c r="H206" s="890"/>
      <c r="I206" s="890"/>
    </row>
    <row r="207" spans="1:9" x14ac:dyDescent="0.25">
      <c r="A207" s="223"/>
      <c r="B207" s="223"/>
      <c r="C207" s="223"/>
      <c r="D207" s="223"/>
      <c r="E207" s="223"/>
      <c r="F207" s="224"/>
      <c r="G207" s="224"/>
      <c r="H207" s="890"/>
      <c r="I207" s="890"/>
    </row>
    <row r="208" spans="1:9" x14ac:dyDescent="0.25">
      <c r="A208" s="223"/>
      <c r="B208" s="223"/>
      <c r="C208" s="223"/>
      <c r="D208" s="223"/>
      <c r="E208" s="223"/>
      <c r="F208" s="224"/>
      <c r="G208" s="224"/>
      <c r="H208" s="890"/>
      <c r="I208" s="890"/>
    </row>
    <row r="209" spans="1:9" x14ac:dyDescent="0.25">
      <c r="A209" s="223"/>
      <c r="B209" s="223"/>
      <c r="C209" s="223"/>
      <c r="D209" s="223"/>
      <c r="E209" s="223"/>
      <c r="F209" s="224"/>
      <c r="G209" s="224"/>
      <c r="H209" s="890"/>
      <c r="I209" s="890"/>
    </row>
    <row r="210" spans="1:9" x14ac:dyDescent="0.25">
      <c r="A210" s="223"/>
      <c r="B210" s="223"/>
      <c r="C210" s="223"/>
      <c r="D210" s="223"/>
      <c r="E210" s="223"/>
      <c r="F210" s="224"/>
      <c r="G210" s="224"/>
      <c r="H210" s="890"/>
      <c r="I210" s="890"/>
    </row>
    <row r="211" spans="1:9" x14ac:dyDescent="0.25">
      <c r="A211" s="223"/>
      <c r="B211" s="223"/>
      <c r="C211" s="223"/>
      <c r="D211" s="223"/>
      <c r="E211" s="223"/>
      <c r="F211" s="224"/>
      <c r="G211" s="224"/>
      <c r="H211" s="890"/>
      <c r="I211" s="890"/>
    </row>
    <row r="212" spans="1:9" x14ac:dyDescent="0.25">
      <c r="A212" s="223"/>
      <c r="B212" s="223"/>
      <c r="C212" s="223"/>
      <c r="D212" s="223"/>
      <c r="E212" s="223"/>
      <c r="F212" s="224"/>
      <c r="G212" s="224"/>
      <c r="H212" s="890"/>
      <c r="I212" s="890"/>
    </row>
    <row r="213" spans="1:9" x14ac:dyDescent="0.25">
      <c r="A213" s="223"/>
      <c r="B213" s="223"/>
      <c r="C213" s="223"/>
      <c r="D213" s="223"/>
      <c r="E213" s="223"/>
      <c r="F213" s="224"/>
      <c r="G213" s="224"/>
      <c r="H213" s="890"/>
      <c r="I213" s="890"/>
    </row>
    <row r="214" spans="1:9" x14ac:dyDescent="0.25">
      <c r="A214" s="223"/>
      <c r="B214" s="223"/>
      <c r="C214" s="223"/>
      <c r="D214" s="223"/>
      <c r="E214" s="223"/>
      <c r="F214" s="224"/>
      <c r="G214" s="224"/>
      <c r="H214" s="890"/>
      <c r="I214" s="890"/>
    </row>
    <row r="215" spans="1:9" x14ac:dyDescent="0.25">
      <c r="A215" s="223"/>
      <c r="B215" s="223"/>
      <c r="C215" s="223"/>
      <c r="D215" s="223"/>
      <c r="E215" s="223"/>
      <c r="F215" s="224"/>
      <c r="G215" s="224"/>
      <c r="H215" s="890"/>
      <c r="I215" s="890"/>
    </row>
    <row r="216" spans="1:9" x14ac:dyDescent="0.25">
      <c r="A216" s="223"/>
      <c r="B216" s="223"/>
      <c r="C216" s="223"/>
      <c r="D216" s="223"/>
      <c r="E216" s="223"/>
      <c r="F216" s="224"/>
      <c r="G216" s="224"/>
      <c r="H216" s="890"/>
      <c r="I216" s="890"/>
    </row>
    <row r="217" spans="1:9" x14ac:dyDescent="0.25">
      <c r="A217" s="223"/>
      <c r="B217" s="223"/>
      <c r="C217" s="223"/>
      <c r="D217" s="223"/>
      <c r="E217" s="223"/>
      <c r="F217" s="224"/>
      <c r="G217" s="224"/>
      <c r="H217" s="890"/>
      <c r="I217" s="890"/>
    </row>
    <row r="218" spans="1:9" x14ac:dyDescent="0.25">
      <c r="A218" s="223"/>
      <c r="B218" s="223"/>
      <c r="C218" s="223"/>
      <c r="D218" s="223"/>
      <c r="E218" s="223"/>
      <c r="F218" s="224"/>
      <c r="G218" s="224"/>
      <c r="H218" s="890"/>
      <c r="I218" s="890"/>
    </row>
    <row r="219" spans="1:9" x14ac:dyDescent="0.25">
      <c r="A219" s="223"/>
      <c r="B219" s="223"/>
      <c r="C219" s="223"/>
      <c r="D219" s="223"/>
      <c r="E219" s="223"/>
      <c r="F219" s="224"/>
      <c r="G219" s="224"/>
      <c r="H219" s="890"/>
      <c r="I219" s="890"/>
    </row>
    <row r="220" spans="1:9" x14ac:dyDescent="0.25">
      <c r="A220" s="223"/>
      <c r="B220" s="223"/>
      <c r="C220" s="223"/>
      <c r="D220" s="223"/>
      <c r="E220" s="223"/>
      <c r="F220" s="224"/>
      <c r="G220" s="224"/>
      <c r="H220" s="890"/>
      <c r="I220" s="890"/>
    </row>
    <row r="221" spans="1:9" x14ac:dyDescent="0.25">
      <c r="A221" s="223"/>
      <c r="B221" s="223"/>
      <c r="C221" s="223"/>
      <c r="D221" s="223"/>
      <c r="E221" s="223"/>
      <c r="F221" s="224"/>
      <c r="G221" s="224"/>
      <c r="H221" s="890"/>
      <c r="I221" s="890"/>
    </row>
    <row r="222" spans="1:9" x14ac:dyDescent="0.25">
      <c r="A222" s="223"/>
      <c r="B222" s="223"/>
      <c r="C222" s="223"/>
      <c r="D222" s="223"/>
      <c r="E222" s="223"/>
      <c r="F222" s="224"/>
      <c r="G222" s="224"/>
      <c r="H222" s="890"/>
      <c r="I222" s="890"/>
    </row>
    <row r="223" spans="1:9" x14ac:dyDescent="0.25">
      <c r="A223" s="223"/>
      <c r="B223" s="223"/>
      <c r="C223" s="223"/>
      <c r="D223" s="223"/>
      <c r="E223" s="223"/>
      <c r="F223" s="224"/>
      <c r="G223" s="224"/>
      <c r="H223" s="890"/>
      <c r="I223" s="890"/>
    </row>
    <row r="224" spans="1:9" x14ac:dyDescent="0.25">
      <c r="A224" s="223"/>
      <c r="B224" s="223"/>
      <c r="C224" s="223"/>
      <c r="D224" s="223"/>
      <c r="E224" s="223"/>
      <c r="F224" s="224"/>
      <c r="G224" s="224"/>
      <c r="H224" s="890"/>
      <c r="I224" s="890"/>
    </row>
    <row r="225" spans="1:9" x14ac:dyDescent="0.25">
      <c r="A225" s="223"/>
      <c r="B225" s="223"/>
      <c r="C225" s="223"/>
      <c r="D225" s="223"/>
      <c r="E225" s="223"/>
      <c r="F225" s="224"/>
      <c r="G225" s="224"/>
      <c r="H225" s="890"/>
      <c r="I225" s="890"/>
    </row>
    <row r="226" spans="1:9" x14ac:dyDescent="0.25">
      <c r="A226" s="223"/>
      <c r="B226" s="223"/>
      <c r="C226" s="223"/>
      <c r="D226" s="223"/>
      <c r="E226" s="223"/>
      <c r="F226" s="224"/>
      <c r="G226" s="224"/>
      <c r="H226" s="890"/>
      <c r="I226" s="890"/>
    </row>
    <row r="227" spans="1:9" x14ac:dyDescent="0.25">
      <c r="A227" s="223"/>
      <c r="B227" s="223"/>
      <c r="C227" s="223"/>
      <c r="D227" s="223"/>
      <c r="E227" s="223"/>
      <c r="F227" s="224"/>
      <c r="G227" s="224"/>
      <c r="H227" s="890"/>
      <c r="I227" s="890"/>
    </row>
    <row r="228" spans="1:9" x14ac:dyDescent="0.25">
      <c r="A228" s="223"/>
      <c r="B228" s="223"/>
      <c r="C228" s="223"/>
      <c r="D228" s="223"/>
      <c r="E228" s="223"/>
      <c r="F228" s="224"/>
      <c r="G228" s="224"/>
      <c r="H228" s="890"/>
      <c r="I228" s="890"/>
    </row>
    <row r="229" spans="1:9" x14ac:dyDescent="0.25">
      <c r="A229" s="223"/>
      <c r="B229" s="223"/>
      <c r="C229" s="223"/>
      <c r="D229" s="223"/>
      <c r="E229" s="223"/>
      <c r="F229" s="224"/>
      <c r="G229" s="224"/>
      <c r="H229" s="890"/>
      <c r="I229" s="890"/>
    </row>
    <row r="230" spans="1:9" x14ac:dyDescent="0.25">
      <c r="A230" s="223"/>
      <c r="B230" s="223"/>
      <c r="C230" s="223"/>
      <c r="D230" s="223"/>
      <c r="E230" s="223"/>
      <c r="F230" s="224"/>
      <c r="G230" s="224"/>
      <c r="H230" s="890"/>
      <c r="I230" s="890"/>
    </row>
    <row r="231" spans="1:9" x14ac:dyDescent="0.25">
      <c r="A231" s="223"/>
      <c r="B231" s="223"/>
      <c r="C231" s="223"/>
      <c r="D231" s="223"/>
      <c r="E231" s="223"/>
      <c r="F231" s="224"/>
      <c r="G231" s="224"/>
      <c r="H231" s="890"/>
      <c r="I231" s="890"/>
    </row>
    <row r="232" spans="1:9" x14ac:dyDescent="0.25">
      <c r="A232" s="223"/>
      <c r="B232" s="223"/>
      <c r="C232" s="223"/>
      <c r="D232" s="223"/>
      <c r="E232" s="223"/>
      <c r="F232" s="224"/>
      <c r="G232" s="224"/>
      <c r="H232" s="890"/>
      <c r="I232" s="890"/>
    </row>
    <row r="233" spans="1:9" x14ac:dyDescent="0.25">
      <c r="A233" s="223"/>
      <c r="B233" s="223"/>
      <c r="C233" s="223"/>
      <c r="D233" s="223"/>
      <c r="E233" s="223"/>
      <c r="F233" s="224"/>
      <c r="G233" s="224"/>
      <c r="H233" s="890"/>
      <c r="I233" s="890"/>
    </row>
    <row r="234" spans="1:9" x14ac:dyDescent="0.25">
      <c r="A234" s="223"/>
      <c r="B234" s="223"/>
      <c r="C234" s="223"/>
      <c r="D234" s="223"/>
      <c r="E234" s="223"/>
      <c r="F234" s="224"/>
      <c r="G234" s="224"/>
      <c r="H234" s="890"/>
      <c r="I234" s="890"/>
    </row>
    <row r="235" spans="1:9" x14ac:dyDescent="0.25">
      <c r="A235" s="223"/>
      <c r="B235" s="223"/>
      <c r="C235" s="223"/>
      <c r="D235" s="223"/>
      <c r="E235" s="223"/>
      <c r="F235" s="224"/>
      <c r="G235" s="224"/>
      <c r="H235" s="890"/>
      <c r="I235" s="890"/>
    </row>
    <row r="236" spans="1:9" x14ac:dyDescent="0.25">
      <c r="A236" s="223"/>
      <c r="B236" s="223"/>
      <c r="C236" s="223"/>
      <c r="D236" s="223"/>
      <c r="E236" s="223"/>
      <c r="F236" s="224"/>
      <c r="G236" s="224"/>
      <c r="H236" s="890"/>
      <c r="I236" s="890"/>
    </row>
    <row r="237" spans="1:9" x14ac:dyDescent="0.25">
      <c r="A237" s="223"/>
      <c r="B237" s="223"/>
      <c r="C237" s="223"/>
      <c r="D237" s="223"/>
      <c r="E237" s="223"/>
      <c r="F237" s="224"/>
      <c r="G237" s="224"/>
      <c r="H237" s="890"/>
      <c r="I237" s="890"/>
    </row>
    <row r="238" spans="1:9" x14ac:dyDescent="0.25">
      <c r="A238" s="223"/>
      <c r="B238" s="223"/>
      <c r="C238" s="223"/>
      <c r="D238" s="223"/>
      <c r="E238" s="223"/>
      <c r="F238" s="224"/>
      <c r="G238" s="224"/>
      <c r="H238" s="890"/>
      <c r="I238" s="890"/>
    </row>
    <row r="239" spans="1:9" x14ac:dyDescent="0.25">
      <c r="A239" s="223"/>
      <c r="B239" s="223"/>
      <c r="C239" s="223"/>
      <c r="D239" s="223"/>
      <c r="E239" s="223"/>
      <c r="F239" s="224"/>
      <c r="G239" s="224"/>
      <c r="H239" s="890"/>
      <c r="I239" s="890"/>
    </row>
    <row r="240" spans="1:9" x14ac:dyDescent="0.25">
      <c r="A240" s="223"/>
      <c r="B240" s="223"/>
      <c r="C240" s="223"/>
      <c r="D240" s="223"/>
      <c r="E240" s="223"/>
      <c r="F240" s="224"/>
      <c r="G240" s="224"/>
      <c r="H240" s="890"/>
      <c r="I240" s="890"/>
    </row>
    <row r="241" spans="1:9" x14ac:dyDescent="0.25">
      <c r="A241" s="223"/>
      <c r="B241" s="223"/>
      <c r="C241" s="223"/>
      <c r="D241" s="223"/>
      <c r="E241" s="223"/>
      <c r="F241" s="224"/>
      <c r="G241" s="224"/>
      <c r="H241" s="890"/>
      <c r="I241" s="890"/>
    </row>
    <row r="242" spans="1:9" x14ac:dyDescent="0.25">
      <c r="A242" s="223"/>
      <c r="B242" s="223"/>
      <c r="C242" s="223"/>
      <c r="D242" s="223"/>
      <c r="E242" s="223"/>
      <c r="F242" s="224"/>
      <c r="G242" s="224"/>
      <c r="H242" s="890"/>
      <c r="I242" s="890"/>
    </row>
    <row r="243" spans="1:9" x14ac:dyDescent="0.25">
      <c r="A243" s="223"/>
      <c r="B243" s="223"/>
      <c r="C243" s="223"/>
      <c r="D243" s="223"/>
      <c r="E243" s="223"/>
      <c r="F243" s="224"/>
      <c r="G243" s="224"/>
      <c r="H243" s="890"/>
      <c r="I243" s="890"/>
    </row>
    <row r="244" spans="1:9" x14ac:dyDescent="0.25">
      <c r="A244" s="223"/>
      <c r="B244" s="223"/>
      <c r="C244" s="223"/>
      <c r="D244" s="223"/>
      <c r="E244" s="223"/>
      <c r="F244" s="224"/>
      <c r="G244" s="224"/>
      <c r="H244" s="890"/>
      <c r="I244" s="890"/>
    </row>
    <row r="245" spans="1:9" x14ac:dyDescent="0.25">
      <c r="A245" s="223"/>
      <c r="B245" s="223"/>
      <c r="C245" s="223"/>
      <c r="D245" s="223"/>
      <c r="E245" s="223"/>
      <c r="F245" s="224"/>
      <c r="G245" s="224"/>
      <c r="H245" s="890"/>
      <c r="I245" s="890"/>
    </row>
    <row r="246" spans="1:9" x14ac:dyDescent="0.25">
      <c r="A246" s="223"/>
      <c r="B246" s="223"/>
      <c r="C246" s="223"/>
      <c r="D246" s="223"/>
      <c r="E246" s="223"/>
      <c r="F246" s="224"/>
      <c r="G246" s="224"/>
      <c r="H246" s="890"/>
      <c r="I246" s="890"/>
    </row>
    <row r="247" spans="1:9" x14ac:dyDescent="0.25">
      <c r="A247" s="223"/>
      <c r="B247" s="223"/>
      <c r="C247" s="223"/>
      <c r="D247" s="223"/>
      <c r="E247" s="223"/>
      <c r="F247" s="224"/>
      <c r="G247" s="224"/>
      <c r="H247" s="890"/>
      <c r="I247" s="890"/>
    </row>
    <row r="248" spans="1:9" x14ac:dyDescent="0.25">
      <c r="A248" s="223"/>
      <c r="B248" s="223"/>
      <c r="C248" s="223"/>
      <c r="D248" s="223"/>
      <c r="E248" s="223"/>
      <c r="F248" s="224"/>
      <c r="G248" s="224"/>
      <c r="H248" s="890"/>
      <c r="I248" s="890"/>
    </row>
    <row r="249" spans="1:9" x14ac:dyDescent="0.25">
      <c r="A249" s="223"/>
      <c r="B249" s="223"/>
      <c r="C249" s="223"/>
      <c r="D249" s="223"/>
      <c r="E249" s="223"/>
      <c r="F249" s="224"/>
      <c r="G249" s="224"/>
      <c r="H249" s="890"/>
      <c r="I249" s="890"/>
    </row>
    <row r="250" spans="1:9" x14ac:dyDescent="0.25">
      <c r="A250" s="223"/>
      <c r="B250" s="223"/>
      <c r="C250" s="223"/>
      <c r="D250" s="223"/>
      <c r="E250" s="223"/>
      <c r="F250" s="224"/>
      <c r="G250" s="224"/>
      <c r="H250" s="890"/>
      <c r="I250" s="890"/>
    </row>
    <row r="251" spans="1:9" x14ac:dyDescent="0.25">
      <c r="A251" s="223"/>
      <c r="B251" s="223"/>
      <c r="C251" s="223"/>
      <c r="D251" s="223"/>
      <c r="E251" s="223"/>
      <c r="F251" s="224"/>
      <c r="G251" s="224"/>
      <c r="H251" s="890"/>
      <c r="I251" s="890"/>
    </row>
    <row r="252" spans="1:9" x14ac:dyDescent="0.25">
      <c r="A252" s="223"/>
      <c r="B252" s="223"/>
      <c r="C252" s="223"/>
      <c r="D252" s="223"/>
      <c r="E252" s="223"/>
      <c r="F252" s="224"/>
      <c r="G252" s="224"/>
      <c r="H252" s="890"/>
      <c r="I252" s="890"/>
    </row>
    <row r="253" spans="1:9" x14ac:dyDescent="0.25">
      <c r="A253" s="223"/>
      <c r="B253" s="223"/>
      <c r="C253" s="223"/>
      <c r="D253" s="223"/>
      <c r="E253" s="223"/>
      <c r="F253" s="224"/>
      <c r="G253" s="224"/>
      <c r="H253" s="890"/>
      <c r="I253" s="890"/>
    </row>
    <row r="254" spans="1:9" x14ac:dyDescent="0.25">
      <c r="A254" s="223"/>
      <c r="B254" s="223"/>
      <c r="C254" s="223"/>
      <c r="D254" s="223"/>
      <c r="E254" s="223"/>
      <c r="F254" s="224"/>
      <c r="G254" s="224"/>
      <c r="H254" s="890"/>
      <c r="I254" s="890"/>
    </row>
    <row r="255" spans="1:9" x14ac:dyDescent="0.25">
      <c r="A255" s="223"/>
      <c r="B255" s="223"/>
      <c r="C255" s="223"/>
      <c r="D255" s="223"/>
      <c r="E255" s="223"/>
      <c r="F255" s="224"/>
      <c r="G255" s="224"/>
      <c r="H255" s="890"/>
      <c r="I255" s="890"/>
    </row>
    <row r="256" spans="1:9" x14ac:dyDescent="0.25">
      <c r="A256" s="223"/>
      <c r="B256" s="223"/>
      <c r="C256" s="223"/>
      <c r="D256" s="223"/>
      <c r="E256" s="223"/>
      <c r="F256" s="224"/>
      <c r="G256" s="224"/>
      <c r="H256" s="890"/>
      <c r="I256" s="890"/>
    </row>
    <row r="257" spans="1:9" x14ac:dyDescent="0.25">
      <c r="A257" s="223"/>
      <c r="B257" s="223"/>
      <c r="C257" s="223"/>
      <c r="D257" s="223"/>
      <c r="E257" s="223"/>
      <c r="F257" s="224"/>
      <c r="G257" s="224"/>
      <c r="H257" s="890"/>
      <c r="I257" s="890"/>
    </row>
    <row r="258" spans="1:9" x14ac:dyDescent="0.25">
      <c r="A258" s="223"/>
      <c r="B258" s="223"/>
      <c r="C258" s="223"/>
      <c r="D258" s="223"/>
      <c r="E258" s="223"/>
      <c r="F258" s="224"/>
      <c r="G258" s="224"/>
      <c r="H258" s="890"/>
      <c r="I258" s="890"/>
    </row>
    <row r="259" spans="1:9" x14ac:dyDescent="0.25">
      <c r="A259" s="223"/>
      <c r="B259" s="223"/>
      <c r="C259" s="223"/>
      <c r="D259" s="223"/>
      <c r="E259" s="223"/>
      <c r="F259" s="224"/>
      <c r="G259" s="224"/>
      <c r="H259" s="890"/>
      <c r="I259" s="890"/>
    </row>
    <row r="260" spans="1:9" x14ac:dyDescent="0.25">
      <c r="A260" s="223"/>
      <c r="B260" s="223"/>
      <c r="C260" s="223"/>
      <c r="D260" s="223"/>
      <c r="E260" s="223"/>
      <c r="F260" s="224"/>
      <c r="G260" s="224"/>
      <c r="H260" s="890"/>
      <c r="I260" s="890"/>
    </row>
    <row r="261" spans="1:9" x14ac:dyDescent="0.25">
      <c r="A261" s="223"/>
      <c r="B261" s="223"/>
      <c r="C261" s="223"/>
      <c r="D261" s="223"/>
      <c r="E261" s="223"/>
      <c r="F261" s="224"/>
      <c r="G261" s="224"/>
      <c r="H261" s="890"/>
      <c r="I261" s="890"/>
    </row>
    <row r="262" spans="1:9" x14ac:dyDescent="0.25">
      <c r="A262" s="223"/>
      <c r="B262" s="223"/>
      <c r="C262" s="223"/>
      <c r="D262" s="223"/>
      <c r="E262" s="223"/>
      <c r="F262" s="224"/>
      <c r="G262" s="224"/>
      <c r="H262" s="890"/>
      <c r="I262" s="890"/>
    </row>
    <row r="263" spans="1:9" x14ac:dyDescent="0.25">
      <c r="A263" s="223"/>
      <c r="B263" s="223"/>
      <c r="C263" s="223"/>
      <c r="D263" s="223"/>
      <c r="E263" s="223"/>
      <c r="F263" s="224"/>
      <c r="G263" s="224"/>
      <c r="H263" s="890"/>
      <c r="I263" s="890"/>
    </row>
    <row r="264" spans="1:9" x14ac:dyDescent="0.25">
      <c r="A264" s="223"/>
      <c r="B264" s="223"/>
      <c r="C264" s="223"/>
      <c r="D264" s="223"/>
      <c r="E264" s="223"/>
      <c r="F264" s="224"/>
      <c r="G264" s="224"/>
      <c r="H264" s="890"/>
      <c r="I264" s="890"/>
    </row>
    <row r="265" spans="1:9" x14ac:dyDescent="0.25">
      <c r="A265" s="223"/>
      <c r="B265" s="223"/>
      <c r="C265" s="223"/>
      <c r="D265" s="223"/>
      <c r="E265" s="223"/>
      <c r="F265" s="224"/>
      <c r="G265" s="224"/>
      <c r="H265" s="890"/>
      <c r="I265" s="890"/>
    </row>
    <row r="266" spans="1:9" x14ac:dyDescent="0.25">
      <c r="A266" s="223"/>
      <c r="B266" s="223"/>
      <c r="C266" s="223"/>
      <c r="D266" s="223"/>
      <c r="E266" s="223"/>
      <c r="F266" s="224"/>
      <c r="G266" s="224"/>
      <c r="H266" s="890"/>
      <c r="I266" s="890"/>
    </row>
    <row r="267" spans="1:9" x14ac:dyDescent="0.25">
      <c r="A267" s="223"/>
      <c r="B267" s="223"/>
      <c r="C267" s="223"/>
      <c r="D267" s="223"/>
      <c r="E267" s="223"/>
      <c r="F267" s="224"/>
      <c r="G267" s="224"/>
      <c r="H267" s="890"/>
      <c r="I267" s="890"/>
    </row>
    <row r="268" spans="1:9" x14ac:dyDescent="0.25">
      <c r="A268" s="223"/>
      <c r="B268" s="223"/>
      <c r="C268" s="223"/>
      <c r="D268" s="223"/>
      <c r="E268" s="223"/>
      <c r="F268" s="224"/>
      <c r="G268" s="224"/>
      <c r="H268" s="890"/>
      <c r="I268" s="890"/>
    </row>
    <row r="269" spans="1:9" x14ac:dyDescent="0.25">
      <c r="A269" s="223"/>
      <c r="B269" s="223"/>
      <c r="C269" s="223"/>
      <c r="D269" s="223"/>
      <c r="E269" s="223"/>
      <c r="F269" s="224"/>
      <c r="G269" s="224"/>
      <c r="H269" s="890"/>
      <c r="I269" s="890"/>
    </row>
    <row r="270" spans="1:9" x14ac:dyDescent="0.25">
      <c r="A270" s="223"/>
      <c r="B270" s="223"/>
      <c r="C270" s="223"/>
      <c r="D270" s="223"/>
      <c r="E270" s="223"/>
      <c r="F270" s="224"/>
      <c r="G270" s="224"/>
      <c r="H270" s="890"/>
      <c r="I270" s="890"/>
    </row>
    <row r="271" spans="1:9" x14ac:dyDescent="0.25">
      <c r="A271" s="223"/>
      <c r="B271" s="223"/>
      <c r="C271" s="223"/>
      <c r="D271" s="223"/>
      <c r="E271" s="223"/>
      <c r="F271" s="224"/>
      <c r="G271" s="224"/>
      <c r="H271" s="890"/>
      <c r="I271" s="890"/>
    </row>
    <row r="272" spans="1:9" x14ac:dyDescent="0.25">
      <c r="A272" s="223"/>
      <c r="B272" s="223"/>
      <c r="C272" s="223"/>
      <c r="D272" s="223"/>
      <c r="E272" s="223"/>
      <c r="F272" s="224"/>
      <c r="G272" s="224"/>
      <c r="H272" s="890"/>
      <c r="I272" s="890"/>
    </row>
    <row r="273" spans="1:9" x14ac:dyDescent="0.25">
      <c r="A273" s="223"/>
      <c r="B273" s="223"/>
      <c r="C273" s="223"/>
      <c r="D273" s="223"/>
      <c r="E273" s="223"/>
      <c r="F273" s="224"/>
      <c r="G273" s="224"/>
      <c r="H273" s="890"/>
      <c r="I273" s="890"/>
    </row>
    <row r="274" spans="1:9" x14ac:dyDescent="0.25">
      <c r="A274" s="223"/>
      <c r="B274" s="223"/>
      <c r="C274" s="223"/>
      <c r="D274" s="223"/>
      <c r="E274" s="223"/>
      <c r="F274" s="224"/>
      <c r="G274" s="224"/>
      <c r="H274" s="890"/>
      <c r="I274" s="890"/>
    </row>
    <row r="275" spans="1:9" x14ac:dyDescent="0.25">
      <c r="A275" s="223"/>
      <c r="B275" s="223"/>
      <c r="C275" s="223"/>
      <c r="D275" s="223"/>
      <c r="E275" s="223"/>
      <c r="F275" s="224"/>
      <c r="G275" s="224"/>
      <c r="H275" s="890"/>
      <c r="I275" s="890"/>
    </row>
    <row r="276" spans="1:9" x14ac:dyDescent="0.25">
      <c r="A276" s="223"/>
      <c r="B276" s="223"/>
      <c r="C276" s="223"/>
      <c r="D276" s="223"/>
      <c r="E276" s="223"/>
      <c r="F276" s="224"/>
      <c r="G276" s="224"/>
      <c r="H276" s="890"/>
      <c r="I276" s="890"/>
    </row>
    <row r="277" spans="1:9" x14ac:dyDescent="0.25">
      <c r="A277" s="223"/>
      <c r="B277" s="223"/>
      <c r="C277" s="223"/>
      <c r="D277" s="223"/>
      <c r="E277" s="223"/>
      <c r="F277" s="224"/>
      <c r="G277" s="224"/>
      <c r="H277" s="890"/>
      <c r="I277" s="890"/>
    </row>
    <row r="278" spans="1:9" x14ac:dyDescent="0.25">
      <c r="A278" s="223"/>
      <c r="B278" s="223"/>
      <c r="C278" s="223"/>
      <c r="D278" s="223"/>
      <c r="E278" s="223"/>
      <c r="F278" s="224"/>
      <c r="G278" s="224"/>
      <c r="H278" s="890"/>
      <c r="I278" s="890"/>
    </row>
    <row r="279" spans="1:9" x14ac:dyDescent="0.25">
      <c r="A279" s="223"/>
      <c r="B279" s="223"/>
      <c r="C279" s="223"/>
      <c r="D279" s="223"/>
      <c r="E279" s="223"/>
      <c r="F279" s="224"/>
      <c r="G279" s="224"/>
      <c r="H279" s="890"/>
      <c r="I279" s="890"/>
    </row>
    <row r="280" spans="1:9" x14ac:dyDescent="0.25">
      <c r="A280" s="223"/>
      <c r="B280" s="223"/>
      <c r="C280" s="223"/>
      <c r="D280" s="223"/>
      <c r="E280" s="223"/>
      <c r="F280" s="224"/>
      <c r="G280" s="224"/>
      <c r="H280" s="890"/>
      <c r="I280" s="890"/>
    </row>
    <row r="281" spans="1:9" x14ac:dyDescent="0.25">
      <c r="A281" s="223"/>
      <c r="B281" s="223"/>
      <c r="C281" s="223"/>
      <c r="D281" s="223"/>
      <c r="E281" s="223"/>
      <c r="F281" s="224"/>
      <c r="G281" s="224"/>
      <c r="H281" s="890"/>
      <c r="I281" s="890"/>
    </row>
    <row r="282" spans="1:9" x14ac:dyDescent="0.25">
      <c r="A282" s="223"/>
      <c r="B282" s="223"/>
      <c r="C282" s="223"/>
      <c r="D282" s="223"/>
      <c r="E282" s="223"/>
      <c r="F282" s="224"/>
      <c r="G282" s="224"/>
      <c r="H282" s="890"/>
      <c r="I282" s="890"/>
    </row>
    <row r="283" spans="1:9" x14ac:dyDescent="0.25">
      <c r="A283" s="223"/>
      <c r="B283" s="223"/>
      <c r="C283" s="223"/>
      <c r="D283" s="223"/>
      <c r="E283" s="223"/>
      <c r="F283" s="224"/>
      <c r="G283" s="224"/>
      <c r="H283" s="890"/>
      <c r="I283" s="890"/>
    </row>
    <row r="284" spans="1:9" x14ac:dyDescent="0.25">
      <c r="A284" s="223"/>
      <c r="B284" s="223"/>
      <c r="C284" s="223"/>
      <c r="D284" s="223"/>
      <c r="E284" s="223"/>
      <c r="F284" s="224"/>
      <c r="G284" s="224"/>
      <c r="H284" s="890"/>
      <c r="I284" s="890"/>
    </row>
    <row r="285" spans="1:9" x14ac:dyDescent="0.25">
      <c r="A285" s="223"/>
      <c r="B285" s="223"/>
      <c r="C285" s="223"/>
      <c r="D285" s="223"/>
      <c r="E285" s="223"/>
      <c r="F285" s="224"/>
      <c r="G285" s="224"/>
      <c r="H285" s="890"/>
      <c r="I285" s="890"/>
    </row>
    <row r="286" spans="1:9" x14ac:dyDescent="0.25">
      <c r="A286" s="223"/>
      <c r="B286" s="223"/>
      <c r="C286" s="223"/>
      <c r="D286" s="223"/>
      <c r="E286" s="223"/>
      <c r="F286" s="224"/>
      <c r="G286" s="224"/>
      <c r="H286" s="890"/>
      <c r="I286" s="890"/>
    </row>
    <row r="287" spans="1:9" x14ac:dyDescent="0.25">
      <c r="A287" s="223"/>
      <c r="B287" s="223"/>
      <c r="C287" s="223"/>
      <c r="D287" s="223"/>
      <c r="E287" s="223"/>
      <c r="F287" s="224"/>
      <c r="G287" s="224"/>
      <c r="H287" s="890"/>
      <c r="I287" s="890"/>
    </row>
    <row r="288" spans="1:9" x14ac:dyDescent="0.25">
      <c r="A288" s="223"/>
      <c r="B288" s="223"/>
      <c r="C288" s="223"/>
      <c r="D288" s="223"/>
      <c r="E288" s="223"/>
      <c r="F288" s="224"/>
      <c r="G288" s="224"/>
      <c r="H288" s="890"/>
      <c r="I288" s="890"/>
    </row>
    <row r="289" spans="1:9" x14ac:dyDescent="0.25">
      <c r="A289" s="223"/>
      <c r="B289" s="223"/>
      <c r="C289" s="223"/>
      <c r="D289" s="223"/>
      <c r="E289" s="223"/>
      <c r="F289" s="224"/>
      <c r="G289" s="224"/>
      <c r="H289" s="890"/>
      <c r="I289" s="890"/>
    </row>
    <row r="290" spans="1:9" x14ac:dyDescent="0.25">
      <c r="A290" s="223"/>
      <c r="B290" s="223"/>
      <c r="C290" s="223"/>
      <c r="D290" s="223"/>
      <c r="E290" s="223"/>
      <c r="F290" s="224"/>
      <c r="G290" s="224"/>
      <c r="H290" s="890"/>
      <c r="I290" s="890"/>
    </row>
    <row r="291" spans="1:9" x14ac:dyDescent="0.25">
      <c r="A291" s="223"/>
      <c r="B291" s="223"/>
      <c r="C291" s="223"/>
      <c r="D291" s="223"/>
      <c r="E291" s="223"/>
      <c r="F291" s="224"/>
      <c r="G291" s="224"/>
      <c r="H291" s="890"/>
      <c r="I291" s="890"/>
    </row>
    <row r="292" spans="1:9" x14ac:dyDescent="0.25">
      <c r="A292" s="223"/>
      <c r="B292" s="223"/>
      <c r="C292" s="223"/>
      <c r="D292" s="223"/>
      <c r="E292" s="223"/>
      <c r="F292" s="224"/>
      <c r="G292" s="224"/>
      <c r="H292" s="890"/>
      <c r="I292" s="890"/>
    </row>
    <row r="293" spans="1:9" x14ac:dyDescent="0.25">
      <c r="A293" s="223"/>
      <c r="B293" s="223"/>
      <c r="C293" s="223"/>
      <c r="D293" s="223"/>
      <c r="E293" s="223"/>
      <c r="F293" s="224"/>
      <c r="G293" s="224"/>
      <c r="H293" s="890"/>
      <c r="I293" s="890"/>
    </row>
    <row r="294" spans="1:9" x14ac:dyDescent="0.25">
      <c r="A294" s="223"/>
      <c r="B294" s="223"/>
      <c r="C294" s="223"/>
      <c r="D294" s="223"/>
      <c r="E294" s="223"/>
      <c r="F294" s="224"/>
      <c r="G294" s="224"/>
      <c r="H294" s="890"/>
      <c r="I294" s="890"/>
    </row>
    <row r="295" spans="1:9" x14ac:dyDescent="0.25">
      <c r="A295" s="223"/>
      <c r="B295" s="223"/>
      <c r="C295" s="223"/>
      <c r="D295" s="223"/>
      <c r="E295" s="223"/>
      <c r="F295" s="224"/>
      <c r="G295" s="224"/>
      <c r="H295" s="890"/>
      <c r="I295" s="890"/>
    </row>
    <row r="296" spans="1:9" x14ac:dyDescent="0.25">
      <c r="A296" s="223"/>
      <c r="B296" s="223"/>
      <c r="C296" s="223"/>
      <c r="D296" s="223"/>
      <c r="E296" s="223"/>
      <c r="F296" s="224"/>
      <c r="G296" s="224"/>
      <c r="H296" s="890"/>
      <c r="I296" s="890"/>
    </row>
    <row r="297" spans="1:9" x14ac:dyDescent="0.25">
      <c r="A297" s="223"/>
      <c r="B297" s="223"/>
      <c r="C297" s="223"/>
      <c r="D297" s="223"/>
      <c r="E297" s="223"/>
      <c r="F297" s="224"/>
      <c r="G297" s="224"/>
      <c r="H297" s="890"/>
      <c r="I297" s="890"/>
    </row>
    <row r="298" spans="1:9" x14ac:dyDescent="0.25">
      <c r="A298" s="223"/>
      <c r="B298" s="223"/>
      <c r="C298" s="223"/>
      <c r="D298" s="223"/>
      <c r="E298" s="223"/>
      <c r="F298" s="224"/>
      <c r="G298" s="224"/>
      <c r="H298" s="890"/>
      <c r="I298" s="890"/>
    </row>
    <row r="299" spans="1:9" x14ac:dyDescent="0.25">
      <c r="A299" s="223"/>
      <c r="B299" s="223"/>
      <c r="C299" s="223"/>
      <c r="D299" s="223"/>
      <c r="E299" s="223"/>
      <c r="F299" s="224"/>
      <c r="G299" s="224"/>
      <c r="H299" s="890"/>
      <c r="I299" s="890"/>
    </row>
    <row r="300" spans="1:9" x14ac:dyDescent="0.25">
      <c r="A300" s="223"/>
      <c r="B300" s="223"/>
      <c r="C300" s="223"/>
      <c r="D300" s="223"/>
      <c r="E300" s="223"/>
      <c r="F300" s="224"/>
      <c r="G300" s="224"/>
      <c r="H300" s="890"/>
      <c r="I300" s="890"/>
    </row>
    <row r="301" spans="1:9" x14ac:dyDescent="0.25">
      <c r="A301" s="223"/>
      <c r="B301" s="223"/>
      <c r="C301" s="223"/>
      <c r="D301" s="223"/>
      <c r="E301" s="223"/>
      <c r="F301" s="224"/>
      <c r="G301" s="224"/>
      <c r="H301" s="890"/>
      <c r="I301" s="890"/>
    </row>
    <row r="302" spans="1:9" x14ac:dyDescent="0.25">
      <c r="A302" s="223"/>
      <c r="B302" s="223"/>
      <c r="C302" s="223"/>
      <c r="D302" s="223"/>
      <c r="E302" s="223"/>
      <c r="F302" s="224"/>
      <c r="G302" s="224"/>
      <c r="H302" s="890"/>
      <c r="I302" s="890"/>
    </row>
    <row r="303" spans="1:9" x14ac:dyDescent="0.25">
      <c r="A303" s="223"/>
      <c r="B303" s="223"/>
      <c r="C303" s="223"/>
      <c r="D303" s="223"/>
      <c r="E303" s="223"/>
      <c r="F303" s="224"/>
      <c r="G303" s="224"/>
      <c r="H303" s="890"/>
      <c r="I303" s="890"/>
    </row>
    <row r="304" spans="1:9" x14ac:dyDescent="0.25">
      <c r="A304" s="223"/>
      <c r="B304" s="223"/>
      <c r="C304" s="223"/>
      <c r="D304" s="223"/>
      <c r="E304" s="223"/>
      <c r="F304" s="224"/>
      <c r="G304" s="224"/>
      <c r="H304" s="890"/>
      <c r="I304" s="890"/>
    </row>
    <row r="305" spans="1:9" x14ac:dyDescent="0.25">
      <c r="A305" s="223"/>
      <c r="B305" s="223"/>
      <c r="C305" s="223"/>
      <c r="D305" s="223"/>
      <c r="E305" s="223"/>
      <c r="F305" s="224"/>
      <c r="G305" s="224"/>
      <c r="H305" s="890"/>
      <c r="I305" s="890"/>
    </row>
    <row r="306" spans="1:9" x14ac:dyDescent="0.25">
      <c r="A306" s="223"/>
      <c r="B306" s="223"/>
      <c r="C306" s="223"/>
      <c r="D306" s="223"/>
      <c r="E306" s="223"/>
      <c r="F306" s="224"/>
      <c r="G306" s="224"/>
      <c r="H306" s="890"/>
      <c r="I306" s="890"/>
    </row>
    <row r="307" spans="1:9" x14ac:dyDescent="0.25">
      <c r="A307" s="223"/>
      <c r="B307" s="223"/>
      <c r="C307" s="223"/>
      <c r="D307" s="223"/>
      <c r="E307" s="223"/>
      <c r="F307" s="224"/>
      <c r="G307" s="224"/>
      <c r="H307" s="890"/>
      <c r="I307" s="890"/>
    </row>
    <row r="308" spans="1:9" x14ac:dyDescent="0.25">
      <c r="A308" s="223"/>
      <c r="B308" s="223"/>
      <c r="C308" s="223"/>
      <c r="D308" s="223"/>
      <c r="E308" s="223"/>
      <c r="F308" s="224"/>
      <c r="G308" s="224"/>
      <c r="H308" s="890"/>
      <c r="I308" s="890"/>
    </row>
    <row r="309" spans="1:9" x14ac:dyDescent="0.25">
      <c r="A309" s="223"/>
      <c r="B309" s="223"/>
      <c r="C309" s="223"/>
      <c r="D309" s="223"/>
      <c r="E309" s="223"/>
      <c r="F309" s="224"/>
      <c r="G309" s="224"/>
      <c r="H309" s="890"/>
      <c r="I309" s="890"/>
    </row>
    <row r="310" spans="1:9" x14ac:dyDescent="0.25">
      <c r="A310" s="223"/>
      <c r="B310" s="223"/>
      <c r="C310" s="223"/>
      <c r="D310" s="223"/>
      <c r="E310" s="223"/>
      <c r="F310" s="224"/>
      <c r="G310" s="224"/>
      <c r="H310" s="890"/>
      <c r="I310" s="890"/>
    </row>
    <row r="311" spans="1:9" x14ac:dyDescent="0.25">
      <c r="A311" s="223"/>
      <c r="B311" s="223"/>
      <c r="C311" s="223"/>
      <c r="D311" s="223"/>
      <c r="E311" s="223"/>
      <c r="F311" s="224"/>
      <c r="G311" s="224"/>
      <c r="H311" s="890"/>
      <c r="I311" s="890"/>
    </row>
    <row r="312" spans="1:9" x14ac:dyDescent="0.25">
      <c r="A312" s="223"/>
      <c r="B312" s="223"/>
      <c r="C312" s="223"/>
      <c r="D312" s="223"/>
      <c r="E312" s="223"/>
      <c r="F312" s="224"/>
      <c r="G312" s="224"/>
      <c r="H312" s="890"/>
      <c r="I312" s="890"/>
    </row>
    <row r="313" spans="1:9" x14ac:dyDescent="0.25">
      <c r="A313" s="223"/>
      <c r="B313" s="223"/>
      <c r="C313" s="223"/>
      <c r="D313" s="223"/>
      <c r="E313" s="223"/>
      <c r="F313" s="224"/>
      <c r="G313" s="224"/>
      <c r="H313" s="890"/>
      <c r="I313" s="890"/>
    </row>
    <row r="314" spans="1:9" x14ac:dyDescent="0.25">
      <c r="A314" s="223"/>
      <c r="B314" s="223"/>
      <c r="C314" s="223"/>
      <c r="D314" s="223"/>
      <c r="E314" s="223"/>
      <c r="F314" s="224"/>
      <c r="G314" s="224"/>
      <c r="H314" s="890"/>
      <c r="I314" s="890"/>
    </row>
    <row r="315" spans="1:9" x14ac:dyDescent="0.25">
      <c r="A315" s="223"/>
      <c r="B315" s="223"/>
      <c r="C315" s="223"/>
      <c r="D315" s="223"/>
      <c r="E315" s="223"/>
      <c r="F315" s="224"/>
      <c r="G315" s="224"/>
      <c r="H315" s="890"/>
      <c r="I315" s="890"/>
    </row>
    <row r="316" spans="1:9" x14ac:dyDescent="0.25">
      <c r="A316" s="223"/>
      <c r="B316" s="223"/>
      <c r="C316" s="223"/>
      <c r="D316" s="223"/>
      <c r="E316" s="223"/>
      <c r="F316" s="224"/>
      <c r="G316" s="224"/>
      <c r="H316" s="890"/>
      <c r="I316" s="890"/>
    </row>
    <row r="317" spans="1:9" x14ac:dyDescent="0.25">
      <c r="A317" s="223"/>
      <c r="B317" s="223"/>
      <c r="C317" s="223"/>
      <c r="D317" s="223"/>
      <c r="E317" s="223"/>
      <c r="F317" s="224"/>
      <c r="G317" s="224"/>
      <c r="H317" s="890"/>
      <c r="I317" s="890"/>
    </row>
    <row r="318" spans="1:9" x14ac:dyDescent="0.25">
      <c r="A318" s="223"/>
      <c r="B318" s="223"/>
      <c r="C318" s="223"/>
      <c r="D318" s="223"/>
      <c r="E318" s="223"/>
      <c r="F318" s="224"/>
      <c r="G318" s="224"/>
      <c r="H318" s="890"/>
      <c r="I318" s="890"/>
    </row>
    <row r="319" spans="1:9" x14ac:dyDescent="0.25">
      <c r="A319" s="223"/>
      <c r="B319" s="223"/>
      <c r="C319" s="223"/>
      <c r="D319" s="223"/>
      <c r="E319" s="223"/>
      <c r="F319" s="224"/>
      <c r="G319" s="224"/>
      <c r="H319" s="890"/>
      <c r="I319" s="890"/>
    </row>
    <row r="320" spans="1:9" x14ac:dyDescent="0.25">
      <c r="A320" s="223"/>
      <c r="B320" s="223"/>
      <c r="C320" s="223"/>
      <c r="D320" s="223"/>
      <c r="E320" s="223"/>
      <c r="F320" s="224"/>
      <c r="G320" s="224"/>
      <c r="H320" s="890"/>
      <c r="I320" s="890"/>
    </row>
    <row r="321" spans="1:9" x14ac:dyDescent="0.25">
      <c r="A321" s="223"/>
      <c r="B321" s="223"/>
      <c r="C321" s="223"/>
      <c r="D321" s="223"/>
      <c r="E321" s="223"/>
      <c r="F321" s="224"/>
      <c r="G321" s="224"/>
      <c r="H321" s="890"/>
      <c r="I321" s="890"/>
    </row>
    <row r="322" spans="1:9" x14ac:dyDescent="0.25">
      <c r="A322" s="223"/>
      <c r="B322" s="223"/>
      <c r="C322" s="223"/>
      <c r="D322" s="223"/>
      <c r="E322" s="223"/>
      <c r="F322" s="224"/>
      <c r="G322" s="224"/>
      <c r="H322" s="890"/>
      <c r="I322" s="890"/>
    </row>
    <row r="323" spans="1:9" x14ac:dyDescent="0.25">
      <c r="A323" s="223"/>
      <c r="B323" s="223"/>
      <c r="C323" s="223"/>
      <c r="D323" s="223"/>
      <c r="E323" s="223"/>
      <c r="F323" s="224"/>
      <c r="G323" s="224"/>
      <c r="H323" s="890"/>
      <c r="I323" s="890"/>
    </row>
    <row r="324" spans="1:9" x14ac:dyDescent="0.25">
      <c r="A324" s="223"/>
      <c r="B324" s="223"/>
      <c r="C324" s="223"/>
      <c r="D324" s="223"/>
      <c r="E324" s="223"/>
      <c r="F324" s="224"/>
      <c r="G324" s="224"/>
      <c r="H324" s="890"/>
      <c r="I324" s="890"/>
    </row>
    <row r="325" spans="1:9" x14ac:dyDescent="0.25">
      <c r="A325" s="223"/>
      <c r="B325" s="223"/>
      <c r="C325" s="223"/>
      <c r="D325" s="223"/>
      <c r="E325" s="223"/>
      <c r="F325" s="224"/>
      <c r="G325" s="224"/>
      <c r="H325" s="890"/>
      <c r="I325" s="890"/>
    </row>
    <row r="326" spans="1:9" x14ac:dyDescent="0.25">
      <c r="A326" s="223"/>
      <c r="B326" s="223"/>
      <c r="C326" s="223"/>
      <c r="D326" s="223"/>
      <c r="E326" s="223"/>
      <c r="F326" s="224"/>
      <c r="G326" s="224"/>
      <c r="H326" s="890"/>
      <c r="I326" s="890"/>
    </row>
    <row r="327" spans="1:9" x14ac:dyDescent="0.25">
      <c r="A327" s="223"/>
      <c r="B327" s="223"/>
      <c r="C327" s="223"/>
      <c r="D327" s="223"/>
      <c r="E327" s="223"/>
      <c r="F327" s="224"/>
      <c r="G327" s="224"/>
      <c r="H327" s="890"/>
      <c r="I327" s="890"/>
    </row>
    <row r="328" spans="1:9" x14ac:dyDescent="0.25">
      <c r="A328" s="223"/>
      <c r="B328" s="223"/>
      <c r="C328" s="223"/>
      <c r="D328" s="223"/>
      <c r="E328" s="223"/>
      <c r="F328" s="224"/>
      <c r="G328" s="224"/>
      <c r="H328" s="890"/>
      <c r="I328" s="890"/>
    </row>
    <row r="329" spans="1:9" x14ac:dyDescent="0.25">
      <c r="A329" s="223"/>
      <c r="B329" s="223"/>
      <c r="C329" s="223"/>
      <c r="D329" s="223"/>
      <c r="E329" s="223"/>
      <c r="F329" s="224"/>
      <c r="G329" s="224"/>
      <c r="H329" s="890"/>
      <c r="I329" s="890"/>
    </row>
    <row r="330" spans="1:9" x14ac:dyDescent="0.25">
      <c r="A330" s="223"/>
      <c r="B330" s="223"/>
      <c r="C330" s="223"/>
      <c r="D330" s="223"/>
      <c r="E330" s="223"/>
      <c r="F330" s="224"/>
      <c r="G330" s="224"/>
      <c r="H330" s="890"/>
      <c r="I330" s="890"/>
    </row>
    <row r="331" spans="1:9" x14ac:dyDescent="0.25">
      <c r="A331" s="223"/>
      <c r="B331" s="223"/>
      <c r="C331" s="223"/>
      <c r="D331" s="223"/>
      <c r="E331" s="223"/>
      <c r="F331" s="224"/>
      <c r="G331" s="224"/>
      <c r="H331" s="890"/>
      <c r="I331" s="890"/>
    </row>
    <row r="332" spans="1:9" x14ac:dyDescent="0.25">
      <c r="A332" s="223"/>
      <c r="B332" s="223"/>
      <c r="C332" s="223"/>
      <c r="D332" s="223"/>
      <c r="E332" s="223"/>
      <c r="F332" s="224"/>
      <c r="G332" s="224"/>
      <c r="H332" s="890"/>
      <c r="I332" s="890"/>
    </row>
    <row r="333" spans="1:9" x14ac:dyDescent="0.25">
      <c r="A333" s="223"/>
      <c r="B333" s="223"/>
      <c r="C333" s="223"/>
      <c r="D333" s="223"/>
      <c r="E333" s="223"/>
      <c r="F333" s="224"/>
      <c r="G333" s="224"/>
      <c r="H333" s="890"/>
      <c r="I333" s="890"/>
    </row>
    <row r="334" spans="1:9" x14ac:dyDescent="0.25">
      <c r="A334" s="223"/>
      <c r="B334" s="223"/>
      <c r="C334" s="223"/>
      <c r="D334" s="223"/>
      <c r="E334" s="223"/>
      <c r="F334" s="224"/>
      <c r="G334" s="224"/>
      <c r="H334" s="890"/>
      <c r="I334" s="890"/>
    </row>
    <row r="335" spans="1:9" x14ac:dyDescent="0.25">
      <c r="A335" s="223"/>
      <c r="B335" s="223"/>
      <c r="C335" s="223"/>
      <c r="D335" s="223"/>
      <c r="E335" s="223"/>
      <c r="F335" s="224"/>
      <c r="G335" s="224"/>
      <c r="H335" s="890"/>
      <c r="I335" s="890"/>
    </row>
    <row r="336" spans="1:9" x14ac:dyDescent="0.25">
      <c r="A336" s="223"/>
      <c r="B336" s="223"/>
      <c r="C336" s="223"/>
      <c r="D336" s="223"/>
      <c r="E336" s="223"/>
      <c r="F336" s="224"/>
      <c r="G336" s="224"/>
      <c r="H336" s="890"/>
      <c r="I336" s="890"/>
    </row>
    <row r="337" spans="1:9" x14ac:dyDescent="0.25">
      <c r="A337" s="223"/>
      <c r="B337" s="223"/>
      <c r="C337" s="223"/>
      <c r="D337" s="223"/>
      <c r="E337" s="223"/>
      <c r="F337" s="224"/>
      <c r="G337" s="224"/>
      <c r="H337" s="890"/>
      <c r="I337" s="890"/>
    </row>
    <row r="338" spans="1:9" x14ac:dyDescent="0.25">
      <c r="A338" s="223"/>
      <c r="B338" s="223"/>
      <c r="C338" s="223"/>
      <c r="D338" s="223"/>
      <c r="E338" s="223"/>
      <c r="F338" s="224"/>
      <c r="G338" s="224"/>
      <c r="H338" s="890"/>
      <c r="I338" s="890"/>
    </row>
    <row r="339" spans="1:9" x14ac:dyDescent="0.25">
      <c r="A339" s="223"/>
      <c r="B339" s="223"/>
      <c r="C339" s="223"/>
      <c r="D339" s="223"/>
      <c r="E339" s="223"/>
      <c r="F339" s="224"/>
      <c r="G339" s="224"/>
      <c r="H339" s="890"/>
      <c r="I339" s="890"/>
    </row>
    <row r="340" spans="1:9" x14ac:dyDescent="0.25">
      <c r="A340" s="223"/>
      <c r="B340" s="223"/>
      <c r="C340" s="223"/>
      <c r="D340" s="223"/>
      <c r="E340" s="223"/>
      <c r="F340" s="224"/>
      <c r="G340" s="224"/>
      <c r="H340" s="890"/>
      <c r="I340" s="890"/>
    </row>
    <row r="341" spans="1:9" x14ac:dyDescent="0.25">
      <c r="A341" s="223"/>
      <c r="B341" s="223"/>
      <c r="C341" s="223"/>
      <c r="D341" s="223"/>
      <c r="E341" s="223"/>
      <c r="F341" s="224"/>
      <c r="G341" s="224"/>
      <c r="H341" s="890"/>
      <c r="I341" s="890"/>
    </row>
    <row r="342" spans="1:9" x14ac:dyDescent="0.25">
      <c r="A342" s="223"/>
      <c r="B342" s="223"/>
      <c r="C342" s="223"/>
      <c r="D342" s="223"/>
      <c r="E342" s="223"/>
      <c r="F342" s="224"/>
      <c r="G342" s="224"/>
      <c r="H342" s="890"/>
      <c r="I342" s="890"/>
    </row>
    <row r="343" spans="1:9" x14ac:dyDescent="0.25">
      <c r="A343" s="223"/>
      <c r="B343" s="223"/>
      <c r="C343" s="223"/>
      <c r="D343" s="223"/>
      <c r="E343" s="223"/>
      <c r="F343" s="224"/>
      <c r="G343" s="224"/>
      <c r="H343" s="890"/>
      <c r="I343" s="890"/>
    </row>
    <row r="344" spans="1:9" x14ac:dyDescent="0.25">
      <c r="A344" s="223"/>
      <c r="B344" s="223"/>
      <c r="C344" s="223"/>
      <c r="D344" s="223"/>
      <c r="E344" s="223"/>
      <c r="F344" s="224"/>
      <c r="G344" s="224"/>
      <c r="H344" s="890"/>
      <c r="I344" s="890"/>
    </row>
    <row r="345" spans="1:9" x14ac:dyDescent="0.25">
      <c r="A345" s="223"/>
      <c r="B345" s="223"/>
      <c r="C345" s="223"/>
      <c r="D345" s="223"/>
      <c r="E345" s="223"/>
      <c r="F345" s="224"/>
      <c r="G345" s="224"/>
      <c r="H345" s="890"/>
      <c r="I345" s="890"/>
    </row>
    <row r="346" spans="1:9" x14ac:dyDescent="0.25">
      <c r="A346" s="223"/>
      <c r="B346" s="223"/>
      <c r="C346" s="223"/>
      <c r="D346" s="223"/>
      <c r="E346" s="223"/>
      <c r="F346" s="224"/>
      <c r="G346" s="224"/>
      <c r="H346" s="890"/>
      <c r="I346" s="890"/>
    </row>
    <row r="347" spans="1:9" x14ac:dyDescent="0.25">
      <c r="A347" s="223"/>
      <c r="B347" s="223"/>
      <c r="C347" s="223"/>
      <c r="D347" s="223"/>
      <c r="E347" s="223"/>
      <c r="F347" s="224"/>
      <c r="G347" s="224"/>
      <c r="H347" s="890"/>
      <c r="I347" s="890"/>
    </row>
    <row r="348" spans="1:9" x14ac:dyDescent="0.25">
      <c r="A348" s="223"/>
      <c r="B348" s="223"/>
      <c r="C348" s="223"/>
      <c r="D348" s="223"/>
      <c r="E348" s="223"/>
      <c r="F348" s="224"/>
      <c r="G348" s="224"/>
      <c r="H348" s="890"/>
      <c r="I348" s="890"/>
    </row>
    <row r="349" spans="1:9" x14ac:dyDescent="0.25">
      <c r="A349" s="223"/>
      <c r="B349" s="223"/>
      <c r="C349" s="223"/>
      <c r="D349" s="223"/>
      <c r="E349" s="223"/>
      <c r="F349" s="224"/>
      <c r="G349" s="224"/>
      <c r="H349" s="890"/>
      <c r="I349" s="890"/>
    </row>
    <row r="350" spans="1:9" x14ac:dyDescent="0.25">
      <c r="A350" s="223"/>
      <c r="B350" s="223"/>
      <c r="C350" s="223"/>
      <c r="D350" s="223"/>
      <c r="E350" s="223"/>
      <c r="F350" s="224"/>
      <c r="G350" s="224"/>
      <c r="H350" s="890"/>
      <c r="I350" s="890"/>
    </row>
    <row r="351" spans="1:9" x14ac:dyDescent="0.25">
      <c r="A351" s="223"/>
      <c r="B351" s="223"/>
      <c r="C351" s="223"/>
      <c r="D351" s="223"/>
      <c r="E351" s="223"/>
      <c r="F351" s="224"/>
      <c r="G351" s="224"/>
      <c r="H351" s="890"/>
      <c r="I351" s="890"/>
    </row>
    <row r="352" spans="1:9" x14ac:dyDescent="0.25">
      <c r="A352" s="223"/>
      <c r="B352" s="223"/>
      <c r="C352" s="223"/>
      <c r="D352" s="223"/>
      <c r="E352" s="223"/>
      <c r="F352" s="224"/>
      <c r="G352" s="224"/>
      <c r="H352" s="890"/>
      <c r="I352" s="890"/>
    </row>
    <row r="353" spans="1:9" x14ac:dyDescent="0.25">
      <c r="A353" s="223"/>
      <c r="B353" s="223"/>
      <c r="C353" s="223"/>
      <c r="D353" s="223"/>
      <c r="E353" s="223"/>
      <c r="F353" s="224"/>
      <c r="G353" s="224"/>
      <c r="H353" s="890"/>
      <c r="I353" s="890"/>
    </row>
    <row r="354" spans="1:9" x14ac:dyDescent="0.25">
      <c r="A354" s="223"/>
      <c r="B354" s="223"/>
      <c r="C354" s="223"/>
      <c r="D354" s="223"/>
      <c r="E354" s="223"/>
      <c r="F354" s="224"/>
      <c r="G354" s="224"/>
      <c r="H354" s="890"/>
      <c r="I354" s="890"/>
    </row>
    <row r="355" spans="1:9" x14ac:dyDescent="0.25">
      <c r="A355" s="223"/>
      <c r="B355" s="223"/>
      <c r="C355" s="223"/>
      <c r="D355" s="223"/>
      <c r="E355" s="223"/>
      <c r="F355" s="224"/>
      <c r="G355" s="224"/>
      <c r="H355" s="890"/>
      <c r="I355" s="890"/>
    </row>
    <row r="356" spans="1:9" x14ac:dyDescent="0.25">
      <c r="A356" s="223"/>
      <c r="B356" s="223"/>
      <c r="C356" s="223"/>
      <c r="D356" s="223"/>
      <c r="E356" s="223"/>
      <c r="F356" s="224"/>
      <c r="G356" s="224"/>
      <c r="H356" s="890"/>
      <c r="I356" s="890"/>
    </row>
    <row r="357" spans="1:9" x14ac:dyDescent="0.25">
      <c r="A357" s="223"/>
      <c r="B357" s="223"/>
      <c r="C357" s="223"/>
      <c r="D357" s="223"/>
      <c r="E357" s="223"/>
      <c r="F357" s="224"/>
      <c r="G357" s="224"/>
      <c r="H357" s="890"/>
      <c r="I357" s="890"/>
    </row>
    <row r="358" spans="1:9" x14ac:dyDescent="0.25">
      <c r="A358" s="223"/>
      <c r="B358" s="223"/>
      <c r="C358" s="223"/>
      <c r="D358" s="223"/>
      <c r="E358" s="223"/>
      <c r="F358" s="224"/>
      <c r="G358" s="224"/>
      <c r="H358" s="890"/>
      <c r="I358" s="890"/>
    </row>
    <row r="359" spans="1:9" x14ac:dyDescent="0.25">
      <c r="A359" s="223"/>
      <c r="B359" s="223"/>
      <c r="C359" s="223"/>
      <c r="D359" s="223"/>
      <c r="E359" s="223"/>
      <c r="F359" s="224"/>
      <c r="G359" s="224"/>
      <c r="H359" s="890"/>
      <c r="I359" s="890"/>
    </row>
    <row r="360" spans="1:9" x14ac:dyDescent="0.25">
      <c r="A360" s="223"/>
      <c r="B360" s="223"/>
      <c r="C360" s="223"/>
      <c r="D360" s="223"/>
      <c r="E360" s="223"/>
      <c r="F360" s="224"/>
      <c r="G360" s="224"/>
      <c r="H360" s="890"/>
      <c r="I360" s="890"/>
    </row>
    <row r="361" spans="1:9" x14ac:dyDescent="0.25">
      <c r="A361" s="223"/>
      <c r="B361" s="223"/>
      <c r="C361" s="223"/>
      <c r="D361" s="223"/>
      <c r="E361" s="223"/>
      <c r="F361" s="224"/>
      <c r="G361" s="224"/>
      <c r="H361" s="890"/>
      <c r="I361" s="890"/>
    </row>
    <row r="362" spans="1:9" x14ac:dyDescent="0.25">
      <c r="A362" s="223"/>
      <c r="B362" s="223"/>
      <c r="C362" s="223"/>
      <c r="D362" s="223"/>
      <c r="E362" s="223"/>
      <c r="F362" s="224"/>
      <c r="G362" s="224"/>
      <c r="H362" s="890"/>
      <c r="I362" s="890"/>
    </row>
    <row r="363" spans="1:9" x14ac:dyDescent="0.25">
      <c r="A363" s="223"/>
      <c r="B363" s="223"/>
      <c r="C363" s="223"/>
      <c r="D363" s="223"/>
      <c r="E363" s="223"/>
      <c r="F363" s="224"/>
      <c r="G363" s="224"/>
      <c r="H363" s="890"/>
      <c r="I363" s="890"/>
    </row>
    <row r="364" spans="1:9" x14ac:dyDescent="0.25">
      <c r="A364" s="223"/>
      <c r="B364" s="223"/>
      <c r="C364" s="223"/>
      <c r="D364" s="223"/>
      <c r="E364" s="223"/>
      <c r="F364" s="224"/>
      <c r="G364" s="224"/>
      <c r="H364" s="890"/>
      <c r="I364" s="890"/>
    </row>
    <row r="365" spans="1:9" x14ac:dyDescent="0.25">
      <c r="A365" s="223"/>
      <c r="B365" s="223"/>
      <c r="C365" s="223"/>
      <c r="D365" s="223"/>
      <c r="E365" s="223"/>
      <c r="F365" s="224"/>
      <c r="G365" s="224"/>
      <c r="H365" s="890"/>
      <c r="I365" s="890"/>
    </row>
    <row r="366" spans="1:9" x14ac:dyDescent="0.25">
      <c r="A366" s="223"/>
      <c r="B366" s="223"/>
      <c r="C366" s="223"/>
      <c r="D366" s="223"/>
      <c r="E366" s="223"/>
      <c r="F366" s="224"/>
      <c r="G366" s="224"/>
      <c r="H366" s="890"/>
      <c r="I366" s="890"/>
    </row>
    <row r="367" spans="1:9" x14ac:dyDescent="0.25">
      <c r="A367" s="223"/>
      <c r="B367" s="223"/>
      <c r="C367" s="223"/>
      <c r="D367" s="223"/>
      <c r="E367" s="223"/>
      <c r="F367" s="224"/>
      <c r="G367" s="224"/>
      <c r="H367" s="890"/>
      <c r="I367" s="890"/>
    </row>
    <row r="368" spans="1:9" x14ac:dyDescent="0.25">
      <c r="A368" s="223"/>
      <c r="B368" s="223"/>
      <c r="C368" s="223"/>
      <c r="D368" s="223"/>
      <c r="E368" s="223"/>
      <c r="F368" s="224"/>
      <c r="G368" s="224"/>
      <c r="H368" s="890"/>
      <c r="I368" s="890"/>
    </row>
    <row r="369" spans="1:9" x14ac:dyDescent="0.25">
      <c r="A369" s="223"/>
      <c r="B369" s="223"/>
      <c r="C369" s="223"/>
      <c r="D369" s="223"/>
      <c r="E369" s="223"/>
      <c r="F369" s="224"/>
      <c r="G369" s="224"/>
      <c r="H369" s="890"/>
      <c r="I369" s="890"/>
    </row>
    <row r="370" spans="1:9" x14ac:dyDescent="0.25">
      <c r="A370" s="223"/>
      <c r="B370" s="223"/>
      <c r="C370" s="223"/>
      <c r="D370" s="223"/>
      <c r="E370" s="223"/>
      <c r="F370" s="224"/>
      <c r="G370" s="224"/>
      <c r="H370" s="890"/>
      <c r="I370" s="890"/>
    </row>
    <row r="371" spans="1:9" x14ac:dyDescent="0.25">
      <c r="A371" s="223"/>
      <c r="B371" s="223"/>
      <c r="C371" s="223"/>
      <c r="D371" s="223"/>
      <c r="E371" s="223"/>
      <c r="F371" s="224"/>
      <c r="G371" s="224"/>
      <c r="H371" s="890"/>
      <c r="I371" s="890"/>
    </row>
    <row r="372" spans="1:9" x14ac:dyDescent="0.25">
      <c r="A372" s="223"/>
      <c r="B372" s="223"/>
      <c r="C372" s="223"/>
      <c r="D372" s="223"/>
      <c r="E372" s="223"/>
      <c r="F372" s="224"/>
      <c r="G372" s="224"/>
      <c r="H372" s="890"/>
      <c r="I372" s="890"/>
    </row>
    <row r="373" spans="1:9" x14ac:dyDescent="0.25">
      <c r="A373" s="223"/>
      <c r="B373" s="223"/>
      <c r="C373" s="223"/>
      <c r="D373" s="223"/>
      <c r="E373" s="223"/>
      <c r="F373" s="224"/>
      <c r="G373" s="224"/>
      <c r="H373" s="890"/>
      <c r="I373" s="890"/>
    </row>
    <row r="374" spans="1:9" x14ac:dyDescent="0.25">
      <c r="A374" s="223"/>
      <c r="B374" s="223"/>
      <c r="C374" s="223"/>
      <c r="D374" s="223"/>
      <c r="E374" s="223"/>
      <c r="F374" s="224"/>
      <c r="G374" s="224"/>
      <c r="H374" s="890"/>
      <c r="I374" s="890"/>
    </row>
    <row r="375" spans="1:9" x14ac:dyDescent="0.25">
      <c r="A375" s="223"/>
      <c r="B375" s="223"/>
      <c r="C375" s="223"/>
      <c r="D375" s="223"/>
      <c r="E375" s="223"/>
      <c r="F375" s="224"/>
      <c r="G375" s="224"/>
      <c r="H375" s="890"/>
      <c r="I375" s="890"/>
    </row>
    <row r="376" spans="1:9" x14ac:dyDescent="0.25">
      <c r="A376" s="223"/>
      <c r="B376" s="223"/>
      <c r="C376" s="223"/>
      <c r="D376" s="223"/>
      <c r="E376" s="223"/>
      <c r="F376" s="224"/>
      <c r="G376" s="224"/>
      <c r="H376" s="890"/>
      <c r="I376" s="890"/>
    </row>
    <row r="377" spans="1:9" x14ac:dyDescent="0.25">
      <c r="A377" s="223"/>
      <c r="B377" s="223"/>
      <c r="C377" s="223"/>
      <c r="D377" s="223"/>
      <c r="E377" s="223"/>
      <c r="F377" s="224"/>
      <c r="G377" s="224"/>
      <c r="H377" s="890"/>
      <c r="I377" s="890"/>
    </row>
    <row r="378" spans="1:9" x14ac:dyDescent="0.25">
      <c r="A378" s="223"/>
      <c r="B378" s="223"/>
      <c r="C378" s="223"/>
      <c r="D378" s="223"/>
      <c r="E378" s="223"/>
      <c r="F378" s="224"/>
      <c r="G378" s="224"/>
      <c r="H378" s="890"/>
      <c r="I378" s="890"/>
    </row>
    <row r="379" spans="1:9" x14ac:dyDescent="0.25">
      <c r="A379" s="223"/>
      <c r="B379" s="223"/>
      <c r="C379" s="223"/>
      <c r="D379" s="223"/>
      <c r="E379" s="223"/>
      <c r="F379" s="224"/>
      <c r="G379" s="224"/>
      <c r="H379" s="890"/>
      <c r="I379" s="890"/>
    </row>
    <row r="380" spans="1:9" x14ac:dyDescent="0.25">
      <c r="A380" s="223"/>
      <c r="B380" s="223"/>
      <c r="C380" s="223"/>
      <c r="D380" s="223"/>
      <c r="E380" s="223"/>
      <c r="F380" s="224"/>
      <c r="G380" s="224"/>
      <c r="H380" s="890"/>
      <c r="I380" s="890"/>
    </row>
    <row r="381" spans="1:9" x14ac:dyDescent="0.25">
      <c r="A381" s="223"/>
      <c r="B381" s="223"/>
      <c r="C381" s="223"/>
      <c r="D381" s="223"/>
      <c r="E381" s="223"/>
      <c r="F381" s="224"/>
      <c r="G381" s="224"/>
      <c r="H381" s="890"/>
      <c r="I381" s="890"/>
    </row>
    <row r="382" spans="1:9" x14ac:dyDescent="0.25">
      <c r="A382" s="223"/>
      <c r="B382" s="223"/>
      <c r="C382" s="223"/>
      <c r="D382" s="223"/>
      <c r="E382" s="223"/>
      <c r="F382" s="224"/>
      <c r="G382" s="224"/>
      <c r="H382" s="890"/>
      <c r="I382" s="890"/>
    </row>
    <row r="383" spans="1:9" x14ac:dyDescent="0.25">
      <c r="A383" s="223"/>
      <c r="B383" s="223"/>
      <c r="C383" s="223"/>
      <c r="D383" s="223"/>
      <c r="E383" s="223"/>
      <c r="F383" s="224"/>
      <c r="G383" s="224"/>
      <c r="H383" s="890"/>
      <c r="I383" s="890"/>
    </row>
    <row r="384" spans="1:9" x14ac:dyDescent="0.25">
      <c r="A384" s="223"/>
      <c r="B384" s="223"/>
      <c r="C384" s="223"/>
      <c r="D384" s="223"/>
      <c r="E384" s="223"/>
      <c r="F384" s="224"/>
      <c r="G384" s="224"/>
      <c r="H384" s="890"/>
      <c r="I384" s="890"/>
    </row>
    <row r="385" spans="1:9" x14ac:dyDescent="0.25">
      <c r="A385" s="223"/>
      <c r="B385" s="223"/>
      <c r="C385" s="223"/>
      <c r="D385" s="223"/>
      <c r="E385" s="223"/>
      <c r="F385" s="224"/>
      <c r="G385" s="224"/>
      <c r="H385" s="890"/>
      <c r="I385" s="890"/>
    </row>
    <row r="386" spans="1:9" x14ac:dyDescent="0.25">
      <c r="A386" s="223"/>
      <c r="B386" s="223"/>
      <c r="C386" s="223"/>
      <c r="D386" s="223"/>
      <c r="E386" s="223"/>
      <c r="F386" s="224"/>
      <c r="G386" s="224"/>
      <c r="H386" s="890"/>
      <c r="I386" s="890"/>
    </row>
    <row r="387" spans="1:9" x14ac:dyDescent="0.25">
      <c r="A387" s="223"/>
      <c r="B387" s="223"/>
      <c r="C387" s="223"/>
      <c r="D387" s="223"/>
      <c r="E387" s="223"/>
      <c r="F387" s="224"/>
      <c r="G387" s="224"/>
      <c r="H387" s="890"/>
      <c r="I387" s="890"/>
    </row>
    <row r="388" spans="1:9" x14ac:dyDescent="0.25">
      <c r="A388" s="223"/>
      <c r="B388" s="223"/>
      <c r="C388" s="223"/>
      <c r="D388" s="223"/>
      <c r="E388" s="223"/>
      <c r="F388" s="224"/>
      <c r="G388" s="224"/>
      <c r="H388" s="890"/>
      <c r="I388" s="890"/>
    </row>
    <row r="389" spans="1:9" x14ac:dyDescent="0.25">
      <c r="A389" s="223"/>
      <c r="B389" s="223"/>
      <c r="C389" s="223"/>
      <c r="D389" s="223"/>
      <c r="E389" s="223"/>
      <c r="F389" s="224"/>
      <c r="G389" s="224"/>
      <c r="H389" s="890"/>
      <c r="I389" s="890"/>
    </row>
    <row r="390" spans="1:9" x14ac:dyDescent="0.25">
      <c r="A390" s="223"/>
      <c r="B390" s="223"/>
      <c r="C390" s="223"/>
      <c r="D390" s="223"/>
      <c r="E390" s="223"/>
      <c r="F390" s="224"/>
      <c r="G390" s="224"/>
      <c r="H390" s="890"/>
      <c r="I390" s="890"/>
    </row>
    <row r="391" spans="1:9" x14ac:dyDescent="0.25">
      <c r="A391" s="223"/>
      <c r="B391" s="223"/>
      <c r="C391" s="223"/>
      <c r="D391" s="223"/>
      <c r="E391" s="223"/>
      <c r="F391" s="224"/>
      <c r="G391" s="224"/>
      <c r="H391" s="890"/>
      <c r="I391" s="890"/>
    </row>
    <row r="392" spans="1:9" x14ac:dyDescent="0.25">
      <c r="A392" s="223"/>
      <c r="B392" s="223"/>
      <c r="C392" s="223"/>
      <c r="D392" s="223"/>
      <c r="E392" s="223"/>
      <c r="F392" s="224"/>
      <c r="G392" s="224"/>
      <c r="H392" s="890"/>
      <c r="I392" s="890"/>
    </row>
    <row r="393" spans="1:9" x14ac:dyDescent="0.25">
      <c r="A393" s="223"/>
      <c r="B393" s="223"/>
      <c r="C393" s="223"/>
      <c r="D393" s="223"/>
      <c r="E393" s="223"/>
      <c r="F393" s="224"/>
      <c r="G393" s="224"/>
      <c r="H393" s="890"/>
      <c r="I393" s="890"/>
    </row>
    <row r="394" spans="1:9" x14ac:dyDescent="0.25">
      <c r="A394" s="223"/>
      <c r="B394" s="223"/>
      <c r="C394" s="223"/>
      <c r="D394" s="223"/>
      <c r="E394" s="223"/>
      <c r="F394" s="224"/>
      <c r="G394" s="224"/>
      <c r="H394" s="890"/>
      <c r="I394" s="890"/>
    </row>
    <row r="395" spans="1:9" x14ac:dyDescent="0.25">
      <c r="A395" s="223"/>
      <c r="B395" s="223"/>
      <c r="C395" s="223"/>
      <c r="D395" s="223"/>
      <c r="E395" s="223"/>
      <c r="F395" s="224"/>
      <c r="G395" s="224"/>
      <c r="H395" s="890"/>
      <c r="I395" s="890"/>
    </row>
    <row r="396" spans="1:9" x14ac:dyDescent="0.25">
      <c r="A396" s="223"/>
      <c r="B396" s="223"/>
      <c r="C396" s="223"/>
      <c r="D396" s="223"/>
      <c r="E396" s="223"/>
      <c r="F396" s="224"/>
      <c r="G396" s="224"/>
      <c r="H396" s="890"/>
      <c r="I396" s="890"/>
    </row>
    <row r="397" spans="1:9" x14ac:dyDescent="0.25">
      <c r="A397" s="223"/>
      <c r="B397" s="223"/>
      <c r="C397" s="223"/>
      <c r="D397" s="223"/>
      <c r="E397" s="223"/>
      <c r="F397" s="224"/>
      <c r="G397" s="224"/>
      <c r="H397" s="890"/>
      <c r="I397" s="890"/>
    </row>
    <row r="398" spans="1:9" x14ac:dyDescent="0.25">
      <c r="A398" s="223"/>
      <c r="B398" s="223"/>
      <c r="C398" s="223"/>
      <c r="D398" s="223"/>
      <c r="E398" s="223"/>
      <c r="F398" s="224"/>
      <c r="G398" s="224"/>
      <c r="H398" s="890"/>
      <c r="I398" s="890"/>
    </row>
    <row r="399" spans="1:9" x14ac:dyDescent="0.25">
      <c r="A399" s="223"/>
      <c r="B399" s="223"/>
      <c r="C399" s="223"/>
      <c r="D399" s="223"/>
      <c r="E399" s="223"/>
      <c r="F399" s="224"/>
      <c r="G399" s="224"/>
      <c r="H399" s="890"/>
      <c r="I399" s="890"/>
    </row>
    <row r="400" spans="1:9" x14ac:dyDescent="0.25">
      <c r="A400" s="223"/>
      <c r="B400" s="223"/>
      <c r="C400" s="223"/>
      <c r="D400" s="223"/>
      <c r="E400" s="223"/>
      <c r="F400" s="224"/>
      <c r="G400" s="224"/>
      <c r="H400" s="890"/>
      <c r="I400" s="890"/>
    </row>
    <row r="401" spans="1:9" x14ac:dyDescent="0.25">
      <c r="A401" s="223"/>
      <c r="B401" s="223"/>
      <c r="C401" s="223"/>
      <c r="D401" s="223"/>
      <c r="E401" s="223"/>
      <c r="F401" s="224"/>
      <c r="G401" s="224"/>
      <c r="H401" s="890"/>
      <c r="I401" s="890"/>
    </row>
    <row r="402" spans="1:9" x14ac:dyDescent="0.25">
      <c r="A402" s="223"/>
      <c r="B402" s="223"/>
      <c r="C402" s="223"/>
      <c r="D402" s="223"/>
      <c r="E402" s="223"/>
      <c r="F402" s="224"/>
      <c r="G402" s="224"/>
      <c r="H402" s="890"/>
      <c r="I402" s="890"/>
    </row>
    <row r="403" spans="1:9" x14ac:dyDescent="0.25">
      <c r="A403" s="223"/>
      <c r="B403" s="223"/>
      <c r="C403" s="223"/>
      <c r="D403" s="223"/>
      <c r="E403" s="223"/>
      <c r="F403" s="224"/>
      <c r="G403" s="224"/>
      <c r="H403" s="890"/>
      <c r="I403" s="890"/>
    </row>
    <row r="404" spans="1:9" x14ac:dyDescent="0.25">
      <c r="A404" s="223"/>
      <c r="B404" s="223"/>
      <c r="C404" s="223"/>
      <c r="D404" s="223"/>
      <c r="E404" s="223"/>
      <c r="F404" s="224"/>
      <c r="G404" s="224"/>
      <c r="H404" s="890"/>
      <c r="I404" s="890"/>
    </row>
    <row r="405" spans="1:9" x14ac:dyDescent="0.25">
      <c r="A405" s="223"/>
      <c r="B405" s="223"/>
      <c r="C405" s="223"/>
      <c r="D405" s="223"/>
      <c r="E405" s="223"/>
      <c r="F405" s="224"/>
      <c r="G405" s="224"/>
      <c r="H405" s="890"/>
      <c r="I405" s="890"/>
    </row>
    <row r="406" spans="1:9" x14ac:dyDescent="0.25">
      <c r="A406" s="223"/>
      <c r="B406" s="223"/>
      <c r="C406" s="223"/>
      <c r="D406" s="223"/>
      <c r="E406" s="223"/>
      <c r="F406" s="224"/>
      <c r="G406" s="224"/>
      <c r="H406" s="890"/>
      <c r="I406" s="890"/>
    </row>
    <row r="407" spans="1:9" x14ac:dyDescent="0.25">
      <c r="A407" s="223"/>
      <c r="B407" s="223"/>
      <c r="C407" s="223"/>
      <c r="D407" s="223"/>
      <c r="E407" s="223"/>
      <c r="F407" s="224"/>
      <c r="G407" s="224"/>
      <c r="H407" s="890"/>
      <c r="I407" s="890"/>
    </row>
    <row r="408" spans="1:9" x14ac:dyDescent="0.25">
      <c r="A408" s="223"/>
      <c r="B408" s="223"/>
      <c r="C408" s="223"/>
      <c r="D408" s="223"/>
      <c r="E408" s="223"/>
      <c r="F408" s="224"/>
      <c r="G408" s="224"/>
      <c r="H408" s="890"/>
      <c r="I408" s="890"/>
    </row>
    <row r="409" spans="1:9" x14ac:dyDescent="0.25">
      <c r="A409" s="223"/>
      <c r="B409" s="223"/>
      <c r="C409" s="223"/>
      <c r="D409" s="223"/>
      <c r="E409" s="223"/>
      <c r="F409" s="224"/>
      <c r="G409" s="224"/>
      <c r="H409" s="890"/>
      <c r="I409" s="890"/>
    </row>
    <row r="410" spans="1:9" x14ac:dyDescent="0.25">
      <c r="A410" s="223"/>
      <c r="B410" s="223"/>
      <c r="C410" s="223"/>
      <c r="D410" s="223"/>
      <c r="E410" s="223"/>
      <c r="F410" s="224"/>
      <c r="G410" s="224"/>
      <c r="H410" s="890"/>
      <c r="I410" s="890"/>
    </row>
    <row r="411" spans="1:9" x14ac:dyDescent="0.25">
      <c r="A411" s="223"/>
      <c r="B411" s="223"/>
      <c r="C411" s="223"/>
      <c r="D411" s="223"/>
      <c r="E411" s="223"/>
      <c r="F411" s="224"/>
      <c r="G411" s="224"/>
      <c r="H411" s="890"/>
      <c r="I411" s="890"/>
    </row>
    <row r="412" spans="1:9" x14ac:dyDescent="0.25">
      <c r="A412" s="223"/>
      <c r="B412" s="223"/>
      <c r="C412" s="223"/>
      <c r="D412" s="223"/>
      <c r="E412" s="223"/>
      <c r="F412" s="224"/>
      <c r="G412" s="224"/>
      <c r="H412" s="890"/>
      <c r="I412" s="890"/>
    </row>
    <row r="413" spans="1:9" x14ac:dyDescent="0.25">
      <c r="A413" s="223"/>
      <c r="B413" s="223"/>
      <c r="C413" s="223"/>
      <c r="D413" s="223"/>
      <c r="E413" s="223"/>
      <c r="F413" s="224"/>
      <c r="G413" s="224"/>
      <c r="H413" s="890"/>
      <c r="I413" s="890"/>
    </row>
    <row r="414" spans="1:9" x14ac:dyDescent="0.25">
      <c r="A414" s="223"/>
      <c r="B414" s="223"/>
      <c r="C414" s="223"/>
      <c r="D414" s="223"/>
      <c r="E414" s="223"/>
      <c r="F414" s="224"/>
      <c r="G414" s="224"/>
      <c r="H414" s="890"/>
      <c r="I414" s="890"/>
    </row>
    <row r="415" spans="1:9" x14ac:dyDescent="0.25">
      <c r="A415" s="223"/>
      <c r="B415" s="223"/>
      <c r="C415" s="223"/>
      <c r="D415" s="223"/>
      <c r="E415" s="223"/>
      <c r="F415" s="224"/>
      <c r="G415" s="224"/>
      <c r="H415" s="890"/>
      <c r="I415" s="890"/>
    </row>
    <row r="416" spans="1:9" x14ac:dyDescent="0.25">
      <c r="A416" s="223"/>
      <c r="B416" s="223"/>
      <c r="C416" s="223"/>
      <c r="D416" s="223"/>
      <c r="E416" s="223"/>
      <c r="F416" s="224"/>
      <c r="G416" s="224"/>
      <c r="H416" s="890"/>
      <c r="I416" s="890"/>
    </row>
    <row r="417" spans="1:9" x14ac:dyDescent="0.25">
      <c r="A417" s="223"/>
      <c r="B417" s="223"/>
      <c r="C417" s="223"/>
      <c r="D417" s="223"/>
      <c r="E417" s="223"/>
      <c r="F417" s="224"/>
      <c r="G417" s="224"/>
      <c r="H417" s="890"/>
      <c r="I417" s="890"/>
    </row>
    <row r="418" spans="1:9" x14ac:dyDescent="0.25">
      <c r="A418" s="223"/>
      <c r="B418" s="223"/>
      <c r="C418" s="223"/>
      <c r="D418" s="223"/>
      <c r="E418" s="223"/>
      <c r="F418" s="224"/>
      <c r="G418" s="224"/>
      <c r="H418" s="890"/>
      <c r="I418" s="890"/>
    </row>
    <row r="419" spans="1:9" x14ac:dyDescent="0.25">
      <c r="A419" s="223"/>
      <c r="B419" s="223"/>
      <c r="C419" s="223"/>
      <c r="D419" s="223"/>
      <c r="E419" s="223"/>
      <c r="F419" s="224"/>
      <c r="G419" s="224"/>
      <c r="H419" s="890"/>
      <c r="I419" s="890"/>
    </row>
    <row r="420" spans="1:9" x14ac:dyDescent="0.25">
      <c r="A420" s="223"/>
      <c r="B420" s="223"/>
      <c r="C420" s="223"/>
      <c r="D420" s="223"/>
      <c r="E420" s="223"/>
      <c r="F420" s="224"/>
      <c r="G420" s="224"/>
      <c r="H420" s="890"/>
      <c r="I420" s="890"/>
    </row>
    <row r="421" spans="1:9" x14ac:dyDescent="0.25">
      <c r="A421" s="223"/>
      <c r="B421" s="223"/>
      <c r="C421" s="223"/>
      <c r="D421" s="223"/>
      <c r="E421" s="223"/>
      <c r="F421" s="224"/>
      <c r="G421" s="224"/>
      <c r="H421" s="890"/>
      <c r="I421" s="890"/>
    </row>
    <row r="422" spans="1:9" x14ac:dyDescent="0.25">
      <c r="A422" s="223"/>
      <c r="B422" s="223"/>
      <c r="C422" s="223"/>
      <c r="D422" s="223"/>
      <c r="E422" s="223"/>
      <c r="F422" s="224"/>
      <c r="G422" s="224"/>
      <c r="H422" s="890"/>
      <c r="I422" s="890"/>
    </row>
    <row r="423" spans="1:9" x14ac:dyDescent="0.25">
      <c r="A423" s="223"/>
      <c r="B423" s="223"/>
      <c r="C423" s="223"/>
      <c r="D423" s="223"/>
      <c r="E423" s="223"/>
      <c r="F423" s="224"/>
      <c r="G423" s="224"/>
      <c r="H423" s="890"/>
      <c r="I423" s="890"/>
    </row>
    <row r="424" spans="1:9" x14ac:dyDescent="0.25">
      <c r="A424" s="223"/>
      <c r="B424" s="223"/>
      <c r="C424" s="223"/>
      <c r="D424" s="223"/>
      <c r="E424" s="223"/>
      <c r="F424" s="224"/>
      <c r="G424" s="224"/>
      <c r="H424" s="890"/>
      <c r="I424" s="890"/>
    </row>
    <row r="425" spans="1:9" x14ac:dyDescent="0.25">
      <c r="A425" s="223"/>
      <c r="B425" s="223"/>
      <c r="C425" s="223"/>
      <c r="D425" s="223"/>
      <c r="E425" s="223"/>
      <c r="F425" s="224"/>
      <c r="G425" s="224"/>
      <c r="H425" s="890"/>
      <c r="I425" s="890"/>
    </row>
    <row r="426" spans="1:9" x14ac:dyDescent="0.25">
      <c r="A426" s="223"/>
      <c r="B426" s="223"/>
      <c r="C426" s="223"/>
      <c r="D426" s="223"/>
      <c r="E426" s="223"/>
      <c r="F426" s="224"/>
      <c r="G426" s="224"/>
      <c r="H426" s="890"/>
      <c r="I426" s="890"/>
    </row>
    <row r="427" spans="1:9" x14ac:dyDescent="0.25">
      <c r="A427" s="223"/>
      <c r="B427" s="223"/>
      <c r="C427" s="223"/>
      <c r="D427" s="223"/>
      <c r="E427" s="223"/>
      <c r="F427" s="224"/>
      <c r="G427" s="224"/>
      <c r="H427" s="890"/>
      <c r="I427" s="890"/>
    </row>
    <row r="428" spans="1:9" x14ac:dyDescent="0.25">
      <c r="A428" s="223"/>
      <c r="B428" s="223"/>
      <c r="C428" s="223"/>
      <c r="D428" s="223"/>
      <c r="E428" s="223"/>
      <c r="F428" s="224"/>
      <c r="G428" s="224"/>
      <c r="H428" s="890"/>
      <c r="I428" s="890"/>
    </row>
    <row r="429" spans="1:9" x14ac:dyDescent="0.25">
      <c r="A429" s="223"/>
      <c r="B429" s="223"/>
      <c r="C429" s="223"/>
      <c r="D429" s="223"/>
      <c r="E429" s="223"/>
      <c r="F429" s="224"/>
      <c r="G429" s="224"/>
      <c r="H429" s="890"/>
      <c r="I429" s="890"/>
    </row>
    <row r="430" spans="1:9" x14ac:dyDescent="0.25">
      <c r="A430" s="223"/>
      <c r="B430" s="223"/>
      <c r="C430" s="223"/>
      <c r="D430" s="223"/>
      <c r="E430" s="223"/>
      <c r="F430" s="224"/>
      <c r="G430" s="224"/>
      <c r="H430" s="890"/>
      <c r="I430" s="890"/>
    </row>
    <row r="431" spans="1:9" x14ac:dyDescent="0.25">
      <c r="A431" s="223"/>
      <c r="B431" s="223"/>
      <c r="C431" s="223"/>
      <c r="D431" s="223"/>
      <c r="E431" s="223"/>
      <c r="F431" s="224"/>
      <c r="G431" s="224"/>
      <c r="H431" s="890"/>
      <c r="I431" s="890"/>
    </row>
    <row r="432" spans="1:9" x14ac:dyDescent="0.25">
      <c r="A432" s="223"/>
      <c r="B432" s="223"/>
      <c r="C432" s="223"/>
      <c r="D432" s="223"/>
      <c r="E432" s="223"/>
      <c r="F432" s="224"/>
      <c r="G432" s="224"/>
      <c r="H432" s="890"/>
      <c r="I432" s="890"/>
    </row>
    <row r="433" spans="1:9" x14ac:dyDescent="0.25">
      <c r="A433" s="223"/>
      <c r="B433" s="223"/>
      <c r="C433" s="223"/>
      <c r="D433" s="223"/>
      <c r="E433" s="223"/>
      <c r="F433" s="224"/>
      <c r="G433" s="224"/>
      <c r="H433" s="890"/>
      <c r="I433" s="890"/>
    </row>
    <row r="434" spans="1:9" x14ac:dyDescent="0.25">
      <c r="A434" s="223"/>
      <c r="B434" s="223"/>
      <c r="C434" s="223"/>
      <c r="D434" s="223"/>
      <c r="E434" s="223"/>
      <c r="F434" s="224"/>
      <c r="G434" s="224"/>
      <c r="H434" s="890"/>
      <c r="I434" s="890"/>
    </row>
    <row r="435" spans="1:9" x14ac:dyDescent="0.25">
      <c r="A435" s="223"/>
      <c r="B435" s="223"/>
      <c r="C435" s="223"/>
      <c r="D435" s="223"/>
      <c r="E435" s="223"/>
      <c r="F435" s="224"/>
      <c r="G435" s="224"/>
      <c r="H435" s="890"/>
      <c r="I435" s="890"/>
    </row>
    <row r="436" spans="1:9" x14ac:dyDescent="0.25">
      <c r="A436" s="223"/>
      <c r="B436" s="223"/>
      <c r="C436" s="223"/>
      <c r="D436" s="223"/>
      <c r="E436" s="223"/>
      <c r="F436" s="224"/>
      <c r="G436" s="224"/>
      <c r="H436" s="890"/>
      <c r="I436" s="890"/>
    </row>
    <row r="437" spans="1:9" x14ac:dyDescent="0.25">
      <c r="A437" s="223"/>
      <c r="B437" s="223"/>
      <c r="C437" s="223"/>
      <c r="D437" s="223"/>
      <c r="E437" s="223"/>
      <c r="F437" s="224"/>
      <c r="G437" s="224"/>
      <c r="H437" s="890"/>
      <c r="I437" s="890"/>
    </row>
    <row r="438" spans="1:9" x14ac:dyDescent="0.25">
      <c r="A438" s="223"/>
      <c r="B438" s="223"/>
      <c r="C438" s="223"/>
      <c r="D438" s="223"/>
      <c r="E438" s="223"/>
      <c r="F438" s="224"/>
      <c r="G438" s="224"/>
      <c r="H438" s="890"/>
      <c r="I438" s="890"/>
    </row>
    <row r="439" spans="1:9" x14ac:dyDescent="0.25">
      <c r="A439" s="223"/>
      <c r="B439" s="223"/>
      <c r="C439" s="223"/>
      <c r="D439" s="223"/>
      <c r="E439" s="223"/>
      <c r="F439" s="224"/>
      <c r="G439" s="224"/>
      <c r="H439" s="890"/>
      <c r="I439" s="890"/>
    </row>
    <row r="440" spans="1:9" x14ac:dyDescent="0.25">
      <c r="A440" s="223"/>
      <c r="B440" s="223"/>
      <c r="C440" s="223"/>
      <c r="D440" s="223"/>
      <c r="E440" s="223"/>
      <c r="F440" s="224"/>
      <c r="G440" s="224"/>
      <c r="H440" s="890"/>
      <c r="I440" s="890"/>
    </row>
    <row r="441" spans="1:9" x14ac:dyDescent="0.25">
      <c r="A441" s="223"/>
      <c r="B441" s="223"/>
      <c r="C441" s="223"/>
      <c r="D441" s="223"/>
      <c r="E441" s="223"/>
      <c r="F441" s="224"/>
      <c r="G441" s="224"/>
      <c r="H441" s="890"/>
      <c r="I441" s="890"/>
    </row>
    <row r="442" spans="1:9" x14ac:dyDescent="0.25">
      <c r="A442" s="223"/>
      <c r="B442" s="223"/>
      <c r="C442" s="223"/>
      <c r="D442" s="223"/>
      <c r="E442" s="223"/>
      <c r="F442" s="224"/>
      <c r="G442" s="224"/>
      <c r="H442" s="890"/>
      <c r="I442" s="890"/>
    </row>
    <row r="443" spans="1:9" x14ac:dyDescent="0.25">
      <c r="A443" s="223"/>
      <c r="B443" s="223"/>
      <c r="C443" s="223"/>
      <c r="D443" s="223"/>
      <c r="E443" s="223"/>
      <c r="F443" s="224"/>
      <c r="G443" s="224"/>
      <c r="H443" s="890"/>
      <c r="I443" s="890"/>
    </row>
    <row r="444" spans="1:9" x14ac:dyDescent="0.25">
      <c r="A444" s="223"/>
      <c r="B444" s="223"/>
      <c r="C444" s="223"/>
      <c r="D444" s="223"/>
      <c r="E444" s="223"/>
      <c r="F444" s="224"/>
      <c r="G444" s="224"/>
      <c r="H444" s="890"/>
      <c r="I444" s="890"/>
    </row>
    <row r="445" spans="1:9" x14ac:dyDescent="0.25">
      <c r="A445" s="223"/>
      <c r="B445" s="223"/>
      <c r="C445" s="223"/>
      <c r="D445" s="223"/>
      <c r="E445" s="223"/>
      <c r="F445" s="224"/>
      <c r="G445" s="224"/>
      <c r="H445" s="890"/>
      <c r="I445" s="890"/>
    </row>
    <row r="446" spans="1:9" x14ac:dyDescent="0.25">
      <c r="A446" s="223"/>
      <c r="B446" s="223"/>
      <c r="C446" s="223"/>
      <c r="D446" s="223"/>
      <c r="E446" s="223"/>
      <c r="F446" s="224"/>
      <c r="G446" s="224"/>
      <c r="H446" s="890"/>
      <c r="I446" s="890"/>
    </row>
    <row r="447" spans="1:9" x14ac:dyDescent="0.25">
      <c r="A447" s="223"/>
      <c r="B447" s="223"/>
      <c r="C447" s="223"/>
      <c r="D447" s="223"/>
      <c r="E447" s="223"/>
      <c r="F447" s="224"/>
      <c r="G447" s="224"/>
      <c r="H447" s="890"/>
      <c r="I447" s="890"/>
    </row>
    <row r="448" spans="1:9" x14ac:dyDescent="0.25">
      <c r="A448" s="223"/>
      <c r="B448" s="223"/>
      <c r="C448" s="223"/>
      <c r="D448" s="223"/>
      <c r="E448" s="223"/>
      <c r="F448" s="224"/>
      <c r="G448" s="224"/>
      <c r="H448" s="890"/>
      <c r="I448" s="890"/>
    </row>
    <row r="449" spans="1:9" x14ac:dyDescent="0.25">
      <c r="A449" s="223"/>
      <c r="B449" s="223"/>
      <c r="C449" s="223"/>
      <c r="D449" s="223"/>
      <c r="E449" s="223"/>
      <c r="F449" s="224"/>
      <c r="G449" s="224"/>
      <c r="H449" s="890"/>
      <c r="I449" s="890"/>
    </row>
    <row r="450" spans="1:9" x14ac:dyDescent="0.25">
      <c r="A450" s="223"/>
      <c r="B450" s="223"/>
      <c r="C450" s="223"/>
      <c r="D450" s="223"/>
      <c r="E450" s="223"/>
      <c r="F450" s="224"/>
      <c r="G450" s="224"/>
      <c r="H450" s="890"/>
      <c r="I450" s="890"/>
    </row>
    <row r="451" spans="1:9" x14ac:dyDescent="0.25">
      <c r="A451" s="223"/>
      <c r="B451" s="223"/>
      <c r="C451" s="223"/>
      <c r="D451" s="223"/>
      <c r="E451" s="223"/>
      <c r="F451" s="224"/>
      <c r="G451" s="224"/>
      <c r="H451" s="890"/>
      <c r="I451" s="890"/>
    </row>
    <row r="452" spans="1:9" x14ac:dyDescent="0.25">
      <c r="A452" s="223"/>
      <c r="B452" s="223"/>
      <c r="C452" s="223"/>
      <c r="D452" s="223"/>
      <c r="E452" s="223"/>
      <c r="F452" s="224"/>
      <c r="G452" s="224"/>
      <c r="H452" s="890"/>
      <c r="I452" s="890"/>
    </row>
    <row r="453" spans="1:9" x14ac:dyDescent="0.25">
      <c r="A453" s="223"/>
      <c r="B453" s="223"/>
      <c r="C453" s="223"/>
      <c r="D453" s="223"/>
      <c r="E453" s="223"/>
      <c r="F453" s="224"/>
      <c r="G453" s="224"/>
      <c r="H453" s="890"/>
      <c r="I453" s="890"/>
    </row>
    <row r="454" spans="1:9" x14ac:dyDescent="0.25">
      <c r="A454" s="223"/>
      <c r="B454" s="223"/>
      <c r="C454" s="223"/>
      <c r="D454" s="223"/>
      <c r="E454" s="223"/>
      <c r="F454" s="224"/>
      <c r="G454" s="224"/>
      <c r="H454" s="890"/>
      <c r="I454" s="890"/>
    </row>
    <row r="455" spans="1:9" x14ac:dyDescent="0.25">
      <c r="A455" s="223"/>
      <c r="B455" s="223"/>
      <c r="C455" s="223"/>
      <c r="D455" s="223"/>
      <c r="E455" s="223"/>
      <c r="F455" s="224"/>
      <c r="G455" s="224"/>
      <c r="H455" s="890"/>
      <c r="I455" s="890"/>
    </row>
    <row r="456" spans="1:9" x14ac:dyDescent="0.25">
      <c r="A456" s="223"/>
      <c r="B456" s="223"/>
      <c r="C456" s="223"/>
      <c r="D456" s="223"/>
      <c r="E456" s="223"/>
      <c r="F456" s="224"/>
      <c r="G456" s="224"/>
      <c r="H456" s="890"/>
      <c r="I456" s="890"/>
    </row>
    <row r="457" spans="1:9" x14ac:dyDescent="0.25">
      <c r="A457" s="223"/>
      <c r="B457" s="223"/>
      <c r="C457" s="223"/>
      <c r="D457" s="223"/>
      <c r="E457" s="223"/>
      <c r="F457" s="224"/>
      <c r="G457" s="224"/>
      <c r="H457" s="890"/>
      <c r="I457" s="890"/>
    </row>
    <row r="458" spans="1:9" x14ac:dyDescent="0.25">
      <c r="A458" s="223"/>
      <c r="B458" s="223"/>
      <c r="C458" s="223"/>
      <c r="D458" s="223"/>
      <c r="E458" s="223"/>
      <c r="F458" s="224"/>
      <c r="G458" s="224"/>
      <c r="H458" s="890"/>
      <c r="I458" s="890"/>
    </row>
    <row r="459" spans="1:9" x14ac:dyDescent="0.25">
      <c r="A459" s="223"/>
      <c r="B459" s="223"/>
      <c r="C459" s="223"/>
      <c r="D459" s="223"/>
      <c r="E459" s="223"/>
      <c r="F459" s="224"/>
      <c r="G459" s="224"/>
      <c r="H459" s="890"/>
      <c r="I459" s="890"/>
    </row>
    <row r="460" spans="1:9" x14ac:dyDescent="0.25">
      <c r="A460" s="223"/>
      <c r="B460" s="223"/>
      <c r="C460" s="223"/>
      <c r="D460" s="223"/>
      <c r="E460" s="223"/>
      <c r="F460" s="224"/>
      <c r="G460" s="224"/>
      <c r="H460" s="890"/>
      <c r="I460" s="890"/>
    </row>
    <row r="461" spans="1:9" x14ac:dyDescent="0.25">
      <c r="A461" s="223"/>
      <c r="B461" s="223"/>
      <c r="C461" s="223"/>
      <c r="D461" s="223"/>
      <c r="E461" s="223"/>
      <c r="F461" s="224"/>
      <c r="G461" s="224"/>
      <c r="H461" s="890"/>
      <c r="I461" s="890"/>
    </row>
    <row r="462" spans="1:9" x14ac:dyDescent="0.25">
      <c r="A462" s="223"/>
      <c r="B462" s="223"/>
      <c r="C462" s="223"/>
      <c r="D462" s="223"/>
      <c r="E462" s="223"/>
      <c r="F462" s="224"/>
      <c r="G462" s="224"/>
      <c r="H462" s="890"/>
      <c r="I462" s="890"/>
    </row>
    <row r="463" spans="1:9" x14ac:dyDescent="0.25">
      <c r="A463" s="223"/>
      <c r="B463" s="223"/>
      <c r="C463" s="223"/>
      <c r="D463" s="223"/>
      <c r="E463" s="223"/>
      <c r="F463" s="224"/>
      <c r="G463" s="224"/>
      <c r="H463" s="890"/>
      <c r="I463" s="890"/>
    </row>
    <row r="464" spans="1:9" x14ac:dyDescent="0.25">
      <c r="A464" s="223"/>
      <c r="B464" s="223"/>
      <c r="C464" s="223"/>
      <c r="D464" s="223"/>
      <c r="E464" s="223"/>
      <c r="F464" s="224"/>
      <c r="G464" s="224"/>
      <c r="H464" s="890"/>
      <c r="I464" s="890"/>
    </row>
    <row r="465" spans="1:9" x14ac:dyDescent="0.25">
      <c r="A465" s="223"/>
      <c r="B465" s="223"/>
      <c r="C465" s="223"/>
      <c r="D465" s="223"/>
      <c r="E465" s="223"/>
      <c r="F465" s="224"/>
      <c r="G465" s="224"/>
      <c r="H465" s="890"/>
      <c r="I465" s="890"/>
    </row>
    <row r="466" spans="1:9" x14ac:dyDescent="0.25">
      <c r="A466" s="223"/>
      <c r="B466" s="223"/>
      <c r="C466" s="223"/>
      <c r="D466" s="223"/>
      <c r="E466" s="223"/>
      <c r="F466" s="224"/>
      <c r="G466" s="224"/>
      <c r="H466" s="890"/>
      <c r="I466" s="890"/>
    </row>
    <row r="467" spans="1:9" x14ac:dyDescent="0.25">
      <c r="A467" s="223"/>
      <c r="B467" s="223"/>
      <c r="C467" s="223"/>
      <c r="D467" s="223"/>
      <c r="E467" s="223"/>
      <c r="F467" s="224"/>
      <c r="G467" s="224"/>
      <c r="H467" s="890"/>
      <c r="I467" s="890"/>
    </row>
    <row r="468" spans="1:9" x14ac:dyDescent="0.25">
      <c r="A468" s="223"/>
      <c r="B468" s="223"/>
      <c r="C468" s="223"/>
      <c r="D468" s="223"/>
      <c r="E468" s="223"/>
      <c r="F468" s="224"/>
      <c r="G468" s="224"/>
      <c r="H468" s="890"/>
      <c r="I468" s="890"/>
    </row>
    <row r="469" spans="1:9" x14ac:dyDescent="0.25">
      <c r="A469" s="223"/>
      <c r="B469" s="223"/>
      <c r="C469" s="223"/>
      <c r="D469" s="223"/>
      <c r="E469" s="223"/>
      <c r="F469" s="224"/>
      <c r="G469" s="224"/>
      <c r="H469" s="890"/>
      <c r="I469" s="890"/>
    </row>
    <row r="470" spans="1:9" x14ac:dyDescent="0.25">
      <c r="A470" s="223"/>
      <c r="B470" s="223"/>
      <c r="C470" s="223"/>
      <c r="D470" s="223"/>
      <c r="E470" s="223"/>
      <c r="F470" s="224"/>
      <c r="G470" s="224"/>
      <c r="H470" s="890"/>
      <c r="I470" s="890"/>
    </row>
    <row r="471" spans="1:9" x14ac:dyDescent="0.25">
      <c r="A471" s="223"/>
      <c r="B471" s="223"/>
      <c r="C471" s="223"/>
      <c r="D471" s="223"/>
      <c r="E471" s="223"/>
      <c r="F471" s="224"/>
      <c r="G471" s="224"/>
      <c r="H471" s="890"/>
      <c r="I471" s="890"/>
    </row>
    <row r="472" spans="1:9" x14ac:dyDescent="0.25">
      <c r="A472" s="223"/>
      <c r="B472" s="223"/>
      <c r="C472" s="223"/>
      <c r="D472" s="223"/>
      <c r="E472" s="223"/>
      <c r="F472" s="224"/>
      <c r="G472" s="224"/>
      <c r="H472" s="890"/>
      <c r="I472" s="890"/>
    </row>
    <row r="473" spans="1:9" x14ac:dyDescent="0.25">
      <c r="A473" s="223"/>
      <c r="B473" s="223"/>
      <c r="C473" s="223"/>
      <c r="D473" s="223"/>
      <c r="E473" s="223"/>
      <c r="F473" s="224"/>
      <c r="G473" s="224"/>
      <c r="H473" s="890"/>
      <c r="I473" s="890"/>
    </row>
    <row r="474" spans="1:9" x14ac:dyDescent="0.25">
      <c r="A474" s="223"/>
      <c r="B474" s="223"/>
      <c r="C474" s="223"/>
      <c r="D474" s="223"/>
      <c r="E474" s="223"/>
      <c r="F474" s="224"/>
      <c r="G474" s="224"/>
      <c r="H474" s="890"/>
      <c r="I474" s="890"/>
    </row>
    <row r="475" spans="1:9" x14ac:dyDescent="0.25">
      <c r="A475" s="223"/>
      <c r="B475" s="223"/>
      <c r="C475" s="223"/>
      <c r="D475" s="223"/>
      <c r="E475" s="223"/>
      <c r="F475" s="224"/>
      <c r="G475" s="224"/>
      <c r="H475" s="890"/>
      <c r="I475" s="890"/>
    </row>
    <row r="476" spans="1:9" x14ac:dyDescent="0.25">
      <c r="A476" s="223"/>
      <c r="B476" s="223"/>
      <c r="C476" s="223"/>
      <c r="D476" s="223"/>
      <c r="E476" s="223"/>
      <c r="F476" s="224"/>
      <c r="G476" s="224"/>
      <c r="H476" s="890"/>
      <c r="I476" s="890"/>
    </row>
    <row r="477" spans="1:9" x14ac:dyDescent="0.25">
      <c r="A477" s="223"/>
      <c r="B477" s="223"/>
      <c r="C477" s="223"/>
      <c r="D477" s="223"/>
      <c r="E477" s="223"/>
      <c r="F477" s="224"/>
      <c r="G477" s="224"/>
      <c r="H477" s="890"/>
      <c r="I477" s="890"/>
    </row>
    <row r="478" spans="1:9" x14ac:dyDescent="0.25">
      <c r="A478" s="223"/>
      <c r="B478" s="223"/>
      <c r="C478" s="223"/>
      <c r="D478" s="223"/>
      <c r="E478" s="223"/>
      <c r="F478" s="224"/>
      <c r="G478" s="224"/>
      <c r="H478" s="890"/>
      <c r="I478" s="890"/>
    </row>
    <row r="479" spans="1:9" x14ac:dyDescent="0.25">
      <c r="A479" s="223"/>
      <c r="B479" s="223"/>
      <c r="C479" s="223"/>
      <c r="D479" s="223"/>
      <c r="E479" s="223"/>
      <c r="F479" s="224"/>
      <c r="G479" s="224"/>
      <c r="H479" s="890"/>
      <c r="I479" s="890"/>
    </row>
    <row r="480" spans="1:9" x14ac:dyDescent="0.25">
      <c r="A480" s="223"/>
      <c r="B480" s="223"/>
      <c r="C480" s="223"/>
      <c r="D480" s="223"/>
      <c r="E480" s="223"/>
      <c r="F480" s="224"/>
      <c r="G480" s="224"/>
      <c r="H480" s="890"/>
      <c r="I480" s="890"/>
    </row>
    <row r="481" spans="1:9" x14ac:dyDescent="0.25">
      <c r="A481" s="223"/>
      <c r="B481" s="223"/>
      <c r="C481" s="223"/>
      <c r="D481" s="223"/>
      <c r="E481" s="223"/>
      <c r="F481" s="224"/>
      <c r="G481" s="224"/>
      <c r="H481" s="890"/>
      <c r="I481" s="890"/>
    </row>
    <row r="482" spans="1:9" x14ac:dyDescent="0.25">
      <c r="A482" s="223"/>
      <c r="B482" s="223"/>
      <c r="C482" s="223"/>
      <c r="D482" s="223"/>
      <c r="E482" s="223"/>
      <c r="F482" s="224"/>
      <c r="G482" s="224"/>
      <c r="H482" s="890"/>
      <c r="I482" s="890"/>
    </row>
    <row r="483" spans="1:9" x14ac:dyDescent="0.25">
      <c r="A483" s="223"/>
      <c r="B483" s="223"/>
      <c r="C483" s="223"/>
      <c r="D483" s="223"/>
      <c r="E483" s="223"/>
      <c r="F483" s="224"/>
      <c r="G483" s="224"/>
      <c r="H483" s="890"/>
      <c r="I483" s="890"/>
    </row>
    <row r="484" spans="1:9" x14ac:dyDescent="0.25">
      <c r="A484" s="223"/>
      <c r="B484" s="223"/>
      <c r="C484" s="223"/>
      <c r="D484" s="223"/>
      <c r="E484" s="223"/>
      <c r="F484" s="224"/>
      <c r="G484" s="224"/>
      <c r="H484" s="890"/>
      <c r="I484" s="890"/>
    </row>
    <row r="485" spans="1:9" x14ac:dyDescent="0.25">
      <c r="A485" s="223"/>
      <c r="B485" s="223"/>
      <c r="C485" s="223"/>
      <c r="D485" s="223"/>
      <c r="E485" s="223"/>
      <c r="F485" s="224"/>
      <c r="G485" s="224"/>
      <c r="H485" s="890"/>
      <c r="I485" s="890"/>
    </row>
    <row r="486" spans="1:9" x14ac:dyDescent="0.25">
      <c r="A486" s="223"/>
      <c r="B486" s="223"/>
      <c r="C486" s="223"/>
      <c r="D486" s="223"/>
      <c r="E486" s="223"/>
      <c r="F486" s="224"/>
      <c r="G486" s="224"/>
      <c r="H486" s="890"/>
      <c r="I486" s="890"/>
    </row>
    <row r="487" spans="1:9" x14ac:dyDescent="0.25">
      <c r="A487" s="223"/>
      <c r="B487" s="223"/>
      <c r="C487" s="223"/>
      <c r="D487" s="223"/>
      <c r="E487" s="223"/>
      <c r="F487" s="224"/>
      <c r="G487" s="224"/>
      <c r="H487" s="890"/>
      <c r="I487" s="890"/>
    </row>
    <row r="488" spans="1:9" x14ac:dyDescent="0.25">
      <c r="A488" s="223"/>
      <c r="B488" s="223"/>
      <c r="C488" s="223"/>
      <c r="D488" s="223"/>
      <c r="E488" s="223"/>
      <c r="F488" s="224"/>
      <c r="G488" s="224"/>
      <c r="H488" s="890"/>
      <c r="I488" s="890"/>
    </row>
    <row r="489" spans="1:9" x14ac:dyDescent="0.25">
      <c r="A489" s="223"/>
      <c r="B489" s="223"/>
      <c r="C489" s="223"/>
      <c r="D489" s="223"/>
      <c r="E489" s="223"/>
      <c r="F489" s="224"/>
      <c r="G489" s="224"/>
      <c r="H489" s="890"/>
      <c r="I489" s="890"/>
    </row>
    <row r="490" spans="1:9" x14ac:dyDescent="0.25">
      <c r="A490" s="223"/>
      <c r="B490" s="223"/>
      <c r="C490" s="223"/>
      <c r="D490" s="223"/>
      <c r="E490" s="223"/>
      <c r="F490" s="224"/>
      <c r="G490" s="224"/>
      <c r="H490" s="890"/>
      <c r="I490" s="890"/>
    </row>
    <row r="491" spans="1:9" x14ac:dyDescent="0.25">
      <c r="A491" s="223"/>
      <c r="B491" s="223"/>
      <c r="C491" s="223"/>
      <c r="D491" s="223"/>
      <c r="E491" s="223"/>
      <c r="F491" s="224"/>
      <c r="G491" s="224"/>
      <c r="H491" s="890"/>
      <c r="I491" s="890"/>
    </row>
    <row r="492" spans="1:9" x14ac:dyDescent="0.25">
      <c r="A492" s="223"/>
      <c r="B492" s="223"/>
      <c r="C492" s="223"/>
      <c r="D492" s="223"/>
      <c r="E492" s="223"/>
      <c r="F492" s="224"/>
      <c r="G492" s="224"/>
      <c r="H492" s="890"/>
      <c r="I492" s="890"/>
    </row>
    <row r="493" spans="1:9" x14ac:dyDescent="0.25">
      <c r="A493" s="223"/>
      <c r="B493" s="223"/>
      <c r="C493" s="223"/>
      <c r="D493" s="223"/>
      <c r="E493" s="223"/>
      <c r="F493" s="224"/>
      <c r="G493" s="224"/>
      <c r="H493" s="890"/>
      <c r="I493" s="890"/>
    </row>
    <row r="494" spans="1:9" x14ac:dyDescent="0.25">
      <c r="A494" s="223"/>
      <c r="B494" s="223"/>
      <c r="C494" s="223"/>
      <c r="D494" s="223"/>
      <c r="E494" s="223"/>
      <c r="F494" s="224"/>
      <c r="G494" s="224"/>
      <c r="H494" s="890"/>
      <c r="I494" s="890"/>
    </row>
    <row r="495" spans="1:9" x14ac:dyDescent="0.25">
      <c r="A495" s="223"/>
      <c r="B495" s="223"/>
      <c r="C495" s="223"/>
      <c r="D495" s="223"/>
      <c r="E495" s="223"/>
      <c r="F495" s="224"/>
      <c r="G495" s="224"/>
      <c r="H495" s="890"/>
      <c r="I495" s="890"/>
    </row>
    <row r="496" spans="1:9" x14ac:dyDescent="0.25">
      <c r="A496" s="223"/>
      <c r="B496" s="223"/>
      <c r="C496" s="223"/>
      <c r="D496" s="223"/>
      <c r="E496" s="223"/>
      <c r="F496" s="224"/>
      <c r="G496" s="224"/>
      <c r="H496" s="890"/>
      <c r="I496" s="890"/>
    </row>
    <row r="497" spans="1:9" x14ac:dyDescent="0.25">
      <c r="A497" s="223"/>
      <c r="B497" s="223"/>
      <c r="C497" s="223"/>
      <c r="D497" s="223"/>
      <c r="E497" s="223"/>
      <c r="F497" s="224"/>
      <c r="G497" s="224"/>
      <c r="H497" s="890"/>
      <c r="I497" s="890"/>
    </row>
    <row r="498" spans="1:9" x14ac:dyDescent="0.25">
      <c r="A498" s="223"/>
      <c r="B498" s="223"/>
      <c r="C498" s="223"/>
      <c r="D498" s="223"/>
      <c r="E498" s="223"/>
      <c r="F498" s="224"/>
      <c r="G498" s="224"/>
      <c r="H498" s="890"/>
      <c r="I498" s="890"/>
    </row>
    <row r="499" spans="1:9" x14ac:dyDescent="0.25">
      <c r="A499" s="223"/>
      <c r="B499" s="223"/>
      <c r="C499" s="223"/>
      <c r="D499" s="223"/>
      <c r="E499" s="223"/>
      <c r="F499" s="224"/>
      <c r="G499" s="224"/>
      <c r="H499" s="890"/>
      <c r="I499" s="890"/>
    </row>
    <row r="500" spans="1:9" x14ac:dyDescent="0.25">
      <c r="A500" s="223"/>
      <c r="B500" s="223"/>
      <c r="C500" s="223"/>
      <c r="D500" s="223"/>
      <c r="E500" s="223"/>
      <c r="F500" s="224"/>
      <c r="G500" s="224"/>
      <c r="H500" s="890"/>
      <c r="I500" s="890"/>
    </row>
    <row r="501" spans="1:9" x14ac:dyDescent="0.25">
      <c r="A501" s="223"/>
      <c r="B501" s="223"/>
      <c r="C501" s="223"/>
      <c r="D501" s="223"/>
      <c r="E501" s="223"/>
      <c r="F501" s="224"/>
      <c r="G501" s="224"/>
      <c r="H501" s="890"/>
      <c r="I501" s="890"/>
    </row>
    <row r="502" spans="1:9" x14ac:dyDescent="0.25">
      <c r="A502" s="223"/>
      <c r="B502" s="223"/>
      <c r="C502" s="223"/>
      <c r="D502" s="223"/>
      <c r="E502" s="223"/>
      <c r="F502" s="224"/>
      <c r="G502" s="224"/>
      <c r="H502" s="890"/>
      <c r="I502" s="890"/>
    </row>
    <row r="503" spans="1:9" x14ac:dyDescent="0.25">
      <c r="A503" s="223"/>
      <c r="B503" s="223"/>
      <c r="C503" s="223"/>
      <c r="D503" s="223"/>
      <c r="E503" s="223"/>
      <c r="F503" s="224"/>
      <c r="G503" s="224"/>
      <c r="H503" s="890"/>
      <c r="I503" s="890"/>
    </row>
    <row r="504" spans="1:9" x14ac:dyDescent="0.25">
      <c r="A504" s="223"/>
      <c r="B504" s="223"/>
      <c r="C504" s="223"/>
      <c r="D504" s="223"/>
      <c r="E504" s="223"/>
      <c r="F504" s="224"/>
      <c r="G504" s="224"/>
      <c r="H504" s="890"/>
      <c r="I504" s="890"/>
    </row>
    <row r="505" spans="1:9" x14ac:dyDescent="0.25">
      <c r="A505" s="223"/>
      <c r="B505" s="223"/>
      <c r="C505" s="223"/>
      <c r="D505" s="223"/>
      <c r="E505" s="223"/>
      <c r="F505" s="224"/>
      <c r="G505" s="224"/>
      <c r="H505" s="890"/>
      <c r="I505" s="890"/>
    </row>
    <row r="506" spans="1:9" x14ac:dyDescent="0.25">
      <c r="A506" s="223"/>
      <c r="B506" s="223"/>
      <c r="C506" s="223"/>
      <c r="D506" s="223"/>
      <c r="E506" s="223"/>
      <c r="F506" s="224"/>
      <c r="G506" s="224"/>
      <c r="H506" s="890"/>
      <c r="I506" s="890"/>
    </row>
    <row r="507" spans="1:9" x14ac:dyDescent="0.25">
      <c r="A507" s="223"/>
      <c r="B507" s="223"/>
      <c r="C507" s="223"/>
      <c r="D507" s="223"/>
      <c r="E507" s="223"/>
      <c r="F507" s="224"/>
      <c r="G507" s="224"/>
      <c r="H507" s="890"/>
      <c r="I507" s="890"/>
    </row>
    <row r="508" spans="1:9" x14ac:dyDescent="0.25">
      <c r="A508" s="223"/>
      <c r="B508" s="223"/>
      <c r="C508" s="223"/>
      <c r="D508" s="223"/>
      <c r="E508" s="223"/>
      <c r="F508" s="224"/>
      <c r="G508" s="224"/>
      <c r="H508" s="890"/>
      <c r="I508" s="890"/>
    </row>
    <row r="509" spans="1:9" x14ac:dyDescent="0.25">
      <c r="A509" s="223"/>
      <c r="B509" s="223"/>
      <c r="C509" s="223"/>
      <c r="D509" s="223"/>
      <c r="E509" s="223"/>
      <c r="F509" s="224"/>
      <c r="G509" s="224"/>
      <c r="H509" s="890"/>
      <c r="I509" s="890"/>
    </row>
    <row r="510" spans="1:9" x14ac:dyDescent="0.25">
      <c r="A510" s="223"/>
      <c r="B510" s="223"/>
      <c r="C510" s="223"/>
      <c r="D510" s="223"/>
      <c r="E510" s="223"/>
      <c r="F510" s="224"/>
      <c r="G510" s="224"/>
      <c r="H510" s="890"/>
      <c r="I510" s="890"/>
    </row>
    <row r="511" spans="1:9" x14ac:dyDescent="0.25">
      <c r="A511" s="223"/>
      <c r="B511" s="223"/>
      <c r="C511" s="223"/>
      <c r="D511" s="223"/>
      <c r="E511" s="223"/>
      <c r="F511" s="224"/>
      <c r="G511" s="224"/>
      <c r="H511" s="890"/>
      <c r="I511" s="890"/>
    </row>
    <row r="512" spans="1:9" x14ac:dyDescent="0.25">
      <c r="A512" s="223"/>
      <c r="B512" s="223"/>
      <c r="C512" s="223"/>
      <c r="D512" s="223"/>
      <c r="E512" s="223"/>
      <c r="F512" s="224"/>
      <c r="G512" s="224"/>
      <c r="H512" s="890"/>
      <c r="I512" s="890"/>
    </row>
    <row r="513" spans="1:9" x14ac:dyDescent="0.25">
      <c r="A513" s="223"/>
      <c r="B513" s="223"/>
      <c r="C513" s="223"/>
      <c r="D513" s="223"/>
      <c r="E513" s="223"/>
      <c r="F513" s="224"/>
      <c r="G513" s="224"/>
      <c r="H513" s="890"/>
      <c r="I513" s="890"/>
    </row>
    <row r="514" spans="1:9" x14ac:dyDescent="0.25">
      <c r="A514" s="223"/>
      <c r="B514" s="223"/>
      <c r="C514" s="223"/>
      <c r="D514" s="223"/>
      <c r="E514" s="223"/>
      <c r="F514" s="224"/>
      <c r="G514" s="224"/>
      <c r="H514" s="890"/>
      <c r="I514" s="890"/>
    </row>
    <row r="515" spans="1:9" x14ac:dyDescent="0.25">
      <c r="A515" s="223"/>
      <c r="B515" s="223"/>
      <c r="C515" s="223"/>
      <c r="D515" s="223"/>
      <c r="E515" s="223"/>
      <c r="F515" s="224"/>
      <c r="G515" s="224"/>
      <c r="H515" s="890"/>
      <c r="I515" s="890"/>
    </row>
    <row r="516" spans="1:9" x14ac:dyDescent="0.25">
      <c r="A516" s="223"/>
      <c r="B516" s="223"/>
      <c r="C516" s="223"/>
      <c r="D516" s="223"/>
      <c r="E516" s="223"/>
      <c r="F516" s="224"/>
      <c r="G516" s="224"/>
      <c r="H516" s="890"/>
      <c r="I516" s="890"/>
    </row>
    <row r="517" spans="1:9" x14ac:dyDescent="0.25">
      <c r="A517" s="223"/>
      <c r="B517" s="223"/>
      <c r="C517" s="223"/>
      <c r="D517" s="223"/>
      <c r="E517" s="223"/>
      <c r="F517" s="224"/>
      <c r="G517" s="224"/>
      <c r="H517" s="890"/>
      <c r="I517" s="890"/>
    </row>
    <row r="518" spans="1:9" x14ac:dyDescent="0.25">
      <c r="A518" s="223"/>
      <c r="B518" s="223"/>
      <c r="C518" s="223"/>
      <c r="D518" s="223"/>
      <c r="E518" s="223"/>
      <c r="F518" s="224"/>
      <c r="G518" s="224"/>
      <c r="H518" s="890"/>
      <c r="I518" s="890"/>
    </row>
    <row r="519" spans="1:9" x14ac:dyDescent="0.25">
      <c r="A519" s="223"/>
      <c r="B519" s="223"/>
      <c r="C519" s="223"/>
      <c r="D519" s="223"/>
      <c r="E519" s="223"/>
      <c r="F519" s="224"/>
      <c r="G519" s="224"/>
      <c r="H519" s="890"/>
      <c r="I519" s="890"/>
    </row>
    <row r="520" spans="1:9" x14ac:dyDescent="0.25">
      <c r="A520" s="223"/>
      <c r="B520" s="223"/>
      <c r="C520" s="223"/>
      <c r="D520" s="223"/>
      <c r="E520" s="223"/>
      <c r="F520" s="224"/>
      <c r="G520" s="224"/>
      <c r="H520" s="890"/>
      <c r="I520" s="890"/>
    </row>
    <row r="521" spans="1:9" x14ac:dyDescent="0.25">
      <c r="A521" s="223"/>
      <c r="B521" s="223"/>
      <c r="C521" s="223"/>
      <c r="D521" s="223"/>
      <c r="E521" s="223"/>
      <c r="F521" s="224"/>
      <c r="G521" s="224"/>
      <c r="H521" s="890"/>
      <c r="I521" s="890"/>
    </row>
    <row r="522" spans="1:9" x14ac:dyDescent="0.25">
      <c r="A522" s="223"/>
      <c r="B522" s="223"/>
      <c r="C522" s="223"/>
      <c r="D522" s="223"/>
      <c r="E522" s="223"/>
      <c r="F522" s="224"/>
      <c r="G522" s="224"/>
      <c r="H522" s="890"/>
      <c r="I522" s="890"/>
    </row>
    <row r="523" spans="1:9" x14ac:dyDescent="0.25">
      <c r="A523" s="223"/>
      <c r="B523" s="223"/>
      <c r="C523" s="223"/>
      <c r="D523" s="223"/>
      <c r="E523" s="223"/>
      <c r="F523" s="224"/>
      <c r="G523" s="224"/>
      <c r="H523" s="890"/>
      <c r="I523" s="890"/>
    </row>
    <row r="524" spans="1:9" x14ac:dyDescent="0.25">
      <c r="A524" s="223"/>
      <c r="B524" s="223"/>
      <c r="C524" s="223"/>
      <c r="D524" s="223"/>
      <c r="E524" s="223"/>
      <c r="F524" s="224"/>
      <c r="G524" s="224"/>
      <c r="H524" s="890"/>
      <c r="I524" s="890"/>
    </row>
    <row r="525" spans="1:9" x14ac:dyDescent="0.25">
      <c r="A525" s="223"/>
      <c r="B525" s="223"/>
      <c r="C525" s="223"/>
      <c r="D525" s="223"/>
      <c r="E525" s="223"/>
      <c r="F525" s="224"/>
      <c r="G525" s="224"/>
      <c r="H525" s="890"/>
      <c r="I525" s="890"/>
    </row>
    <row r="526" spans="1:9" x14ac:dyDescent="0.25">
      <c r="A526" s="223"/>
      <c r="B526" s="223"/>
      <c r="C526" s="223"/>
      <c r="D526" s="223"/>
      <c r="E526" s="223"/>
      <c r="F526" s="224"/>
      <c r="G526" s="224"/>
      <c r="H526" s="890"/>
      <c r="I526" s="890"/>
    </row>
    <row r="527" spans="1:9" x14ac:dyDescent="0.25">
      <c r="A527" s="223"/>
      <c r="B527" s="223"/>
      <c r="C527" s="223"/>
      <c r="D527" s="223"/>
      <c r="E527" s="223"/>
      <c r="F527" s="224"/>
      <c r="G527" s="224"/>
      <c r="H527" s="890"/>
      <c r="I527" s="890"/>
    </row>
    <row r="528" spans="1:9" x14ac:dyDescent="0.25">
      <c r="A528" s="223"/>
      <c r="B528" s="223"/>
      <c r="C528" s="223"/>
      <c r="D528" s="223"/>
      <c r="E528" s="223"/>
      <c r="F528" s="224"/>
      <c r="G528" s="224"/>
      <c r="H528" s="890"/>
      <c r="I528" s="890"/>
    </row>
    <row r="529" spans="1:9" x14ac:dyDescent="0.25">
      <c r="A529" s="223"/>
      <c r="B529" s="223"/>
      <c r="C529" s="223"/>
      <c r="D529" s="223"/>
      <c r="E529" s="223"/>
      <c r="F529" s="224"/>
      <c r="G529" s="224"/>
      <c r="H529" s="890"/>
      <c r="I529" s="890"/>
    </row>
    <row r="530" spans="1:9" x14ac:dyDescent="0.25">
      <c r="A530" s="223"/>
      <c r="B530" s="223"/>
      <c r="C530" s="223"/>
      <c r="D530" s="223"/>
      <c r="E530" s="223"/>
      <c r="F530" s="224"/>
      <c r="G530" s="224"/>
      <c r="H530" s="890"/>
      <c r="I530" s="890"/>
    </row>
    <row r="531" spans="1:9" x14ac:dyDescent="0.25">
      <c r="A531" s="223"/>
      <c r="B531" s="223"/>
      <c r="C531" s="223"/>
      <c r="D531" s="223"/>
      <c r="E531" s="223"/>
      <c r="F531" s="224"/>
      <c r="G531" s="224"/>
      <c r="H531" s="890"/>
      <c r="I531" s="890"/>
    </row>
    <row r="532" spans="1:9" x14ac:dyDescent="0.25">
      <c r="A532" s="223"/>
      <c r="B532" s="223"/>
      <c r="C532" s="223"/>
      <c r="D532" s="223"/>
      <c r="E532" s="223"/>
      <c r="F532" s="224"/>
      <c r="G532" s="224"/>
      <c r="H532" s="890"/>
      <c r="I532" s="890"/>
    </row>
    <row r="533" spans="1:9" x14ac:dyDescent="0.25">
      <c r="A533" s="223"/>
      <c r="B533" s="223"/>
      <c r="C533" s="223"/>
      <c r="D533" s="223"/>
      <c r="E533" s="223"/>
      <c r="F533" s="224"/>
      <c r="G533" s="224"/>
      <c r="H533" s="890"/>
      <c r="I533" s="890"/>
    </row>
    <row r="534" spans="1:9" x14ac:dyDescent="0.25">
      <c r="A534" s="223"/>
      <c r="B534" s="223"/>
      <c r="C534" s="223"/>
      <c r="D534" s="223"/>
      <c r="E534" s="223"/>
      <c r="F534" s="224"/>
      <c r="G534" s="224"/>
      <c r="H534" s="890"/>
      <c r="I534" s="890"/>
    </row>
    <row r="535" spans="1:9" x14ac:dyDescent="0.25">
      <c r="A535" s="223"/>
      <c r="B535" s="223"/>
      <c r="C535" s="223"/>
      <c r="D535" s="223"/>
      <c r="E535" s="223"/>
      <c r="F535" s="224"/>
      <c r="G535" s="224"/>
      <c r="H535" s="890"/>
      <c r="I535" s="890"/>
    </row>
    <row r="536" spans="1:9" x14ac:dyDescent="0.25">
      <c r="A536" s="223"/>
      <c r="B536" s="223"/>
      <c r="C536" s="223"/>
      <c r="D536" s="223"/>
      <c r="E536" s="223"/>
      <c r="F536" s="224"/>
      <c r="G536" s="224"/>
      <c r="H536" s="890"/>
      <c r="I536" s="890"/>
    </row>
    <row r="537" spans="1:9" x14ac:dyDescent="0.25">
      <c r="A537" s="223"/>
      <c r="B537" s="223"/>
      <c r="C537" s="223"/>
      <c r="D537" s="223"/>
      <c r="E537" s="223"/>
      <c r="F537" s="224"/>
      <c r="G537" s="224"/>
      <c r="H537" s="890"/>
      <c r="I537" s="890"/>
    </row>
    <row r="538" spans="1:9" x14ac:dyDescent="0.25">
      <c r="A538" s="223"/>
      <c r="B538" s="223"/>
      <c r="C538" s="223"/>
      <c r="D538" s="223"/>
      <c r="E538" s="223"/>
      <c r="F538" s="224"/>
      <c r="G538" s="224"/>
      <c r="H538" s="890"/>
      <c r="I538" s="890"/>
    </row>
    <row r="539" spans="1:9" x14ac:dyDescent="0.25">
      <c r="A539" s="223"/>
      <c r="B539" s="223"/>
      <c r="C539" s="223"/>
      <c r="D539" s="223"/>
      <c r="E539" s="223"/>
      <c r="F539" s="224"/>
      <c r="G539" s="224"/>
      <c r="H539" s="890"/>
      <c r="I539" s="890"/>
    </row>
    <row r="540" spans="1:9" x14ac:dyDescent="0.25">
      <c r="A540" s="223"/>
      <c r="B540" s="223"/>
      <c r="C540" s="223"/>
      <c r="D540" s="223"/>
      <c r="E540" s="223"/>
      <c r="F540" s="224"/>
      <c r="G540" s="224"/>
      <c r="H540" s="890"/>
      <c r="I540" s="890"/>
    </row>
    <row r="541" spans="1:9" x14ac:dyDescent="0.25">
      <c r="A541" s="223"/>
      <c r="B541" s="223"/>
      <c r="C541" s="223"/>
      <c r="D541" s="223"/>
      <c r="E541" s="223"/>
      <c r="F541" s="224"/>
      <c r="G541" s="224"/>
      <c r="H541" s="890"/>
      <c r="I541" s="890"/>
    </row>
    <row r="542" spans="1:9" x14ac:dyDescent="0.25">
      <c r="A542" s="223"/>
      <c r="B542" s="223"/>
      <c r="C542" s="223"/>
      <c r="D542" s="223"/>
      <c r="E542" s="223"/>
      <c r="F542" s="224"/>
      <c r="G542" s="224"/>
      <c r="H542" s="890"/>
      <c r="I542" s="890"/>
    </row>
    <row r="543" spans="1:9" x14ac:dyDescent="0.25">
      <c r="A543" s="223"/>
      <c r="B543" s="223"/>
      <c r="C543" s="223"/>
      <c r="D543" s="223"/>
      <c r="E543" s="223"/>
      <c r="F543" s="224"/>
      <c r="G543" s="224"/>
      <c r="H543" s="890"/>
      <c r="I543" s="890"/>
    </row>
    <row r="544" spans="1:9" x14ac:dyDescent="0.25">
      <c r="A544" s="223"/>
      <c r="B544" s="223"/>
      <c r="C544" s="223"/>
      <c r="D544" s="223"/>
      <c r="E544" s="223"/>
      <c r="F544" s="224"/>
      <c r="G544" s="224"/>
      <c r="H544" s="890"/>
      <c r="I544" s="890"/>
    </row>
    <row r="545" spans="1:9" x14ac:dyDescent="0.25">
      <c r="A545" s="223"/>
      <c r="B545" s="223"/>
      <c r="C545" s="223"/>
      <c r="D545" s="223"/>
      <c r="E545" s="223"/>
      <c r="F545" s="224"/>
      <c r="G545" s="224"/>
      <c r="H545" s="890"/>
      <c r="I545" s="890"/>
    </row>
    <row r="546" spans="1:9" x14ac:dyDescent="0.25">
      <c r="A546" s="223"/>
      <c r="B546" s="223"/>
      <c r="C546" s="223"/>
      <c r="D546" s="223"/>
      <c r="E546" s="223"/>
      <c r="F546" s="224"/>
      <c r="G546" s="224"/>
      <c r="H546" s="890"/>
      <c r="I546" s="890"/>
    </row>
    <row r="547" spans="1:9" x14ac:dyDescent="0.25">
      <c r="A547" s="223"/>
      <c r="B547" s="223"/>
      <c r="C547" s="223"/>
      <c r="D547" s="223"/>
      <c r="E547" s="223"/>
      <c r="F547" s="224"/>
      <c r="G547" s="224"/>
      <c r="H547" s="890"/>
      <c r="I547" s="890"/>
    </row>
    <row r="548" spans="1:9" x14ac:dyDescent="0.25">
      <c r="A548" s="223"/>
      <c r="B548" s="223"/>
      <c r="C548" s="223"/>
      <c r="D548" s="223"/>
      <c r="E548" s="223"/>
      <c r="F548" s="224"/>
      <c r="G548" s="224"/>
      <c r="H548" s="890"/>
      <c r="I548" s="890"/>
    </row>
    <row r="549" spans="1:9" x14ac:dyDescent="0.25">
      <c r="A549" s="223"/>
      <c r="B549" s="223"/>
      <c r="C549" s="223"/>
      <c r="D549" s="223"/>
      <c r="E549" s="223"/>
      <c r="F549" s="224"/>
      <c r="G549" s="224"/>
      <c r="H549" s="890"/>
      <c r="I549" s="890"/>
    </row>
    <row r="550" spans="1:9" x14ac:dyDescent="0.25">
      <c r="A550" s="223"/>
      <c r="B550" s="223"/>
      <c r="C550" s="223"/>
      <c r="D550" s="223"/>
      <c r="E550" s="223"/>
      <c r="F550" s="224"/>
      <c r="G550" s="224"/>
      <c r="H550" s="890"/>
      <c r="I550" s="890"/>
    </row>
    <row r="551" spans="1:9" x14ac:dyDescent="0.25">
      <c r="A551" s="223"/>
      <c r="B551" s="223"/>
      <c r="C551" s="223"/>
      <c r="D551" s="223"/>
      <c r="E551" s="223"/>
      <c r="F551" s="224"/>
      <c r="G551" s="224"/>
      <c r="H551" s="890"/>
      <c r="I551" s="890"/>
    </row>
    <row r="552" spans="1:9" x14ac:dyDescent="0.25">
      <c r="A552" s="223"/>
      <c r="B552" s="223"/>
      <c r="C552" s="223"/>
      <c r="D552" s="223"/>
      <c r="E552" s="223"/>
      <c r="F552" s="224"/>
      <c r="G552" s="224"/>
      <c r="H552" s="890"/>
      <c r="I552" s="890"/>
    </row>
    <row r="553" spans="1:9" x14ac:dyDescent="0.25">
      <c r="A553" s="223"/>
      <c r="B553" s="223"/>
      <c r="C553" s="223"/>
      <c r="D553" s="223"/>
      <c r="E553" s="223"/>
      <c r="F553" s="224"/>
      <c r="G553" s="224"/>
      <c r="H553" s="890"/>
      <c r="I553" s="890"/>
    </row>
    <row r="554" spans="1:9" x14ac:dyDescent="0.25">
      <c r="A554" s="223"/>
      <c r="B554" s="223"/>
      <c r="C554" s="223"/>
      <c r="D554" s="223"/>
      <c r="E554" s="223"/>
      <c r="F554" s="224"/>
      <c r="G554" s="224"/>
      <c r="H554" s="890"/>
      <c r="I554" s="890"/>
    </row>
    <row r="555" spans="1:9" x14ac:dyDescent="0.25">
      <c r="A555" s="223"/>
      <c r="B555" s="223"/>
      <c r="C555" s="223"/>
      <c r="D555" s="223"/>
      <c r="E555" s="223"/>
      <c r="F555" s="224"/>
      <c r="G555" s="224"/>
      <c r="H555" s="890"/>
      <c r="I555" s="890"/>
    </row>
    <row r="556" spans="1:9" x14ac:dyDescent="0.25">
      <c r="A556" s="223"/>
      <c r="B556" s="223"/>
      <c r="C556" s="223"/>
      <c r="D556" s="223"/>
      <c r="E556" s="223"/>
      <c r="F556" s="224"/>
      <c r="G556" s="224"/>
      <c r="H556" s="890"/>
      <c r="I556" s="890"/>
    </row>
    <row r="557" spans="1:9" x14ac:dyDescent="0.25">
      <c r="A557" s="223"/>
      <c r="B557" s="223"/>
      <c r="C557" s="223"/>
      <c r="D557" s="223"/>
      <c r="E557" s="223"/>
      <c r="F557" s="224"/>
      <c r="G557" s="224"/>
      <c r="H557" s="890"/>
      <c r="I557" s="890"/>
    </row>
    <row r="558" spans="1:9" x14ac:dyDescent="0.25">
      <c r="A558" s="223"/>
      <c r="B558" s="223"/>
      <c r="C558" s="223"/>
      <c r="D558" s="223"/>
      <c r="E558" s="223"/>
      <c r="F558" s="224"/>
      <c r="G558" s="224"/>
      <c r="H558" s="890"/>
      <c r="I558" s="890"/>
    </row>
    <row r="559" spans="1:9" x14ac:dyDescent="0.25">
      <c r="A559" s="223"/>
      <c r="B559" s="223"/>
      <c r="C559" s="223"/>
      <c r="D559" s="223"/>
      <c r="E559" s="223"/>
      <c r="F559" s="224"/>
      <c r="G559" s="224"/>
      <c r="H559" s="890"/>
      <c r="I559" s="890"/>
    </row>
    <row r="560" spans="1:9" x14ac:dyDescent="0.25">
      <c r="A560" s="223"/>
      <c r="B560" s="223"/>
      <c r="C560" s="223"/>
      <c r="D560" s="223"/>
      <c r="E560" s="223"/>
      <c r="F560" s="224"/>
      <c r="G560" s="224"/>
      <c r="H560" s="890"/>
      <c r="I560" s="890"/>
    </row>
    <row r="561" spans="1:9" x14ac:dyDescent="0.25">
      <c r="A561" s="223"/>
      <c r="B561" s="223"/>
      <c r="C561" s="223"/>
      <c r="D561" s="223"/>
      <c r="E561" s="223"/>
      <c r="F561" s="224"/>
      <c r="G561" s="224"/>
      <c r="H561" s="890"/>
      <c r="I561" s="890"/>
    </row>
    <row r="562" spans="1:9" x14ac:dyDescent="0.25">
      <c r="A562" s="223"/>
      <c r="B562" s="223"/>
      <c r="C562" s="223"/>
      <c r="D562" s="223"/>
      <c r="E562" s="223"/>
      <c r="F562" s="224"/>
      <c r="G562" s="224"/>
      <c r="H562" s="890"/>
      <c r="I562" s="890"/>
    </row>
    <row r="563" spans="1:9" x14ac:dyDescent="0.25">
      <c r="A563" s="223"/>
      <c r="B563" s="223"/>
      <c r="C563" s="223"/>
      <c r="D563" s="223"/>
      <c r="E563" s="223"/>
      <c r="F563" s="224"/>
      <c r="G563" s="224"/>
      <c r="H563" s="890"/>
      <c r="I563" s="890"/>
    </row>
    <row r="564" spans="1:9" x14ac:dyDescent="0.25">
      <c r="A564" s="223"/>
      <c r="B564" s="223"/>
      <c r="C564" s="223"/>
      <c r="D564" s="223"/>
      <c r="E564" s="223"/>
      <c r="F564" s="224"/>
      <c r="G564" s="224"/>
      <c r="H564" s="890"/>
      <c r="I564" s="890"/>
    </row>
    <row r="565" spans="1:9" x14ac:dyDescent="0.25">
      <c r="A565" s="223"/>
      <c r="B565" s="223"/>
      <c r="C565" s="223"/>
      <c r="D565" s="223"/>
      <c r="E565" s="223"/>
      <c r="F565" s="224"/>
      <c r="G565" s="224"/>
      <c r="H565" s="890"/>
      <c r="I565" s="890"/>
    </row>
    <row r="566" spans="1:9" x14ac:dyDescent="0.25">
      <c r="A566" s="223"/>
      <c r="B566" s="223"/>
      <c r="C566" s="223"/>
      <c r="D566" s="223"/>
      <c r="E566" s="223"/>
      <c r="F566" s="224"/>
      <c r="G566" s="224"/>
      <c r="H566" s="890"/>
      <c r="I566" s="890"/>
    </row>
    <row r="567" spans="1:9" x14ac:dyDescent="0.25">
      <c r="A567" s="223"/>
      <c r="B567" s="223"/>
      <c r="C567" s="223"/>
      <c r="D567" s="223"/>
      <c r="E567" s="223"/>
      <c r="F567" s="224"/>
      <c r="G567" s="224"/>
      <c r="H567" s="890"/>
      <c r="I567" s="890"/>
    </row>
    <row r="568" spans="1:9" x14ac:dyDescent="0.25">
      <c r="A568" s="223"/>
      <c r="B568" s="223"/>
      <c r="C568" s="223"/>
      <c r="D568" s="223"/>
      <c r="E568" s="223"/>
      <c r="F568" s="224"/>
      <c r="G568" s="224"/>
      <c r="H568" s="890"/>
      <c r="I568" s="890"/>
    </row>
    <row r="569" spans="1:9" x14ac:dyDescent="0.25">
      <c r="A569" s="223"/>
      <c r="B569" s="223"/>
      <c r="C569" s="223"/>
      <c r="D569" s="223"/>
      <c r="E569" s="223"/>
      <c r="F569" s="224"/>
      <c r="G569" s="224"/>
      <c r="H569" s="890"/>
      <c r="I569" s="890"/>
    </row>
    <row r="570" spans="1:9" x14ac:dyDescent="0.25">
      <c r="A570" s="223"/>
      <c r="B570" s="223"/>
      <c r="C570" s="223"/>
      <c r="D570" s="223"/>
      <c r="E570" s="223"/>
      <c r="F570" s="224"/>
      <c r="G570" s="224"/>
      <c r="H570" s="890"/>
      <c r="I570" s="890"/>
    </row>
    <row r="571" spans="1:9" x14ac:dyDescent="0.25">
      <c r="A571" s="223"/>
      <c r="B571" s="223"/>
      <c r="C571" s="223"/>
      <c r="D571" s="223"/>
      <c r="E571" s="223"/>
      <c r="F571" s="224"/>
      <c r="G571" s="224"/>
      <c r="H571" s="890"/>
      <c r="I571" s="890"/>
    </row>
    <row r="572" spans="1:9" x14ac:dyDescent="0.25">
      <c r="A572" s="223"/>
      <c r="B572" s="223"/>
      <c r="C572" s="223"/>
      <c r="D572" s="223"/>
      <c r="E572" s="223"/>
      <c r="F572" s="224"/>
      <c r="G572" s="224"/>
      <c r="H572" s="890"/>
      <c r="I572" s="890"/>
    </row>
    <row r="573" spans="1:9" x14ac:dyDescent="0.25">
      <c r="A573" s="223"/>
      <c r="B573" s="223"/>
      <c r="C573" s="223"/>
      <c r="D573" s="223"/>
      <c r="E573" s="223"/>
      <c r="F573" s="224"/>
      <c r="G573" s="224"/>
      <c r="H573" s="890"/>
      <c r="I573" s="890"/>
    </row>
    <row r="574" spans="1:9" x14ac:dyDescent="0.25">
      <c r="A574" s="223"/>
      <c r="B574" s="223"/>
      <c r="C574" s="223"/>
      <c r="D574" s="223"/>
      <c r="E574" s="223"/>
      <c r="F574" s="224"/>
      <c r="G574" s="224"/>
      <c r="H574" s="890"/>
      <c r="I574" s="890"/>
    </row>
    <row r="575" spans="1:9" x14ac:dyDescent="0.25">
      <c r="A575" s="223"/>
      <c r="B575" s="223"/>
      <c r="C575" s="223"/>
      <c r="D575" s="223"/>
      <c r="E575" s="223"/>
      <c r="F575" s="224"/>
      <c r="G575" s="224"/>
      <c r="H575" s="890"/>
      <c r="I575" s="890"/>
    </row>
    <row r="576" spans="1:9" x14ac:dyDescent="0.25">
      <c r="A576" s="223"/>
      <c r="B576" s="223"/>
      <c r="C576" s="223"/>
      <c r="D576" s="223"/>
      <c r="E576" s="223"/>
      <c r="F576" s="224"/>
      <c r="G576" s="224"/>
      <c r="H576" s="890"/>
      <c r="I576" s="890"/>
    </row>
    <row r="577" spans="1:9" x14ac:dyDescent="0.25">
      <c r="A577" s="223"/>
      <c r="B577" s="223"/>
      <c r="C577" s="223"/>
      <c r="D577" s="223"/>
      <c r="E577" s="223"/>
      <c r="F577" s="224"/>
      <c r="G577" s="224"/>
      <c r="H577" s="890"/>
      <c r="I577" s="890"/>
    </row>
    <row r="578" spans="1:9" x14ac:dyDescent="0.25">
      <c r="A578" s="223"/>
      <c r="B578" s="223"/>
      <c r="C578" s="223"/>
      <c r="D578" s="223"/>
      <c r="E578" s="223"/>
      <c r="F578" s="224"/>
      <c r="G578" s="224"/>
      <c r="H578" s="890"/>
      <c r="I578" s="890"/>
    </row>
    <row r="579" spans="1:9" x14ac:dyDescent="0.25">
      <c r="A579" s="223"/>
      <c r="B579" s="223"/>
      <c r="C579" s="223"/>
      <c r="D579" s="223"/>
      <c r="E579" s="223"/>
      <c r="F579" s="224"/>
      <c r="G579" s="224"/>
      <c r="H579" s="890"/>
      <c r="I579" s="890"/>
    </row>
    <row r="580" spans="1:9" x14ac:dyDescent="0.25">
      <c r="A580" s="223"/>
      <c r="B580" s="223"/>
      <c r="C580" s="223"/>
      <c r="D580" s="223"/>
      <c r="E580" s="223"/>
      <c r="F580" s="224"/>
      <c r="G580" s="224"/>
      <c r="H580" s="890"/>
      <c r="I580" s="890"/>
    </row>
    <row r="581" spans="1:9" x14ac:dyDescent="0.25">
      <c r="A581" s="223"/>
      <c r="B581" s="223"/>
      <c r="C581" s="223"/>
      <c r="D581" s="223"/>
      <c r="E581" s="223"/>
      <c r="F581" s="224"/>
      <c r="G581" s="224"/>
      <c r="H581" s="890"/>
      <c r="I581" s="890"/>
    </row>
    <row r="582" spans="1:9" x14ac:dyDescent="0.25">
      <c r="A582" s="223"/>
      <c r="B582" s="223"/>
      <c r="C582" s="223"/>
      <c r="D582" s="223"/>
      <c r="E582" s="223"/>
      <c r="F582" s="224"/>
      <c r="G582" s="224"/>
      <c r="H582" s="890"/>
      <c r="I582" s="890"/>
    </row>
    <row r="583" spans="1:9" x14ac:dyDescent="0.25">
      <c r="A583" s="223"/>
      <c r="B583" s="223"/>
      <c r="C583" s="223"/>
      <c r="D583" s="223"/>
      <c r="E583" s="223"/>
      <c r="F583" s="224"/>
      <c r="G583" s="224"/>
      <c r="H583" s="890"/>
      <c r="I583" s="890"/>
    </row>
    <row r="584" spans="1:9" x14ac:dyDescent="0.25">
      <c r="A584" s="223"/>
      <c r="B584" s="223"/>
      <c r="C584" s="223"/>
      <c r="D584" s="223"/>
      <c r="E584" s="223"/>
      <c r="F584" s="224"/>
      <c r="G584" s="224"/>
      <c r="H584" s="890"/>
      <c r="I584" s="890"/>
    </row>
    <row r="585" spans="1:9" x14ac:dyDescent="0.25">
      <c r="A585" s="223"/>
      <c r="B585" s="223"/>
      <c r="C585" s="223"/>
      <c r="D585" s="223"/>
      <c r="E585" s="223"/>
      <c r="F585" s="224"/>
      <c r="G585" s="224"/>
      <c r="H585" s="890"/>
      <c r="I585" s="890"/>
    </row>
    <row r="586" spans="1:9" x14ac:dyDescent="0.25">
      <c r="A586" s="223"/>
      <c r="B586" s="223"/>
      <c r="C586" s="223"/>
      <c r="D586" s="223"/>
      <c r="E586" s="223"/>
      <c r="F586" s="224"/>
      <c r="G586" s="224"/>
      <c r="H586" s="890"/>
      <c r="I586" s="890"/>
    </row>
    <row r="587" spans="1:9" x14ac:dyDescent="0.25">
      <c r="A587" s="223"/>
      <c r="B587" s="223"/>
      <c r="C587" s="223"/>
      <c r="D587" s="223"/>
      <c r="E587" s="223"/>
      <c r="F587" s="224"/>
      <c r="G587" s="224"/>
      <c r="H587" s="890"/>
      <c r="I587" s="890"/>
    </row>
    <row r="588" spans="1:9" x14ac:dyDescent="0.25">
      <c r="A588" s="223"/>
      <c r="B588" s="223"/>
      <c r="C588" s="223"/>
      <c r="D588" s="223"/>
      <c r="E588" s="223"/>
      <c r="F588" s="224"/>
      <c r="G588" s="224"/>
      <c r="H588" s="890"/>
      <c r="I588" s="890"/>
    </row>
    <row r="589" spans="1:9" x14ac:dyDescent="0.25">
      <c r="A589" s="223"/>
      <c r="B589" s="223"/>
      <c r="C589" s="223"/>
      <c r="D589" s="223"/>
      <c r="E589" s="223"/>
      <c r="F589" s="224"/>
      <c r="G589" s="224"/>
      <c r="H589" s="890"/>
      <c r="I589" s="890"/>
    </row>
    <row r="590" spans="1:9" x14ac:dyDescent="0.25">
      <c r="A590" s="223"/>
      <c r="B590" s="223"/>
      <c r="C590" s="223"/>
      <c r="D590" s="223"/>
      <c r="E590" s="223"/>
      <c r="F590" s="224"/>
      <c r="G590" s="224"/>
      <c r="H590" s="890"/>
      <c r="I590" s="890"/>
    </row>
    <row r="591" spans="1:9" x14ac:dyDescent="0.25">
      <c r="A591" s="223"/>
      <c r="B591" s="223"/>
      <c r="C591" s="223"/>
      <c r="D591" s="223"/>
      <c r="E591" s="223"/>
      <c r="F591" s="224"/>
      <c r="G591" s="224"/>
      <c r="H591" s="890"/>
      <c r="I591" s="890"/>
    </row>
    <row r="592" spans="1:9" x14ac:dyDescent="0.25">
      <c r="A592" s="223"/>
      <c r="B592" s="223"/>
      <c r="C592" s="223"/>
      <c r="D592" s="223"/>
      <c r="E592" s="223"/>
      <c r="F592" s="224"/>
      <c r="G592" s="224"/>
      <c r="H592" s="890"/>
      <c r="I592" s="890"/>
    </row>
    <row r="593" spans="1:9" x14ac:dyDescent="0.25">
      <c r="A593" s="223"/>
      <c r="B593" s="223"/>
      <c r="C593" s="223"/>
      <c r="D593" s="223"/>
      <c r="E593" s="223"/>
      <c r="F593" s="224"/>
      <c r="G593" s="224"/>
      <c r="H593" s="890"/>
      <c r="I593" s="890"/>
    </row>
    <row r="594" spans="1:9" x14ac:dyDescent="0.25">
      <c r="A594" s="223"/>
      <c r="B594" s="223"/>
      <c r="C594" s="223"/>
      <c r="D594" s="223"/>
      <c r="E594" s="223"/>
      <c r="F594" s="224"/>
      <c r="G594" s="224"/>
      <c r="H594" s="890"/>
      <c r="I594" s="890"/>
    </row>
    <row r="595" spans="1:9" x14ac:dyDescent="0.25">
      <c r="A595" s="223"/>
      <c r="B595" s="223"/>
      <c r="C595" s="223"/>
      <c r="D595" s="223"/>
      <c r="E595" s="223"/>
      <c r="F595" s="224"/>
      <c r="G595" s="224"/>
      <c r="H595" s="890"/>
      <c r="I595" s="890"/>
    </row>
    <row r="596" spans="1:9" x14ac:dyDescent="0.25">
      <c r="A596" s="223"/>
      <c r="B596" s="223"/>
      <c r="C596" s="223"/>
      <c r="D596" s="223"/>
      <c r="E596" s="223"/>
      <c r="F596" s="224"/>
      <c r="G596" s="224"/>
      <c r="H596" s="890"/>
      <c r="I596" s="890"/>
    </row>
    <row r="597" spans="1:9" x14ac:dyDescent="0.25">
      <c r="A597" s="223"/>
      <c r="B597" s="223"/>
      <c r="C597" s="223"/>
      <c r="D597" s="223"/>
      <c r="E597" s="223"/>
      <c r="F597" s="224"/>
      <c r="G597" s="224"/>
      <c r="H597" s="890"/>
      <c r="I597" s="890"/>
    </row>
    <row r="598" spans="1:9" x14ac:dyDescent="0.25">
      <c r="A598" s="223"/>
      <c r="B598" s="223"/>
      <c r="C598" s="223"/>
      <c r="D598" s="223"/>
      <c r="E598" s="223"/>
      <c r="F598" s="224"/>
      <c r="G598" s="224"/>
      <c r="H598" s="890"/>
      <c r="I598" s="890"/>
    </row>
    <row r="599" spans="1:9" x14ac:dyDescent="0.25">
      <c r="A599" s="223"/>
      <c r="B599" s="223"/>
      <c r="C599" s="223"/>
      <c r="D599" s="223"/>
      <c r="E599" s="223"/>
      <c r="F599" s="224"/>
      <c r="G599" s="224"/>
      <c r="H599" s="890"/>
      <c r="I599" s="890"/>
    </row>
    <row r="600" spans="1:9" x14ac:dyDescent="0.25">
      <c r="A600" s="223"/>
      <c r="B600" s="223"/>
      <c r="C600" s="223"/>
      <c r="D600" s="223"/>
      <c r="E600" s="223"/>
      <c r="F600" s="224"/>
      <c r="G600" s="224"/>
      <c r="H600" s="890"/>
      <c r="I600" s="890"/>
    </row>
    <row r="601" spans="1:9" x14ac:dyDescent="0.25">
      <c r="A601" s="223"/>
      <c r="B601" s="223"/>
      <c r="C601" s="223"/>
      <c r="D601" s="223"/>
      <c r="E601" s="223"/>
      <c r="F601" s="224"/>
      <c r="G601" s="224"/>
      <c r="H601" s="890"/>
      <c r="I601" s="890"/>
    </row>
    <row r="602" spans="1:9" x14ac:dyDescent="0.25">
      <c r="A602" s="223"/>
      <c r="B602" s="223"/>
      <c r="C602" s="223"/>
      <c r="D602" s="223"/>
      <c r="E602" s="223"/>
      <c r="F602" s="224"/>
      <c r="G602" s="224"/>
      <c r="H602" s="890"/>
      <c r="I602" s="890"/>
    </row>
    <row r="603" spans="1:9" x14ac:dyDescent="0.25">
      <c r="A603" s="223"/>
      <c r="B603" s="223"/>
      <c r="C603" s="223"/>
      <c r="D603" s="223"/>
      <c r="E603" s="223"/>
      <c r="F603" s="224"/>
      <c r="G603" s="224"/>
      <c r="H603" s="890"/>
      <c r="I603" s="890"/>
    </row>
    <row r="604" spans="1:9" x14ac:dyDescent="0.25">
      <c r="A604" s="223"/>
      <c r="B604" s="223"/>
      <c r="C604" s="223"/>
      <c r="D604" s="223"/>
      <c r="E604" s="223"/>
      <c r="F604" s="224"/>
      <c r="G604" s="224"/>
      <c r="H604" s="890"/>
      <c r="I604" s="890"/>
    </row>
    <row r="605" spans="1:9" x14ac:dyDescent="0.25">
      <c r="A605" s="223"/>
      <c r="B605" s="223"/>
      <c r="C605" s="223"/>
      <c r="D605" s="223"/>
      <c r="E605" s="223"/>
      <c r="F605" s="224"/>
      <c r="G605" s="224"/>
      <c r="H605" s="890"/>
      <c r="I605" s="890"/>
    </row>
    <row r="606" spans="1:9" x14ac:dyDescent="0.25">
      <c r="A606" s="223"/>
      <c r="B606" s="223"/>
      <c r="C606" s="223"/>
      <c r="D606" s="223"/>
      <c r="E606" s="223"/>
      <c r="F606" s="224"/>
      <c r="G606" s="224"/>
      <c r="H606" s="890"/>
      <c r="I606" s="890"/>
    </row>
    <row r="607" spans="1:9" x14ac:dyDescent="0.25">
      <c r="A607" s="223"/>
      <c r="B607" s="223"/>
      <c r="C607" s="223"/>
      <c r="D607" s="223"/>
      <c r="E607" s="223"/>
      <c r="F607" s="224"/>
      <c r="G607" s="224"/>
      <c r="H607" s="890"/>
      <c r="I607" s="890"/>
    </row>
    <row r="608" spans="1:9" x14ac:dyDescent="0.25">
      <c r="A608" s="223"/>
      <c r="B608" s="223"/>
      <c r="C608" s="223"/>
      <c r="D608" s="223"/>
      <c r="E608" s="223"/>
      <c r="F608" s="224"/>
      <c r="G608" s="224"/>
      <c r="H608" s="890"/>
      <c r="I608" s="890"/>
    </row>
    <row r="609" spans="1:9" x14ac:dyDescent="0.25">
      <c r="A609" s="223"/>
      <c r="B609" s="223"/>
      <c r="C609" s="223"/>
      <c r="D609" s="223"/>
      <c r="E609" s="223"/>
      <c r="F609" s="224"/>
      <c r="G609" s="224"/>
      <c r="H609" s="890"/>
      <c r="I609" s="890"/>
    </row>
    <row r="610" spans="1:9" x14ac:dyDescent="0.25">
      <c r="A610" s="223"/>
      <c r="B610" s="223"/>
      <c r="C610" s="223"/>
      <c r="D610" s="223"/>
      <c r="E610" s="223"/>
      <c r="F610" s="224"/>
      <c r="G610" s="224"/>
      <c r="H610" s="890"/>
      <c r="I610" s="890"/>
    </row>
    <row r="611" spans="1:9" x14ac:dyDescent="0.25">
      <c r="A611" s="223"/>
      <c r="B611" s="223"/>
      <c r="C611" s="223"/>
      <c r="D611" s="223"/>
      <c r="E611" s="223"/>
      <c r="F611" s="224"/>
      <c r="G611" s="224"/>
      <c r="H611" s="890"/>
      <c r="I611" s="890"/>
    </row>
    <row r="612" spans="1:9" x14ac:dyDescent="0.25">
      <c r="A612" s="223"/>
      <c r="B612" s="223"/>
      <c r="C612" s="223"/>
      <c r="D612" s="223"/>
      <c r="E612" s="223"/>
      <c r="F612" s="224"/>
      <c r="G612" s="224"/>
      <c r="H612" s="890"/>
      <c r="I612" s="890"/>
    </row>
    <row r="613" spans="1:9" x14ac:dyDescent="0.25">
      <c r="A613" s="223"/>
      <c r="B613" s="223"/>
      <c r="C613" s="223"/>
      <c r="D613" s="223"/>
      <c r="E613" s="223"/>
      <c r="F613" s="224"/>
      <c r="G613" s="224"/>
      <c r="H613" s="890"/>
      <c r="I613" s="890"/>
    </row>
    <row r="614" spans="1:9" x14ac:dyDescent="0.25">
      <c r="A614" s="223"/>
      <c r="B614" s="223"/>
      <c r="C614" s="223"/>
      <c r="D614" s="223"/>
      <c r="E614" s="223"/>
      <c r="F614" s="224"/>
      <c r="G614" s="224"/>
      <c r="H614" s="890"/>
      <c r="I614" s="890"/>
    </row>
    <row r="615" spans="1:9" x14ac:dyDescent="0.25">
      <c r="A615" s="223"/>
      <c r="B615" s="223"/>
      <c r="C615" s="223"/>
      <c r="D615" s="223"/>
      <c r="E615" s="223"/>
      <c r="F615" s="224"/>
      <c r="G615" s="224"/>
      <c r="H615" s="890"/>
      <c r="I615" s="890"/>
    </row>
    <row r="616" spans="1:9" x14ac:dyDescent="0.25">
      <c r="A616" s="223"/>
      <c r="B616" s="223"/>
      <c r="C616" s="223"/>
      <c r="D616" s="223"/>
      <c r="E616" s="223"/>
      <c r="F616" s="224"/>
      <c r="G616" s="224"/>
      <c r="H616" s="890"/>
      <c r="I616" s="890"/>
    </row>
    <row r="617" spans="1:9" x14ac:dyDescent="0.25">
      <c r="A617" s="223"/>
      <c r="B617" s="223"/>
      <c r="C617" s="223"/>
      <c r="D617" s="223"/>
      <c r="E617" s="223"/>
      <c r="F617" s="224"/>
      <c r="G617" s="224"/>
      <c r="H617" s="890"/>
      <c r="I617" s="890"/>
    </row>
    <row r="618" spans="1:9" x14ac:dyDescent="0.25">
      <c r="A618" s="223"/>
      <c r="B618" s="223"/>
      <c r="C618" s="223"/>
      <c r="D618" s="223"/>
      <c r="E618" s="223"/>
      <c r="F618" s="224"/>
      <c r="G618" s="224"/>
      <c r="H618" s="890"/>
      <c r="I618" s="890"/>
    </row>
    <row r="619" spans="1:9" x14ac:dyDescent="0.25">
      <c r="A619" s="223"/>
      <c r="B619" s="223"/>
      <c r="C619" s="223"/>
      <c r="D619" s="223"/>
      <c r="E619" s="223"/>
      <c r="F619" s="224"/>
      <c r="G619" s="224"/>
      <c r="H619" s="890"/>
      <c r="I619" s="890"/>
    </row>
    <row r="620" spans="1:9" x14ac:dyDescent="0.25">
      <c r="A620" s="223"/>
      <c r="B620" s="223"/>
      <c r="C620" s="223"/>
      <c r="D620" s="223"/>
      <c r="E620" s="223"/>
      <c r="F620" s="224"/>
      <c r="G620" s="224"/>
      <c r="H620" s="890"/>
      <c r="I620" s="890"/>
    </row>
    <row r="621" spans="1:9" x14ac:dyDescent="0.25">
      <c r="A621" s="223"/>
      <c r="B621" s="223"/>
      <c r="C621" s="223"/>
      <c r="D621" s="223"/>
      <c r="E621" s="223"/>
      <c r="F621" s="224"/>
      <c r="G621" s="224"/>
      <c r="H621" s="890"/>
      <c r="I621" s="890"/>
    </row>
    <row r="622" spans="1:9" x14ac:dyDescent="0.25">
      <c r="A622" s="223"/>
      <c r="B622" s="223"/>
      <c r="C622" s="223"/>
      <c r="D622" s="223"/>
      <c r="E622" s="223"/>
      <c r="F622" s="224"/>
      <c r="G622" s="224"/>
      <c r="H622" s="890"/>
      <c r="I622" s="890"/>
    </row>
    <row r="623" spans="1:9" x14ac:dyDescent="0.25">
      <c r="A623" s="223"/>
      <c r="B623" s="223"/>
      <c r="C623" s="223"/>
      <c r="D623" s="223"/>
      <c r="E623" s="223"/>
      <c r="F623" s="224"/>
      <c r="G623" s="224"/>
      <c r="H623" s="890"/>
      <c r="I623" s="890"/>
    </row>
    <row r="624" spans="1:9" x14ac:dyDescent="0.25">
      <c r="A624" s="223"/>
      <c r="B624" s="223"/>
      <c r="C624" s="223"/>
      <c r="D624" s="223"/>
      <c r="E624" s="223"/>
      <c r="F624" s="224"/>
      <c r="G624" s="224"/>
      <c r="H624" s="890"/>
      <c r="I624" s="890"/>
    </row>
    <row r="625" spans="1:9" x14ac:dyDescent="0.25">
      <c r="A625" s="223"/>
      <c r="B625" s="223"/>
      <c r="C625" s="223"/>
      <c r="D625" s="223"/>
      <c r="E625" s="223"/>
      <c r="F625" s="224"/>
      <c r="G625" s="224"/>
      <c r="H625" s="890"/>
      <c r="I625" s="890"/>
    </row>
    <row r="626" spans="1:9" x14ac:dyDescent="0.25">
      <c r="A626" s="223"/>
      <c r="B626" s="223"/>
      <c r="C626" s="223"/>
      <c r="D626" s="223"/>
      <c r="E626" s="223"/>
      <c r="F626" s="224"/>
      <c r="G626" s="224"/>
      <c r="H626" s="890"/>
      <c r="I626" s="890"/>
    </row>
    <row r="627" spans="1:9" x14ac:dyDescent="0.25">
      <c r="A627" s="223"/>
      <c r="B627" s="223"/>
      <c r="C627" s="223"/>
      <c r="D627" s="223"/>
      <c r="E627" s="223"/>
      <c r="F627" s="224"/>
      <c r="G627" s="224"/>
      <c r="H627" s="890"/>
      <c r="I627" s="890"/>
    </row>
    <row r="628" spans="1:9" x14ac:dyDescent="0.25">
      <c r="A628" s="223"/>
      <c r="B628" s="223"/>
      <c r="C628" s="223"/>
      <c r="D628" s="223"/>
      <c r="E628" s="223"/>
      <c r="F628" s="224"/>
      <c r="G628" s="224"/>
      <c r="H628" s="890"/>
      <c r="I628" s="890"/>
    </row>
    <row r="629" spans="1:9" x14ac:dyDescent="0.25">
      <c r="A629" s="223"/>
      <c r="B629" s="223"/>
      <c r="C629" s="223"/>
      <c r="D629" s="223"/>
      <c r="E629" s="223"/>
      <c r="F629" s="224"/>
      <c r="G629" s="224"/>
      <c r="H629" s="890"/>
      <c r="I629" s="890"/>
    </row>
    <row r="630" spans="1:9" x14ac:dyDescent="0.25">
      <c r="A630" s="223"/>
      <c r="B630" s="223"/>
      <c r="C630" s="223"/>
      <c r="D630" s="223"/>
      <c r="E630" s="223"/>
      <c r="F630" s="224"/>
      <c r="G630" s="224"/>
      <c r="H630" s="890"/>
      <c r="I630" s="890"/>
    </row>
    <row r="631" spans="1:9" x14ac:dyDescent="0.25">
      <c r="A631" s="223"/>
      <c r="B631" s="223"/>
      <c r="C631" s="223"/>
      <c r="D631" s="223"/>
      <c r="E631" s="223"/>
      <c r="F631" s="224"/>
      <c r="G631" s="224"/>
      <c r="H631" s="890"/>
      <c r="I631" s="890"/>
    </row>
    <row r="632" spans="1:9" x14ac:dyDescent="0.25">
      <c r="A632" s="223"/>
      <c r="B632" s="223"/>
      <c r="C632" s="223"/>
      <c r="D632" s="223"/>
      <c r="E632" s="223"/>
      <c r="F632" s="224"/>
      <c r="G632" s="224"/>
      <c r="H632" s="890"/>
      <c r="I632" s="890"/>
    </row>
    <row r="633" spans="1:9" x14ac:dyDescent="0.25">
      <c r="A633" s="223"/>
      <c r="B633" s="223"/>
      <c r="C633" s="223"/>
      <c r="D633" s="223"/>
      <c r="E633" s="223"/>
      <c r="F633" s="224"/>
      <c r="G633" s="224"/>
      <c r="H633" s="890"/>
      <c r="I633" s="890"/>
    </row>
    <row r="634" spans="1:9" x14ac:dyDescent="0.25">
      <c r="A634" s="223"/>
      <c r="B634" s="223"/>
      <c r="C634" s="223"/>
      <c r="D634" s="223"/>
      <c r="E634" s="223"/>
      <c r="F634" s="224"/>
      <c r="G634" s="224"/>
      <c r="H634" s="890"/>
      <c r="I634" s="890"/>
    </row>
    <row r="635" spans="1:9" x14ac:dyDescent="0.25">
      <c r="A635" s="223"/>
      <c r="B635" s="223"/>
      <c r="C635" s="223"/>
      <c r="D635" s="223"/>
      <c r="E635" s="223"/>
      <c r="F635" s="224"/>
      <c r="G635" s="224"/>
      <c r="H635" s="890"/>
      <c r="I635" s="890"/>
    </row>
    <row r="636" spans="1:9" x14ac:dyDescent="0.25">
      <c r="A636" s="223"/>
      <c r="B636" s="223"/>
      <c r="C636" s="223"/>
      <c r="D636" s="223"/>
      <c r="E636" s="223"/>
      <c r="F636" s="224"/>
      <c r="G636" s="224"/>
      <c r="H636" s="890"/>
      <c r="I636" s="890"/>
    </row>
    <row r="637" spans="1:9" x14ac:dyDescent="0.25">
      <c r="A637" s="223"/>
      <c r="B637" s="223"/>
      <c r="C637" s="223"/>
      <c r="D637" s="223"/>
      <c r="E637" s="223"/>
      <c r="F637" s="224"/>
      <c r="G637" s="224"/>
      <c r="H637" s="890"/>
      <c r="I637" s="890"/>
    </row>
    <row r="638" spans="1:9" x14ac:dyDescent="0.25">
      <c r="A638" s="223"/>
      <c r="B638" s="223"/>
      <c r="C638" s="223"/>
      <c r="D638" s="223"/>
      <c r="E638" s="223"/>
      <c r="F638" s="224"/>
      <c r="G638" s="224"/>
      <c r="H638" s="890"/>
      <c r="I638" s="890"/>
    </row>
    <row r="639" spans="1:9" x14ac:dyDescent="0.25">
      <c r="A639" s="223"/>
      <c r="B639" s="223"/>
      <c r="C639" s="223"/>
      <c r="D639" s="223"/>
      <c r="E639" s="223"/>
      <c r="F639" s="224"/>
      <c r="G639" s="224"/>
      <c r="H639" s="890"/>
      <c r="I639" s="890"/>
    </row>
    <row r="640" spans="1:9" x14ac:dyDescent="0.25">
      <c r="A640" s="223"/>
      <c r="B640" s="223"/>
      <c r="C640" s="223"/>
      <c r="D640" s="223"/>
      <c r="E640" s="223"/>
      <c r="F640" s="224"/>
      <c r="G640" s="224"/>
      <c r="H640" s="890"/>
      <c r="I640" s="890"/>
    </row>
    <row r="641" spans="1:9" x14ac:dyDescent="0.25">
      <c r="A641" s="223"/>
      <c r="B641" s="223"/>
      <c r="C641" s="223"/>
      <c r="D641" s="223"/>
      <c r="E641" s="223"/>
      <c r="F641" s="224"/>
      <c r="G641" s="224"/>
      <c r="H641" s="890"/>
      <c r="I641" s="890"/>
    </row>
    <row r="642" spans="1:9" x14ac:dyDescent="0.25">
      <c r="A642" s="223"/>
      <c r="B642" s="223"/>
      <c r="C642" s="223"/>
      <c r="D642" s="223"/>
      <c r="E642" s="223"/>
      <c r="F642" s="224"/>
      <c r="G642" s="224"/>
      <c r="H642" s="890"/>
      <c r="I642" s="890"/>
    </row>
    <row r="643" spans="1:9" x14ac:dyDescent="0.25">
      <c r="A643" s="223"/>
      <c r="B643" s="223"/>
      <c r="C643" s="223"/>
      <c r="D643" s="223"/>
      <c r="E643" s="223"/>
      <c r="F643" s="224"/>
      <c r="G643" s="224"/>
      <c r="H643" s="890"/>
      <c r="I643" s="890"/>
    </row>
    <row r="644" spans="1:9" x14ac:dyDescent="0.25">
      <c r="A644" s="223"/>
      <c r="B644" s="223"/>
      <c r="C644" s="223"/>
      <c r="D644" s="223"/>
      <c r="E644" s="223"/>
      <c r="F644" s="224"/>
      <c r="G644" s="224"/>
      <c r="H644" s="890"/>
      <c r="I644" s="890"/>
    </row>
    <row r="645" spans="1:9" x14ac:dyDescent="0.25">
      <c r="A645" s="223"/>
      <c r="B645" s="223"/>
      <c r="C645" s="223"/>
      <c r="D645" s="223"/>
      <c r="E645" s="223"/>
      <c r="F645" s="224"/>
      <c r="G645" s="224"/>
      <c r="H645" s="890"/>
      <c r="I645" s="890"/>
    </row>
    <row r="646" spans="1:9" x14ac:dyDescent="0.25">
      <c r="A646" s="223"/>
      <c r="B646" s="223"/>
      <c r="C646" s="223"/>
      <c r="D646" s="223"/>
      <c r="E646" s="223"/>
      <c r="F646" s="224"/>
      <c r="G646" s="224"/>
      <c r="H646" s="890"/>
      <c r="I646" s="890"/>
    </row>
    <row r="647" spans="1:9" x14ac:dyDescent="0.25">
      <c r="A647" s="223"/>
      <c r="B647" s="223"/>
      <c r="C647" s="223"/>
      <c r="D647" s="223"/>
      <c r="E647" s="223"/>
      <c r="F647" s="224"/>
      <c r="G647" s="224"/>
      <c r="H647" s="890"/>
      <c r="I647" s="890"/>
    </row>
    <row r="648" spans="1:9" x14ac:dyDescent="0.25">
      <c r="A648" s="223"/>
      <c r="B648" s="223"/>
      <c r="C648" s="223"/>
      <c r="D648" s="223"/>
      <c r="E648" s="223"/>
      <c r="F648" s="224"/>
      <c r="G648" s="224"/>
      <c r="H648" s="890"/>
      <c r="I648" s="890"/>
    </row>
    <row r="649" spans="1:9" x14ac:dyDescent="0.25">
      <c r="A649" s="223"/>
      <c r="B649" s="223"/>
      <c r="C649" s="223"/>
      <c r="D649" s="223"/>
      <c r="E649" s="223"/>
      <c r="F649" s="224"/>
      <c r="G649" s="224"/>
      <c r="H649" s="890"/>
      <c r="I649" s="890"/>
    </row>
    <row r="650" spans="1:9" x14ac:dyDescent="0.25">
      <c r="A650" s="223"/>
      <c r="B650" s="223"/>
      <c r="C650" s="223"/>
      <c r="D650" s="223"/>
      <c r="E650" s="223"/>
      <c r="F650" s="224"/>
      <c r="G650" s="224"/>
      <c r="H650" s="890"/>
      <c r="I650" s="890"/>
    </row>
    <row r="651" spans="1:9" x14ac:dyDescent="0.25">
      <c r="A651" s="223"/>
      <c r="B651" s="223"/>
      <c r="C651" s="223"/>
      <c r="D651" s="223"/>
      <c r="E651" s="223"/>
      <c r="F651" s="224"/>
      <c r="G651" s="224"/>
      <c r="H651" s="890"/>
      <c r="I651" s="890"/>
    </row>
    <row r="652" spans="1:9" x14ac:dyDescent="0.25">
      <c r="A652" s="223"/>
      <c r="B652" s="223"/>
      <c r="C652" s="223"/>
      <c r="D652" s="223"/>
      <c r="E652" s="223"/>
      <c r="F652" s="224"/>
      <c r="G652" s="224"/>
      <c r="H652" s="890"/>
      <c r="I652" s="890"/>
    </row>
    <row r="653" spans="1:9" x14ac:dyDescent="0.25">
      <c r="A653" s="223"/>
      <c r="B653" s="223"/>
      <c r="C653" s="223"/>
      <c r="D653" s="223"/>
      <c r="E653" s="223"/>
      <c r="F653" s="224"/>
      <c r="G653" s="224"/>
      <c r="H653" s="890"/>
      <c r="I653" s="890"/>
    </row>
    <row r="654" spans="1:9" x14ac:dyDescent="0.25">
      <c r="A654" s="223"/>
      <c r="B654" s="223"/>
      <c r="C654" s="223"/>
      <c r="D654" s="223"/>
      <c r="E654" s="223"/>
      <c r="F654" s="224"/>
      <c r="G654" s="224"/>
      <c r="H654" s="890"/>
      <c r="I654" s="890"/>
    </row>
    <row r="655" spans="1:9" x14ac:dyDescent="0.25">
      <c r="A655" s="223"/>
      <c r="B655" s="223"/>
      <c r="C655" s="223"/>
      <c r="D655" s="223"/>
      <c r="E655" s="223"/>
      <c r="F655" s="224"/>
      <c r="G655" s="224"/>
      <c r="H655" s="890"/>
      <c r="I655" s="890"/>
    </row>
    <row r="656" spans="1:9" x14ac:dyDescent="0.25">
      <c r="A656" s="223"/>
      <c r="B656" s="223"/>
      <c r="C656" s="223"/>
      <c r="D656" s="223"/>
      <c r="E656" s="223"/>
      <c r="F656" s="224"/>
      <c r="G656" s="224"/>
      <c r="H656" s="890"/>
      <c r="I656" s="890"/>
    </row>
    <row r="657" spans="1:9" x14ac:dyDescent="0.25">
      <c r="A657" s="223"/>
      <c r="B657" s="223"/>
      <c r="C657" s="223"/>
      <c r="D657" s="223"/>
      <c r="E657" s="223"/>
      <c r="F657" s="224"/>
      <c r="G657" s="224"/>
      <c r="H657" s="890"/>
      <c r="I657" s="890"/>
    </row>
    <row r="658" spans="1:9" x14ac:dyDescent="0.25">
      <c r="A658" s="223"/>
      <c r="B658" s="223"/>
      <c r="C658" s="223"/>
      <c r="D658" s="223"/>
      <c r="E658" s="223"/>
      <c r="F658" s="224"/>
      <c r="G658" s="224"/>
      <c r="H658" s="890"/>
      <c r="I658" s="890"/>
    </row>
    <row r="659" spans="1:9" x14ac:dyDescent="0.25">
      <c r="A659" s="223"/>
      <c r="B659" s="223"/>
      <c r="C659" s="223"/>
      <c r="D659" s="223"/>
      <c r="E659" s="223"/>
      <c r="F659" s="224"/>
      <c r="G659" s="224"/>
      <c r="H659" s="890"/>
      <c r="I659" s="890"/>
    </row>
    <row r="660" spans="1:9" x14ac:dyDescent="0.25">
      <c r="A660" s="223"/>
      <c r="B660" s="223"/>
      <c r="C660" s="223"/>
      <c r="D660" s="223"/>
      <c r="E660" s="223"/>
      <c r="F660" s="224"/>
      <c r="G660" s="224"/>
      <c r="H660" s="890"/>
      <c r="I660" s="890"/>
    </row>
    <row r="661" spans="1:9" x14ac:dyDescent="0.25">
      <c r="A661" s="223"/>
      <c r="B661" s="223"/>
      <c r="C661" s="223"/>
      <c r="D661" s="223"/>
      <c r="E661" s="223"/>
      <c r="F661" s="224"/>
      <c r="G661" s="224"/>
      <c r="H661" s="890"/>
      <c r="I661" s="890"/>
    </row>
    <row r="662" spans="1:9" x14ac:dyDescent="0.25">
      <c r="A662" s="223"/>
      <c r="B662" s="223"/>
      <c r="C662" s="223"/>
      <c r="D662" s="223"/>
      <c r="E662" s="223"/>
      <c r="F662" s="224"/>
      <c r="G662" s="224"/>
      <c r="H662" s="890"/>
      <c r="I662" s="890"/>
    </row>
    <row r="663" spans="1:9" x14ac:dyDescent="0.25">
      <c r="A663" s="223"/>
      <c r="B663" s="223"/>
      <c r="C663" s="223"/>
      <c r="D663" s="223"/>
      <c r="E663" s="223"/>
      <c r="F663" s="224"/>
      <c r="G663" s="224"/>
      <c r="H663" s="890"/>
      <c r="I663" s="890"/>
    </row>
    <row r="664" spans="1:9" x14ac:dyDescent="0.25">
      <c r="A664" s="223"/>
      <c r="B664" s="223"/>
      <c r="C664" s="223"/>
      <c r="D664" s="223"/>
      <c r="E664" s="223"/>
      <c r="F664" s="224"/>
      <c r="G664" s="224"/>
      <c r="H664" s="890"/>
      <c r="I664" s="890"/>
    </row>
    <row r="665" spans="1:9" x14ac:dyDescent="0.25">
      <c r="A665" s="223"/>
      <c r="B665" s="223"/>
      <c r="C665" s="223"/>
      <c r="D665" s="223"/>
      <c r="E665" s="223"/>
      <c r="F665" s="224"/>
      <c r="G665" s="224"/>
      <c r="H665" s="890"/>
      <c r="I665" s="890"/>
    </row>
    <row r="666" spans="1:9" x14ac:dyDescent="0.25">
      <c r="A666" s="223"/>
      <c r="B666" s="223"/>
      <c r="C666" s="223"/>
      <c r="D666" s="223"/>
      <c r="E666" s="223"/>
      <c r="F666" s="224"/>
      <c r="G666" s="224"/>
      <c r="H666" s="890"/>
      <c r="I666" s="890"/>
    </row>
    <row r="667" spans="1:9" x14ac:dyDescent="0.25">
      <c r="A667" s="223"/>
      <c r="B667" s="223"/>
      <c r="C667" s="223"/>
      <c r="D667" s="223"/>
      <c r="E667" s="223"/>
      <c r="F667" s="224"/>
      <c r="G667" s="224"/>
      <c r="H667" s="890"/>
      <c r="I667" s="890"/>
    </row>
    <row r="668" spans="1:9" x14ac:dyDescent="0.25">
      <c r="A668" s="223"/>
      <c r="B668" s="223"/>
      <c r="C668" s="223"/>
      <c r="D668" s="223"/>
      <c r="E668" s="223"/>
      <c r="F668" s="224"/>
      <c r="G668" s="224"/>
      <c r="H668" s="890"/>
      <c r="I668" s="890"/>
    </row>
    <row r="669" spans="1:9" x14ac:dyDescent="0.25">
      <c r="A669" s="223"/>
      <c r="B669" s="223"/>
      <c r="C669" s="223"/>
      <c r="D669" s="223"/>
      <c r="E669" s="223"/>
      <c r="F669" s="224"/>
      <c r="G669" s="224"/>
      <c r="H669" s="890"/>
      <c r="I669" s="890"/>
    </row>
    <row r="670" spans="1:9" x14ac:dyDescent="0.25">
      <c r="A670" s="223"/>
      <c r="B670" s="223"/>
      <c r="C670" s="223"/>
      <c r="D670" s="223"/>
      <c r="E670" s="223"/>
      <c r="F670" s="224"/>
      <c r="G670" s="224"/>
      <c r="H670" s="890"/>
      <c r="I670" s="890"/>
    </row>
    <row r="671" spans="1:9" x14ac:dyDescent="0.25">
      <c r="A671" s="223"/>
      <c r="B671" s="223"/>
      <c r="C671" s="223"/>
      <c r="D671" s="223"/>
      <c r="E671" s="223"/>
      <c r="F671" s="224"/>
      <c r="G671" s="224"/>
      <c r="H671" s="890"/>
      <c r="I671" s="890"/>
    </row>
    <row r="672" spans="1:9" x14ac:dyDescent="0.25">
      <c r="A672" s="223"/>
      <c r="B672" s="223"/>
      <c r="C672" s="223"/>
      <c r="D672" s="223"/>
      <c r="E672" s="223"/>
      <c r="F672" s="224"/>
      <c r="G672" s="224"/>
      <c r="H672" s="890"/>
      <c r="I672" s="890"/>
    </row>
    <row r="673" spans="1:9" x14ac:dyDescent="0.25">
      <c r="A673" s="223"/>
      <c r="B673" s="223"/>
      <c r="C673" s="223"/>
      <c r="D673" s="223"/>
      <c r="E673" s="223"/>
      <c r="F673" s="224"/>
      <c r="G673" s="224"/>
      <c r="H673" s="890"/>
      <c r="I673" s="890"/>
    </row>
    <row r="674" spans="1:9" x14ac:dyDescent="0.25">
      <c r="A674" s="223"/>
      <c r="B674" s="223"/>
      <c r="C674" s="223"/>
      <c r="D674" s="223"/>
      <c r="E674" s="223"/>
      <c r="F674" s="224"/>
      <c r="G674" s="224"/>
      <c r="H674" s="890"/>
      <c r="I674" s="890"/>
    </row>
    <row r="675" spans="1:9" x14ac:dyDescent="0.25">
      <c r="A675" s="223"/>
      <c r="B675" s="223"/>
      <c r="C675" s="223"/>
      <c r="D675" s="223"/>
      <c r="E675" s="223"/>
      <c r="F675" s="224"/>
      <c r="G675" s="224"/>
      <c r="H675" s="890"/>
      <c r="I675" s="890"/>
    </row>
    <row r="676" spans="1:9" x14ac:dyDescent="0.25">
      <c r="A676" s="223"/>
      <c r="B676" s="223"/>
      <c r="C676" s="223"/>
      <c r="D676" s="223"/>
      <c r="E676" s="223"/>
      <c r="F676" s="224"/>
      <c r="G676" s="224"/>
      <c r="H676" s="890"/>
      <c r="I676" s="890"/>
    </row>
    <row r="677" spans="1:9" x14ac:dyDescent="0.25">
      <c r="A677" s="223"/>
      <c r="B677" s="223"/>
      <c r="C677" s="223"/>
      <c r="D677" s="223"/>
      <c r="E677" s="223"/>
      <c r="F677" s="224"/>
      <c r="G677" s="224"/>
      <c r="H677" s="890"/>
      <c r="I677" s="890"/>
    </row>
    <row r="678" spans="1:9" x14ac:dyDescent="0.25">
      <c r="A678" s="223"/>
      <c r="B678" s="223"/>
      <c r="C678" s="223"/>
      <c r="D678" s="223"/>
      <c r="E678" s="223"/>
      <c r="F678" s="224"/>
      <c r="G678" s="224"/>
      <c r="H678" s="890"/>
      <c r="I678" s="890"/>
    </row>
    <row r="679" spans="1:9" x14ac:dyDescent="0.25">
      <c r="A679" s="223"/>
      <c r="B679" s="223"/>
      <c r="C679" s="223"/>
      <c r="D679" s="223"/>
      <c r="E679" s="223"/>
      <c r="F679" s="224"/>
      <c r="G679" s="224"/>
      <c r="H679" s="890"/>
      <c r="I679" s="890"/>
    </row>
    <row r="680" spans="1:9" x14ac:dyDescent="0.25">
      <c r="A680" s="223"/>
      <c r="B680" s="223"/>
      <c r="C680" s="223"/>
      <c r="D680" s="223"/>
      <c r="E680" s="223"/>
      <c r="F680" s="224"/>
      <c r="G680" s="224"/>
      <c r="H680" s="890"/>
      <c r="I680" s="890"/>
    </row>
    <row r="681" spans="1:9" x14ac:dyDescent="0.25">
      <c r="A681" s="223"/>
      <c r="B681" s="223"/>
      <c r="C681" s="223"/>
      <c r="D681" s="223"/>
      <c r="E681" s="223"/>
      <c r="F681" s="224"/>
      <c r="G681" s="224"/>
      <c r="H681" s="890"/>
      <c r="I681" s="890"/>
    </row>
    <row r="682" spans="1:9" x14ac:dyDescent="0.25">
      <c r="A682" s="223"/>
      <c r="B682" s="223"/>
      <c r="C682" s="223"/>
      <c r="D682" s="223"/>
      <c r="E682" s="223"/>
      <c r="F682" s="224"/>
      <c r="G682" s="224"/>
      <c r="H682" s="890"/>
      <c r="I682" s="890"/>
    </row>
    <row r="683" spans="1:9" x14ac:dyDescent="0.25">
      <c r="A683" s="223"/>
      <c r="B683" s="223"/>
      <c r="C683" s="223"/>
      <c r="D683" s="223"/>
      <c r="E683" s="223"/>
      <c r="F683" s="224"/>
      <c r="G683" s="224"/>
      <c r="H683" s="890"/>
      <c r="I683" s="890"/>
    </row>
    <row r="684" spans="1:9" x14ac:dyDescent="0.25">
      <c r="A684" s="223"/>
      <c r="B684" s="223"/>
      <c r="C684" s="223"/>
      <c r="D684" s="223"/>
      <c r="E684" s="223"/>
      <c r="F684" s="224"/>
      <c r="G684" s="224"/>
      <c r="H684" s="890"/>
      <c r="I684" s="890"/>
    </row>
    <row r="685" spans="1:9" x14ac:dyDescent="0.25">
      <c r="A685" s="223"/>
      <c r="B685" s="223"/>
      <c r="C685" s="223"/>
      <c r="D685" s="223"/>
      <c r="E685" s="223"/>
      <c r="F685" s="224"/>
      <c r="G685" s="224"/>
      <c r="H685" s="890"/>
      <c r="I685" s="890"/>
    </row>
    <row r="686" spans="1:9" x14ac:dyDescent="0.25">
      <c r="A686" s="223"/>
      <c r="B686" s="223"/>
      <c r="C686" s="223"/>
      <c r="D686" s="223"/>
      <c r="E686" s="223"/>
      <c r="F686" s="224"/>
      <c r="G686" s="224"/>
      <c r="H686" s="890"/>
      <c r="I686" s="890"/>
    </row>
    <row r="687" spans="1:9" x14ac:dyDescent="0.25">
      <c r="A687" s="223"/>
      <c r="B687" s="223"/>
      <c r="C687" s="223"/>
      <c r="D687" s="223"/>
      <c r="E687" s="223"/>
      <c r="F687" s="224"/>
      <c r="G687" s="224"/>
      <c r="H687" s="890"/>
      <c r="I687" s="890"/>
    </row>
    <row r="688" spans="1:9" x14ac:dyDescent="0.25">
      <c r="A688" s="223"/>
      <c r="B688" s="223"/>
      <c r="C688" s="223"/>
      <c r="D688" s="223"/>
      <c r="E688" s="223"/>
      <c r="F688" s="224"/>
      <c r="G688" s="224"/>
      <c r="H688" s="890"/>
      <c r="I688" s="890"/>
    </row>
    <row r="689" spans="1:9" x14ac:dyDescent="0.25">
      <c r="A689" s="223"/>
      <c r="B689" s="223"/>
      <c r="C689" s="223"/>
      <c r="D689" s="223"/>
      <c r="E689" s="223"/>
      <c r="F689" s="224"/>
      <c r="G689" s="224"/>
      <c r="H689" s="890"/>
      <c r="I689" s="890"/>
    </row>
    <row r="690" spans="1:9" x14ac:dyDescent="0.25">
      <c r="A690" s="223"/>
      <c r="B690" s="223"/>
      <c r="C690" s="223"/>
      <c r="D690" s="223"/>
      <c r="E690" s="223"/>
      <c r="F690" s="224"/>
      <c r="G690" s="224"/>
      <c r="H690" s="890"/>
      <c r="I690" s="890"/>
    </row>
    <row r="691" spans="1:9" x14ac:dyDescent="0.25">
      <c r="A691" s="223"/>
      <c r="B691" s="223"/>
      <c r="C691" s="223"/>
      <c r="D691" s="223"/>
      <c r="E691" s="223"/>
      <c r="F691" s="224"/>
      <c r="G691" s="224"/>
      <c r="H691" s="890"/>
      <c r="I691" s="890"/>
    </row>
    <row r="692" spans="1:9" x14ac:dyDescent="0.25">
      <c r="A692" s="223"/>
      <c r="B692" s="223"/>
      <c r="C692" s="223"/>
      <c r="D692" s="223"/>
      <c r="E692" s="223"/>
      <c r="F692" s="224"/>
      <c r="G692" s="224"/>
      <c r="H692" s="890"/>
      <c r="I692" s="890"/>
    </row>
    <row r="693" spans="1:9" x14ac:dyDescent="0.25">
      <c r="A693" s="223"/>
      <c r="B693" s="223"/>
      <c r="C693" s="223"/>
      <c r="D693" s="223"/>
      <c r="E693" s="223"/>
      <c r="F693" s="224"/>
      <c r="G693" s="224"/>
      <c r="H693" s="890"/>
      <c r="I693" s="890"/>
    </row>
    <row r="694" spans="1:9" x14ac:dyDescent="0.25">
      <c r="A694" s="223"/>
      <c r="B694" s="223"/>
      <c r="C694" s="223"/>
      <c r="D694" s="223"/>
      <c r="E694" s="223"/>
      <c r="F694" s="224"/>
      <c r="G694" s="224"/>
      <c r="H694" s="890"/>
      <c r="I694" s="890"/>
    </row>
    <row r="695" spans="1:9" x14ac:dyDescent="0.25">
      <c r="A695" s="223"/>
      <c r="B695" s="223"/>
      <c r="C695" s="223"/>
      <c r="D695" s="223"/>
      <c r="E695" s="223"/>
      <c r="F695" s="224"/>
      <c r="G695" s="224"/>
      <c r="H695" s="890"/>
      <c r="I695" s="890"/>
    </row>
    <row r="696" spans="1:9" x14ac:dyDescent="0.25">
      <c r="A696" s="223"/>
      <c r="B696" s="223"/>
      <c r="C696" s="223"/>
      <c r="D696" s="223"/>
      <c r="E696" s="223"/>
      <c r="F696" s="224"/>
      <c r="G696" s="224"/>
      <c r="H696" s="890"/>
      <c r="I696" s="890"/>
    </row>
    <row r="697" spans="1:9" x14ac:dyDescent="0.25">
      <c r="A697" s="223"/>
      <c r="B697" s="223"/>
      <c r="C697" s="223"/>
      <c r="D697" s="223"/>
      <c r="E697" s="223"/>
      <c r="F697" s="224"/>
      <c r="G697" s="224"/>
      <c r="H697" s="890"/>
      <c r="I697" s="890"/>
    </row>
    <row r="698" spans="1:9" x14ac:dyDescent="0.25">
      <c r="A698" s="223"/>
      <c r="B698" s="223"/>
      <c r="C698" s="223"/>
      <c r="D698" s="223"/>
      <c r="E698" s="223"/>
      <c r="F698" s="224"/>
      <c r="G698" s="224"/>
      <c r="H698" s="890"/>
      <c r="I698" s="890"/>
    </row>
    <row r="699" spans="1:9" x14ac:dyDescent="0.25">
      <c r="A699" s="223"/>
      <c r="B699" s="223"/>
      <c r="C699" s="223"/>
      <c r="D699" s="223"/>
      <c r="E699" s="223"/>
      <c r="F699" s="224"/>
      <c r="G699" s="224"/>
      <c r="H699" s="890"/>
      <c r="I699" s="890"/>
    </row>
    <row r="700" spans="1:9" x14ac:dyDescent="0.25">
      <c r="A700" s="223"/>
      <c r="B700" s="223"/>
      <c r="C700" s="223"/>
      <c r="D700" s="223"/>
      <c r="E700" s="223"/>
      <c r="F700" s="224"/>
      <c r="G700" s="224"/>
      <c r="H700" s="890"/>
      <c r="I700" s="890"/>
    </row>
    <row r="701" spans="1:9" x14ac:dyDescent="0.25">
      <c r="A701" s="223"/>
      <c r="B701" s="223"/>
      <c r="C701" s="223"/>
      <c r="D701" s="223"/>
      <c r="E701" s="223"/>
      <c r="F701" s="224"/>
      <c r="G701" s="224"/>
      <c r="H701" s="890"/>
      <c r="I701" s="890"/>
    </row>
    <row r="702" spans="1:9" x14ac:dyDescent="0.25">
      <c r="A702" s="223"/>
      <c r="B702" s="223"/>
      <c r="C702" s="223"/>
      <c r="D702" s="223"/>
      <c r="E702" s="223"/>
      <c r="F702" s="224"/>
      <c r="G702" s="224"/>
      <c r="H702" s="890"/>
      <c r="I702" s="890"/>
    </row>
    <row r="703" spans="1:9" x14ac:dyDescent="0.25">
      <c r="A703" s="223"/>
      <c r="B703" s="223"/>
      <c r="C703" s="223"/>
      <c r="D703" s="223"/>
      <c r="E703" s="223"/>
      <c r="F703" s="224"/>
      <c r="G703" s="224"/>
      <c r="H703" s="890"/>
      <c r="I703" s="890"/>
    </row>
    <row r="704" spans="1:9" x14ac:dyDescent="0.25">
      <c r="A704" s="223"/>
      <c r="B704" s="223"/>
      <c r="C704" s="223"/>
      <c r="D704" s="223"/>
      <c r="E704" s="223"/>
      <c r="F704" s="224"/>
      <c r="G704" s="224"/>
      <c r="H704" s="890"/>
      <c r="I704" s="890"/>
    </row>
    <row r="705" spans="1:9" x14ac:dyDescent="0.25">
      <c r="A705" s="223"/>
      <c r="B705" s="223"/>
      <c r="C705" s="223"/>
      <c r="D705" s="223"/>
      <c r="E705" s="223"/>
      <c r="F705" s="224"/>
      <c r="G705" s="224"/>
      <c r="H705" s="890"/>
      <c r="I705" s="890"/>
    </row>
    <row r="706" spans="1:9" x14ac:dyDescent="0.25">
      <c r="A706" s="223"/>
      <c r="B706" s="223"/>
      <c r="C706" s="223"/>
      <c r="D706" s="223"/>
      <c r="E706" s="223"/>
      <c r="F706" s="224"/>
      <c r="G706" s="224"/>
      <c r="H706" s="890"/>
      <c r="I706" s="890"/>
    </row>
    <row r="707" spans="1:9" x14ac:dyDescent="0.25">
      <c r="A707" s="223"/>
      <c r="B707" s="223"/>
      <c r="C707" s="223"/>
      <c r="D707" s="223"/>
      <c r="E707" s="223"/>
      <c r="F707" s="224"/>
      <c r="G707" s="224"/>
      <c r="H707" s="890"/>
      <c r="I707" s="890"/>
    </row>
    <row r="708" spans="1:9" x14ac:dyDescent="0.25">
      <c r="A708" s="223"/>
      <c r="B708" s="223"/>
      <c r="C708" s="223"/>
      <c r="D708" s="223"/>
      <c r="E708" s="223"/>
      <c r="F708" s="224"/>
      <c r="G708" s="224"/>
      <c r="H708" s="890"/>
      <c r="I708" s="890"/>
    </row>
    <row r="709" spans="1:9" x14ac:dyDescent="0.25">
      <c r="A709" s="223"/>
      <c r="B709" s="223"/>
      <c r="C709" s="223"/>
      <c r="D709" s="223"/>
      <c r="E709" s="223"/>
      <c r="F709" s="224"/>
      <c r="G709" s="224"/>
      <c r="H709" s="890"/>
      <c r="I709" s="890"/>
    </row>
    <row r="710" spans="1:9" x14ac:dyDescent="0.25">
      <c r="A710" s="223"/>
      <c r="B710" s="223"/>
      <c r="C710" s="223"/>
      <c r="D710" s="223"/>
      <c r="E710" s="223"/>
      <c r="F710" s="224"/>
      <c r="G710" s="224"/>
      <c r="H710" s="890"/>
      <c r="I710" s="890"/>
    </row>
    <row r="711" spans="1:9" x14ac:dyDescent="0.25">
      <c r="A711" s="223"/>
      <c r="B711" s="223"/>
      <c r="C711" s="223"/>
      <c r="D711" s="223"/>
      <c r="E711" s="223"/>
      <c r="F711" s="224"/>
      <c r="G711" s="224"/>
      <c r="H711" s="890"/>
      <c r="I711" s="890"/>
    </row>
    <row r="712" spans="1:9" x14ac:dyDescent="0.25">
      <c r="A712" s="223"/>
      <c r="B712" s="223"/>
      <c r="C712" s="223"/>
      <c r="D712" s="223"/>
      <c r="E712" s="223"/>
      <c r="F712" s="224"/>
      <c r="G712" s="224"/>
      <c r="H712" s="890"/>
      <c r="I712" s="890"/>
    </row>
    <row r="713" spans="1:9" x14ac:dyDescent="0.25">
      <c r="A713" s="223"/>
      <c r="B713" s="223"/>
      <c r="C713" s="223"/>
      <c r="D713" s="223"/>
      <c r="E713" s="223"/>
      <c r="F713" s="224"/>
      <c r="G713" s="224"/>
      <c r="H713" s="890"/>
      <c r="I713" s="890"/>
    </row>
    <row r="714" spans="1:9" x14ac:dyDescent="0.25">
      <c r="A714" s="223"/>
      <c r="B714" s="223"/>
      <c r="C714" s="223"/>
      <c r="D714" s="223"/>
      <c r="E714" s="223"/>
      <c r="F714" s="224"/>
      <c r="G714" s="224"/>
      <c r="H714" s="890"/>
      <c r="I714" s="890"/>
    </row>
    <row r="715" spans="1:9" x14ac:dyDescent="0.25">
      <c r="A715" s="223"/>
      <c r="B715" s="223"/>
      <c r="C715" s="223"/>
      <c r="D715" s="223"/>
      <c r="E715" s="223"/>
      <c r="F715" s="224"/>
      <c r="G715" s="224"/>
      <c r="H715" s="890"/>
      <c r="I715" s="890"/>
    </row>
    <row r="716" spans="1:9" x14ac:dyDescent="0.25">
      <c r="A716" s="223"/>
      <c r="B716" s="223"/>
      <c r="C716" s="223"/>
      <c r="D716" s="223"/>
      <c r="E716" s="223"/>
      <c r="F716" s="224"/>
      <c r="G716" s="224"/>
      <c r="H716" s="890"/>
      <c r="I716" s="890"/>
    </row>
    <row r="717" spans="1:9" x14ac:dyDescent="0.25">
      <c r="A717" s="223"/>
      <c r="B717" s="223"/>
      <c r="C717" s="223"/>
      <c r="D717" s="223"/>
      <c r="E717" s="223"/>
      <c r="F717" s="224"/>
      <c r="G717" s="224"/>
      <c r="H717" s="890"/>
      <c r="I717" s="890"/>
    </row>
    <row r="718" spans="1:9" x14ac:dyDescent="0.25">
      <c r="A718" s="223"/>
      <c r="B718" s="223"/>
      <c r="C718" s="223"/>
      <c r="D718" s="223"/>
      <c r="E718" s="223"/>
      <c r="F718" s="224"/>
      <c r="G718" s="224"/>
      <c r="H718" s="890"/>
      <c r="I718" s="890"/>
    </row>
    <row r="719" spans="1:9" x14ac:dyDescent="0.25">
      <c r="A719" s="223"/>
      <c r="B719" s="223"/>
      <c r="C719" s="223"/>
      <c r="D719" s="223"/>
      <c r="E719" s="223"/>
      <c r="F719" s="224"/>
      <c r="G719" s="224"/>
      <c r="H719" s="890"/>
      <c r="I719" s="890"/>
    </row>
    <row r="720" spans="1:9" x14ac:dyDescent="0.25">
      <c r="A720" s="223"/>
      <c r="B720" s="223"/>
      <c r="C720" s="223"/>
      <c r="D720" s="223"/>
      <c r="E720" s="223"/>
      <c r="F720" s="224"/>
      <c r="G720" s="224"/>
      <c r="H720" s="890"/>
      <c r="I720" s="890"/>
    </row>
    <row r="721" spans="1:9" x14ac:dyDescent="0.25">
      <c r="A721" s="223"/>
      <c r="B721" s="223"/>
      <c r="C721" s="223"/>
      <c r="D721" s="223"/>
      <c r="E721" s="223"/>
      <c r="F721" s="224"/>
      <c r="G721" s="224"/>
      <c r="H721" s="890"/>
      <c r="I721" s="890"/>
    </row>
    <row r="722" spans="1:9" x14ac:dyDescent="0.25">
      <c r="A722" s="223"/>
      <c r="B722" s="223"/>
      <c r="C722" s="223"/>
      <c r="D722" s="223"/>
      <c r="E722" s="223"/>
      <c r="F722" s="224"/>
      <c r="G722" s="224"/>
      <c r="H722" s="890"/>
      <c r="I722" s="890"/>
    </row>
    <row r="723" spans="1:9" x14ac:dyDescent="0.25">
      <c r="A723" s="223"/>
      <c r="B723" s="223"/>
      <c r="C723" s="223"/>
      <c r="D723" s="223"/>
      <c r="E723" s="223"/>
      <c r="F723" s="224"/>
      <c r="G723" s="224"/>
      <c r="H723" s="890"/>
      <c r="I723" s="890"/>
    </row>
    <row r="724" spans="1:9" x14ac:dyDescent="0.25">
      <c r="A724" s="223"/>
      <c r="B724" s="223"/>
      <c r="C724" s="223"/>
      <c r="D724" s="223"/>
      <c r="E724" s="223"/>
      <c r="F724" s="224"/>
      <c r="G724" s="224"/>
      <c r="H724" s="890"/>
      <c r="I724" s="890"/>
    </row>
    <row r="725" spans="1:9" x14ac:dyDescent="0.25">
      <c r="A725" s="223"/>
      <c r="B725" s="223"/>
      <c r="C725" s="223"/>
      <c r="D725" s="223"/>
      <c r="E725" s="223"/>
      <c r="F725" s="224"/>
      <c r="G725" s="224"/>
      <c r="H725" s="890"/>
      <c r="I725" s="890"/>
    </row>
    <row r="726" spans="1:9" x14ac:dyDescent="0.25">
      <c r="A726" s="223"/>
      <c r="B726" s="223"/>
      <c r="C726" s="223"/>
      <c r="D726" s="223"/>
      <c r="E726" s="223"/>
      <c r="F726" s="224"/>
      <c r="G726" s="224"/>
      <c r="H726" s="890"/>
      <c r="I726" s="890"/>
    </row>
    <row r="727" spans="1:9" x14ac:dyDescent="0.25">
      <c r="A727" s="223"/>
      <c r="B727" s="223"/>
      <c r="C727" s="223"/>
      <c r="D727" s="223"/>
      <c r="E727" s="223"/>
      <c r="F727" s="224"/>
      <c r="G727" s="224"/>
      <c r="H727" s="890"/>
      <c r="I727" s="890"/>
    </row>
    <row r="728" spans="1:9" x14ac:dyDescent="0.25">
      <c r="A728" s="223"/>
      <c r="B728" s="223"/>
      <c r="C728" s="223"/>
      <c r="D728" s="223"/>
      <c r="E728" s="223"/>
      <c r="F728" s="224"/>
      <c r="G728" s="224"/>
      <c r="H728" s="890"/>
      <c r="I728" s="890"/>
    </row>
    <row r="729" spans="1:9" x14ac:dyDescent="0.25">
      <c r="A729" s="223"/>
      <c r="B729" s="223"/>
      <c r="C729" s="223"/>
      <c r="D729" s="223"/>
      <c r="E729" s="223"/>
      <c r="F729" s="224"/>
      <c r="G729" s="224"/>
      <c r="H729" s="890"/>
      <c r="I729" s="890"/>
    </row>
    <row r="730" spans="1:9" x14ac:dyDescent="0.25">
      <c r="A730" s="223"/>
      <c r="B730" s="223"/>
      <c r="C730" s="223"/>
      <c r="D730" s="223"/>
      <c r="E730" s="223"/>
      <c r="F730" s="224"/>
      <c r="G730" s="224"/>
      <c r="H730" s="890"/>
      <c r="I730" s="890"/>
    </row>
    <row r="731" spans="1:9" x14ac:dyDescent="0.25">
      <c r="A731" s="223"/>
      <c r="B731" s="223"/>
      <c r="C731" s="223"/>
      <c r="D731" s="223"/>
      <c r="E731" s="223"/>
      <c r="F731" s="224"/>
      <c r="G731" s="224"/>
      <c r="H731" s="890"/>
      <c r="I731" s="890"/>
    </row>
    <row r="732" spans="1:9" x14ac:dyDescent="0.25">
      <c r="A732" s="223"/>
      <c r="B732" s="223"/>
      <c r="C732" s="223"/>
      <c r="D732" s="223"/>
      <c r="E732" s="223"/>
      <c r="F732" s="224"/>
      <c r="G732" s="224"/>
      <c r="H732" s="890"/>
      <c r="I732" s="890"/>
    </row>
    <row r="733" spans="1:9" x14ac:dyDescent="0.25">
      <c r="A733" s="223"/>
      <c r="B733" s="223"/>
      <c r="C733" s="223"/>
      <c r="D733" s="223"/>
      <c r="E733" s="223"/>
      <c r="F733" s="224"/>
      <c r="G733" s="224"/>
      <c r="H733" s="890"/>
      <c r="I733" s="890"/>
    </row>
    <row r="734" spans="1:9" x14ac:dyDescent="0.25">
      <c r="A734" s="223"/>
      <c r="B734" s="223"/>
      <c r="C734" s="223"/>
      <c r="D734" s="223"/>
      <c r="E734" s="223"/>
      <c r="F734" s="224"/>
      <c r="G734" s="224"/>
      <c r="H734" s="890"/>
      <c r="I734" s="890"/>
    </row>
    <row r="735" spans="1:9" x14ac:dyDescent="0.25">
      <c r="A735" s="223"/>
      <c r="B735" s="223"/>
      <c r="C735" s="223"/>
      <c r="D735" s="223"/>
      <c r="E735" s="223"/>
      <c r="F735" s="224"/>
      <c r="G735" s="224"/>
      <c r="H735" s="890"/>
      <c r="I735" s="890"/>
    </row>
    <row r="736" spans="1:9" x14ac:dyDescent="0.25">
      <c r="A736" s="223"/>
      <c r="B736" s="223"/>
      <c r="C736" s="223"/>
      <c r="D736" s="223"/>
      <c r="E736" s="223"/>
      <c r="F736" s="224"/>
      <c r="G736" s="224"/>
      <c r="H736" s="890"/>
      <c r="I736" s="890"/>
    </row>
    <row r="737" spans="1:9" x14ac:dyDescent="0.25">
      <c r="A737" s="223"/>
      <c r="B737" s="223"/>
      <c r="C737" s="223"/>
      <c r="D737" s="223"/>
      <c r="E737" s="223"/>
      <c r="F737" s="224"/>
      <c r="G737" s="224"/>
      <c r="H737" s="890"/>
      <c r="I737" s="890"/>
    </row>
    <row r="738" spans="1:9" x14ac:dyDescent="0.25">
      <c r="A738" s="223"/>
      <c r="B738" s="223"/>
      <c r="C738" s="223"/>
      <c r="D738" s="223"/>
      <c r="E738" s="223"/>
      <c r="F738" s="224"/>
      <c r="G738" s="224"/>
      <c r="H738" s="890"/>
      <c r="I738" s="890"/>
    </row>
    <row r="739" spans="1:9" x14ac:dyDescent="0.25">
      <c r="A739" s="223"/>
      <c r="B739" s="223"/>
      <c r="C739" s="223"/>
      <c r="D739" s="223"/>
      <c r="E739" s="223"/>
      <c r="F739" s="224"/>
      <c r="G739" s="224"/>
      <c r="H739" s="890"/>
      <c r="I739" s="890"/>
    </row>
    <row r="740" spans="1:9" x14ac:dyDescent="0.25">
      <c r="A740" s="223"/>
      <c r="B740" s="223"/>
      <c r="C740" s="223"/>
      <c r="D740" s="223"/>
      <c r="E740" s="223"/>
      <c r="F740" s="224"/>
      <c r="G740" s="224"/>
      <c r="H740" s="890"/>
      <c r="I740" s="890"/>
    </row>
    <row r="741" spans="1:9" x14ac:dyDescent="0.25">
      <c r="A741" s="223"/>
      <c r="B741" s="223"/>
      <c r="C741" s="223"/>
      <c r="D741" s="223"/>
      <c r="E741" s="223"/>
      <c r="F741" s="224"/>
      <c r="G741" s="224"/>
      <c r="H741" s="890"/>
      <c r="I741" s="890"/>
    </row>
    <row r="742" spans="1:9" x14ac:dyDescent="0.25">
      <c r="A742" s="223"/>
      <c r="B742" s="223"/>
      <c r="C742" s="223"/>
      <c r="D742" s="223"/>
      <c r="E742" s="223"/>
      <c r="F742" s="224"/>
      <c r="G742" s="224"/>
      <c r="H742" s="890"/>
      <c r="I742" s="890"/>
    </row>
    <row r="743" spans="1:9" x14ac:dyDescent="0.25">
      <c r="A743" s="223"/>
      <c r="B743" s="223"/>
      <c r="C743" s="223"/>
      <c r="D743" s="223"/>
      <c r="E743" s="223"/>
      <c r="F743" s="224"/>
      <c r="G743" s="224"/>
      <c r="H743" s="890"/>
      <c r="I743" s="890"/>
    </row>
    <row r="744" spans="1:9" x14ac:dyDescent="0.25">
      <c r="A744" s="223"/>
      <c r="B744" s="223"/>
      <c r="C744" s="223"/>
      <c r="D744" s="223"/>
      <c r="E744" s="223"/>
      <c r="F744" s="224"/>
      <c r="G744" s="224"/>
      <c r="H744" s="890"/>
      <c r="I744" s="890"/>
    </row>
    <row r="745" spans="1:9" x14ac:dyDescent="0.25">
      <c r="A745" s="223"/>
      <c r="B745" s="223"/>
      <c r="C745" s="223"/>
      <c r="D745" s="223"/>
      <c r="E745" s="223"/>
      <c r="F745" s="224"/>
      <c r="G745" s="224"/>
      <c r="H745" s="890"/>
      <c r="I745" s="890"/>
    </row>
    <row r="746" spans="1:9" x14ac:dyDescent="0.25">
      <c r="A746" s="223"/>
      <c r="B746" s="223"/>
      <c r="C746" s="223"/>
      <c r="D746" s="223"/>
      <c r="E746" s="223"/>
      <c r="F746" s="224"/>
      <c r="G746" s="224"/>
      <c r="H746" s="890"/>
      <c r="I746" s="890"/>
    </row>
    <row r="747" spans="1:9" x14ac:dyDescent="0.25">
      <c r="A747" s="223"/>
      <c r="B747" s="223"/>
      <c r="C747" s="223"/>
      <c r="D747" s="223"/>
      <c r="E747" s="223"/>
      <c r="F747" s="224"/>
      <c r="G747" s="224"/>
      <c r="H747" s="890"/>
      <c r="I747" s="890"/>
    </row>
    <row r="748" spans="1:9" x14ac:dyDescent="0.25">
      <c r="A748" s="223"/>
      <c r="B748" s="223"/>
      <c r="C748" s="223"/>
      <c r="D748" s="223"/>
      <c r="E748" s="223"/>
      <c r="F748" s="224"/>
      <c r="G748" s="224"/>
      <c r="H748" s="890"/>
      <c r="I748" s="890"/>
    </row>
    <row r="749" spans="1:9" x14ac:dyDescent="0.25">
      <c r="A749" s="223"/>
      <c r="B749" s="223"/>
      <c r="C749" s="223"/>
      <c r="D749" s="223"/>
      <c r="E749" s="223"/>
      <c r="F749" s="224"/>
      <c r="G749" s="224"/>
      <c r="H749" s="890"/>
      <c r="I749" s="890"/>
    </row>
    <row r="750" spans="1:9" x14ac:dyDescent="0.25">
      <c r="A750" s="223"/>
      <c r="B750" s="223"/>
      <c r="C750" s="223"/>
      <c r="D750" s="223"/>
      <c r="E750" s="223"/>
      <c r="F750" s="224"/>
      <c r="G750" s="224"/>
      <c r="H750" s="890"/>
      <c r="I750" s="890"/>
    </row>
    <row r="751" spans="1:9" x14ac:dyDescent="0.25">
      <c r="A751" s="223"/>
      <c r="B751" s="223"/>
      <c r="C751" s="223"/>
      <c r="D751" s="223"/>
      <c r="E751" s="223"/>
      <c r="F751" s="224"/>
      <c r="G751" s="224"/>
      <c r="H751" s="890"/>
      <c r="I751" s="890"/>
    </row>
    <row r="752" spans="1:9" x14ac:dyDescent="0.25">
      <c r="A752" s="223"/>
      <c r="B752" s="223"/>
      <c r="C752" s="223"/>
      <c r="D752" s="223"/>
      <c r="E752" s="223"/>
      <c r="F752" s="224"/>
      <c r="G752" s="224"/>
      <c r="H752" s="890"/>
      <c r="I752" s="890"/>
    </row>
    <row r="753" spans="1:9" x14ac:dyDescent="0.25">
      <c r="A753" s="223"/>
      <c r="B753" s="223"/>
      <c r="C753" s="223"/>
      <c r="D753" s="223"/>
      <c r="E753" s="223"/>
      <c r="F753" s="224"/>
      <c r="G753" s="224"/>
      <c r="H753" s="890"/>
      <c r="I753" s="890"/>
    </row>
    <row r="754" spans="1:9" x14ac:dyDescent="0.25">
      <c r="A754" s="223"/>
      <c r="B754" s="223"/>
      <c r="C754" s="223"/>
      <c r="D754" s="223"/>
      <c r="E754" s="223"/>
      <c r="F754" s="224"/>
      <c r="G754" s="224"/>
      <c r="H754" s="890"/>
      <c r="I754" s="890"/>
    </row>
    <row r="755" spans="1:9" x14ac:dyDescent="0.25">
      <c r="A755" s="223"/>
      <c r="B755" s="223"/>
      <c r="C755" s="223"/>
      <c r="D755" s="223"/>
      <c r="E755" s="223"/>
      <c r="F755" s="224"/>
      <c r="G755" s="224"/>
      <c r="H755" s="890"/>
      <c r="I755" s="890"/>
    </row>
    <row r="756" spans="1:9" x14ac:dyDescent="0.25">
      <c r="A756" s="223"/>
      <c r="B756" s="223"/>
      <c r="C756" s="223"/>
      <c r="D756" s="223"/>
      <c r="E756" s="223"/>
      <c r="F756" s="224"/>
      <c r="G756" s="224"/>
      <c r="H756" s="890"/>
      <c r="I756" s="890"/>
    </row>
    <row r="757" spans="1:9" x14ac:dyDescent="0.25">
      <c r="A757" s="223"/>
      <c r="B757" s="223"/>
      <c r="C757" s="223"/>
      <c r="D757" s="223"/>
      <c r="E757" s="223"/>
      <c r="F757" s="224"/>
      <c r="G757" s="224"/>
      <c r="H757" s="890"/>
      <c r="I757" s="890"/>
    </row>
    <row r="758" spans="1:9" x14ac:dyDescent="0.25">
      <c r="A758" s="223"/>
      <c r="B758" s="223"/>
      <c r="C758" s="223"/>
      <c r="D758" s="223"/>
      <c r="E758" s="223"/>
      <c r="F758" s="224"/>
      <c r="G758" s="224"/>
      <c r="H758" s="890"/>
      <c r="I758" s="890"/>
    </row>
    <row r="759" spans="1:9" x14ac:dyDescent="0.25">
      <c r="A759" s="223"/>
      <c r="B759" s="223"/>
      <c r="C759" s="223"/>
      <c r="D759" s="223"/>
      <c r="E759" s="223"/>
      <c r="F759" s="224"/>
      <c r="G759" s="224"/>
      <c r="H759" s="890"/>
      <c r="I759" s="890"/>
    </row>
    <row r="760" spans="1:9" x14ac:dyDescent="0.25">
      <c r="A760" s="223"/>
      <c r="B760" s="223"/>
      <c r="C760" s="223"/>
      <c r="D760" s="223"/>
      <c r="E760" s="223"/>
      <c r="F760" s="224"/>
      <c r="G760" s="224"/>
      <c r="H760" s="890"/>
      <c r="I760" s="890"/>
    </row>
    <row r="761" spans="1:9" x14ac:dyDescent="0.25">
      <c r="A761" s="223"/>
      <c r="B761" s="223"/>
      <c r="C761" s="223"/>
      <c r="D761" s="223"/>
      <c r="E761" s="223"/>
      <c r="F761" s="224"/>
      <c r="G761" s="224"/>
      <c r="H761" s="890"/>
      <c r="I761" s="890"/>
    </row>
    <row r="762" spans="1:9" x14ac:dyDescent="0.25">
      <c r="A762" s="223"/>
      <c r="B762" s="223"/>
      <c r="C762" s="223"/>
      <c r="D762" s="223"/>
      <c r="E762" s="223"/>
      <c r="F762" s="224"/>
      <c r="G762" s="224"/>
      <c r="H762" s="890"/>
      <c r="I762" s="890"/>
    </row>
    <row r="763" spans="1:9" x14ac:dyDescent="0.25">
      <c r="A763" s="223"/>
      <c r="B763" s="223"/>
      <c r="C763" s="223"/>
      <c r="D763" s="223"/>
      <c r="E763" s="223"/>
      <c r="F763" s="224"/>
      <c r="G763" s="224"/>
      <c r="H763" s="890"/>
      <c r="I763" s="890"/>
    </row>
    <row r="764" spans="1:9" x14ac:dyDescent="0.25">
      <c r="A764" s="223"/>
      <c r="B764" s="223"/>
      <c r="C764" s="223"/>
      <c r="D764" s="223"/>
      <c r="E764" s="223"/>
      <c r="F764" s="224"/>
      <c r="G764" s="224"/>
      <c r="H764" s="890"/>
      <c r="I764" s="890"/>
    </row>
    <row r="765" spans="1:9" x14ac:dyDescent="0.25">
      <c r="A765" s="223"/>
      <c r="B765" s="223"/>
      <c r="C765" s="223"/>
      <c r="D765" s="223"/>
      <c r="E765" s="223"/>
      <c r="F765" s="224"/>
      <c r="G765" s="224"/>
      <c r="H765" s="890"/>
      <c r="I765" s="890"/>
    </row>
    <row r="766" spans="1:9" x14ac:dyDescent="0.25">
      <c r="A766" s="223"/>
      <c r="B766" s="223"/>
      <c r="C766" s="223"/>
      <c r="D766" s="223"/>
      <c r="E766" s="223"/>
      <c r="F766" s="224"/>
      <c r="G766" s="224"/>
      <c r="H766" s="890"/>
      <c r="I766" s="890"/>
    </row>
    <row r="767" spans="1:9" x14ac:dyDescent="0.25">
      <c r="A767" s="223"/>
      <c r="B767" s="223"/>
      <c r="C767" s="223"/>
      <c r="D767" s="223"/>
      <c r="E767" s="223"/>
      <c r="F767" s="224"/>
      <c r="G767" s="224"/>
      <c r="H767" s="890"/>
      <c r="I767" s="890"/>
    </row>
    <row r="768" spans="1:9" x14ac:dyDescent="0.25">
      <c r="A768" s="223"/>
      <c r="B768" s="223"/>
      <c r="C768" s="223"/>
      <c r="D768" s="223"/>
      <c r="E768" s="223"/>
      <c r="F768" s="224"/>
      <c r="G768" s="224"/>
      <c r="H768" s="890"/>
      <c r="I768" s="890"/>
    </row>
    <row r="769" spans="1:9" x14ac:dyDescent="0.25">
      <c r="A769" s="223"/>
      <c r="B769" s="223"/>
      <c r="C769" s="223"/>
      <c r="D769" s="223"/>
      <c r="E769" s="223"/>
      <c r="F769" s="224"/>
      <c r="G769" s="224"/>
      <c r="H769" s="890"/>
      <c r="I769" s="890"/>
    </row>
    <row r="770" spans="1:9" x14ac:dyDescent="0.25">
      <c r="A770" s="223"/>
      <c r="B770" s="223"/>
      <c r="C770" s="223"/>
      <c r="D770" s="223"/>
      <c r="E770" s="223"/>
      <c r="F770" s="224"/>
      <c r="G770" s="224"/>
      <c r="H770" s="890"/>
      <c r="I770" s="890"/>
    </row>
    <row r="771" spans="1:9" x14ac:dyDescent="0.25">
      <c r="A771" s="223"/>
      <c r="B771" s="223"/>
      <c r="C771" s="223"/>
      <c r="D771" s="223"/>
      <c r="E771" s="223"/>
      <c r="F771" s="224"/>
      <c r="G771" s="224"/>
      <c r="H771" s="890"/>
      <c r="I771" s="890"/>
    </row>
    <row r="772" spans="1:9" x14ac:dyDescent="0.25">
      <c r="A772" s="223"/>
      <c r="B772" s="223"/>
      <c r="C772" s="223"/>
      <c r="D772" s="223"/>
      <c r="E772" s="223"/>
      <c r="F772" s="224"/>
      <c r="G772" s="224"/>
      <c r="H772" s="890"/>
      <c r="I772" s="890"/>
    </row>
    <row r="773" spans="1:9" x14ac:dyDescent="0.25">
      <c r="A773" s="223"/>
      <c r="B773" s="223"/>
      <c r="C773" s="223"/>
      <c r="D773" s="223"/>
      <c r="E773" s="223"/>
      <c r="F773" s="224"/>
      <c r="G773" s="224"/>
      <c r="H773" s="890"/>
      <c r="I773" s="890"/>
    </row>
    <row r="774" spans="1:9" x14ac:dyDescent="0.25">
      <c r="A774" s="223"/>
      <c r="B774" s="223"/>
      <c r="C774" s="223"/>
      <c r="D774" s="223"/>
      <c r="E774" s="223"/>
      <c r="F774" s="224"/>
      <c r="G774" s="224"/>
      <c r="H774" s="890"/>
      <c r="I774" s="890"/>
    </row>
    <row r="775" spans="1:9" x14ac:dyDescent="0.25">
      <c r="A775" s="223"/>
      <c r="B775" s="223"/>
      <c r="C775" s="223"/>
      <c r="D775" s="223"/>
      <c r="E775" s="223"/>
      <c r="F775" s="224"/>
      <c r="G775" s="224"/>
      <c r="H775" s="890"/>
      <c r="I775" s="890"/>
    </row>
    <row r="776" spans="1:9" x14ac:dyDescent="0.25">
      <c r="A776" s="223"/>
      <c r="B776" s="223"/>
      <c r="C776" s="223"/>
      <c r="D776" s="223"/>
      <c r="E776" s="223"/>
      <c r="F776" s="224"/>
      <c r="G776" s="224"/>
      <c r="H776" s="890"/>
      <c r="I776" s="890"/>
    </row>
    <row r="777" spans="1:9" x14ac:dyDescent="0.25">
      <c r="A777" s="223"/>
      <c r="B777" s="223"/>
      <c r="C777" s="223"/>
      <c r="D777" s="223"/>
      <c r="E777" s="223"/>
      <c r="F777" s="224"/>
      <c r="G777" s="224"/>
      <c r="H777" s="890"/>
      <c r="I777" s="890"/>
    </row>
    <row r="778" spans="1:9" x14ac:dyDescent="0.25">
      <c r="A778" s="223"/>
      <c r="B778" s="223"/>
      <c r="C778" s="223"/>
      <c r="D778" s="223"/>
      <c r="E778" s="223"/>
      <c r="F778" s="224"/>
      <c r="G778" s="224"/>
      <c r="H778" s="890"/>
      <c r="I778" s="890"/>
    </row>
    <row r="779" spans="1:9" x14ac:dyDescent="0.25">
      <c r="A779" s="223"/>
      <c r="B779" s="223"/>
      <c r="C779" s="223"/>
      <c r="D779" s="223"/>
      <c r="E779" s="223"/>
      <c r="F779" s="224"/>
      <c r="G779" s="224"/>
      <c r="H779" s="890"/>
      <c r="I779" s="890"/>
    </row>
    <row r="780" spans="1:9" x14ac:dyDescent="0.25">
      <c r="A780" s="223"/>
      <c r="B780" s="223"/>
      <c r="C780" s="223"/>
      <c r="D780" s="223"/>
      <c r="E780" s="223"/>
      <c r="F780" s="224"/>
      <c r="G780" s="224"/>
      <c r="H780" s="890"/>
      <c r="I780" s="890"/>
    </row>
    <row r="781" spans="1:9" x14ac:dyDescent="0.25">
      <c r="A781" s="223"/>
      <c r="B781" s="223"/>
      <c r="C781" s="223"/>
      <c r="D781" s="223"/>
      <c r="E781" s="223"/>
      <c r="F781" s="224"/>
      <c r="G781" s="224"/>
      <c r="H781" s="890"/>
      <c r="I781" s="890"/>
    </row>
    <row r="782" spans="1:9" x14ac:dyDescent="0.25">
      <c r="A782" s="223"/>
      <c r="B782" s="223"/>
      <c r="C782" s="223"/>
      <c r="D782" s="223"/>
      <c r="E782" s="223"/>
      <c r="F782" s="224"/>
      <c r="G782" s="224"/>
      <c r="H782" s="890"/>
      <c r="I782" s="890"/>
    </row>
    <row r="783" spans="1:9" x14ac:dyDescent="0.25">
      <c r="A783" s="223"/>
      <c r="B783" s="223"/>
      <c r="C783" s="223"/>
      <c r="D783" s="223"/>
      <c r="E783" s="223"/>
      <c r="F783" s="224"/>
      <c r="G783" s="224"/>
      <c r="H783" s="890"/>
      <c r="I783" s="890"/>
    </row>
    <row r="784" spans="1:9" x14ac:dyDescent="0.25">
      <c r="A784" s="223"/>
      <c r="B784" s="223"/>
      <c r="C784" s="223"/>
      <c r="D784" s="223"/>
      <c r="E784" s="223"/>
      <c r="F784" s="224"/>
      <c r="G784" s="224"/>
      <c r="H784" s="890"/>
      <c r="I784" s="890"/>
    </row>
    <row r="785" spans="1:9" x14ac:dyDescent="0.25">
      <c r="A785" s="223"/>
      <c r="B785" s="223"/>
      <c r="C785" s="223"/>
      <c r="D785" s="223"/>
      <c r="E785" s="223"/>
      <c r="F785" s="224"/>
      <c r="G785" s="224"/>
      <c r="H785" s="890"/>
      <c r="I785" s="890"/>
    </row>
    <row r="786" spans="1:9" x14ac:dyDescent="0.25">
      <c r="A786" s="223"/>
      <c r="B786" s="223"/>
      <c r="C786" s="223"/>
      <c r="D786" s="223"/>
      <c r="E786" s="223"/>
      <c r="F786" s="224"/>
      <c r="G786" s="224"/>
      <c r="H786" s="890"/>
      <c r="I786" s="890"/>
    </row>
    <row r="787" spans="1:9" x14ac:dyDescent="0.25">
      <c r="A787" s="223"/>
      <c r="B787" s="223"/>
      <c r="C787" s="223"/>
      <c r="D787" s="223"/>
      <c r="E787" s="223"/>
      <c r="F787" s="224"/>
      <c r="G787" s="224"/>
      <c r="H787" s="890"/>
      <c r="I787" s="890"/>
    </row>
    <row r="788" spans="1:9" x14ac:dyDescent="0.25">
      <c r="A788" s="223"/>
      <c r="B788" s="223"/>
      <c r="C788" s="223"/>
      <c r="D788" s="223"/>
      <c r="E788" s="223"/>
      <c r="F788" s="224"/>
      <c r="G788" s="224"/>
      <c r="H788" s="890"/>
      <c r="I788" s="890"/>
    </row>
    <row r="789" spans="1:9" x14ac:dyDescent="0.25">
      <c r="A789" s="223"/>
      <c r="B789" s="223"/>
      <c r="C789" s="223"/>
      <c r="D789" s="223"/>
      <c r="E789" s="223"/>
      <c r="F789" s="224"/>
      <c r="G789" s="224"/>
      <c r="H789" s="890"/>
      <c r="I789" s="890"/>
    </row>
    <row r="790" spans="1:9" x14ac:dyDescent="0.25">
      <c r="A790" s="223"/>
      <c r="B790" s="223"/>
      <c r="C790" s="223"/>
      <c r="D790" s="223"/>
      <c r="E790" s="223"/>
      <c r="F790" s="224"/>
      <c r="G790" s="224"/>
      <c r="H790" s="890"/>
      <c r="I790" s="890"/>
    </row>
    <row r="791" spans="1:9" x14ac:dyDescent="0.25">
      <c r="A791" s="223"/>
      <c r="B791" s="223"/>
      <c r="C791" s="223"/>
      <c r="D791" s="223"/>
      <c r="E791" s="223"/>
      <c r="F791" s="224"/>
      <c r="G791" s="224"/>
      <c r="H791" s="890"/>
      <c r="I791" s="890"/>
    </row>
    <row r="792" spans="1:9" x14ac:dyDescent="0.25">
      <c r="A792" s="223"/>
      <c r="B792" s="223"/>
      <c r="C792" s="223"/>
      <c r="D792" s="223"/>
      <c r="E792" s="223"/>
      <c r="F792" s="224"/>
      <c r="G792" s="224"/>
      <c r="H792" s="890"/>
      <c r="I792" s="890"/>
    </row>
    <row r="793" spans="1:9" x14ac:dyDescent="0.25">
      <c r="A793" s="223"/>
      <c r="B793" s="223"/>
      <c r="C793" s="223"/>
      <c r="D793" s="223"/>
      <c r="E793" s="223"/>
      <c r="F793" s="224"/>
      <c r="G793" s="224"/>
      <c r="H793" s="890"/>
      <c r="I793" s="890"/>
    </row>
    <row r="794" spans="1:9" x14ac:dyDescent="0.25">
      <c r="A794" s="223"/>
      <c r="B794" s="223"/>
      <c r="C794" s="223"/>
      <c r="D794" s="223"/>
      <c r="E794" s="223"/>
      <c r="F794" s="224"/>
      <c r="G794" s="224"/>
      <c r="H794" s="890"/>
      <c r="I794" s="890"/>
    </row>
    <row r="795" spans="1:9" x14ac:dyDescent="0.25">
      <c r="A795" s="223"/>
      <c r="B795" s="223"/>
      <c r="C795" s="223"/>
      <c r="D795" s="223"/>
      <c r="E795" s="223"/>
      <c r="F795" s="224"/>
      <c r="G795" s="224"/>
      <c r="H795" s="890"/>
      <c r="I795" s="890"/>
    </row>
    <row r="796" spans="1:9" x14ac:dyDescent="0.25">
      <c r="A796" s="223"/>
      <c r="B796" s="223"/>
      <c r="C796" s="223"/>
      <c r="D796" s="223"/>
      <c r="E796" s="223"/>
      <c r="F796" s="224"/>
      <c r="G796" s="224"/>
      <c r="H796" s="890"/>
      <c r="I796" s="890"/>
    </row>
    <row r="797" spans="1:9" x14ac:dyDescent="0.25">
      <c r="A797" s="223"/>
      <c r="B797" s="223"/>
      <c r="C797" s="223"/>
      <c r="D797" s="223"/>
      <c r="E797" s="223"/>
      <c r="F797" s="224"/>
      <c r="G797" s="224"/>
      <c r="H797" s="890"/>
      <c r="I797" s="890"/>
    </row>
    <row r="798" spans="1:9" x14ac:dyDescent="0.25">
      <c r="A798" s="223"/>
      <c r="B798" s="223"/>
      <c r="C798" s="223"/>
      <c r="D798" s="223"/>
      <c r="E798" s="223"/>
      <c r="F798" s="224"/>
      <c r="G798" s="224"/>
      <c r="H798" s="890"/>
      <c r="I798" s="890"/>
    </row>
    <row r="799" spans="1:9" x14ac:dyDescent="0.25">
      <c r="A799" s="223"/>
      <c r="B799" s="223"/>
      <c r="C799" s="223"/>
      <c r="D799" s="223"/>
      <c r="E799" s="223"/>
      <c r="F799" s="224"/>
      <c r="G799" s="224"/>
      <c r="H799" s="890"/>
      <c r="I799" s="890"/>
    </row>
    <row r="800" spans="1:9" x14ac:dyDescent="0.25">
      <c r="A800" s="223"/>
      <c r="B800" s="223"/>
      <c r="C800" s="223"/>
      <c r="D800" s="223"/>
      <c r="E800" s="223"/>
      <c r="F800" s="224"/>
      <c r="G800" s="224"/>
      <c r="H800" s="890"/>
      <c r="I800" s="890"/>
    </row>
    <row r="801" spans="1:9" x14ac:dyDescent="0.25">
      <c r="A801" s="223"/>
      <c r="B801" s="223"/>
      <c r="C801" s="223"/>
      <c r="D801" s="223"/>
      <c r="E801" s="223"/>
      <c r="F801" s="224"/>
      <c r="G801" s="224"/>
      <c r="H801" s="890"/>
      <c r="I801" s="890"/>
    </row>
    <row r="802" spans="1:9" x14ac:dyDescent="0.25">
      <c r="A802" s="223"/>
      <c r="B802" s="223"/>
      <c r="C802" s="223"/>
      <c r="D802" s="223"/>
      <c r="E802" s="223"/>
      <c r="F802" s="224"/>
      <c r="G802" s="224"/>
      <c r="H802" s="890"/>
      <c r="I802" s="890"/>
    </row>
    <row r="803" spans="1:9" x14ac:dyDescent="0.25">
      <c r="A803" s="223"/>
      <c r="B803" s="223"/>
      <c r="C803" s="223"/>
      <c r="D803" s="223"/>
      <c r="E803" s="223"/>
      <c r="F803" s="224"/>
      <c r="G803" s="224"/>
      <c r="H803" s="890"/>
      <c r="I803" s="890"/>
    </row>
    <row r="804" spans="1:9" x14ac:dyDescent="0.25">
      <c r="A804" s="223"/>
      <c r="B804" s="223"/>
      <c r="C804" s="223"/>
      <c r="D804" s="223"/>
      <c r="E804" s="223"/>
      <c r="F804" s="224"/>
      <c r="G804" s="224"/>
      <c r="H804" s="890"/>
      <c r="I804" s="890"/>
    </row>
    <row r="805" spans="1:9" x14ac:dyDescent="0.25">
      <c r="A805" s="223"/>
      <c r="B805" s="223"/>
      <c r="C805" s="223"/>
      <c r="D805" s="223"/>
      <c r="E805" s="223"/>
      <c r="F805" s="224"/>
      <c r="G805" s="224"/>
      <c r="H805" s="890"/>
      <c r="I805" s="890"/>
    </row>
    <row r="806" spans="1:9" x14ac:dyDescent="0.25">
      <c r="A806" s="223"/>
      <c r="B806" s="223"/>
      <c r="C806" s="223"/>
      <c r="D806" s="223"/>
      <c r="E806" s="223"/>
      <c r="F806" s="224"/>
      <c r="G806" s="224"/>
      <c r="H806" s="890"/>
      <c r="I806" s="890"/>
    </row>
    <row r="807" spans="1:9" x14ac:dyDescent="0.25">
      <c r="A807" s="223"/>
      <c r="B807" s="223"/>
      <c r="C807" s="223"/>
      <c r="D807" s="223"/>
      <c r="E807" s="223"/>
      <c r="F807" s="224"/>
      <c r="G807" s="224"/>
      <c r="H807" s="890"/>
      <c r="I807" s="890"/>
    </row>
    <row r="808" spans="1:9" x14ac:dyDescent="0.25">
      <c r="A808" s="223"/>
      <c r="B808" s="223"/>
      <c r="C808" s="223"/>
      <c r="D808" s="223"/>
      <c r="E808" s="223"/>
      <c r="F808" s="224"/>
      <c r="G808" s="224"/>
      <c r="H808" s="890"/>
      <c r="I808" s="890"/>
    </row>
    <row r="809" spans="1:9" x14ac:dyDescent="0.25">
      <c r="A809" s="223"/>
      <c r="B809" s="223"/>
      <c r="C809" s="223"/>
      <c r="D809" s="223"/>
      <c r="E809" s="223"/>
      <c r="F809" s="224"/>
      <c r="G809" s="224"/>
      <c r="H809" s="890"/>
      <c r="I809" s="890"/>
    </row>
    <row r="810" spans="1:9" x14ac:dyDescent="0.25">
      <c r="A810" s="223"/>
      <c r="B810" s="223"/>
      <c r="C810" s="223"/>
      <c r="D810" s="223"/>
      <c r="E810" s="223"/>
      <c r="F810" s="224"/>
      <c r="G810" s="224"/>
      <c r="H810" s="890"/>
      <c r="I810" s="890"/>
    </row>
    <row r="811" spans="1:9" x14ac:dyDescent="0.25">
      <c r="A811" s="223"/>
      <c r="B811" s="223"/>
      <c r="C811" s="223"/>
      <c r="D811" s="223"/>
      <c r="E811" s="223"/>
      <c r="F811" s="224"/>
      <c r="G811" s="224"/>
      <c r="H811" s="890"/>
      <c r="I811" s="890"/>
    </row>
    <row r="812" spans="1:9" x14ac:dyDescent="0.25">
      <c r="A812" s="223"/>
      <c r="B812" s="223"/>
      <c r="C812" s="223"/>
      <c r="D812" s="223"/>
      <c r="E812" s="223"/>
      <c r="F812" s="224"/>
      <c r="G812" s="224"/>
      <c r="H812" s="890"/>
      <c r="I812" s="890"/>
    </row>
    <row r="813" spans="1:9" x14ac:dyDescent="0.25">
      <c r="A813" s="223"/>
      <c r="B813" s="223"/>
      <c r="C813" s="223"/>
      <c r="D813" s="223"/>
      <c r="E813" s="223"/>
      <c r="F813" s="224"/>
      <c r="G813" s="224"/>
      <c r="H813" s="890"/>
      <c r="I813" s="890"/>
    </row>
    <row r="814" spans="1:9" x14ac:dyDescent="0.25">
      <c r="A814" s="223"/>
      <c r="B814" s="223"/>
      <c r="C814" s="223"/>
      <c r="D814" s="223"/>
      <c r="E814" s="223"/>
      <c r="F814" s="224"/>
      <c r="G814" s="224"/>
      <c r="H814" s="890"/>
      <c r="I814" s="890"/>
    </row>
    <row r="815" spans="1:9" x14ac:dyDescent="0.25">
      <c r="A815" s="223"/>
      <c r="B815" s="223"/>
      <c r="C815" s="223"/>
      <c r="D815" s="223"/>
      <c r="E815" s="223"/>
      <c r="F815" s="224"/>
      <c r="G815" s="224"/>
      <c r="H815" s="890"/>
      <c r="I815" s="890"/>
    </row>
    <row r="816" spans="1:9" x14ac:dyDescent="0.25">
      <c r="A816" s="223"/>
      <c r="B816" s="223"/>
      <c r="C816" s="223"/>
      <c r="D816" s="223"/>
      <c r="E816" s="223"/>
      <c r="F816" s="224"/>
      <c r="G816" s="224"/>
      <c r="H816" s="890"/>
      <c r="I816" s="890"/>
    </row>
    <row r="817" spans="1:9" x14ac:dyDescent="0.25">
      <c r="A817" s="223"/>
      <c r="B817" s="223"/>
      <c r="C817" s="223"/>
      <c r="D817" s="223"/>
      <c r="E817" s="223"/>
      <c r="F817" s="224"/>
      <c r="G817" s="224"/>
      <c r="H817" s="890"/>
      <c r="I817" s="890"/>
    </row>
    <row r="818" spans="1:9" x14ac:dyDescent="0.25">
      <c r="A818" s="223"/>
      <c r="B818" s="223"/>
      <c r="C818" s="223"/>
      <c r="D818" s="223"/>
      <c r="E818" s="223"/>
      <c r="F818" s="224"/>
      <c r="G818" s="224"/>
      <c r="H818" s="890"/>
      <c r="I818" s="890"/>
    </row>
    <row r="819" spans="1:9" x14ac:dyDescent="0.25">
      <c r="A819" s="223"/>
      <c r="B819" s="223"/>
      <c r="C819" s="223"/>
      <c r="D819" s="223"/>
      <c r="E819" s="223"/>
      <c r="F819" s="224"/>
      <c r="G819" s="224"/>
      <c r="H819" s="890"/>
      <c r="I819" s="890"/>
    </row>
    <row r="820" spans="1:9" x14ac:dyDescent="0.25">
      <c r="A820" s="223"/>
      <c r="B820" s="223"/>
      <c r="C820" s="223"/>
      <c r="D820" s="223"/>
      <c r="E820" s="223"/>
      <c r="F820" s="224"/>
      <c r="G820" s="224"/>
      <c r="H820" s="890"/>
      <c r="I820" s="890"/>
    </row>
    <row r="821" spans="1:9" x14ac:dyDescent="0.25">
      <c r="A821" s="223"/>
      <c r="B821" s="223"/>
      <c r="C821" s="223"/>
      <c r="D821" s="223"/>
      <c r="E821" s="223"/>
      <c r="F821" s="224"/>
      <c r="G821" s="224"/>
      <c r="H821" s="890"/>
      <c r="I821" s="890"/>
    </row>
    <row r="822" spans="1:9" x14ac:dyDescent="0.25">
      <c r="A822" s="223"/>
      <c r="B822" s="223"/>
      <c r="C822" s="223"/>
      <c r="D822" s="223"/>
      <c r="E822" s="223"/>
      <c r="F822" s="224"/>
      <c r="G822" s="224"/>
      <c r="H822" s="890"/>
      <c r="I822" s="890"/>
    </row>
    <row r="823" spans="1:9" x14ac:dyDescent="0.25">
      <c r="A823" s="223"/>
      <c r="B823" s="223"/>
      <c r="C823" s="223"/>
      <c r="D823" s="223"/>
      <c r="E823" s="223"/>
      <c r="F823" s="224"/>
      <c r="G823" s="224"/>
      <c r="H823" s="890"/>
      <c r="I823" s="890"/>
    </row>
    <row r="824" spans="1:9" x14ac:dyDescent="0.25">
      <c r="A824" s="223"/>
      <c r="B824" s="223"/>
      <c r="C824" s="223"/>
      <c r="D824" s="223"/>
      <c r="E824" s="223"/>
      <c r="F824" s="224"/>
      <c r="G824" s="224"/>
      <c r="H824" s="890"/>
      <c r="I824" s="890"/>
    </row>
    <row r="825" spans="1:9" x14ac:dyDescent="0.25">
      <c r="A825" s="223"/>
      <c r="B825" s="223"/>
      <c r="C825" s="223"/>
      <c r="D825" s="223"/>
      <c r="E825" s="223"/>
      <c r="F825" s="224"/>
      <c r="G825" s="224"/>
      <c r="H825" s="890"/>
      <c r="I825" s="890"/>
    </row>
    <row r="826" spans="1:9" x14ac:dyDescent="0.25">
      <c r="A826" s="223"/>
      <c r="B826" s="223"/>
      <c r="C826" s="223"/>
      <c r="D826" s="223"/>
      <c r="E826" s="223"/>
      <c r="F826" s="224"/>
      <c r="G826" s="224"/>
      <c r="H826" s="890"/>
      <c r="I826" s="890"/>
    </row>
    <row r="827" spans="1:9" x14ac:dyDescent="0.25">
      <c r="A827" s="223"/>
      <c r="B827" s="223"/>
      <c r="C827" s="223"/>
      <c r="D827" s="223"/>
      <c r="E827" s="223"/>
      <c r="F827" s="224"/>
      <c r="G827" s="224"/>
      <c r="H827" s="890"/>
      <c r="I827" s="890"/>
    </row>
    <row r="828" spans="1:9" x14ac:dyDescent="0.25">
      <c r="A828" s="223"/>
      <c r="B828" s="223"/>
      <c r="C828" s="223"/>
      <c r="D828" s="223"/>
      <c r="E828" s="223"/>
      <c r="F828" s="224"/>
      <c r="G828" s="224"/>
      <c r="H828" s="890"/>
      <c r="I828" s="890"/>
    </row>
    <row r="829" spans="1:9" x14ac:dyDescent="0.25">
      <c r="A829" s="223"/>
      <c r="B829" s="223"/>
      <c r="C829" s="223"/>
      <c r="D829" s="223"/>
      <c r="E829" s="223"/>
      <c r="F829" s="224"/>
      <c r="G829" s="224"/>
      <c r="H829" s="890"/>
      <c r="I829" s="890"/>
    </row>
    <row r="830" spans="1:9" x14ac:dyDescent="0.25">
      <c r="A830" s="223"/>
      <c r="B830" s="223"/>
      <c r="C830" s="223"/>
      <c r="D830" s="223"/>
      <c r="E830" s="223"/>
      <c r="F830" s="224"/>
      <c r="G830" s="224"/>
      <c r="H830" s="890"/>
      <c r="I830" s="890"/>
    </row>
    <row r="831" spans="1:9" x14ac:dyDescent="0.25">
      <c r="A831" s="223"/>
      <c r="B831" s="223"/>
      <c r="C831" s="223"/>
      <c r="D831" s="223"/>
      <c r="E831" s="223"/>
      <c r="F831" s="224"/>
      <c r="G831" s="224"/>
      <c r="H831" s="890"/>
      <c r="I831" s="890"/>
    </row>
    <row r="832" spans="1:9" x14ac:dyDescent="0.25">
      <c r="A832" s="223"/>
      <c r="B832" s="223"/>
      <c r="C832" s="223"/>
      <c r="D832" s="223"/>
      <c r="E832" s="223"/>
      <c r="F832" s="224"/>
      <c r="G832" s="224"/>
      <c r="H832" s="890"/>
      <c r="I832" s="890"/>
    </row>
    <row r="833" spans="1:9" x14ac:dyDescent="0.25">
      <c r="A833" s="223"/>
      <c r="B833" s="223"/>
      <c r="C833" s="223"/>
      <c r="D833" s="223"/>
      <c r="E833" s="223"/>
      <c r="F833" s="224"/>
      <c r="G833" s="224"/>
      <c r="H833" s="890"/>
      <c r="I833" s="890"/>
    </row>
    <row r="834" spans="1:9" x14ac:dyDescent="0.25">
      <c r="A834" s="223"/>
      <c r="B834" s="223"/>
      <c r="C834" s="223"/>
      <c r="D834" s="223"/>
      <c r="E834" s="223"/>
      <c r="F834" s="224"/>
      <c r="G834" s="224"/>
      <c r="H834" s="890"/>
      <c r="I834" s="890"/>
    </row>
    <row r="835" spans="1:9" x14ac:dyDescent="0.25">
      <c r="A835" s="223"/>
      <c r="B835" s="223"/>
      <c r="C835" s="223"/>
      <c r="D835" s="223"/>
      <c r="E835" s="223"/>
      <c r="F835" s="224"/>
      <c r="G835" s="224"/>
      <c r="H835" s="890"/>
      <c r="I835" s="890"/>
    </row>
    <row r="836" spans="1:9" x14ac:dyDescent="0.25">
      <c r="A836" s="223"/>
      <c r="B836" s="223"/>
      <c r="C836" s="223"/>
      <c r="D836" s="223"/>
      <c r="E836" s="223"/>
      <c r="F836" s="224"/>
      <c r="G836" s="224"/>
      <c r="H836" s="890"/>
      <c r="I836" s="890"/>
    </row>
    <row r="837" spans="1:9" x14ac:dyDescent="0.25">
      <c r="A837" s="223"/>
      <c r="B837" s="223"/>
      <c r="C837" s="223"/>
      <c r="D837" s="223"/>
      <c r="E837" s="223"/>
      <c r="F837" s="224"/>
      <c r="G837" s="224"/>
      <c r="H837" s="890"/>
      <c r="I837" s="890"/>
    </row>
    <row r="838" spans="1:9" x14ac:dyDescent="0.25">
      <c r="A838" s="223"/>
      <c r="B838" s="223"/>
      <c r="C838" s="223"/>
      <c r="D838" s="223"/>
      <c r="E838" s="223"/>
      <c r="F838" s="224"/>
      <c r="G838" s="224"/>
      <c r="H838" s="890"/>
      <c r="I838" s="890"/>
    </row>
    <row r="839" spans="1:9" x14ac:dyDescent="0.25">
      <c r="A839" s="223"/>
      <c r="B839" s="223"/>
      <c r="C839" s="223"/>
      <c r="D839" s="223"/>
      <c r="E839" s="223"/>
      <c r="F839" s="224"/>
      <c r="G839" s="224"/>
      <c r="H839" s="890"/>
      <c r="I839" s="890"/>
    </row>
    <row r="840" spans="1:9" x14ac:dyDescent="0.25">
      <c r="A840" s="223"/>
      <c r="B840" s="223"/>
      <c r="C840" s="223"/>
      <c r="D840" s="223"/>
      <c r="E840" s="223"/>
      <c r="F840" s="224"/>
      <c r="G840" s="224"/>
      <c r="H840" s="890"/>
      <c r="I840" s="890"/>
    </row>
    <row r="841" spans="1:9" x14ac:dyDescent="0.25">
      <c r="A841" s="223"/>
      <c r="B841" s="223"/>
      <c r="C841" s="223"/>
      <c r="D841" s="223"/>
      <c r="E841" s="223"/>
      <c r="F841" s="224"/>
      <c r="G841" s="224"/>
      <c r="H841" s="890"/>
      <c r="I841" s="890"/>
    </row>
    <row r="842" spans="1:9" x14ac:dyDescent="0.25">
      <c r="A842" s="223"/>
      <c r="B842" s="223"/>
      <c r="C842" s="223"/>
      <c r="D842" s="223"/>
      <c r="E842" s="223"/>
      <c r="F842" s="224"/>
      <c r="G842" s="224"/>
      <c r="H842" s="890"/>
      <c r="I842" s="890"/>
    </row>
    <row r="843" spans="1:9" x14ac:dyDescent="0.25">
      <c r="A843" s="223"/>
      <c r="B843" s="223"/>
      <c r="C843" s="223"/>
      <c r="D843" s="223"/>
      <c r="E843" s="223"/>
      <c r="F843" s="224"/>
      <c r="G843" s="224"/>
      <c r="H843" s="890"/>
      <c r="I843" s="890"/>
    </row>
    <row r="844" spans="1:9" x14ac:dyDescent="0.25">
      <c r="A844" s="223"/>
      <c r="B844" s="223"/>
      <c r="C844" s="223"/>
      <c r="D844" s="223"/>
      <c r="E844" s="223"/>
      <c r="F844" s="224"/>
      <c r="G844" s="224"/>
      <c r="H844" s="890"/>
      <c r="I844" s="890"/>
    </row>
    <row r="845" spans="1:9" x14ac:dyDescent="0.25">
      <c r="A845" s="223"/>
      <c r="B845" s="223"/>
      <c r="C845" s="223"/>
      <c r="D845" s="223"/>
      <c r="E845" s="223"/>
      <c r="F845" s="224"/>
      <c r="G845" s="224"/>
      <c r="H845" s="890"/>
      <c r="I845" s="890"/>
    </row>
    <row r="846" spans="1:9" x14ac:dyDescent="0.25">
      <c r="A846" s="223"/>
      <c r="B846" s="223"/>
      <c r="C846" s="223"/>
      <c r="D846" s="223"/>
      <c r="E846" s="223"/>
      <c r="F846" s="224"/>
      <c r="G846" s="224"/>
      <c r="H846" s="890"/>
      <c r="I846" s="890"/>
    </row>
    <row r="847" spans="1:9" x14ac:dyDescent="0.25">
      <c r="A847" s="223"/>
      <c r="B847" s="223"/>
      <c r="C847" s="223"/>
      <c r="D847" s="223"/>
      <c r="E847" s="223"/>
      <c r="F847" s="224"/>
      <c r="G847" s="224"/>
      <c r="H847" s="890"/>
      <c r="I847" s="890"/>
    </row>
    <row r="848" spans="1:9" x14ac:dyDescent="0.25">
      <c r="A848" s="223"/>
      <c r="B848" s="223"/>
      <c r="C848" s="223"/>
      <c r="D848" s="223"/>
      <c r="E848" s="223"/>
      <c r="F848" s="224"/>
      <c r="G848" s="224"/>
      <c r="H848" s="890"/>
      <c r="I848" s="890"/>
    </row>
    <row r="849" spans="1:9" x14ac:dyDescent="0.25">
      <c r="A849" s="223"/>
      <c r="B849" s="223"/>
      <c r="C849" s="223"/>
      <c r="D849" s="223"/>
      <c r="E849" s="223"/>
      <c r="F849" s="224"/>
      <c r="G849" s="224"/>
      <c r="H849" s="890"/>
      <c r="I849" s="890"/>
    </row>
    <row r="850" spans="1:9" x14ac:dyDescent="0.25">
      <c r="A850" s="223"/>
      <c r="B850" s="223"/>
      <c r="C850" s="223"/>
      <c r="D850" s="223"/>
      <c r="E850" s="223"/>
      <c r="F850" s="224"/>
      <c r="G850" s="224"/>
      <c r="H850" s="890"/>
      <c r="I850" s="890"/>
    </row>
    <row r="851" spans="1:9" x14ac:dyDescent="0.25">
      <c r="A851" s="223"/>
      <c r="B851" s="223"/>
      <c r="C851" s="223"/>
      <c r="D851" s="223"/>
      <c r="E851" s="223"/>
      <c r="F851" s="224"/>
      <c r="G851" s="224"/>
      <c r="H851" s="890"/>
      <c r="I851" s="890"/>
    </row>
    <row r="852" spans="1:9" x14ac:dyDescent="0.25">
      <c r="A852" s="223"/>
      <c r="B852" s="223"/>
      <c r="C852" s="223"/>
      <c r="D852" s="223"/>
      <c r="E852" s="223"/>
      <c r="F852" s="224"/>
      <c r="G852" s="224"/>
      <c r="H852" s="890"/>
      <c r="I852" s="890"/>
    </row>
    <row r="853" spans="1:9" x14ac:dyDescent="0.25">
      <c r="A853" s="223"/>
      <c r="B853" s="223"/>
      <c r="C853" s="223"/>
      <c r="D853" s="223"/>
      <c r="E853" s="223"/>
      <c r="F853" s="224"/>
      <c r="G853" s="224"/>
      <c r="H853" s="890"/>
      <c r="I853" s="890"/>
    </row>
    <row r="854" spans="1:9" x14ac:dyDescent="0.25">
      <c r="A854" s="223"/>
      <c r="B854" s="223"/>
      <c r="C854" s="223"/>
      <c r="D854" s="223"/>
      <c r="E854" s="223"/>
      <c r="F854" s="224"/>
      <c r="G854" s="224"/>
      <c r="H854" s="890"/>
      <c r="I854" s="890"/>
    </row>
    <row r="855" spans="1:9" x14ac:dyDescent="0.25">
      <c r="A855" s="223"/>
      <c r="B855" s="223"/>
      <c r="C855" s="223"/>
      <c r="D855" s="223"/>
      <c r="E855" s="223"/>
      <c r="F855" s="224"/>
      <c r="G855" s="224"/>
      <c r="H855" s="890"/>
      <c r="I855" s="890"/>
    </row>
    <row r="856" spans="1:9" x14ac:dyDescent="0.25">
      <c r="A856" s="223"/>
      <c r="B856" s="223"/>
      <c r="C856" s="223"/>
      <c r="D856" s="223"/>
      <c r="E856" s="223"/>
      <c r="F856" s="224"/>
      <c r="G856" s="224"/>
      <c r="H856" s="890"/>
      <c r="I856" s="890"/>
    </row>
    <row r="857" spans="1:9" x14ac:dyDescent="0.25">
      <c r="A857" s="223"/>
      <c r="B857" s="223"/>
      <c r="C857" s="223"/>
      <c r="D857" s="223"/>
      <c r="E857" s="223"/>
      <c r="F857" s="224"/>
      <c r="G857" s="224"/>
      <c r="H857" s="890"/>
      <c r="I857" s="890"/>
    </row>
    <row r="858" spans="1:9" x14ac:dyDescent="0.25">
      <c r="A858" s="223"/>
      <c r="B858" s="223"/>
      <c r="C858" s="223"/>
      <c r="D858" s="223"/>
      <c r="E858" s="223"/>
      <c r="F858" s="224"/>
      <c r="G858" s="224"/>
      <c r="H858" s="890"/>
      <c r="I858" s="890"/>
    </row>
    <row r="859" spans="1:9" x14ac:dyDescent="0.25">
      <c r="A859" s="223"/>
      <c r="B859" s="223"/>
      <c r="C859" s="223"/>
      <c r="D859" s="223"/>
      <c r="E859" s="223"/>
      <c r="F859" s="224"/>
      <c r="G859" s="224"/>
      <c r="H859" s="890"/>
      <c r="I859" s="890"/>
    </row>
    <row r="860" spans="1:9" x14ac:dyDescent="0.25">
      <c r="A860" s="223"/>
      <c r="B860" s="223"/>
      <c r="C860" s="223"/>
      <c r="D860" s="223"/>
      <c r="E860" s="223"/>
      <c r="F860" s="224"/>
      <c r="G860" s="224"/>
      <c r="H860" s="890"/>
      <c r="I860" s="890"/>
    </row>
    <row r="861" spans="1:9" x14ac:dyDescent="0.25">
      <c r="A861" s="223"/>
      <c r="B861" s="223"/>
      <c r="C861" s="223"/>
      <c r="D861" s="223"/>
      <c r="E861" s="223"/>
      <c r="F861" s="224"/>
      <c r="G861" s="224"/>
      <c r="H861" s="890"/>
      <c r="I861" s="890"/>
    </row>
    <row r="862" spans="1:9" x14ac:dyDescent="0.25">
      <c r="A862" s="223"/>
      <c r="B862" s="223"/>
      <c r="C862" s="223"/>
      <c r="D862" s="223"/>
      <c r="E862" s="223"/>
      <c r="F862" s="224"/>
      <c r="G862" s="224"/>
      <c r="H862" s="890"/>
      <c r="I862" s="890"/>
    </row>
    <row r="863" spans="1:9" x14ac:dyDescent="0.25">
      <c r="A863" s="223"/>
      <c r="B863" s="223"/>
      <c r="C863" s="223"/>
      <c r="D863" s="223"/>
      <c r="E863" s="223"/>
      <c r="F863" s="224"/>
      <c r="G863" s="224"/>
      <c r="H863" s="890"/>
      <c r="I863" s="890"/>
    </row>
    <row r="864" spans="1:9" x14ac:dyDescent="0.25">
      <c r="A864" s="223"/>
      <c r="B864" s="223"/>
      <c r="C864" s="223"/>
      <c r="D864" s="223"/>
      <c r="E864" s="223"/>
      <c r="F864" s="224"/>
      <c r="G864" s="224"/>
      <c r="H864" s="890"/>
      <c r="I864" s="890"/>
    </row>
    <row r="865" spans="1:9" x14ac:dyDescent="0.25">
      <c r="A865" s="223"/>
      <c r="B865" s="223"/>
      <c r="C865" s="223"/>
      <c r="D865" s="223"/>
      <c r="E865" s="223"/>
      <c r="F865" s="224"/>
      <c r="G865" s="224"/>
      <c r="H865" s="890"/>
      <c r="I865" s="890"/>
    </row>
    <row r="866" spans="1:9" x14ac:dyDescent="0.25">
      <c r="A866" s="223"/>
      <c r="B866" s="223"/>
      <c r="C866" s="223"/>
      <c r="D866" s="223"/>
      <c r="E866" s="223"/>
      <c r="F866" s="224"/>
      <c r="G866" s="224"/>
      <c r="H866" s="890"/>
      <c r="I866" s="890"/>
    </row>
    <row r="867" spans="1:9" x14ac:dyDescent="0.25">
      <c r="A867" s="223"/>
      <c r="B867" s="223"/>
      <c r="C867" s="223"/>
      <c r="D867" s="223"/>
      <c r="E867" s="223"/>
      <c r="F867" s="224"/>
      <c r="G867" s="224"/>
      <c r="H867" s="890"/>
      <c r="I867" s="890"/>
    </row>
    <row r="868" spans="1:9" x14ac:dyDescent="0.25">
      <c r="A868" s="223"/>
      <c r="B868" s="223"/>
      <c r="C868" s="223"/>
      <c r="D868" s="223"/>
      <c r="E868" s="223"/>
      <c r="F868" s="224"/>
      <c r="G868" s="224"/>
      <c r="H868" s="890"/>
      <c r="I868" s="890"/>
    </row>
    <row r="869" spans="1:9" x14ac:dyDescent="0.25">
      <c r="A869" s="223"/>
      <c r="B869" s="223"/>
      <c r="C869" s="223"/>
      <c r="D869" s="223"/>
      <c r="E869" s="223"/>
      <c r="F869" s="224"/>
      <c r="G869" s="224"/>
      <c r="H869" s="890"/>
      <c r="I869" s="890"/>
    </row>
    <row r="870" spans="1:9" x14ac:dyDescent="0.25">
      <c r="A870" s="223"/>
      <c r="B870" s="223"/>
      <c r="C870" s="223"/>
      <c r="D870" s="223"/>
      <c r="E870" s="223"/>
      <c r="F870" s="224"/>
      <c r="G870" s="224"/>
      <c r="H870" s="890"/>
      <c r="I870" s="890"/>
    </row>
    <row r="871" spans="1:9" x14ac:dyDescent="0.25">
      <c r="A871" s="223"/>
      <c r="B871" s="223"/>
      <c r="C871" s="223"/>
      <c r="D871" s="223"/>
      <c r="E871" s="223"/>
      <c r="F871" s="224"/>
      <c r="G871" s="224"/>
      <c r="H871" s="890"/>
      <c r="I871" s="890"/>
    </row>
    <row r="872" spans="1:9" x14ac:dyDescent="0.25">
      <c r="A872" s="223"/>
      <c r="B872" s="223"/>
      <c r="C872" s="223"/>
      <c r="D872" s="223"/>
      <c r="E872" s="223"/>
      <c r="F872" s="224"/>
      <c r="G872" s="224"/>
      <c r="H872" s="890"/>
      <c r="I872" s="890"/>
    </row>
    <row r="873" spans="1:9" x14ac:dyDescent="0.25">
      <c r="A873" s="223"/>
      <c r="B873" s="223"/>
      <c r="C873" s="223"/>
      <c r="D873" s="223"/>
      <c r="E873" s="223"/>
      <c r="F873" s="224"/>
      <c r="G873" s="224"/>
      <c r="H873" s="890"/>
      <c r="I873" s="890"/>
    </row>
    <row r="874" spans="1:9" x14ac:dyDescent="0.25">
      <c r="A874" s="223"/>
      <c r="B874" s="223"/>
      <c r="C874" s="223"/>
      <c r="D874" s="223"/>
      <c r="E874" s="223"/>
      <c r="F874" s="224"/>
      <c r="G874" s="224"/>
      <c r="H874" s="890"/>
      <c r="I874" s="890"/>
    </row>
    <row r="875" spans="1:9" x14ac:dyDescent="0.25">
      <c r="A875" s="223"/>
      <c r="B875" s="223"/>
      <c r="C875" s="223"/>
      <c r="D875" s="223"/>
      <c r="E875" s="223"/>
      <c r="F875" s="224"/>
      <c r="G875" s="224"/>
      <c r="H875" s="890"/>
      <c r="I875" s="890"/>
    </row>
    <row r="876" spans="1:9" x14ac:dyDescent="0.25">
      <c r="A876" s="223"/>
      <c r="B876" s="223"/>
      <c r="C876" s="223"/>
      <c r="D876" s="223"/>
      <c r="E876" s="223"/>
      <c r="F876" s="224"/>
      <c r="G876" s="224"/>
      <c r="H876" s="890"/>
      <c r="I876" s="890"/>
    </row>
    <row r="877" spans="1:9" x14ac:dyDescent="0.25">
      <c r="A877" s="223"/>
      <c r="B877" s="223"/>
      <c r="C877" s="223"/>
      <c r="D877" s="223"/>
      <c r="E877" s="223"/>
      <c r="F877" s="224"/>
      <c r="G877" s="224"/>
      <c r="H877" s="890"/>
      <c r="I877" s="890"/>
    </row>
    <row r="878" spans="1:9" x14ac:dyDescent="0.25">
      <c r="A878" s="223"/>
      <c r="B878" s="223"/>
      <c r="C878" s="223"/>
      <c r="D878" s="223"/>
      <c r="E878" s="223"/>
      <c r="F878" s="224"/>
      <c r="G878" s="224"/>
      <c r="H878" s="890"/>
      <c r="I878" s="890"/>
    </row>
    <row r="879" spans="1:9" x14ac:dyDescent="0.25">
      <c r="A879" s="223"/>
      <c r="B879" s="223"/>
      <c r="C879" s="223"/>
      <c r="D879" s="223"/>
      <c r="E879" s="223"/>
      <c r="F879" s="224"/>
      <c r="G879" s="224"/>
      <c r="H879" s="890"/>
      <c r="I879" s="890"/>
    </row>
    <row r="880" spans="1:9" x14ac:dyDescent="0.25">
      <c r="A880" s="223"/>
      <c r="B880" s="223"/>
      <c r="C880" s="223"/>
      <c r="D880" s="223"/>
      <c r="E880" s="223"/>
      <c r="F880" s="224"/>
      <c r="G880" s="224"/>
      <c r="H880" s="890"/>
      <c r="I880" s="890"/>
    </row>
    <row r="881" spans="1:9" x14ac:dyDescent="0.25">
      <c r="A881" s="223"/>
      <c r="B881" s="223"/>
      <c r="C881" s="223"/>
      <c r="D881" s="223"/>
      <c r="E881" s="223"/>
      <c r="F881" s="224"/>
      <c r="G881" s="224"/>
      <c r="H881" s="890"/>
      <c r="I881" s="890"/>
    </row>
    <row r="882" spans="1:9" x14ac:dyDescent="0.25">
      <c r="A882" s="223"/>
      <c r="B882" s="223"/>
      <c r="C882" s="223"/>
      <c r="D882" s="223"/>
      <c r="E882" s="223"/>
      <c r="F882" s="224"/>
      <c r="G882" s="224"/>
      <c r="H882" s="890"/>
      <c r="I882" s="890"/>
    </row>
    <row r="883" spans="1:9" x14ac:dyDescent="0.25">
      <c r="A883" s="223"/>
      <c r="B883" s="223"/>
      <c r="C883" s="223"/>
      <c r="D883" s="223"/>
      <c r="E883" s="223"/>
      <c r="F883" s="224"/>
      <c r="G883" s="224"/>
      <c r="H883" s="890"/>
      <c r="I883" s="890"/>
    </row>
    <row r="884" spans="1:9" x14ac:dyDescent="0.25">
      <c r="A884" s="223"/>
      <c r="B884" s="223"/>
      <c r="C884" s="223"/>
      <c r="D884" s="223"/>
      <c r="E884" s="223"/>
      <c r="F884" s="224"/>
      <c r="G884" s="224"/>
      <c r="H884" s="890"/>
      <c r="I884" s="890"/>
    </row>
    <row r="885" spans="1:9" x14ac:dyDescent="0.25">
      <c r="A885" s="223"/>
      <c r="B885" s="223"/>
      <c r="C885" s="223"/>
      <c r="D885" s="223"/>
      <c r="E885" s="223"/>
      <c r="F885" s="224"/>
      <c r="G885" s="224"/>
      <c r="H885" s="890"/>
      <c r="I885" s="890"/>
    </row>
    <row r="886" spans="1:9" x14ac:dyDescent="0.25">
      <c r="A886" s="223"/>
      <c r="B886" s="223"/>
      <c r="C886" s="223"/>
      <c r="D886" s="223"/>
      <c r="E886" s="223"/>
      <c r="F886" s="224"/>
      <c r="G886" s="224"/>
      <c r="H886" s="890"/>
      <c r="I886" s="890"/>
    </row>
    <row r="887" spans="1:9" x14ac:dyDescent="0.25">
      <c r="A887" s="223"/>
      <c r="B887" s="223"/>
      <c r="C887" s="223"/>
      <c r="D887" s="223"/>
      <c r="E887" s="223"/>
      <c r="F887" s="224"/>
      <c r="G887" s="224"/>
      <c r="H887" s="890"/>
      <c r="I887" s="890"/>
    </row>
    <row r="888" spans="1:9" x14ac:dyDescent="0.25">
      <c r="A888" s="223"/>
      <c r="B888" s="223"/>
      <c r="C888" s="223"/>
      <c r="D888" s="223"/>
      <c r="E888" s="223"/>
      <c r="F888" s="224"/>
      <c r="G888" s="224"/>
      <c r="H888" s="890"/>
      <c r="I888" s="890"/>
    </row>
    <row r="889" spans="1:9" x14ac:dyDescent="0.25">
      <c r="A889" s="223"/>
      <c r="B889" s="223"/>
      <c r="C889" s="223"/>
      <c r="D889" s="223"/>
      <c r="E889" s="223"/>
      <c r="F889" s="224"/>
      <c r="G889" s="224"/>
      <c r="H889" s="890"/>
      <c r="I889" s="890"/>
    </row>
    <row r="890" spans="1:9" x14ac:dyDescent="0.25">
      <c r="A890" s="223"/>
      <c r="B890" s="223"/>
      <c r="C890" s="223"/>
      <c r="D890" s="223"/>
      <c r="E890" s="223"/>
      <c r="F890" s="224"/>
      <c r="G890" s="224"/>
      <c r="H890" s="890"/>
      <c r="I890" s="890"/>
    </row>
    <row r="891" spans="1:9" x14ac:dyDescent="0.25">
      <c r="A891" s="223"/>
      <c r="B891" s="223"/>
      <c r="C891" s="223"/>
      <c r="D891" s="223"/>
      <c r="E891" s="223"/>
      <c r="F891" s="224"/>
      <c r="G891" s="224"/>
      <c r="H891" s="890"/>
      <c r="I891" s="890"/>
    </row>
    <row r="892" spans="1:9" x14ac:dyDescent="0.25">
      <c r="A892" s="223"/>
      <c r="B892" s="223"/>
      <c r="C892" s="223"/>
      <c r="D892" s="223"/>
      <c r="E892" s="223"/>
      <c r="F892" s="224"/>
      <c r="G892" s="224"/>
      <c r="H892" s="890"/>
      <c r="I892" s="890"/>
    </row>
    <row r="893" spans="1:9" x14ac:dyDescent="0.25">
      <c r="A893" s="223"/>
      <c r="B893" s="223"/>
      <c r="C893" s="223"/>
      <c r="D893" s="223"/>
      <c r="E893" s="223"/>
      <c r="F893" s="224"/>
      <c r="G893" s="224"/>
      <c r="H893" s="890"/>
      <c r="I893" s="890"/>
    </row>
    <row r="894" spans="1:9" x14ac:dyDescent="0.25">
      <c r="A894" s="223"/>
      <c r="B894" s="223"/>
      <c r="C894" s="223"/>
      <c r="D894" s="223"/>
      <c r="E894" s="223"/>
      <c r="F894" s="224"/>
      <c r="G894" s="224"/>
      <c r="H894" s="890"/>
      <c r="I894" s="890"/>
    </row>
    <row r="895" spans="1:9" x14ac:dyDescent="0.25">
      <c r="A895" s="223"/>
      <c r="B895" s="223"/>
      <c r="C895" s="223"/>
      <c r="D895" s="223"/>
      <c r="E895" s="223"/>
      <c r="F895" s="224"/>
      <c r="G895" s="224"/>
      <c r="H895" s="890"/>
      <c r="I895" s="890"/>
    </row>
    <row r="896" spans="1:9" x14ac:dyDescent="0.25">
      <c r="A896" s="223"/>
      <c r="B896" s="223"/>
      <c r="C896" s="223"/>
      <c r="D896" s="223"/>
      <c r="E896" s="223"/>
      <c r="F896" s="224"/>
      <c r="G896" s="224"/>
      <c r="H896" s="890"/>
      <c r="I896" s="890"/>
    </row>
    <row r="897" spans="1:9" x14ac:dyDescent="0.25">
      <c r="A897" s="223"/>
      <c r="B897" s="223"/>
      <c r="C897" s="223"/>
      <c r="D897" s="223"/>
      <c r="E897" s="223"/>
      <c r="F897" s="224"/>
      <c r="G897" s="224"/>
      <c r="H897" s="890"/>
      <c r="I897" s="890"/>
    </row>
    <row r="898" spans="1:9" x14ac:dyDescent="0.25">
      <c r="A898" s="223"/>
      <c r="B898" s="223"/>
      <c r="C898" s="223"/>
      <c r="D898" s="223"/>
      <c r="E898" s="223"/>
      <c r="F898" s="224"/>
      <c r="G898" s="224"/>
      <c r="H898" s="890"/>
      <c r="I898" s="890"/>
    </row>
    <row r="899" spans="1:9" x14ac:dyDescent="0.25">
      <c r="A899" s="223"/>
      <c r="B899" s="223"/>
      <c r="C899" s="223"/>
      <c r="D899" s="223"/>
      <c r="E899" s="223"/>
      <c r="F899" s="224"/>
      <c r="G899" s="224"/>
      <c r="H899" s="890"/>
      <c r="I899" s="890"/>
    </row>
    <row r="900" spans="1:9" x14ac:dyDescent="0.25">
      <c r="A900" s="223"/>
      <c r="B900" s="223"/>
      <c r="C900" s="223"/>
      <c r="D900" s="223"/>
      <c r="E900" s="223"/>
      <c r="F900" s="224"/>
      <c r="G900" s="224"/>
      <c r="H900" s="890"/>
      <c r="I900" s="890"/>
    </row>
    <row r="901" spans="1:9" x14ac:dyDescent="0.25">
      <c r="A901" s="223"/>
      <c r="B901" s="223"/>
      <c r="C901" s="223"/>
      <c r="D901" s="223"/>
      <c r="E901" s="223"/>
      <c r="F901" s="224"/>
      <c r="G901" s="224"/>
      <c r="H901" s="890"/>
      <c r="I901" s="890"/>
    </row>
    <row r="902" spans="1:9" x14ac:dyDescent="0.25">
      <c r="A902" s="223"/>
      <c r="B902" s="223"/>
      <c r="C902" s="223"/>
      <c r="D902" s="223"/>
      <c r="E902" s="223"/>
      <c r="F902" s="224"/>
      <c r="G902" s="224"/>
      <c r="H902" s="890"/>
      <c r="I902" s="890"/>
    </row>
    <row r="903" spans="1:9" x14ac:dyDescent="0.25">
      <c r="A903" s="223"/>
      <c r="B903" s="223"/>
      <c r="C903" s="223"/>
      <c r="D903" s="223"/>
      <c r="E903" s="223"/>
      <c r="F903" s="224"/>
      <c r="G903" s="224"/>
      <c r="H903" s="890"/>
      <c r="I903" s="890"/>
    </row>
    <row r="904" spans="1:9" x14ac:dyDescent="0.25">
      <c r="A904" s="223"/>
      <c r="B904" s="223"/>
      <c r="C904" s="223"/>
      <c r="D904" s="223"/>
      <c r="E904" s="223"/>
      <c r="F904" s="224"/>
      <c r="G904" s="224"/>
      <c r="H904" s="890"/>
      <c r="I904" s="890"/>
    </row>
    <row r="905" spans="1:9" x14ac:dyDescent="0.25">
      <c r="A905" s="223"/>
      <c r="B905" s="223"/>
      <c r="C905" s="223"/>
      <c r="D905" s="223"/>
      <c r="E905" s="223"/>
      <c r="F905" s="224"/>
      <c r="G905" s="224"/>
      <c r="H905" s="890"/>
      <c r="I905" s="890"/>
    </row>
    <row r="906" spans="1:9" x14ac:dyDescent="0.25">
      <c r="A906" s="223"/>
      <c r="B906" s="223"/>
      <c r="C906" s="223"/>
      <c r="D906" s="223"/>
      <c r="E906" s="223"/>
      <c r="F906" s="224"/>
      <c r="G906" s="224"/>
      <c r="H906" s="890"/>
      <c r="I906" s="890"/>
    </row>
    <row r="907" spans="1:9" x14ac:dyDescent="0.25">
      <c r="A907" s="223"/>
      <c r="B907" s="223"/>
      <c r="C907" s="223"/>
      <c r="D907" s="223"/>
      <c r="E907" s="223"/>
      <c r="F907" s="224"/>
      <c r="G907" s="224"/>
      <c r="H907" s="890"/>
      <c r="I907" s="890"/>
    </row>
    <row r="908" spans="1:9" x14ac:dyDescent="0.25">
      <c r="A908" s="223"/>
      <c r="B908" s="223"/>
      <c r="C908" s="223"/>
      <c r="D908" s="223"/>
      <c r="E908" s="223"/>
      <c r="F908" s="224"/>
      <c r="G908" s="224"/>
      <c r="H908" s="890"/>
      <c r="I908" s="890"/>
    </row>
    <row r="909" spans="1:9" x14ac:dyDescent="0.25">
      <c r="A909" s="223"/>
      <c r="B909" s="223"/>
      <c r="C909" s="223"/>
      <c r="D909" s="223"/>
      <c r="E909" s="223"/>
      <c r="F909" s="224"/>
      <c r="G909" s="224"/>
      <c r="H909" s="890"/>
      <c r="I909" s="890"/>
    </row>
    <row r="910" spans="1:9" x14ac:dyDescent="0.25">
      <c r="A910" s="223"/>
      <c r="B910" s="223"/>
      <c r="C910" s="223"/>
      <c r="D910" s="223"/>
      <c r="E910" s="223"/>
      <c r="F910" s="224"/>
      <c r="G910" s="224"/>
      <c r="H910" s="890"/>
      <c r="I910" s="890"/>
    </row>
    <row r="911" spans="1:9" x14ac:dyDescent="0.25">
      <c r="A911" s="223"/>
      <c r="B911" s="223"/>
      <c r="C911" s="223"/>
      <c r="D911" s="223"/>
      <c r="E911" s="223"/>
      <c r="F911" s="224"/>
      <c r="G911" s="224"/>
      <c r="H911" s="890"/>
      <c r="I911" s="890"/>
    </row>
    <row r="912" spans="1:9" x14ac:dyDescent="0.25">
      <c r="A912" s="223"/>
      <c r="B912" s="223"/>
      <c r="C912" s="223"/>
      <c r="D912" s="223"/>
      <c r="E912" s="223"/>
      <c r="F912" s="224"/>
      <c r="G912" s="224"/>
      <c r="H912" s="890"/>
      <c r="I912" s="890"/>
    </row>
    <row r="913" spans="1:9" x14ac:dyDescent="0.25">
      <c r="A913" s="223"/>
      <c r="B913" s="223"/>
      <c r="C913" s="223"/>
      <c r="D913" s="223"/>
      <c r="E913" s="223"/>
      <c r="F913" s="224"/>
      <c r="G913" s="224"/>
      <c r="H913" s="890"/>
      <c r="I913" s="890"/>
    </row>
    <row r="914" spans="1:9" x14ac:dyDescent="0.25">
      <c r="A914" s="223"/>
      <c r="B914" s="223"/>
      <c r="C914" s="223"/>
      <c r="D914" s="223"/>
      <c r="E914" s="223"/>
      <c r="F914" s="224"/>
      <c r="G914" s="224"/>
      <c r="H914" s="890"/>
      <c r="I914" s="890"/>
    </row>
    <row r="915" spans="1:9" x14ac:dyDescent="0.25">
      <c r="A915" s="223"/>
      <c r="B915" s="223"/>
      <c r="C915" s="223"/>
      <c r="D915" s="223"/>
      <c r="E915" s="223"/>
      <c r="F915" s="224"/>
      <c r="G915" s="224"/>
      <c r="H915" s="890"/>
      <c r="I915" s="890"/>
    </row>
    <row r="916" spans="1:9" x14ac:dyDescent="0.25">
      <c r="A916" s="223"/>
      <c r="B916" s="223"/>
      <c r="C916" s="223"/>
      <c r="D916" s="223"/>
      <c r="E916" s="223"/>
      <c r="F916" s="224"/>
      <c r="G916" s="224"/>
      <c r="H916" s="890"/>
      <c r="I916" s="890"/>
    </row>
    <row r="917" spans="1:9" x14ac:dyDescent="0.25">
      <c r="A917" s="223"/>
      <c r="B917" s="223"/>
      <c r="C917" s="223"/>
      <c r="D917" s="223"/>
      <c r="E917" s="223"/>
      <c r="F917" s="224"/>
      <c r="G917" s="224"/>
      <c r="H917" s="890"/>
      <c r="I917" s="890"/>
    </row>
    <row r="918" spans="1:9" x14ac:dyDescent="0.25">
      <c r="A918" s="223"/>
      <c r="B918" s="223"/>
      <c r="C918" s="223"/>
      <c r="D918" s="223"/>
      <c r="E918" s="223"/>
      <c r="F918" s="224"/>
      <c r="G918" s="224"/>
      <c r="H918" s="890"/>
      <c r="I918" s="890"/>
    </row>
    <row r="919" spans="1:9" x14ac:dyDescent="0.25">
      <c r="A919" s="223"/>
      <c r="B919" s="223"/>
      <c r="C919" s="223"/>
      <c r="D919" s="223"/>
      <c r="E919" s="223"/>
      <c r="F919" s="224"/>
      <c r="G919" s="224"/>
      <c r="H919" s="890"/>
      <c r="I919" s="890"/>
    </row>
    <row r="920" spans="1:9" x14ac:dyDescent="0.25">
      <c r="A920" s="223"/>
      <c r="B920" s="223"/>
      <c r="C920" s="223"/>
      <c r="D920" s="223"/>
      <c r="E920" s="223"/>
      <c r="F920" s="224"/>
      <c r="G920" s="224"/>
      <c r="H920" s="890"/>
      <c r="I920" s="890"/>
    </row>
    <row r="921" spans="1:9" x14ac:dyDescent="0.25">
      <c r="A921" s="223"/>
      <c r="B921" s="223"/>
      <c r="C921" s="223"/>
      <c r="D921" s="223"/>
      <c r="E921" s="223"/>
      <c r="F921" s="224"/>
      <c r="G921" s="224"/>
      <c r="H921" s="890"/>
      <c r="I921" s="890"/>
    </row>
    <row r="922" spans="1:9" x14ac:dyDescent="0.25">
      <c r="A922" s="223"/>
      <c r="B922" s="223"/>
      <c r="C922" s="223"/>
      <c r="D922" s="223"/>
      <c r="E922" s="223"/>
      <c r="F922" s="224"/>
      <c r="G922" s="224"/>
      <c r="H922" s="890"/>
      <c r="I922" s="890"/>
    </row>
    <row r="923" spans="1:9" x14ac:dyDescent="0.25">
      <c r="A923" s="223"/>
      <c r="B923" s="223"/>
      <c r="C923" s="223"/>
      <c r="D923" s="223"/>
      <c r="E923" s="223"/>
      <c r="F923" s="224"/>
      <c r="G923" s="224"/>
      <c r="H923" s="890"/>
      <c r="I923" s="890"/>
    </row>
    <row r="924" spans="1:9" x14ac:dyDescent="0.25">
      <c r="A924" s="223"/>
      <c r="B924" s="223"/>
      <c r="C924" s="223"/>
      <c r="D924" s="223"/>
      <c r="E924" s="223"/>
      <c r="F924" s="224"/>
      <c r="G924" s="224"/>
      <c r="H924" s="890"/>
      <c r="I924" s="890"/>
    </row>
    <row r="925" spans="1:9" x14ac:dyDescent="0.25">
      <c r="A925" s="223"/>
      <c r="B925" s="223"/>
      <c r="C925" s="223"/>
      <c r="D925" s="223"/>
      <c r="E925" s="223"/>
      <c r="F925" s="224"/>
      <c r="G925" s="224"/>
      <c r="H925" s="890"/>
      <c r="I925" s="890"/>
    </row>
    <row r="926" spans="1:9" x14ac:dyDescent="0.25">
      <c r="A926" s="223"/>
      <c r="B926" s="223"/>
      <c r="C926" s="223"/>
      <c r="D926" s="223"/>
      <c r="E926" s="223"/>
      <c r="F926" s="224"/>
      <c r="G926" s="224"/>
      <c r="H926" s="890"/>
      <c r="I926" s="890"/>
    </row>
    <row r="927" spans="1:9" x14ac:dyDescent="0.25">
      <c r="A927" s="223"/>
      <c r="B927" s="223"/>
      <c r="C927" s="223"/>
      <c r="D927" s="223"/>
      <c r="E927" s="223"/>
      <c r="F927" s="224"/>
      <c r="G927" s="224"/>
      <c r="H927" s="890"/>
      <c r="I927" s="890"/>
    </row>
    <row r="928" spans="1:9" x14ac:dyDescent="0.25">
      <c r="A928" s="223"/>
      <c r="B928" s="223"/>
      <c r="C928" s="223"/>
      <c r="D928" s="223"/>
      <c r="E928" s="223"/>
      <c r="F928" s="224"/>
      <c r="G928" s="224"/>
      <c r="H928" s="890"/>
      <c r="I928" s="890"/>
    </row>
    <row r="929" spans="1:9" x14ac:dyDescent="0.25">
      <c r="A929" s="223"/>
      <c r="B929" s="223"/>
      <c r="C929" s="223"/>
      <c r="D929" s="223"/>
      <c r="E929" s="223"/>
      <c r="F929" s="224"/>
      <c r="G929" s="224"/>
      <c r="H929" s="890"/>
      <c r="I929" s="890"/>
    </row>
    <row r="930" spans="1:9" x14ac:dyDescent="0.25">
      <c r="A930" s="223"/>
      <c r="B930" s="223"/>
      <c r="C930" s="223"/>
      <c r="D930" s="223"/>
      <c r="E930" s="223"/>
      <c r="F930" s="224"/>
      <c r="G930" s="224"/>
      <c r="H930" s="890"/>
      <c r="I930" s="890"/>
    </row>
    <row r="931" spans="1:9" x14ac:dyDescent="0.25">
      <c r="A931" s="223"/>
      <c r="B931" s="223"/>
      <c r="C931" s="223"/>
      <c r="D931" s="223"/>
      <c r="E931" s="223"/>
      <c r="F931" s="224"/>
      <c r="G931" s="224"/>
      <c r="H931" s="890"/>
      <c r="I931" s="890"/>
    </row>
    <row r="932" spans="1:9" x14ac:dyDescent="0.25">
      <c r="A932" s="223"/>
      <c r="B932" s="223"/>
      <c r="C932" s="223"/>
      <c r="D932" s="223"/>
      <c r="E932" s="223"/>
      <c r="F932" s="224"/>
      <c r="G932" s="224"/>
      <c r="H932" s="890"/>
      <c r="I932" s="890"/>
    </row>
    <row r="933" spans="1:9" x14ac:dyDescent="0.25">
      <c r="A933" s="223"/>
      <c r="B933" s="223"/>
      <c r="C933" s="223"/>
      <c r="D933" s="223"/>
      <c r="E933" s="223"/>
      <c r="F933" s="224"/>
      <c r="G933" s="224"/>
      <c r="H933" s="890"/>
      <c r="I933" s="890"/>
    </row>
    <row r="934" spans="1:9" x14ac:dyDescent="0.25">
      <c r="A934" s="223"/>
      <c r="B934" s="223"/>
      <c r="C934" s="223"/>
      <c r="D934" s="223"/>
      <c r="E934" s="223"/>
      <c r="F934" s="224"/>
      <c r="G934" s="224"/>
      <c r="H934" s="890"/>
      <c r="I934" s="890"/>
    </row>
    <row r="935" spans="1:9" x14ac:dyDescent="0.25">
      <c r="A935" s="223"/>
      <c r="B935" s="223"/>
      <c r="C935" s="223"/>
      <c r="D935" s="223"/>
      <c r="E935" s="223"/>
      <c r="F935" s="224"/>
      <c r="G935" s="224"/>
      <c r="H935" s="890"/>
      <c r="I935" s="890"/>
    </row>
    <row r="936" spans="1:9" x14ac:dyDescent="0.25">
      <c r="A936" s="223"/>
      <c r="B936" s="223"/>
      <c r="C936" s="223"/>
      <c r="D936" s="223"/>
      <c r="E936" s="223"/>
      <c r="F936" s="224"/>
      <c r="G936" s="224"/>
      <c r="H936" s="890"/>
      <c r="I936" s="890"/>
    </row>
    <row r="937" spans="1:9" x14ac:dyDescent="0.25">
      <c r="A937" s="223"/>
      <c r="B937" s="223"/>
      <c r="C937" s="223"/>
      <c r="D937" s="223"/>
      <c r="E937" s="223"/>
      <c r="F937" s="224"/>
      <c r="G937" s="224"/>
      <c r="H937" s="890"/>
      <c r="I937" s="890"/>
    </row>
    <row r="938" spans="1:9" x14ac:dyDescent="0.25">
      <c r="A938" s="223"/>
      <c r="B938" s="223"/>
      <c r="C938" s="223"/>
      <c r="D938" s="223"/>
      <c r="E938" s="223"/>
      <c r="F938" s="224"/>
      <c r="G938" s="224"/>
      <c r="H938" s="890"/>
      <c r="I938" s="890"/>
    </row>
    <row r="939" spans="1:9" x14ac:dyDescent="0.25">
      <c r="A939" s="223"/>
      <c r="B939" s="223"/>
      <c r="C939" s="223"/>
      <c r="D939" s="223"/>
      <c r="E939" s="223"/>
      <c r="F939" s="224"/>
      <c r="G939" s="224"/>
      <c r="H939" s="890"/>
      <c r="I939" s="890"/>
    </row>
    <row r="940" spans="1:9" x14ac:dyDescent="0.25">
      <c r="A940" s="223"/>
      <c r="B940" s="223"/>
      <c r="C940" s="223"/>
      <c r="D940" s="223"/>
      <c r="E940" s="223"/>
      <c r="F940" s="224"/>
      <c r="G940" s="224"/>
      <c r="H940" s="890"/>
      <c r="I940" s="890"/>
    </row>
    <row r="941" spans="1:9" x14ac:dyDescent="0.25">
      <c r="A941" s="223"/>
      <c r="B941" s="223"/>
      <c r="C941" s="223"/>
      <c r="D941" s="223"/>
      <c r="E941" s="223"/>
      <c r="F941" s="224"/>
      <c r="G941" s="224"/>
      <c r="H941" s="890"/>
      <c r="I941" s="890"/>
    </row>
    <row r="942" spans="1:9" x14ac:dyDescent="0.25">
      <c r="A942" s="223"/>
      <c r="B942" s="223"/>
      <c r="C942" s="223"/>
      <c r="D942" s="223"/>
      <c r="E942" s="223"/>
      <c r="F942" s="224"/>
      <c r="G942" s="224"/>
      <c r="H942" s="890"/>
      <c r="I942" s="890"/>
    </row>
    <row r="943" spans="1:9" x14ac:dyDescent="0.25">
      <c r="A943" s="223"/>
      <c r="B943" s="223"/>
      <c r="C943" s="223"/>
      <c r="D943" s="223"/>
      <c r="E943" s="223"/>
      <c r="F943" s="224"/>
      <c r="G943" s="224"/>
      <c r="H943" s="890"/>
      <c r="I943" s="890"/>
    </row>
    <row r="944" spans="1:9" x14ac:dyDescent="0.25">
      <c r="A944" s="223"/>
      <c r="B944" s="223"/>
      <c r="C944" s="223"/>
      <c r="D944" s="223"/>
      <c r="E944" s="223"/>
      <c r="F944" s="224"/>
      <c r="G944" s="224"/>
      <c r="H944" s="890"/>
      <c r="I944" s="890"/>
    </row>
    <row r="945" spans="1:9" x14ac:dyDescent="0.25">
      <c r="A945" s="223"/>
      <c r="B945" s="223"/>
      <c r="C945" s="223"/>
      <c r="D945" s="223"/>
      <c r="E945" s="223"/>
      <c r="F945" s="224"/>
      <c r="G945" s="224"/>
      <c r="H945" s="890"/>
      <c r="I945" s="890"/>
    </row>
    <row r="946" spans="1:9" x14ac:dyDescent="0.25">
      <c r="A946" s="223"/>
      <c r="B946" s="223"/>
      <c r="C946" s="223"/>
      <c r="D946" s="223"/>
      <c r="E946" s="223"/>
      <c r="F946" s="224"/>
      <c r="G946" s="224"/>
      <c r="H946" s="890"/>
      <c r="I946" s="890"/>
    </row>
    <row r="947" spans="1:9" x14ac:dyDescent="0.25">
      <c r="A947" s="223"/>
      <c r="B947" s="223"/>
      <c r="C947" s="223"/>
      <c r="D947" s="223"/>
      <c r="E947" s="223"/>
      <c r="F947" s="224"/>
      <c r="G947" s="224"/>
      <c r="H947" s="890"/>
      <c r="I947" s="890"/>
    </row>
    <row r="948" spans="1:9" x14ac:dyDescent="0.25">
      <c r="A948" s="223"/>
      <c r="B948" s="223"/>
      <c r="C948" s="223"/>
      <c r="D948" s="223"/>
      <c r="E948" s="223"/>
      <c r="F948" s="224"/>
      <c r="G948" s="224"/>
      <c r="H948" s="890"/>
      <c r="I948" s="890"/>
    </row>
    <row r="949" spans="1:9" x14ac:dyDescent="0.25">
      <c r="A949" s="223"/>
      <c r="B949" s="223"/>
      <c r="C949" s="223"/>
      <c r="D949" s="223"/>
      <c r="E949" s="223"/>
      <c r="F949" s="224"/>
      <c r="G949" s="224"/>
      <c r="H949" s="890"/>
      <c r="I949" s="890"/>
    </row>
    <row r="950" spans="1:9" x14ac:dyDescent="0.25">
      <c r="A950" s="223"/>
      <c r="B950" s="223"/>
      <c r="C950" s="223"/>
      <c r="D950" s="223"/>
      <c r="E950" s="223"/>
      <c r="F950" s="224"/>
      <c r="G950" s="224"/>
      <c r="H950" s="890"/>
      <c r="I950" s="890"/>
    </row>
    <row r="951" spans="1:9" x14ac:dyDescent="0.25">
      <c r="A951" s="223"/>
      <c r="B951" s="223"/>
      <c r="C951" s="223"/>
      <c r="D951" s="223"/>
      <c r="E951" s="223"/>
      <c r="F951" s="224"/>
      <c r="G951" s="224"/>
      <c r="H951" s="890"/>
      <c r="I951" s="890"/>
    </row>
    <row r="952" spans="1:9" x14ac:dyDescent="0.25">
      <c r="A952" s="223"/>
      <c r="B952" s="223"/>
      <c r="C952" s="223"/>
      <c r="D952" s="223"/>
      <c r="E952" s="223"/>
      <c r="F952" s="224"/>
      <c r="G952" s="224"/>
      <c r="H952" s="890"/>
      <c r="I952" s="890"/>
    </row>
    <row r="953" spans="1:9" x14ac:dyDescent="0.25">
      <c r="A953" s="223"/>
      <c r="B953" s="223"/>
      <c r="C953" s="223"/>
      <c r="D953" s="223"/>
      <c r="E953" s="223"/>
      <c r="F953" s="224"/>
      <c r="G953" s="224"/>
      <c r="H953" s="890"/>
      <c r="I953" s="890"/>
    </row>
    <row r="954" spans="1:9" x14ac:dyDescent="0.25">
      <c r="A954" s="223"/>
      <c r="B954" s="223"/>
      <c r="C954" s="223"/>
      <c r="D954" s="223"/>
      <c r="E954" s="223"/>
      <c r="F954" s="224"/>
      <c r="G954" s="224"/>
      <c r="H954" s="890"/>
      <c r="I954" s="890"/>
    </row>
    <row r="955" spans="1:9" x14ac:dyDescent="0.25">
      <c r="A955" s="223"/>
      <c r="B955" s="223"/>
      <c r="C955" s="223"/>
      <c r="D955" s="223"/>
      <c r="E955" s="223"/>
      <c r="F955" s="224"/>
      <c r="G955" s="224"/>
      <c r="H955" s="890"/>
      <c r="I955" s="890"/>
    </row>
    <row r="956" spans="1:9" x14ac:dyDescent="0.25">
      <c r="A956" s="223"/>
      <c r="B956" s="223"/>
      <c r="C956" s="223"/>
      <c r="D956" s="223"/>
      <c r="E956" s="223"/>
      <c r="F956" s="224"/>
      <c r="G956" s="224"/>
      <c r="H956" s="890"/>
      <c r="I956" s="890"/>
    </row>
    <row r="957" spans="1:9" x14ac:dyDescent="0.25">
      <c r="A957" s="223"/>
      <c r="B957" s="223"/>
      <c r="C957" s="223"/>
      <c r="D957" s="223"/>
      <c r="E957" s="223"/>
      <c r="F957" s="224"/>
      <c r="G957" s="224"/>
      <c r="H957" s="890"/>
      <c r="I957" s="890"/>
    </row>
    <row r="958" spans="1:9" x14ac:dyDescent="0.25">
      <c r="A958" s="223"/>
      <c r="B958" s="223"/>
      <c r="C958" s="223"/>
      <c r="D958" s="223"/>
      <c r="E958" s="223"/>
      <c r="F958" s="224"/>
      <c r="G958" s="224"/>
      <c r="H958" s="890"/>
      <c r="I958" s="890"/>
    </row>
    <row r="959" spans="1:9" x14ac:dyDescent="0.25">
      <c r="A959" s="223"/>
      <c r="B959" s="223"/>
      <c r="C959" s="223"/>
      <c r="D959" s="223"/>
      <c r="E959" s="223"/>
      <c r="F959" s="224"/>
      <c r="G959" s="224"/>
      <c r="H959" s="890"/>
      <c r="I959" s="890"/>
    </row>
    <row r="960" spans="1:9" x14ac:dyDescent="0.25">
      <c r="A960" s="223"/>
      <c r="B960" s="223"/>
      <c r="C960" s="223"/>
      <c r="D960" s="223"/>
      <c r="E960" s="223"/>
      <c r="F960" s="224"/>
      <c r="G960" s="224"/>
      <c r="H960" s="890"/>
      <c r="I960" s="890"/>
    </row>
    <row r="961" spans="1:9" x14ac:dyDescent="0.25">
      <c r="A961" s="223"/>
      <c r="B961" s="223"/>
      <c r="C961" s="223"/>
      <c r="D961" s="223"/>
      <c r="E961" s="223"/>
      <c r="F961" s="224"/>
      <c r="G961" s="224"/>
      <c r="H961" s="890"/>
      <c r="I961" s="890"/>
    </row>
    <row r="962" spans="1:9" x14ac:dyDescent="0.25">
      <c r="A962" s="223"/>
      <c r="B962" s="223"/>
      <c r="C962" s="223"/>
      <c r="D962" s="223"/>
      <c r="E962" s="223"/>
      <c r="F962" s="224"/>
      <c r="G962" s="224"/>
      <c r="H962" s="890"/>
      <c r="I962" s="890"/>
    </row>
    <row r="963" spans="1:9" x14ac:dyDescent="0.25">
      <c r="A963" s="223"/>
      <c r="B963" s="223"/>
      <c r="C963" s="223"/>
      <c r="D963" s="223"/>
      <c r="E963" s="223"/>
      <c r="F963" s="224"/>
      <c r="G963" s="224"/>
      <c r="H963" s="890"/>
      <c r="I963" s="890"/>
    </row>
    <row r="964" spans="1:9" x14ac:dyDescent="0.25">
      <c r="A964" s="223"/>
      <c r="B964" s="223"/>
      <c r="C964" s="223"/>
      <c r="D964" s="223"/>
      <c r="E964" s="223"/>
      <c r="F964" s="224"/>
      <c r="G964" s="224"/>
      <c r="H964" s="890"/>
      <c r="I964" s="890"/>
    </row>
    <row r="965" spans="1:9" x14ac:dyDescent="0.25">
      <c r="A965" s="223"/>
      <c r="B965" s="223"/>
      <c r="C965" s="223"/>
      <c r="D965" s="223"/>
      <c r="E965" s="223"/>
      <c r="F965" s="224"/>
      <c r="G965" s="224"/>
      <c r="H965" s="890"/>
      <c r="I965" s="890"/>
    </row>
    <row r="966" spans="1:9" x14ac:dyDescent="0.25">
      <c r="A966" s="223"/>
      <c r="B966" s="223"/>
      <c r="C966" s="223"/>
      <c r="D966" s="223"/>
      <c r="E966" s="223"/>
      <c r="F966" s="224"/>
      <c r="G966" s="224"/>
      <c r="H966" s="890"/>
      <c r="I966" s="890"/>
    </row>
    <row r="967" spans="1:9" x14ac:dyDescent="0.25">
      <c r="A967" s="223"/>
      <c r="B967" s="223"/>
      <c r="C967" s="223"/>
      <c r="D967" s="223"/>
      <c r="E967" s="223"/>
      <c r="F967" s="224"/>
      <c r="G967" s="224"/>
      <c r="H967" s="890"/>
      <c r="I967" s="890"/>
    </row>
    <row r="968" spans="1:9" x14ac:dyDescent="0.25">
      <c r="A968" s="223"/>
      <c r="B968" s="223"/>
      <c r="C968" s="223"/>
      <c r="D968" s="223"/>
      <c r="E968" s="223"/>
      <c r="F968" s="224"/>
      <c r="G968" s="224"/>
      <c r="H968" s="890"/>
      <c r="I968" s="890"/>
    </row>
    <row r="969" spans="1:9" x14ac:dyDescent="0.25">
      <c r="A969" s="223"/>
      <c r="B969" s="223"/>
      <c r="C969" s="223"/>
      <c r="D969" s="223"/>
      <c r="E969" s="223"/>
      <c r="F969" s="224"/>
      <c r="G969" s="224"/>
      <c r="H969" s="890"/>
      <c r="I969" s="890"/>
    </row>
    <row r="970" spans="1:9" x14ac:dyDescent="0.25">
      <c r="A970" s="223"/>
      <c r="B970" s="223"/>
      <c r="C970" s="223"/>
      <c r="D970" s="223"/>
      <c r="E970" s="223"/>
      <c r="F970" s="224"/>
      <c r="G970" s="224"/>
      <c r="H970" s="890"/>
      <c r="I970" s="890"/>
    </row>
    <row r="971" spans="1:9" x14ac:dyDescent="0.25">
      <c r="A971" s="223"/>
      <c r="B971" s="223"/>
      <c r="C971" s="223"/>
      <c r="D971" s="223"/>
      <c r="E971" s="223"/>
      <c r="F971" s="224"/>
      <c r="G971" s="224"/>
      <c r="H971" s="890"/>
      <c r="I971" s="890"/>
    </row>
    <row r="972" spans="1:9" x14ac:dyDescent="0.25">
      <c r="A972" s="223"/>
      <c r="B972" s="223"/>
      <c r="C972" s="223"/>
      <c r="D972" s="223"/>
      <c r="E972" s="223"/>
      <c r="F972" s="224"/>
      <c r="G972" s="224"/>
      <c r="H972" s="890"/>
      <c r="I972" s="890"/>
    </row>
    <row r="973" spans="1:9" x14ac:dyDescent="0.25">
      <c r="A973" s="223"/>
      <c r="B973" s="223"/>
      <c r="C973" s="223"/>
      <c r="D973" s="223"/>
      <c r="E973" s="223"/>
      <c r="F973" s="224"/>
      <c r="G973" s="224"/>
      <c r="H973" s="890"/>
      <c r="I973" s="890"/>
    </row>
    <row r="974" spans="1:9" x14ac:dyDescent="0.25">
      <c r="A974" s="223"/>
      <c r="B974" s="223"/>
      <c r="C974" s="223"/>
      <c r="D974" s="223"/>
      <c r="E974" s="223"/>
      <c r="F974" s="224"/>
      <c r="G974" s="224"/>
      <c r="H974" s="890"/>
      <c r="I974" s="890"/>
    </row>
    <row r="975" spans="1:9" x14ac:dyDescent="0.25">
      <c r="A975" s="223"/>
      <c r="B975" s="223"/>
      <c r="C975" s="223"/>
      <c r="D975" s="223"/>
      <c r="E975" s="223"/>
      <c r="F975" s="224"/>
      <c r="G975" s="224"/>
      <c r="H975" s="890"/>
      <c r="I975" s="890"/>
    </row>
    <row r="976" spans="1:9" x14ac:dyDescent="0.25">
      <c r="A976" s="223"/>
      <c r="B976" s="223"/>
      <c r="C976" s="223"/>
      <c r="D976" s="223"/>
      <c r="E976" s="223"/>
      <c r="F976" s="224"/>
      <c r="G976" s="224"/>
      <c r="H976" s="890"/>
      <c r="I976" s="890"/>
    </row>
    <row r="977" spans="1:9" x14ac:dyDescent="0.25">
      <c r="A977" s="223"/>
      <c r="B977" s="223"/>
      <c r="C977" s="223"/>
      <c r="D977" s="223"/>
      <c r="E977" s="223"/>
      <c r="F977" s="224"/>
      <c r="G977" s="224"/>
      <c r="H977" s="890"/>
      <c r="I977" s="890"/>
    </row>
    <row r="978" spans="1:9" x14ac:dyDescent="0.25">
      <c r="A978" s="223"/>
      <c r="B978" s="223"/>
      <c r="C978" s="223"/>
      <c r="D978" s="223"/>
      <c r="E978" s="223"/>
      <c r="F978" s="224"/>
      <c r="G978" s="224"/>
      <c r="H978" s="890"/>
      <c r="I978" s="890"/>
    </row>
    <row r="979" spans="1:9" x14ac:dyDescent="0.25">
      <c r="A979" s="223"/>
      <c r="B979" s="223"/>
      <c r="C979" s="223"/>
      <c r="D979" s="223"/>
      <c r="E979" s="223"/>
      <c r="F979" s="224"/>
      <c r="G979" s="224"/>
      <c r="H979" s="890"/>
      <c r="I979" s="890"/>
    </row>
    <row r="980" spans="1:9" x14ac:dyDescent="0.25">
      <c r="A980" s="223"/>
      <c r="B980" s="223"/>
      <c r="C980" s="223"/>
      <c r="D980" s="223"/>
      <c r="E980" s="223"/>
      <c r="F980" s="224"/>
      <c r="G980" s="224"/>
      <c r="H980" s="890"/>
      <c r="I980" s="890"/>
    </row>
    <row r="981" spans="1:9" x14ac:dyDescent="0.25">
      <c r="A981" s="223"/>
      <c r="B981" s="223"/>
      <c r="C981" s="223"/>
      <c r="D981" s="223"/>
      <c r="E981" s="223"/>
      <c r="F981" s="224"/>
      <c r="G981" s="224"/>
      <c r="H981" s="890"/>
      <c r="I981" s="890"/>
    </row>
    <row r="982" spans="1:9" x14ac:dyDescent="0.25">
      <c r="A982" s="223"/>
      <c r="B982" s="223"/>
      <c r="C982" s="223"/>
      <c r="D982" s="223"/>
      <c r="E982" s="223"/>
      <c r="F982" s="224"/>
      <c r="G982" s="224"/>
      <c r="H982" s="890"/>
      <c r="I982" s="890"/>
    </row>
    <row r="983" spans="1:9" x14ac:dyDescent="0.25">
      <c r="A983" s="223"/>
      <c r="B983" s="223"/>
      <c r="C983" s="223"/>
      <c r="D983" s="223"/>
      <c r="E983" s="223"/>
      <c r="F983" s="224"/>
      <c r="G983" s="224"/>
      <c r="H983" s="890"/>
      <c r="I983" s="890"/>
    </row>
    <row r="984" spans="1:9" x14ac:dyDescent="0.25">
      <c r="A984" s="223"/>
      <c r="B984" s="223"/>
      <c r="C984" s="223"/>
      <c r="D984" s="223"/>
      <c r="E984" s="223"/>
      <c r="F984" s="224"/>
      <c r="G984" s="224"/>
      <c r="H984" s="890"/>
      <c r="I984" s="890"/>
    </row>
    <row r="985" spans="1:9" x14ac:dyDescent="0.25">
      <c r="A985" s="223"/>
      <c r="B985" s="223"/>
      <c r="C985" s="223"/>
      <c r="D985" s="223"/>
      <c r="E985" s="223"/>
      <c r="F985" s="224"/>
      <c r="G985" s="224"/>
      <c r="H985" s="890"/>
      <c r="I985" s="890"/>
    </row>
    <row r="986" spans="1:9" x14ac:dyDescent="0.25">
      <c r="A986" s="223"/>
      <c r="B986" s="223"/>
      <c r="C986" s="223"/>
      <c r="D986" s="223"/>
      <c r="E986" s="223"/>
      <c r="F986" s="224"/>
      <c r="G986" s="224"/>
      <c r="H986" s="890"/>
      <c r="I986" s="890"/>
    </row>
    <row r="987" spans="1:9" x14ac:dyDescent="0.25">
      <c r="A987" s="223"/>
      <c r="B987" s="223"/>
      <c r="C987" s="223"/>
      <c r="D987" s="223"/>
      <c r="E987" s="223"/>
      <c r="F987" s="224"/>
      <c r="G987" s="224"/>
      <c r="H987" s="890"/>
      <c r="I987" s="890"/>
    </row>
    <row r="988" spans="1:9" x14ac:dyDescent="0.25">
      <c r="A988" s="223"/>
      <c r="B988" s="223"/>
      <c r="C988" s="223"/>
      <c r="D988" s="223"/>
      <c r="E988" s="223"/>
      <c r="F988" s="224"/>
      <c r="G988" s="224"/>
      <c r="H988" s="890"/>
      <c r="I988" s="890"/>
    </row>
    <row r="989" spans="1:9" x14ac:dyDescent="0.25">
      <c r="A989" s="223"/>
      <c r="B989" s="223"/>
      <c r="C989" s="223"/>
      <c r="D989" s="223"/>
      <c r="E989" s="223"/>
      <c r="F989" s="224"/>
      <c r="G989" s="224"/>
      <c r="H989" s="890"/>
      <c r="I989" s="890"/>
    </row>
    <row r="990" spans="1:9" x14ac:dyDescent="0.25">
      <c r="A990" s="223"/>
      <c r="B990" s="223"/>
      <c r="C990" s="223"/>
      <c r="D990" s="223"/>
      <c r="E990" s="223"/>
      <c r="F990" s="224"/>
      <c r="G990" s="224"/>
      <c r="H990" s="890"/>
      <c r="I990" s="890"/>
    </row>
    <row r="991" spans="1:9" x14ac:dyDescent="0.25">
      <c r="A991" s="223"/>
      <c r="B991" s="223"/>
      <c r="C991" s="223"/>
      <c r="D991" s="223"/>
      <c r="E991" s="223"/>
      <c r="F991" s="224"/>
      <c r="G991" s="224"/>
      <c r="H991" s="890"/>
      <c r="I991" s="890"/>
    </row>
    <row r="992" spans="1:9" x14ac:dyDescent="0.25">
      <c r="A992" s="223"/>
      <c r="B992" s="223"/>
      <c r="C992" s="223"/>
      <c r="D992" s="223"/>
      <c r="E992" s="223"/>
      <c r="F992" s="224"/>
      <c r="G992" s="224"/>
      <c r="H992" s="890"/>
      <c r="I992" s="890"/>
    </row>
    <row r="993" spans="1:9" x14ac:dyDescent="0.25">
      <c r="A993" s="223"/>
      <c r="B993" s="223"/>
      <c r="C993" s="223"/>
      <c r="D993" s="223"/>
      <c r="E993" s="223"/>
      <c r="F993" s="224"/>
      <c r="G993" s="224"/>
      <c r="H993" s="890"/>
      <c r="I993" s="890"/>
    </row>
    <row r="994" spans="1:9" x14ac:dyDescent="0.25">
      <c r="A994" s="223"/>
      <c r="B994" s="223"/>
      <c r="C994" s="223"/>
      <c r="D994" s="223"/>
      <c r="E994" s="223"/>
      <c r="F994" s="224"/>
      <c r="G994" s="224"/>
      <c r="H994" s="890"/>
      <c r="I994" s="890"/>
    </row>
    <row r="995" spans="1:9" x14ac:dyDescent="0.25">
      <c r="A995" s="223"/>
      <c r="B995" s="223"/>
      <c r="C995" s="223"/>
      <c r="D995" s="223"/>
      <c r="E995" s="223"/>
      <c r="F995" s="224"/>
      <c r="G995" s="224"/>
      <c r="H995" s="890"/>
      <c r="I995" s="890"/>
    </row>
    <row r="996" spans="1:9" x14ac:dyDescent="0.25">
      <c r="A996" s="223"/>
      <c r="B996" s="223"/>
      <c r="C996" s="223"/>
      <c r="D996" s="223"/>
      <c r="E996" s="223"/>
      <c r="F996" s="224"/>
      <c r="G996" s="224"/>
      <c r="H996" s="890"/>
      <c r="I996" s="890"/>
    </row>
    <row r="997" spans="1:9" x14ac:dyDescent="0.25">
      <c r="A997" s="223"/>
      <c r="B997" s="223"/>
      <c r="C997" s="223"/>
      <c r="D997" s="223"/>
      <c r="E997" s="223"/>
      <c r="F997" s="224"/>
      <c r="G997" s="224"/>
      <c r="H997" s="890"/>
      <c r="I997" s="890"/>
    </row>
    <row r="998" spans="1:9" x14ac:dyDescent="0.25">
      <c r="A998" s="223"/>
      <c r="B998" s="223"/>
      <c r="C998" s="223"/>
      <c r="D998" s="223"/>
      <c r="E998" s="223"/>
      <c r="F998" s="224"/>
      <c r="G998" s="224"/>
      <c r="H998" s="890"/>
      <c r="I998" s="890"/>
    </row>
    <row r="999" spans="1:9" x14ac:dyDescent="0.25">
      <c r="A999" s="223"/>
      <c r="B999" s="223"/>
      <c r="C999" s="223"/>
      <c r="D999" s="223"/>
      <c r="E999" s="223"/>
      <c r="F999" s="224"/>
      <c r="G999" s="224"/>
      <c r="H999" s="890"/>
      <c r="I999" s="890"/>
    </row>
    <row r="1000" spans="1:9" x14ac:dyDescent="0.25">
      <c r="A1000" s="223"/>
      <c r="B1000" s="223"/>
      <c r="C1000" s="223"/>
      <c r="D1000" s="223"/>
      <c r="E1000" s="223"/>
      <c r="F1000" s="224"/>
      <c r="G1000" s="224"/>
      <c r="H1000" s="890"/>
      <c r="I1000" s="890"/>
    </row>
    <row r="1001" spans="1:9" x14ac:dyDescent="0.25">
      <c r="A1001" s="223"/>
      <c r="B1001" s="223"/>
      <c r="C1001" s="223"/>
      <c r="D1001" s="223"/>
      <c r="E1001" s="223"/>
      <c r="F1001" s="224"/>
      <c r="G1001" s="224"/>
      <c r="H1001" s="890"/>
      <c r="I1001" s="890"/>
    </row>
    <row r="1002" spans="1:9" x14ac:dyDescent="0.25">
      <c r="A1002" s="223"/>
      <c r="B1002" s="223"/>
      <c r="C1002" s="223"/>
      <c r="D1002" s="223"/>
      <c r="E1002" s="223"/>
      <c r="F1002" s="224"/>
      <c r="G1002" s="224"/>
      <c r="H1002" s="890"/>
      <c r="I1002" s="890"/>
    </row>
    <row r="1003" spans="1:9" x14ac:dyDescent="0.25">
      <c r="A1003" s="223"/>
      <c r="B1003" s="223"/>
      <c r="C1003" s="223"/>
      <c r="D1003" s="223"/>
      <c r="E1003" s="223"/>
      <c r="F1003" s="224"/>
      <c r="G1003" s="224"/>
      <c r="H1003" s="890"/>
      <c r="I1003" s="890"/>
    </row>
    <row r="1004" spans="1:9" x14ac:dyDescent="0.25">
      <c r="A1004" s="223"/>
      <c r="B1004" s="223"/>
      <c r="C1004" s="223"/>
      <c r="D1004" s="223"/>
      <c r="E1004" s="223"/>
      <c r="F1004" s="224"/>
      <c r="G1004" s="224"/>
      <c r="H1004" s="890"/>
      <c r="I1004" s="890"/>
    </row>
    <row r="1005" spans="1:9" x14ac:dyDescent="0.25">
      <c r="A1005" s="223"/>
      <c r="B1005" s="223"/>
      <c r="C1005" s="223"/>
      <c r="D1005" s="223"/>
      <c r="E1005" s="223"/>
      <c r="F1005" s="224"/>
      <c r="G1005" s="224"/>
      <c r="H1005" s="890"/>
      <c r="I1005" s="890"/>
    </row>
    <row r="1006" spans="1:9" x14ac:dyDescent="0.25">
      <c r="A1006" s="223"/>
      <c r="B1006" s="223"/>
      <c r="C1006" s="223"/>
      <c r="D1006" s="223"/>
      <c r="E1006" s="223"/>
      <c r="F1006" s="224"/>
      <c r="G1006" s="224"/>
      <c r="H1006" s="890"/>
      <c r="I1006" s="890"/>
    </row>
    <row r="1007" spans="1:9" x14ac:dyDescent="0.25">
      <c r="A1007" s="223"/>
      <c r="B1007" s="223"/>
      <c r="C1007" s="223"/>
      <c r="D1007" s="223"/>
      <c r="E1007" s="223"/>
      <c r="F1007" s="224"/>
      <c r="G1007" s="224"/>
      <c r="H1007" s="890"/>
      <c r="I1007" s="890"/>
    </row>
    <row r="1008" spans="1:9" x14ac:dyDescent="0.25">
      <c r="A1008" s="223"/>
      <c r="B1008" s="223"/>
      <c r="C1008" s="223"/>
      <c r="D1008" s="223"/>
      <c r="E1008" s="223"/>
      <c r="F1008" s="224"/>
      <c r="G1008" s="224"/>
      <c r="H1008" s="890"/>
      <c r="I1008" s="890"/>
    </row>
    <row r="1009" spans="1:9" x14ac:dyDescent="0.25">
      <c r="A1009" s="223"/>
      <c r="B1009" s="223"/>
      <c r="C1009" s="223"/>
      <c r="D1009" s="223"/>
      <c r="E1009" s="223"/>
      <c r="F1009" s="224"/>
      <c r="G1009" s="224"/>
      <c r="H1009" s="890"/>
      <c r="I1009" s="890"/>
    </row>
    <row r="1010" spans="1:9" x14ac:dyDescent="0.25">
      <c r="A1010" s="223"/>
      <c r="B1010" s="223"/>
      <c r="C1010" s="223"/>
      <c r="D1010" s="223"/>
      <c r="E1010" s="223"/>
      <c r="F1010" s="224"/>
      <c r="G1010" s="224"/>
      <c r="H1010" s="890"/>
      <c r="I1010" s="890"/>
    </row>
    <row r="1011" spans="1:9" x14ac:dyDescent="0.25">
      <c r="A1011" s="223"/>
      <c r="B1011" s="223"/>
      <c r="C1011" s="223"/>
      <c r="D1011" s="223"/>
      <c r="E1011" s="223"/>
      <c r="F1011" s="224"/>
      <c r="G1011" s="224"/>
      <c r="H1011" s="890"/>
      <c r="I1011" s="890"/>
    </row>
    <row r="1012" spans="1:9" x14ac:dyDescent="0.25">
      <c r="A1012" s="223"/>
      <c r="B1012" s="223"/>
      <c r="C1012" s="223"/>
      <c r="D1012" s="223"/>
      <c r="E1012" s="223"/>
      <c r="F1012" s="224"/>
      <c r="G1012" s="224"/>
      <c r="H1012" s="890"/>
      <c r="I1012" s="890"/>
    </row>
    <row r="1013" spans="1:9" x14ac:dyDescent="0.25">
      <c r="A1013" s="223"/>
      <c r="B1013" s="223"/>
      <c r="C1013" s="223"/>
      <c r="D1013" s="223"/>
      <c r="E1013" s="223"/>
      <c r="F1013" s="224"/>
      <c r="G1013" s="224"/>
      <c r="H1013" s="890"/>
      <c r="I1013" s="890"/>
    </row>
    <row r="1014" spans="1:9" x14ac:dyDescent="0.25">
      <c r="A1014" s="223"/>
      <c r="B1014" s="223"/>
      <c r="C1014" s="223"/>
      <c r="D1014" s="223"/>
      <c r="E1014" s="223"/>
      <c r="F1014" s="224"/>
      <c r="G1014" s="224"/>
      <c r="H1014" s="890"/>
      <c r="I1014" s="890"/>
    </row>
    <row r="1015" spans="1:9" x14ac:dyDescent="0.25">
      <c r="A1015" s="223"/>
      <c r="B1015" s="223"/>
      <c r="C1015" s="223"/>
      <c r="D1015" s="223"/>
      <c r="E1015" s="223"/>
      <c r="F1015" s="224"/>
      <c r="G1015" s="224"/>
      <c r="H1015" s="890"/>
      <c r="I1015" s="890"/>
    </row>
    <row r="1016" spans="1:9" x14ac:dyDescent="0.25">
      <c r="A1016" s="223"/>
      <c r="B1016" s="223"/>
      <c r="C1016" s="223"/>
      <c r="D1016" s="223"/>
      <c r="E1016" s="223"/>
      <c r="F1016" s="224"/>
      <c r="G1016" s="224"/>
      <c r="H1016" s="890"/>
      <c r="I1016" s="890"/>
    </row>
    <row r="1017" spans="1:9" x14ac:dyDescent="0.25">
      <c r="A1017" s="223"/>
      <c r="B1017" s="223"/>
      <c r="C1017" s="223"/>
      <c r="D1017" s="223"/>
      <c r="E1017" s="223"/>
      <c r="F1017" s="224"/>
      <c r="G1017" s="224"/>
      <c r="H1017" s="890"/>
      <c r="I1017" s="890"/>
    </row>
    <row r="1018" spans="1:9" x14ac:dyDescent="0.25">
      <c r="A1018" s="223"/>
      <c r="B1018" s="223"/>
      <c r="C1018" s="223"/>
      <c r="D1018" s="223"/>
      <c r="E1018" s="223"/>
      <c r="F1018" s="224"/>
      <c r="G1018" s="224"/>
      <c r="H1018" s="890"/>
      <c r="I1018" s="890"/>
    </row>
    <row r="1019" spans="1:9" x14ac:dyDescent="0.25">
      <c r="A1019" s="223"/>
      <c r="B1019" s="223"/>
      <c r="C1019" s="223"/>
      <c r="D1019" s="223"/>
      <c r="E1019" s="223"/>
      <c r="F1019" s="224"/>
      <c r="G1019" s="224"/>
      <c r="H1019" s="890"/>
      <c r="I1019" s="890"/>
    </row>
    <row r="1020" spans="1:9" x14ac:dyDescent="0.25">
      <c r="A1020" s="223"/>
      <c r="B1020" s="223"/>
      <c r="C1020" s="223"/>
      <c r="D1020" s="223"/>
      <c r="E1020" s="223"/>
      <c r="F1020" s="224"/>
      <c r="G1020" s="224"/>
      <c r="H1020" s="890"/>
      <c r="I1020" s="890"/>
    </row>
    <row r="1021" spans="1:9" x14ac:dyDescent="0.25">
      <c r="A1021" s="223"/>
      <c r="B1021" s="223"/>
      <c r="C1021" s="223"/>
      <c r="D1021" s="223"/>
      <c r="E1021" s="223"/>
      <c r="F1021" s="224"/>
      <c r="G1021" s="224"/>
      <c r="H1021" s="890"/>
      <c r="I1021" s="890"/>
    </row>
    <row r="1022" spans="1:9" x14ac:dyDescent="0.25">
      <c r="A1022" s="223"/>
      <c r="B1022" s="223"/>
      <c r="C1022" s="223"/>
      <c r="D1022" s="223"/>
      <c r="E1022" s="223"/>
      <c r="F1022" s="224"/>
      <c r="G1022" s="224"/>
      <c r="H1022" s="890"/>
      <c r="I1022" s="890"/>
    </row>
    <row r="1023" spans="1:9" x14ac:dyDescent="0.25">
      <c r="A1023" s="223"/>
      <c r="B1023" s="223"/>
      <c r="C1023" s="223"/>
      <c r="D1023" s="223"/>
      <c r="E1023" s="223"/>
      <c r="F1023" s="224"/>
      <c r="G1023" s="224"/>
      <c r="H1023" s="890"/>
      <c r="I1023" s="890"/>
    </row>
    <row r="1024" spans="1:9" x14ac:dyDescent="0.25">
      <c r="A1024" s="223"/>
      <c r="B1024" s="223"/>
      <c r="C1024" s="223"/>
      <c r="D1024" s="223"/>
      <c r="E1024" s="223"/>
      <c r="F1024" s="224"/>
      <c r="G1024" s="224"/>
      <c r="H1024" s="890"/>
      <c r="I1024" s="890"/>
    </row>
    <row r="1025" spans="1:9" x14ac:dyDescent="0.25">
      <c r="A1025" s="223"/>
      <c r="B1025" s="223"/>
      <c r="C1025" s="223"/>
      <c r="D1025" s="223"/>
      <c r="E1025" s="223"/>
      <c r="F1025" s="224"/>
      <c r="G1025" s="224"/>
      <c r="H1025" s="890"/>
      <c r="I1025" s="890"/>
    </row>
    <row r="1026" spans="1:9" x14ac:dyDescent="0.25">
      <c r="A1026" s="223"/>
      <c r="B1026" s="223"/>
      <c r="C1026" s="223"/>
      <c r="D1026" s="223"/>
      <c r="E1026" s="223"/>
      <c r="F1026" s="224"/>
      <c r="G1026" s="224"/>
      <c r="H1026" s="890"/>
      <c r="I1026" s="890"/>
    </row>
    <row r="1027" spans="1:9" x14ac:dyDescent="0.25">
      <c r="A1027" s="223"/>
      <c r="B1027" s="223"/>
      <c r="C1027" s="223"/>
      <c r="D1027" s="223"/>
      <c r="E1027" s="223"/>
      <c r="F1027" s="224"/>
      <c r="G1027" s="224"/>
      <c r="H1027" s="890"/>
      <c r="I1027" s="890"/>
    </row>
    <row r="1028" spans="1:9" x14ac:dyDescent="0.25">
      <c r="A1028" s="223"/>
      <c r="B1028" s="223"/>
      <c r="C1028" s="223"/>
      <c r="D1028" s="223"/>
      <c r="E1028" s="223"/>
      <c r="F1028" s="224"/>
      <c r="G1028" s="224"/>
      <c r="H1028" s="890"/>
      <c r="I1028" s="890"/>
    </row>
    <row r="1029" spans="1:9" x14ac:dyDescent="0.25">
      <c r="A1029" s="223"/>
      <c r="B1029" s="223"/>
      <c r="C1029" s="223"/>
      <c r="D1029" s="223"/>
      <c r="E1029" s="223"/>
      <c r="F1029" s="224"/>
      <c r="G1029" s="224"/>
      <c r="H1029" s="890"/>
      <c r="I1029" s="890"/>
    </row>
    <row r="1030" spans="1:9" x14ac:dyDescent="0.25">
      <c r="A1030" s="223"/>
      <c r="B1030" s="223"/>
      <c r="C1030" s="223"/>
      <c r="D1030" s="223"/>
      <c r="E1030" s="223"/>
      <c r="F1030" s="224"/>
      <c r="G1030" s="224"/>
      <c r="H1030" s="890"/>
      <c r="I1030" s="890"/>
    </row>
    <row r="1031" spans="1:9" x14ac:dyDescent="0.25">
      <c r="A1031" s="223"/>
      <c r="B1031" s="223"/>
      <c r="C1031" s="223"/>
      <c r="D1031" s="223"/>
      <c r="E1031" s="223"/>
      <c r="F1031" s="224"/>
      <c r="G1031" s="224"/>
      <c r="H1031" s="890"/>
      <c r="I1031" s="890"/>
    </row>
    <row r="1032" spans="1:9" x14ac:dyDescent="0.25">
      <c r="A1032" s="223"/>
      <c r="B1032" s="223"/>
      <c r="C1032" s="223"/>
      <c r="D1032" s="223"/>
      <c r="E1032" s="223"/>
      <c r="F1032" s="224"/>
      <c r="G1032" s="224"/>
      <c r="H1032" s="890"/>
      <c r="I1032" s="890"/>
    </row>
    <row r="1033" spans="1:9" x14ac:dyDescent="0.25">
      <c r="A1033" s="223"/>
      <c r="B1033" s="223"/>
      <c r="C1033" s="223"/>
      <c r="D1033" s="223"/>
      <c r="E1033" s="223"/>
      <c r="F1033" s="224"/>
      <c r="G1033" s="224"/>
      <c r="H1033" s="890"/>
      <c r="I1033" s="890"/>
    </row>
    <row r="1034" spans="1:9" x14ac:dyDescent="0.25">
      <c r="A1034" s="223"/>
      <c r="B1034" s="223"/>
      <c r="C1034" s="223"/>
      <c r="D1034" s="223"/>
      <c r="E1034" s="223"/>
      <c r="F1034" s="224"/>
      <c r="G1034" s="224"/>
      <c r="H1034" s="890"/>
      <c r="I1034" s="890"/>
    </row>
    <row r="1035" spans="1:9" x14ac:dyDescent="0.25">
      <c r="A1035" s="223"/>
      <c r="B1035" s="223"/>
      <c r="C1035" s="223"/>
      <c r="D1035" s="223"/>
      <c r="E1035" s="223"/>
      <c r="F1035" s="224"/>
      <c r="G1035" s="224"/>
      <c r="H1035" s="890"/>
      <c r="I1035" s="890"/>
    </row>
    <row r="1036" spans="1:9" x14ac:dyDescent="0.25">
      <c r="A1036" s="223"/>
      <c r="B1036" s="223"/>
      <c r="C1036" s="223"/>
      <c r="D1036" s="223"/>
      <c r="E1036" s="223"/>
      <c r="F1036" s="224"/>
      <c r="G1036" s="224"/>
      <c r="H1036" s="890"/>
      <c r="I1036" s="890"/>
    </row>
    <row r="1037" spans="1:9" x14ac:dyDescent="0.25">
      <c r="A1037" s="223"/>
      <c r="B1037" s="223"/>
      <c r="C1037" s="223"/>
      <c r="D1037" s="223"/>
      <c r="E1037" s="223"/>
      <c r="F1037" s="224"/>
      <c r="G1037" s="224"/>
      <c r="H1037" s="890"/>
      <c r="I1037" s="890"/>
    </row>
    <row r="1038" spans="1:9" x14ac:dyDescent="0.25">
      <c r="A1038" s="223"/>
      <c r="B1038" s="223"/>
      <c r="C1038" s="223"/>
      <c r="D1038" s="223"/>
      <c r="E1038" s="223"/>
      <c r="F1038" s="224"/>
      <c r="G1038" s="224"/>
      <c r="H1038" s="890"/>
      <c r="I1038" s="890"/>
    </row>
    <row r="1039" spans="1:9" x14ac:dyDescent="0.25">
      <c r="A1039" s="223"/>
      <c r="B1039" s="223"/>
      <c r="C1039" s="223"/>
      <c r="D1039" s="223"/>
      <c r="E1039" s="223"/>
      <c r="F1039" s="224"/>
      <c r="G1039" s="224"/>
      <c r="H1039" s="890"/>
      <c r="I1039" s="890"/>
    </row>
    <row r="1040" spans="1:9" x14ac:dyDescent="0.25">
      <c r="A1040" s="223"/>
      <c r="B1040" s="223"/>
      <c r="C1040" s="223"/>
      <c r="D1040" s="223"/>
      <c r="E1040" s="223"/>
      <c r="F1040" s="224"/>
      <c r="G1040" s="224"/>
      <c r="H1040" s="890"/>
      <c r="I1040" s="890"/>
    </row>
    <row r="1041" spans="1:9" x14ac:dyDescent="0.25">
      <c r="A1041" s="223"/>
      <c r="B1041" s="223"/>
      <c r="C1041" s="223"/>
      <c r="D1041" s="223"/>
      <c r="E1041" s="223"/>
      <c r="F1041" s="224"/>
      <c r="G1041" s="224"/>
      <c r="H1041" s="890"/>
      <c r="I1041" s="890"/>
    </row>
    <row r="1042" spans="1:9" x14ac:dyDescent="0.25">
      <c r="A1042" s="223"/>
      <c r="B1042" s="223"/>
      <c r="C1042" s="223"/>
      <c r="D1042" s="223"/>
      <c r="E1042" s="223"/>
      <c r="F1042" s="224"/>
      <c r="G1042" s="224"/>
      <c r="H1042" s="890"/>
      <c r="I1042" s="890"/>
    </row>
    <row r="1043" spans="1:9" x14ac:dyDescent="0.25">
      <c r="A1043" s="223"/>
      <c r="B1043" s="223"/>
      <c r="C1043" s="223"/>
      <c r="D1043" s="223"/>
      <c r="E1043" s="223"/>
      <c r="F1043" s="224"/>
      <c r="G1043" s="224"/>
      <c r="H1043" s="890"/>
      <c r="I1043" s="890"/>
    </row>
    <row r="1044" spans="1:9" x14ac:dyDescent="0.25">
      <c r="A1044" s="223"/>
      <c r="B1044" s="223"/>
      <c r="C1044" s="223"/>
      <c r="D1044" s="223"/>
      <c r="E1044" s="223"/>
      <c r="F1044" s="224"/>
      <c r="G1044" s="224"/>
      <c r="H1044" s="890"/>
      <c r="I1044" s="890"/>
    </row>
    <row r="1045" spans="1:9" x14ac:dyDescent="0.25">
      <c r="A1045" s="223"/>
      <c r="B1045" s="223"/>
      <c r="C1045" s="223"/>
      <c r="D1045" s="223"/>
      <c r="E1045" s="223"/>
      <c r="F1045" s="224"/>
      <c r="G1045" s="224"/>
      <c r="H1045" s="890"/>
      <c r="I1045" s="890"/>
    </row>
    <row r="1046" spans="1:9" x14ac:dyDescent="0.25">
      <c r="A1046" s="223"/>
      <c r="B1046" s="223"/>
      <c r="C1046" s="223"/>
      <c r="D1046" s="223"/>
      <c r="E1046" s="223"/>
      <c r="F1046" s="224"/>
      <c r="G1046" s="224"/>
      <c r="H1046" s="890"/>
      <c r="I1046" s="890"/>
    </row>
    <row r="1047" spans="1:9" x14ac:dyDescent="0.25">
      <c r="A1047" s="223"/>
      <c r="B1047" s="223"/>
      <c r="C1047" s="223"/>
      <c r="D1047" s="223"/>
      <c r="E1047" s="223"/>
      <c r="F1047" s="224"/>
      <c r="G1047" s="224"/>
      <c r="H1047" s="890"/>
      <c r="I1047" s="890"/>
    </row>
    <row r="1048" spans="1:9" x14ac:dyDescent="0.25">
      <c r="A1048" s="223"/>
      <c r="B1048" s="223"/>
      <c r="C1048" s="223"/>
      <c r="D1048" s="223"/>
      <c r="E1048" s="223"/>
      <c r="F1048" s="224"/>
      <c r="G1048" s="224"/>
      <c r="H1048" s="890"/>
      <c r="I1048" s="890"/>
    </row>
    <row r="1049" spans="1:9" x14ac:dyDescent="0.25">
      <c r="A1049" s="223"/>
      <c r="B1049" s="223"/>
      <c r="C1049" s="223"/>
      <c r="D1049" s="223"/>
      <c r="E1049" s="223"/>
      <c r="F1049" s="224"/>
      <c r="G1049" s="224"/>
      <c r="H1049" s="890"/>
      <c r="I1049" s="890"/>
    </row>
    <row r="1050" spans="1:9" x14ac:dyDescent="0.25">
      <c r="A1050" s="223"/>
      <c r="B1050" s="223"/>
      <c r="C1050" s="223"/>
      <c r="D1050" s="223"/>
      <c r="E1050" s="223"/>
      <c r="F1050" s="224"/>
      <c r="G1050" s="224"/>
      <c r="H1050" s="890"/>
      <c r="I1050" s="890"/>
    </row>
    <row r="1051" spans="1:9" x14ac:dyDescent="0.25">
      <c r="A1051" s="223"/>
      <c r="B1051" s="223"/>
      <c r="C1051" s="223"/>
      <c r="D1051" s="223"/>
      <c r="E1051" s="223"/>
      <c r="F1051" s="224"/>
      <c r="G1051" s="224"/>
      <c r="H1051" s="890"/>
      <c r="I1051" s="890"/>
    </row>
    <row r="1052" spans="1:9" x14ac:dyDescent="0.25">
      <c r="A1052" s="223"/>
      <c r="B1052" s="223"/>
      <c r="C1052" s="223"/>
      <c r="D1052" s="223"/>
      <c r="E1052" s="223"/>
      <c r="F1052" s="224"/>
      <c r="G1052" s="224"/>
      <c r="H1052" s="890"/>
      <c r="I1052" s="890"/>
    </row>
    <row r="1053" spans="1:9" x14ac:dyDescent="0.25">
      <c r="A1053" s="223"/>
      <c r="B1053" s="223"/>
      <c r="C1053" s="223"/>
      <c r="D1053" s="223"/>
      <c r="E1053" s="223"/>
      <c r="F1053" s="224"/>
      <c r="G1053" s="224"/>
      <c r="H1053" s="890"/>
      <c r="I1053" s="890"/>
    </row>
    <row r="1054" spans="1:9" x14ac:dyDescent="0.25">
      <c r="A1054" s="223"/>
      <c r="B1054" s="223"/>
      <c r="C1054" s="223"/>
      <c r="D1054" s="223"/>
      <c r="E1054" s="223"/>
      <c r="F1054" s="224"/>
      <c r="G1054" s="224"/>
      <c r="H1054" s="890"/>
      <c r="I1054" s="890"/>
    </row>
    <row r="1055" spans="1:9" x14ac:dyDescent="0.25">
      <c r="A1055" s="223"/>
      <c r="B1055" s="223"/>
      <c r="C1055" s="223"/>
      <c r="D1055" s="223"/>
      <c r="E1055" s="223"/>
      <c r="F1055" s="224"/>
      <c r="G1055" s="224"/>
      <c r="H1055" s="890"/>
      <c r="I1055" s="890"/>
    </row>
    <row r="1056" spans="1:9" x14ac:dyDescent="0.25">
      <c r="A1056" s="223"/>
      <c r="B1056" s="223"/>
      <c r="C1056" s="223"/>
      <c r="D1056" s="223"/>
      <c r="E1056" s="223"/>
      <c r="F1056" s="224"/>
      <c r="G1056" s="224"/>
      <c r="H1056" s="890"/>
      <c r="I1056" s="890"/>
    </row>
    <row r="1057" spans="1:9" x14ac:dyDescent="0.25">
      <c r="A1057" s="223"/>
      <c r="B1057" s="223"/>
      <c r="C1057" s="223"/>
      <c r="D1057" s="223"/>
      <c r="E1057" s="223"/>
      <c r="F1057" s="224"/>
      <c r="G1057" s="224"/>
      <c r="H1057" s="890"/>
      <c r="I1057" s="890"/>
    </row>
    <row r="1058" spans="1:9" x14ac:dyDescent="0.25">
      <c r="A1058" s="223"/>
      <c r="B1058" s="223"/>
      <c r="C1058" s="223"/>
      <c r="D1058" s="223"/>
      <c r="E1058" s="223"/>
      <c r="F1058" s="224"/>
      <c r="G1058" s="224"/>
      <c r="H1058" s="890"/>
      <c r="I1058" s="890"/>
    </row>
    <row r="1059" spans="1:9" x14ac:dyDescent="0.25">
      <c r="A1059" s="223"/>
      <c r="B1059" s="223"/>
      <c r="C1059" s="223"/>
      <c r="D1059" s="223"/>
      <c r="E1059" s="223"/>
      <c r="F1059" s="224"/>
      <c r="G1059" s="224"/>
      <c r="H1059" s="890"/>
      <c r="I1059" s="890"/>
    </row>
    <row r="1060" spans="1:9" x14ac:dyDescent="0.25">
      <c r="A1060" s="223"/>
      <c r="B1060" s="223"/>
      <c r="C1060" s="223"/>
      <c r="D1060" s="223"/>
      <c r="E1060" s="223"/>
      <c r="F1060" s="224"/>
      <c r="G1060" s="224"/>
      <c r="H1060" s="890"/>
      <c r="I1060" s="890"/>
    </row>
    <row r="1061" spans="1:9" x14ac:dyDescent="0.25">
      <c r="A1061" s="223"/>
      <c r="B1061" s="223"/>
      <c r="C1061" s="223"/>
      <c r="D1061" s="223"/>
      <c r="E1061" s="223"/>
      <c r="F1061" s="224"/>
      <c r="G1061" s="224"/>
      <c r="H1061" s="890"/>
      <c r="I1061" s="890"/>
    </row>
    <row r="1062" spans="1:9" x14ac:dyDescent="0.25">
      <c r="A1062" s="223"/>
      <c r="B1062" s="223"/>
      <c r="C1062" s="223"/>
      <c r="D1062" s="223"/>
      <c r="E1062" s="223"/>
      <c r="F1062" s="224"/>
      <c r="G1062" s="224"/>
      <c r="H1062" s="890"/>
      <c r="I1062" s="890"/>
    </row>
    <row r="1063" spans="1:9" x14ac:dyDescent="0.25">
      <c r="A1063" s="223"/>
      <c r="B1063" s="223"/>
      <c r="C1063" s="223"/>
      <c r="D1063" s="223"/>
      <c r="E1063" s="223"/>
      <c r="F1063" s="224"/>
      <c r="G1063" s="224"/>
      <c r="H1063" s="890"/>
      <c r="I1063" s="890"/>
    </row>
    <row r="1064" spans="1:9" x14ac:dyDescent="0.25">
      <c r="A1064" s="223"/>
      <c r="B1064" s="223"/>
      <c r="C1064" s="223"/>
      <c r="D1064" s="223"/>
      <c r="E1064" s="223"/>
      <c r="F1064" s="224"/>
      <c r="G1064" s="224"/>
      <c r="H1064" s="890"/>
      <c r="I1064" s="890"/>
    </row>
    <row r="1065" spans="1:9" x14ac:dyDescent="0.25">
      <c r="A1065" s="223"/>
      <c r="B1065" s="223"/>
      <c r="C1065" s="223"/>
      <c r="D1065" s="223"/>
      <c r="E1065" s="223"/>
      <c r="F1065" s="224"/>
      <c r="G1065" s="224"/>
      <c r="H1065" s="890"/>
      <c r="I1065" s="890"/>
    </row>
    <row r="1066" spans="1:9" x14ac:dyDescent="0.25">
      <c r="A1066" s="223"/>
      <c r="B1066" s="223"/>
      <c r="C1066" s="223"/>
      <c r="D1066" s="223"/>
      <c r="E1066" s="223"/>
      <c r="F1066" s="224"/>
      <c r="G1066" s="224"/>
      <c r="H1066" s="890"/>
      <c r="I1066" s="890"/>
    </row>
    <row r="1067" spans="1:9" x14ac:dyDescent="0.25">
      <c r="A1067" s="223"/>
      <c r="B1067" s="223"/>
      <c r="C1067" s="223"/>
      <c r="D1067" s="223"/>
      <c r="E1067" s="223"/>
      <c r="F1067" s="224"/>
      <c r="G1067" s="224"/>
      <c r="H1067" s="890"/>
      <c r="I1067" s="890"/>
    </row>
    <row r="1068" spans="1:9" x14ac:dyDescent="0.25">
      <c r="A1068" s="223"/>
      <c r="B1068" s="223"/>
      <c r="C1068" s="223"/>
      <c r="D1068" s="223"/>
      <c r="E1068" s="223"/>
      <c r="F1068" s="224"/>
      <c r="G1068" s="224"/>
      <c r="H1068" s="890"/>
      <c r="I1068" s="890"/>
    </row>
    <row r="1069" spans="1:9" x14ac:dyDescent="0.25">
      <c r="A1069" s="223"/>
      <c r="B1069" s="223"/>
      <c r="C1069" s="223"/>
      <c r="D1069" s="223"/>
      <c r="E1069" s="223"/>
      <c r="F1069" s="224"/>
      <c r="G1069" s="224"/>
      <c r="H1069" s="890"/>
      <c r="I1069" s="890"/>
    </row>
    <row r="1070" spans="1:9" x14ac:dyDescent="0.25">
      <c r="A1070" s="223"/>
      <c r="B1070" s="223"/>
      <c r="C1070" s="223"/>
      <c r="D1070" s="223"/>
      <c r="E1070" s="223"/>
      <c r="F1070" s="224"/>
      <c r="G1070" s="224"/>
      <c r="H1070" s="890"/>
      <c r="I1070" s="890"/>
    </row>
    <row r="1071" spans="1:9" x14ac:dyDescent="0.25">
      <c r="A1071" s="223"/>
      <c r="B1071" s="223"/>
      <c r="C1071" s="223"/>
      <c r="D1071" s="223"/>
      <c r="E1071" s="223"/>
      <c r="F1071" s="224"/>
      <c r="G1071" s="224"/>
      <c r="H1071" s="890"/>
      <c r="I1071" s="890"/>
    </row>
    <row r="1072" spans="1:9" x14ac:dyDescent="0.25">
      <c r="A1072" s="223"/>
      <c r="B1072" s="223"/>
      <c r="C1072" s="223"/>
      <c r="D1072" s="223"/>
      <c r="E1072" s="223"/>
      <c r="F1072" s="224"/>
      <c r="G1072" s="224"/>
      <c r="H1072" s="890"/>
      <c r="I1072" s="890"/>
    </row>
    <row r="1073" spans="1:9" x14ac:dyDescent="0.25">
      <c r="A1073" s="223"/>
      <c r="B1073" s="223"/>
      <c r="C1073" s="223"/>
      <c r="D1073" s="223"/>
      <c r="E1073" s="223"/>
      <c r="F1073" s="224"/>
      <c r="G1073" s="224"/>
      <c r="H1073" s="890"/>
      <c r="I1073" s="890"/>
    </row>
    <row r="1074" spans="1:9" x14ac:dyDescent="0.25">
      <c r="A1074" s="223"/>
      <c r="B1074" s="223"/>
      <c r="C1074" s="223"/>
      <c r="D1074" s="223"/>
      <c r="E1074" s="223"/>
      <c r="F1074" s="224"/>
      <c r="G1074" s="224"/>
      <c r="H1074" s="890"/>
      <c r="I1074" s="890"/>
    </row>
    <row r="1075" spans="1:9" x14ac:dyDescent="0.25">
      <c r="A1075" s="223"/>
      <c r="B1075" s="223"/>
      <c r="C1075" s="223"/>
      <c r="D1075" s="223"/>
      <c r="E1075" s="223"/>
      <c r="F1075" s="224"/>
      <c r="G1075" s="224"/>
      <c r="H1075" s="890"/>
      <c r="I1075" s="890"/>
    </row>
    <row r="1076" spans="1:9" x14ac:dyDescent="0.25">
      <c r="A1076" s="223"/>
      <c r="B1076" s="223"/>
      <c r="C1076" s="223"/>
      <c r="D1076" s="223"/>
      <c r="E1076" s="223"/>
      <c r="F1076" s="224"/>
      <c r="G1076" s="224"/>
      <c r="H1076" s="890"/>
      <c r="I1076" s="890"/>
    </row>
    <row r="1077" spans="1:9" x14ac:dyDescent="0.25">
      <c r="A1077" s="223"/>
      <c r="B1077" s="223"/>
      <c r="C1077" s="223"/>
      <c r="D1077" s="223"/>
      <c r="E1077" s="223"/>
      <c r="F1077" s="224"/>
      <c r="G1077" s="224"/>
      <c r="H1077" s="890"/>
      <c r="I1077" s="890"/>
    </row>
    <row r="1078" spans="1:9" x14ac:dyDescent="0.25">
      <c r="A1078" s="223"/>
      <c r="B1078" s="223"/>
      <c r="C1078" s="223"/>
      <c r="D1078" s="223"/>
      <c r="E1078" s="223"/>
      <c r="F1078" s="224"/>
      <c r="G1078" s="224"/>
      <c r="H1078" s="890"/>
      <c r="I1078" s="890"/>
    </row>
    <row r="1079" spans="1:9" x14ac:dyDescent="0.25">
      <c r="A1079" s="223"/>
      <c r="B1079" s="223"/>
      <c r="C1079" s="223"/>
      <c r="D1079" s="223"/>
      <c r="E1079" s="223"/>
      <c r="F1079" s="224"/>
      <c r="G1079" s="224"/>
      <c r="H1079" s="890"/>
      <c r="I1079" s="890"/>
    </row>
    <row r="1080" spans="1:9" x14ac:dyDescent="0.25">
      <c r="A1080" s="223"/>
      <c r="B1080" s="223"/>
      <c r="C1080" s="223"/>
      <c r="D1080" s="223"/>
      <c r="E1080" s="223"/>
      <c r="F1080" s="224"/>
      <c r="G1080" s="224"/>
      <c r="H1080" s="890"/>
      <c r="I1080" s="890"/>
    </row>
    <row r="1081" spans="1:9" x14ac:dyDescent="0.25">
      <c r="A1081" s="223"/>
      <c r="B1081" s="223"/>
      <c r="C1081" s="223"/>
      <c r="D1081" s="223"/>
      <c r="E1081" s="223"/>
      <c r="F1081" s="224"/>
      <c r="G1081" s="224"/>
      <c r="H1081" s="890"/>
      <c r="I1081" s="890"/>
    </row>
    <row r="1082" spans="1:9" x14ac:dyDescent="0.25">
      <c r="A1082" s="223"/>
      <c r="B1082" s="223"/>
      <c r="C1082" s="223"/>
      <c r="D1082" s="223"/>
      <c r="E1082" s="223"/>
      <c r="F1082" s="224"/>
      <c r="G1082" s="224"/>
      <c r="H1082" s="890"/>
      <c r="I1082" s="890"/>
    </row>
    <row r="1083" spans="1:9" x14ac:dyDescent="0.25">
      <c r="A1083" s="223"/>
      <c r="B1083" s="223"/>
      <c r="C1083" s="223"/>
      <c r="D1083" s="223"/>
      <c r="E1083" s="223"/>
      <c r="F1083" s="224"/>
      <c r="G1083" s="224"/>
      <c r="H1083" s="890"/>
      <c r="I1083" s="890"/>
    </row>
    <row r="1084" spans="1:9" x14ac:dyDescent="0.25">
      <c r="A1084" s="223"/>
      <c r="B1084" s="223"/>
      <c r="C1084" s="223"/>
      <c r="D1084" s="223"/>
      <c r="E1084" s="223"/>
      <c r="F1084" s="224"/>
      <c r="G1084" s="224"/>
      <c r="H1084" s="890"/>
      <c r="I1084" s="890"/>
    </row>
    <row r="1085" spans="1:9" x14ac:dyDescent="0.25">
      <c r="A1085" s="223"/>
      <c r="B1085" s="223"/>
      <c r="C1085" s="223"/>
      <c r="D1085" s="223"/>
      <c r="E1085" s="223"/>
      <c r="F1085" s="224"/>
      <c r="G1085" s="224"/>
      <c r="H1085" s="890"/>
      <c r="I1085" s="890"/>
    </row>
    <row r="1086" spans="1:9" x14ac:dyDescent="0.25">
      <c r="A1086" s="223"/>
      <c r="B1086" s="223"/>
      <c r="C1086" s="223"/>
      <c r="D1086" s="223"/>
      <c r="E1086" s="223"/>
      <c r="F1086" s="224"/>
      <c r="G1086" s="224"/>
      <c r="H1086" s="890"/>
      <c r="I1086" s="890"/>
    </row>
  </sheetData>
  <autoFilter ref="C5:I117" xr:uid="{00000000-0009-0000-0000-00000A000000}"/>
  <mergeCells count="8">
    <mergeCell ref="H5:H7"/>
    <mergeCell ref="I5:I7"/>
    <mergeCell ref="C4:I4"/>
    <mergeCell ref="C5:C7"/>
    <mergeCell ref="D5:D7"/>
    <mergeCell ref="E5:E7"/>
    <mergeCell ref="F5:F7"/>
    <mergeCell ref="G5:G7"/>
  </mergeCells>
  <pageMargins left="0.511811024" right="0.511811024" top="0.78740157499999996" bottom="0.78740157499999996" header="0" footer="0"/>
  <pageSetup paperSize="9" scale="58"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pageSetUpPr fitToPage="1"/>
  </sheetPr>
  <dimension ref="A1:AD1016"/>
  <sheetViews>
    <sheetView showGridLines="0" showZeros="0" zoomScale="55" zoomScaleNormal="55" zoomScaleSheetLayoutView="55" workbookViewId="0">
      <pane ySplit="7" topLeftCell="A8" activePane="bottomLeft" state="frozen"/>
      <selection activeCell="D48" sqref="D48"/>
      <selection pane="bottomLeft" activeCell="V9" sqref="V9"/>
    </sheetView>
  </sheetViews>
  <sheetFormatPr defaultColWidth="14.42578125" defaultRowHeight="15" x14ac:dyDescent="0.25"/>
  <cols>
    <col min="1" max="1" width="2.28515625" style="225" customWidth="1"/>
    <col min="2" max="2" width="1.42578125" style="225" customWidth="1"/>
    <col min="3" max="3" width="27.42578125" style="225" bestFit="1" customWidth="1"/>
    <col min="4" max="4" width="57.28515625" style="225" bestFit="1" customWidth="1"/>
    <col min="5" max="5" width="14.28515625" style="225" bestFit="1" customWidth="1"/>
    <col min="6" max="6" width="12.85546875" style="225" customWidth="1"/>
    <col min="7" max="7" width="1.7109375" style="279" customWidth="1"/>
    <col min="8" max="13" width="14.42578125" style="225" customWidth="1"/>
    <col min="14" max="14" width="14.5703125" style="225" customWidth="1"/>
    <col min="15" max="16" width="14.42578125" style="225" customWidth="1"/>
    <col min="17" max="17" width="1" style="225" customWidth="1"/>
    <col min="18" max="19" width="14.42578125" style="891" customWidth="1"/>
    <col min="20" max="20" width="1" style="225" customWidth="1"/>
    <col min="21" max="29" width="8.85546875" style="225" customWidth="1"/>
    <col min="30" max="16384" width="14.42578125" style="225"/>
  </cols>
  <sheetData>
    <row r="1" spans="3:30" ht="28.5" x14ac:dyDescent="0.6">
      <c r="C1" s="287" t="s">
        <v>0</v>
      </c>
      <c r="D1" s="285" t="str">
        <f>Obra!D1</f>
        <v>Atlantia</v>
      </c>
      <c r="E1" s="3"/>
      <c r="F1" s="4"/>
      <c r="G1" s="28"/>
      <c r="H1" s="28"/>
      <c r="I1" s="28"/>
      <c r="J1" s="28"/>
      <c r="K1" s="28"/>
      <c r="L1" s="28"/>
      <c r="M1" s="28"/>
      <c r="N1" s="28"/>
      <c r="O1" s="281"/>
      <c r="P1" s="282"/>
      <c r="Q1" s="282"/>
      <c r="R1" s="873"/>
      <c r="S1" s="873"/>
      <c r="T1" s="196"/>
      <c r="Z1" s="267"/>
      <c r="AA1" s="267"/>
      <c r="AB1" s="280"/>
      <c r="AC1" s="267"/>
      <c r="AD1" s="267"/>
    </row>
    <row r="2" spans="3:30" ht="28.5" x14ac:dyDescent="0.6">
      <c r="C2" s="288" t="s">
        <v>1</v>
      </c>
      <c r="D2" s="286" t="str">
        <f>Obra!D2</f>
        <v>H empreendimentos</v>
      </c>
      <c r="E2" s="8"/>
      <c r="F2" s="9"/>
      <c r="G2" s="30"/>
      <c r="H2" s="30"/>
      <c r="I2" s="30"/>
      <c r="J2" s="30"/>
      <c r="K2" s="30"/>
      <c r="L2" s="30"/>
      <c r="M2" s="30"/>
      <c r="N2" s="30"/>
      <c r="O2" s="283"/>
      <c r="P2" s="284"/>
      <c r="Q2" s="284"/>
      <c r="R2" s="874"/>
      <c r="S2" s="874"/>
      <c r="T2" s="197"/>
      <c r="Z2" s="267"/>
      <c r="AA2" s="267"/>
      <c r="AB2" s="280"/>
      <c r="AC2" s="267"/>
      <c r="AD2" s="267"/>
    </row>
    <row r="3" spans="3:30" ht="29.25" thickBot="1" x14ac:dyDescent="0.65">
      <c r="C3" s="288" t="s">
        <v>2</v>
      </c>
      <c r="D3" s="286" t="str">
        <f>Obra!D3</f>
        <v>R03 - Valquiria</v>
      </c>
      <c r="E3" s="8"/>
      <c r="F3" s="9"/>
      <c r="G3" s="30"/>
      <c r="H3" s="31"/>
      <c r="I3" s="31"/>
      <c r="J3" s="31"/>
      <c r="K3" s="31"/>
      <c r="L3" s="31"/>
      <c r="M3" s="31"/>
      <c r="N3" s="31"/>
      <c r="O3" s="283"/>
      <c r="P3" s="284"/>
      <c r="Q3" s="284"/>
      <c r="R3" s="874"/>
      <c r="S3" s="874"/>
      <c r="T3" s="197"/>
      <c r="Z3" s="267"/>
      <c r="AA3" s="267"/>
      <c r="AB3" s="280"/>
      <c r="AC3" s="267"/>
      <c r="AD3" s="267"/>
    </row>
    <row r="4" spans="3:30" ht="35.25" thickBot="1" x14ac:dyDescent="0.3">
      <c r="C4" s="298" t="s">
        <v>289</v>
      </c>
      <c r="D4" s="299"/>
      <c r="E4" s="299"/>
      <c r="F4" s="299"/>
      <c r="G4" s="299"/>
      <c r="H4" s="299"/>
      <c r="I4" s="299"/>
      <c r="J4" s="299"/>
      <c r="K4" s="299"/>
      <c r="L4" s="299"/>
      <c r="M4" s="299"/>
      <c r="N4" s="299"/>
      <c r="O4" s="299"/>
      <c r="P4" s="299"/>
      <c r="Q4" s="299"/>
      <c r="R4" s="875"/>
      <c r="S4" s="875"/>
      <c r="T4" s="300"/>
      <c r="Z4" s="267"/>
      <c r="AA4" s="267"/>
      <c r="AB4" s="280"/>
      <c r="AC4" s="267"/>
      <c r="AD4" s="267"/>
    </row>
    <row r="5" spans="3:30" ht="17.25" thickTop="1" thickBot="1" x14ac:dyDescent="0.3">
      <c r="C5" s="1074" t="s">
        <v>267</v>
      </c>
      <c r="D5" s="1077" t="s">
        <v>268</v>
      </c>
      <c r="E5" s="1077" t="s">
        <v>290</v>
      </c>
      <c r="F5" s="1080" t="s">
        <v>67</v>
      </c>
      <c r="G5" s="226"/>
      <c r="H5" s="1083" t="s">
        <v>266</v>
      </c>
      <c r="I5" s="1084"/>
      <c r="J5" s="1084"/>
      <c r="K5" s="1084"/>
      <c r="L5" s="1084"/>
      <c r="M5" s="1084"/>
      <c r="N5" s="1084"/>
      <c r="O5" s="1084"/>
      <c r="P5" s="1084"/>
      <c r="Q5" s="1084"/>
      <c r="R5" s="1085"/>
      <c r="S5" s="876"/>
      <c r="T5" s="223"/>
      <c r="U5" s="223"/>
      <c r="V5" s="223"/>
      <c r="W5" s="223"/>
      <c r="X5" s="223"/>
      <c r="Y5" s="223"/>
      <c r="Z5" s="223"/>
      <c r="AA5" s="223"/>
      <c r="AB5" s="223"/>
      <c r="AC5" s="223"/>
      <c r="AD5" s="223"/>
    </row>
    <row r="6" spans="3:30" ht="63.75" customHeight="1" x14ac:dyDescent="0.25">
      <c r="C6" s="1075"/>
      <c r="D6" s="1078"/>
      <c r="E6" s="1078"/>
      <c r="F6" s="1081"/>
      <c r="G6" s="227"/>
      <c r="H6" s="228" t="s">
        <v>223</v>
      </c>
      <c r="I6" s="229" t="s">
        <v>224</v>
      </c>
      <c r="J6" s="229" t="s">
        <v>225</v>
      </c>
      <c r="K6" s="229" t="s">
        <v>226</v>
      </c>
      <c r="L6" s="229" t="s">
        <v>227</v>
      </c>
      <c r="M6" s="229" t="s">
        <v>386</v>
      </c>
      <c r="N6" s="229" t="s">
        <v>387</v>
      </c>
      <c r="O6" s="229" t="s">
        <v>388</v>
      </c>
      <c r="P6" s="230" t="s">
        <v>389</v>
      </c>
      <c r="R6" s="1086" t="s">
        <v>3585</v>
      </c>
      <c r="S6" s="1072" t="s">
        <v>3586</v>
      </c>
      <c r="T6" s="223"/>
      <c r="U6" s="223"/>
      <c r="V6" s="223"/>
      <c r="Z6" s="267"/>
      <c r="AA6" s="267"/>
      <c r="AB6" s="280"/>
      <c r="AC6" s="267"/>
      <c r="AD6" s="267"/>
    </row>
    <row r="7" spans="3:30" ht="15.75" x14ac:dyDescent="0.25">
      <c r="C7" s="1076"/>
      <c r="D7" s="1079"/>
      <c r="E7" s="1079"/>
      <c r="F7" s="1082"/>
      <c r="G7" s="227"/>
      <c r="H7" s="301">
        <v>1</v>
      </c>
      <c r="I7" s="302">
        <v>1</v>
      </c>
      <c r="J7" s="302">
        <v>1</v>
      </c>
      <c r="K7" s="302">
        <v>1</v>
      </c>
      <c r="L7" s="302">
        <v>1</v>
      </c>
      <c r="M7" s="302">
        <v>1</v>
      </c>
      <c r="N7" s="302">
        <v>11</v>
      </c>
      <c r="O7" s="302">
        <v>1</v>
      </c>
      <c r="P7" s="303">
        <v>1</v>
      </c>
      <c r="R7" s="1087"/>
      <c r="S7" s="1073"/>
      <c r="T7" s="223"/>
      <c r="U7" s="223"/>
      <c r="V7" s="223"/>
      <c r="W7" s="223"/>
      <c r="X7" s="223"/>
      <c r="Y7" s="223"/>
      <c r="Z7" s="223"/>
      <c r="AA7" s="223"/>
      <c r="AB7" s="223"/>
      <c r="AC7" s="223"/>
      <c r="AD7" s="223"/>
    </row>
    <row r="8" spans="3:30" ht="15.75" x14ac:dyDescent="0.25">
      <c r="C8" s="234" t="s">
        <v>291</v>
      </c>
      <c r="D8" s="266" t="s">
        <v>292</v>
      </c>
      <c r="E8" s="236" t="s">
        <v>31</v>
      </c>
      <c r="F8" s="289">
        <f t="shared" ref="F8:F26" si="0">SUMPRODUCT($H$7:$P$7,$H8:$P8)</f>
        <v>195</v>
      </c>
      <c r="G8" s="227"/>
      <c r="H8" s="238"/>
      <c r="I8" s="239"/>
      <c r="J8" s="239"/>
      <c r="K8" s="239"/>
      <c r="L8" s="239"/>
      <c r="M8" s="232">
        <v>15</v>
      </c>
      <c r="N8" s="232">
        <v>15</v>
      </c>
      <c r="O8" s="232">
        <v>15</v>
      </c>
      <c r="P8" s="240"/>
      <c r="R8" s="877">
        <v>1688.3988000000004</v>
      </c>
      <c r="S8" s="878">
        <f t="shared" ref="S8:S26" si="1">SUMPRODUCT(H8:P8,$H$7:$P$7)*R8</f>
        <v>329237.76600000006</v>
      </c>
      <c r="T8" s="223"/>
      <c r="U8" s="223"/>
      <c r="V8" s="223"/>
      <c r="W8" s="223"/>
      <c r="X8" s="223"/>
      <c r="Y8" s="223"/>
      <c r="Z8" s="223"/>
      <c r="AA8" s="223"/>
      <c r="AB8" s="223"/>
      <c r="AC8" s="223"/>
      <c r="AD8" s="223"/>
    </row>
    <row r="9" spans="3:30" ht="15.75" x14ac:dyDescent="0.25">
      <c r="C9" s="241" t="str">
        <f>C8</f>
        <v>Louças</v>
      </c>
      <c r="D9" s="235" t="s">
        <v>293</v>
      </c>
      <c r="E9" s="242" t="s">
        <v>31</v>
      </c>
      <c r="F9" s="290">
        <f t="shared" si="0"/>
        <v>15</v>
      </c>
      <c r="G9" s="227"/>
      <c r="H9" s="231">
        <v>8</v>
      </c>
      <c r="I9" s="232"/>
      <c r="J9" s="232"/>
      <c r="K9" s="232"/>
      <c r="L9" s="232"/>
      <c r="M9" s="232"/>
      <c r="N9" s="232"/>
      <c r="O9" s="232"/>
      <c r="P9" s="233">
        <v>7</v>
      </c>
      <c r="R9" s="879">
        <v>1702.3700000000001</v>
      </c>
      <c r="S9" s="880">
        <f t="shared" si="1"/>
        <v>25535.550000000003</v>
      </c>
      <c r="T9" s="223"/>
      <c r="U9" s="223"/>
      <c r="V9" s="223"/>
      <c r="W9" s="223"/>
      <c r="X9" s="223"/>
      <c r="Y9" s="223"/>
      <c r="Z9" s="223"/>
      <c r="AA9" s="223"/>
      <c r="AB9" s="223"/>
      <c r="AC9" s="223"/>
      <c r="AD9" s="223"/>
    </row>
    <row r="10" spans="3:30" ht="15.75" x14ac:dyDescent="0.25">
      <c r="C10" s="241" t="str">
        <f>C9</f>
        <v>Louças</v>
      </c>
      <c r="D10" s="235" t="s">
        <v>294</v>
      </c>
      <c r="E10" s="242" t="s">
        <v>31</v>
      </c>
      <c r="F10" s="290">
        <f t="shared" si="0"/>
        <v>0</v>
      </c>
      <c r="G10" s="227"/>
      <c r="H10" s="231"/>
      <c r="I10" s="232"/>
      <c r="J10" s="232"/>
      <c r="K10" s="232"/>
      <c r="L10" s="232"/>
      <c r="M10" s="232"/>
      <c r="N10" s="232"/>
      <c r="O10" s="232"/>
      <c r="P10" s="233"/>
      <c r="R10" s="879">
        <v>1732.79</v>
      </c>
      <c r="S10" s="880">
        <f t="shared" si="1"/>
        <v>0</v>
      </c>
      <c r="T10" s="223"/>
      <c r="U10" s="223"/>
      <c r="V10" s="223"/>
      <c r="W10" s="223"/>
      <c r="X10" s="223"/>
      <c r="Y10" s="223"/>
      <c r="Z10" s="223"/>
      <c r="AA10" s="223"/>
      <c r="AB10" s="223"/>
      <c r="AC10" s="223"/>
      <c r="AD10" s="223"/>
    </row>
    <row r="11" spans="3:30" ht="15.75" x14ac:dyDescent="0.25">
      <c r="C11" s="252" t="str">
        <f>C9</f>
        <v>Louças</v>
      </c>
      <c r="D11" s="253" t="s">
        <v>295</v>
      </c>
      <c r="E11" s="254" t="s">
        <v>31</v>
      </c>
      <c r="F11" s="291">
        <f t="shared" si="0"/>
        <v>15</v>
      </c>
      <c r="G11" s="227"/>
      <c r="H11" s="257">
        <v>8</v>
      </c>
      <c r="I11" s="258"/>
      <c r="J11" s="258"/>
      <c r="K11" s="258"/>
      <c r="L11" s="258"/>
      <c r="M11" s="258"/>
      <c r="N11" s="258"/>
      <c r="O11" s="258"/>
      <c r="P11" s="259">
        <v>7</v>
      </c>
      <c r="R11" s="881">
        <v>1732.79</v>
      </c>
      <c r="S11" s="882">
        <f t="shared" si="1"/>
        <v>25991.85</v>
      </c>
      <c r="T11" s="223"/>
      <c r="U11" s="223"/>
      <c r="V11" s="223"/>
      <c r="W11" s="223"/>
      <c r="X11" s="223"/>
      <c r="Y11" s="223"/>
      <c r="Z11" s="223"/>
      <c r="AA11" s="223"/>
      <c r="AB11" s="223"/>
      <c r="AC11" s="223"/>
      <c r="AD11" s="223"/>
    </row>
    <row r="12" spans="3:30" ht="15.75" x14ac:dyDescent="0.25">
      <c r="C12" s="252" t="str">
        <f>C10</f>
        <v>Louças</v>
      </c>
      <c r="D12" s="253" t="s">
        <v>296</v>
      </c>
      <c r="E12" s="254" t="s">
        <v>31</v>
      </c>
      <c r="F12" s="291">
        <f t="shared" si="0"/>
        <v>0</v>
      </c>
      <c r="G12" s="227"/>
      <c r="H12" s="257"/>
      <c r="I12" s="258"/>
      <c r="J12" s="258"/>
      <c r="K12" s="258"/>
      <c r="L12" s="258"/>
      <c r="M12" s="258"/>
      <c r="N12" s="258"/>
      <c r="O12" s="258"/>
      <c r="P12" s="259"/>
      <c r="R12" s="881"/>
      <c r="S12" s="882">
        <f t="shared" si="1"/>
        <v>0</v>
      </c>
      <c r="T12" s="223"/>
      <c r="U12" s="223"/>
      <c r="V12" s="223"/>
      <c r="W12" s="223"/>
      <c r="X12" s="223"/>
      <c r="Y12" s="223"/>
      <c r="Z12" s="223"/>
      <c r="AA12" s="223"/>
      <c r="AB12" s="223"/>
      <c r="AC12" s="223"/>
      <c r="AD12" s="223"/>
    </row>
    <row r="13" spans="3:30" ht="15.75" x14ac:dyDescent="0.25">
      <c r="C13" s="252" t="str">
        <f>C11</f>
        <v>Louças</v>
      </c>
      <c r="D13" s="253" t="s">
        <v>297</v>
      </c>
      <c r="E13" s="254" t="s">
        <v>31</v>
      </c>
      <c r="F13" s="291">
        <f t="shared" si="0"/>
        <v>0</v>
      </c>
      <c r="G13" s="227"/>
      <c r="H13" s="257"/>
      <c r="I13" s="258"/>
      <c r="J13" s="258"/>
      <c r="K13" s="258"/>
      <c r="L13" s="258"/>
      <c r="M13" s="258"/>
      <c r="N13" s="258"/>
      <c r="O13" s="258"/>
      <c r="P13" s="259"/>
      <c r="R13" s="881"/>
      <c r="S13" s="882">
        <f t="shared" si="1"/>
        <v>0</v>
      </c>
      <c r="T13" s="223"/>
      <c r="U13" s="223"/>
      <c r="V13" s="223"/>
      <c r="W13" s="223"/>
      <c r="X13" s="223"/>
      <c r="Y13" s="223"/>
      <c r="Z13" s="223"/>
      <c r="AA13" s="223"/>
      <c r="AB13" s="223"/>
      <c r="AC13" s="223"/>
      <c r="AD13" s="223"/>
    </row>
    <row r="14" spans="3:30" ht="15.75" x14ac:dyDescent="0.25">
      <c r="C14" s="252" t="s">
        <v>291</v>
      </c>
      <c r="D14" s="253" t="s">
        <v>3588</v>
      </c>
      <c r="E14" s="254" t="s">
        <v>31</v>
      </c>
      <c r="F14" s="291">
        <f t="shared" si="0"/>
        <v>4</v>
      </c>
      <c r="G14" s="227"/>
      <c r="H14" s="257"/>
      <c r="I14" s="258"/>
      <c r="J14" s="258"/>
      <c r="K14" s="258"/>
      <c r="L14" s="258"/>
      <c r="M14" s="258"/>
      <c r="N14" s="258"/>
      <c r="O14" s="258"/>
      <c r="P14" s="259">
        <v>4</v>
      </c>
      <c r="R14" s="881">
        <v>5845.2219999999998</v>
      </c>
      <c r="S14" s="882">
        <f t="shared" si="1"/>
        <v>23380.887999999999</v>
      </c>
      <c r="T14" s="223"/>
      <c r="U14" s="223"/>
      <c r="V14" s="223"/>
      <c r="W14" s="223"/>
      <c r="X14" s="223"/>
      <c r="Y14" s="223"/>
      <c r="Z14" s="223"/>
      <c r="AA14" s="223"/>
      <c r="AB14" s="223"/>
      <c r="AC14" s="223"/>
      <c r="AD14" s="223"/>
    </row>
    <row r="15" spans="3:30" ht="15.75" x14ac:dyDescent="0.25">
      <c r="C15" s="252" t="s">
        <v>291</v>
      </c>
      <c r="D15" s="253" t="s">
        <v>298</v>
      </c>
      <c r="E15" s="254" t="s">
        <v>31</v>
      </c>
      <c r="F15" s="291">
        <f t="shared" si="0"/>
        <v>0</v>
      </c>
      <c r="G15" s="227"/>
      <c r="H15" s="257"/>
      <c r="I15" s="258"/>
      <c r="J15" s="258"/>
      <c r="K15" s="258"/>
      <c r="L15" s="258"/>
      <c r="M15" s="258"/>
      <c r="N15" s="258"/>
      <c r="O15" s="258"/>
      <c r="P15" s="259"/>
      <c r="R15" s="881"/>
      <c r="S15" s="882">
        <f t="shared" si="1"/>
        <v>0</v>
      </c>
      <c r="T15" s="223"/>
      <c r="U15" s="223"/>
      <c r="V15" s="223"/>
      <c r="W15" s="223"/>
      <c r="X15" s="223"/>
      <c r="Y15" s="223"/>
      <c r="Z15" s="223"/>
      <c r="AA15" s="223"/>
      <c r="AB15" s="223"/>
      <c r="AC15" s="223"/>
      <c r="AD15" s="223"/>
    </row>
    <row r="16" spans="3:30" ht="15.75" x14ac:dyDescent="0.25">
      <c r="C16" s="252" t="s">
        <v>291</v>
      </c>
      <c r="D16" s="253" t="s">
        <v>299</v>
      </c>
      <c r="E16" s="254" t="s">
        <v>31</v>
      </c>
      <c r="F16" s="291">
        <f t="shared" si="0"/>
        <v>0</v>
      </c>
      <c r="G16" s="227"/>
      <c r="H16" s="257"/>
      <c r="I16" s="258"/>
      <c r="J16" s="258"/>
      <c r="K16" s="258"/>
      <c r="L16" s="258"/>
      <c r="M16" s="258"/>
      <c r="N16" s="258"/>
      <c r="O16" s="258"/>
      <c r="P16" s="259"/>
      <c r="R16" s="881"/>
      <c r="S16" s="882">
        <f t="shared" si="1"/>
        <v>0</v>
      </c>
      <c r="T16" s="223"/>
      <c r="U16" s="223"/>
      <c r="V16" s="223"/>
      <c r="W16" s="223"/>
      <c r="X16" s="223"/>
      <c r="Y16" s="223"/>
      <c r="Z16" s="223"/>
      <c r="AA16" s="223"/>
      <c r="AB16" s="223"/>
      <c r="AC16" s="223"/>
      <c r="AD16" s="223"/>
    </row>
    <row r="17" spans="3:30" ht="15.75" x14ac:dyDescent="0.25">
      <c r="C17" s="252" t="s">
        <v>291</v>
      </c>
      <c r="D17" s="253" t="s">
        <v>300</v>
      </c>
      <c r="E17" s="254" t="s">
        <v>31</v>
      </c>
      <c r="F17" s="291">
        <f t="shared" si="0"/>
        <v>0</v>
      </c>
      <c r="G17" s="227"/>
      <c r="H17" s="257"/>
      <c r="I17" s="258"/>
      <c r="J17" s="258"/>
      <c r="K17" s="258"/>
      <c r="L17" s="258"/>
      <c r="M17" s="258"/>
      <c r="N17" s="258"/>
      <c r="O17" s="258"/>
      <c r="P17" s="259"/>
      <c r="R17" s="881"/>
      <c r="S17" s="882">
        <f t="shared" si="1"/>
        <v>0</v>
      </c>
      <c r="T17" s="223"/>
      <c r="U17" s="223"/>
      <c r="V17" s="223"/>
      <c r="W17" s="223"/>
      <c r="X17" s="223"/>
      <c r="Y17" s="223"/>
      <c r="Z17" s="223"/>
      <c r="AA17" s="223"/>
      <c r="AB17" s="223"/>
      <c r="AC17" s="223"/>
      <c r="AD17" s="223"/>
    </row>
    <row r="18" spans="3:30" ht="15.75" x14ac:dyDescent="0.25">
      <c r="C18" s="252" t="s">
        <v>291</v>
      </c>
      <c r="D18" s="253" t="s">
        <v>301</v>
      </c>
      <c r="E18" s="254" t="s">
        <v>31</v>
      </c>
      <c r="F18" s="291">
        <f t="shared" si="0"/>
        <v>0</v>
      </c>
      <c r="G18" s="227"/>
      <c r="H18" s="257"/>
      <c r="I18" s="258"/>
      <c r="J18" s="258"/>
      <c r="K18" s="258"/>
      <c r="L18" s="258"/>
      <c r="M18" s="258"/>
      <c r="N18" s="258"/>
      <c r="O18" s="258"/>
      <c r="P18" s="259"/>
      <c r="R18" s="881"/>
      <c r="S18" s="882">
        <f t="shared" si="1"/>
        <v>0</v>
      </c>
      <c r="T18" s="223"/>
      <c r="U18" s="223"/>
      <c r="V18" s="223"/>
      <c r="W18" s="223"/>
      <c r="X18" s="223"/>
      <c r="Y18" s="223"/>
      <c r="Z18" s="223"/>
      <c r="AA18" s="223"/>
      <c r="AB18" s="223"/>
      <c r="AC18" s="223"/>
      <c r="AD18" s="223"/>
    </row>
    <row r="19" spans="3:30" ht="15.75" x14ac:dyDescent="0.25">
      <c r="C19" s="252" t="s">
        <v>291</v>
      </c>
      <c r="D19" s="253" t="s">
        <v>302</v>
      </c>
      <c r="E19" s="254" t="s">
        <v>31</v>
      </c>
      <c r="F19" s="291">
        <f t="shared" si="0"/>
        <v>0</v>
      </c>
      <c r="G19" s="227"/>
      <c r="H19" s="257"/>
      <c r="I19" s="258"/>
      <c r="J19" s="258"/>
      <c r="K19" s="258"/>
      <c r="L19" s="258"/>
      <c r="M19" s="258"/>
      <c r="N19" s="258"/>
      <c r="O19" s="258"/>
      <c r="P19" s="259"/>
      <c r="R19" s="881"/>
      <c r="S19" s="882">
        <f t="shared" si="1"/>
        <v>0</v>
      </c>
      <c r="T19" s="223"/>
      <c r="U19" s="223"/>
      <c r="V19" s="223"/>
      <c r="W19" s="223"/>
      <c r="X19" s="223"/>
      <c r="Y19" s="223"/>
      <c r="Z19" s="223"/>
      <c r="AA19" s="223"/>
      <c r="AB19" s="223"/>
      <c r="AC19" s="223"/>
      <c r="AD19" s="223"/>
    </row>
    <row r="20" spans="3:30" ht="15.75" x14ac:dyDescent="0.25">
      <c r="C20" s="252" t="s">
        <v>291</v>
      </c>
      <c r="D20" s="253" t="s">
        <v>303</v>
      </c>
      <c r="E20" s="254" t="s">
        <v>31</v>
      </c>
      <c r="F20" s="291">
        <f t="shared" si="0"/>
        <v>0</v>
      </c>
      <c r="G20" s="227"/>
      <c r="H20" s="257"/>
      <c r="I20" s="258"/>
      <c r="J20" s="258"/>
      <c r="K20" s="258"/>
      <c r="L20" s="258"/>
      <c r="M20" s="258"/>
      <c r="N20" s="258"/>
      <c r="O20" s="258"/>
      <c r="P20" s="259"/>
      <c r="R20" s="881"/>
      <c r="S20" s="882">
        <f t="shared" si="1"/>
        <v>0</v>
      </c>
      <c r="T20" s="223"/>
      <c r="U20" s="223"/>
      <c r="V20" s="223"/>
      <c r="W20" s="223"/>
      <c r="X20" s="223"/>
      <c r="Y20" s="223"/>
      <c r="Z20" s="223"/>
      <c r="AA20" s="223"/>
      <c r="AB20" s="223"/>
      <c r="AC20" s="223"/>
      <c r="AD20" s="223"/>
    </row>
    <row r="21" spans="3:30" ht="15.75" x14ac:dyDescent="0.25">
      <c r="C21" s="252" t="s">
        <v>291</v>
      </c>
      <c r="D21" s="253" t="s">
        <v>304</v>
      </c>
      <c r="E21" s="254" t="s">
        <v>31</v>
      </c>
      <c r="F21" s="291">
        <f t="shared" si="0"/>
        <v>2</v>
      </c>
      <c r="G21" s="227"/>
      <c r="H21" s="257">
        <v>2</v>
      </c>
      <c r="I21" s="258"/>
      <c r="J21" s="258"/>
      <c r="K21" s="258"/>
      <c r="L21" s="258"/>
      <c r="M21" s="258"/>
      <c r="N21" s="258"/>
      <c r="O21" s="258"/>
      <c r="P21" s="259"/>
      <c r="R21" s="881">
        <v>1570.9319999999998</v>
      </c>
      <c r="S21" s="882">
        <f t="shared" si="1"/>
        <v>3141.8639999999996</v>
      </c>
      <c r="T21" s="223"/>
      <c r="U21" s="223"/>
      <c r="V21" s="223"/>
      <c r="W21" s="223"/>
      <c r="X21" s="223"/>
      <c r="Y21" s="223"/>
      <c r="Z21" s="223"/>
      <c r="AA21" s="223"/>
      <c r="AB21" s="223"/>
      <c r="AC21" s="223"/>
      <c r="AD21" s="223"/>
    </row>
    <row r="22" spans="3:30" ht="15.75" x14ac:dyDescent="0.25">
      <c r="C22" s="252" t="s">
        <v>291</v>
      </c>
      <c r="D22" s="253" t="s">
        <v>305</v>
      </c>
      <c r="E22" s="254" t="s">
        <v>31</v>
      </c>
      <c r="F22" s="291">
        <f t="shared" si="0"/>
        <v>0</v>
      </c>
      <c r="G22" s="227"/>
      <c r="H22" s="257"/>
      <c r="I22" s="258"/>
      <c r="J22" s="258"/>
      <c r="K22" s="258"/>
      <c r="L22" s="258"/>
      <c r="M22" s="258"/>
      <c r="N22" s="258"/>
      <c r="O22" s="258"/>
      <c r="P22" s="259"/>
      <c r="R22" s="881"/>
      <c r="S22" s="882">
        <f t="shared" si="1"/>
        <v>0</v>
      </c>
      <c r="T22" s="223"/>
      <c r="U22" s="223"/>
      <c r="V22" s="223"/>
      <c r="W22" s="223"/>
      <c r="X22" s="223"/>
      <c r="Y22" s="223"/>
      <c r="Z22" s="223"/>
      <c r="AA22" s="223"/>
      <c r="AB22" s="223"/>
      <c r="AC22" s="223"/>
      <c r="AD22" s="223"/>
    </row>
    <row r="23" spans="3:30" ht="15.75" x14ac:dyDescent="0.25">
      <c r="C23" s="252" t="s">
        <v>291</v>
      </c>
      <c r="D23" s="253" t="s">
        <v>306</v>
      </c>
      <c r="E23" s="254" t="s">
        <v>31</v>
      </c>
      <c r="F23" s="291">
        <f t="shared" si="0"/>
        <v>0</v>
      </c>
      <c r="G23" s="227"/>
      <c r="H23" s="257"/>
      <c r="I23" s="258"/>
      <c r="J23" s="258"/>
      <c r="K23" s="258"/>
      <c r="L23" s="258"/>
      <c r="M23" s="258"/>
      <c r="N23" s="258"/>
      <c r="O23" s="258"/>
      <c r="P23" s="259"/>
      <c r="R23" s="881"/>
      <c r="S23" s="882">
        <f t="shared" si="1"/>
        <v>0</v>
      </c>
      <c r="T23" s="223"/>
      <c r="U23" s="223"/>
      <c r="V23" s="223"/>
      <c r="W23" s="223"/>
      <c r="X23" s="223"/>
      <c r="Y23" s="223"/>
      <c r="Z23" s="223"/>
      <c r="AA23" s="223"/>
      <c r="AB23" s="223"/>
      <c r="AC23" s="223"/>
      <c r="AD23" s="223"/>
    </row>
    <row r="24" spans="3:30" ht="15.75" x14ac:dyDescent="0.25">
      <c r="C24" s="252" t="s">
        <v>291</v>
      </c>
      <c r="D24" s="253" t="s">
        <v>307</v>
      </c>
      <c r="E24" s="254" t="s">
        <v>31</v>
      </c>
      <c r="F24" s="291">
        <f t="shared" si="0"/>
        <v>0</v>
      </c>
      <c r="G24" s="227"/>
      <c r="H24" s="257"/>
      <c r="I24" s="258"/>
      <c r="J24" s="258"/>
      <c r="K24" s="258"/>
      <c r="L24" s="258"/>
      <c r="M24" s="258"/>
      <c r="N24" s="258"/>
      <c r="O24" s="258"/>
      <c r="P24" s="259"/>
      <c r="R24" s="881"/>
      <c r="S24" s="882">
        <f t="shared" si="1"/>
        <v>0</v>
      </c>
      <c r="T24" s="223"/>
      <c r="U24" s="223"/>
      <c r="V24" s="223"/>
      <c r="W24" s="223"/>
      <c r="X24" s="223"/>
      <c r="Y24" s="223"/>
      <c r="Z24" s="223"/>
      <c r="AA24" s="223"/>
      <c r="AB24" s="223"/>
      <c r="AC24" s="223"/>
      <c r="AD24" s="223"/>
    </row>
    <row r="25" spans="3:30" ht="15.75" x14ac:dyDescent="0.25">
      <c r="C25" s="252" t="s">
        <v>291</v>
      </c>
      <c r="D25" s="253" t="s">
        <v>308</v>
      </c>
      <c r="E25" s="254" t="s">
        <v>31</v>
      </c>
      <c r="F25" s="291">
        <f t="shared" si="0"/>
        <v>0</v>
      </c>
      <c r="G25" s="227"/>
      <c r="H25" s="257"/>
      <c r="I25" s="258"/>
      <c r="J25" s="258"/>
      <c r="K25" s="258"/>
      <c r="L25" s="258"/>
      <c r="M25" s="258"/>
      <c r="N25" s="258"/>
      <c r="O25" s="258"/>
      <c r="P25" s="259"/>
      <c r="R25" s="881"/>
      <c r="S25" s="882">
        <f t="shared" si="1"/>
        <v>0</v>
      </c>
      <c r="T25" s="223"/>
      <c r="U25" s="223"/>
      <c r="V25" s="223"/>
      <c r="W25" s="223"/>
      <c r="X25" s="223"/>
      <c r="Y25" s="223"/>
      <c r="Z25" s="223"/>
      <c r="AA25" s="223"/>
      <c r="AB25" s="223"/>
      <c r="AC25" s="223"/>
      <c r="AD25" s="223"/>
    </row>
    <row r="26" spans="3:30" ht="16.5" thickBot="1" x14ac:dyDescent="0.3">
      <c r="C26" s="244" t="str">
        <f>C10</f>
        <v>Louças</v>
      </c>
      <c r="D26" s="245"/>
      <c r="E26" s="246"/>
      <c r="F26" s="292">
        <f t="shared" si="0"/>
        <v>0</v>
      </c>
      <c r="G26" s="227"/>
      <c r="H26" s="248"/>
      <c r="I26" s="249"/>
      <c r="J26" s="249"/>
      <c r="K26" s="249"/>
      <c r="L26" s="249"/>
      <c r="M26" s="249"/>
      <c r="N26" s="249"/>
      <c r="O26" s="249"/>
      <c r="P26" s="250"/>
      <c r="R26" s="883"/>
      <c r="S26" s="884">
        <f t="shared" si="1"/>
        <v>0</v>
      </c>
      <c r="T26" s="223"/>
      <c r="U26" s="223"/>
      <c r="V26" s="223"/>
      <c r="W26" s="223"/>
      <c r="X26" s="223"/>
      <c r="Y26" s="223"/>
      <c r="Z26" s="223"/>
      <c r="AA26" s="223"/>
      <c r="AB26" s="223"/>
      <c r="AC26" s="223"/>
      <c r="AD26" s="223"/>
    </row>
    <row r="27" spans="3:30" ht="16.5" thickTop="1" x14ac:dyDescent="0.25">
      <c r="C27" s="252" t="s">
        <v>309</v>
      </c>
      <c r="D27" s="253" t="s">
        <v>312</v>
      </c>
      <c r="E27" s="242" t="s">
        <v>31</v>
      </c>
      <c r="F27" s="291">
        <f t="shared" ref="F27:F47" si="2">SUMPRODUCT($H$7:$P$7,$H27:$P27)</f>
        <v>132</v>
      </c>
      <c r="G27" s="227"/>
      <c r="H27" s="257">
        <f>8</f>
        <v>8</v>
      </c>
      <c r="I27" s="258"/>
      <c r="J27" s="258"/>
      <c r="K27" s="258"/>
      <c r="L27" s="258"/>
      <c r="M27" s="258">
        <v>9</v>
      </c>
      <c r="N27" s="258">
        <v>9</v>
      </c>
      <c r="O27" s="258">
        <v>9</v>
      </c>
      <c r="P27" s="259">
        <v>7</v>
      </c>
      <c r="R27" s="885">
        <v>900</v>
      </c>
      <c r="S27" s="886">
        <f>SUMPRODUCT(H27:P27,$H$7:$P$7)*R27</f>
        <v>118800</v>
      </c>
      <c r="T27" s="223"/>
      <c r="U27" s="223"/>
      <c r="V27" s="223"/>
      <c r="W27" s="223"/>
      <c r="X27" s="223"/>
      <c r="Y27" s="223"/>
      <c r="Z27" s="223"/>
      <c r="AA27" s="223"/>
      <c r="AB27" s="223"/>
      <c r="AC27" s="223"/>
      <c r="AD27" s="223"/>
    </row>
    <row r="28" spans="3:30" ht="15.75" x14ac:dyDescent="0.25">
      <c r="C28" s="241" t="s">
        <v>309</v>
      </c>
      <c r="D28" s="235" t="s">
        <v>3587</v>
      </c>
      <c r="E28" s="242" t="s">
        <v>31</v>
      </c>
      <c r="F28" s="290">
        <f t="shared" ref="F28" si="3">SUMPRODUCT($H$7:$P$7,$H28:$P28)</f>
        <v>11</v>
      </c>
      <c r="G28" s="227"/>
      <c r="H28" s="231">
        <v>4</v>
      </c>
      <c r="I28" s="232"/>
      <c r="J28" s="232"/>
      <c r="K28" s="232"/>
      <c r="L28" s="232"/>
      <c r="M28" s="232"/>
      <c r="N28" s="232"/>
      <c r="O28" s="232"/>
      <c r="P28" s="233">
        <v>7</v>
      </c>
      <c r="R28" s="879">
        <v>1183.51</v>
      </c>
      <c r="S28" s="886">
        <f t="shared" ref="S28:S37" si="4">SUMPRODUCT(H28:P28,$H$7:$P$7)*R28</f>
        <v>13018.61</v>
      </c>
      <c r="T28" s="223"/>
      <c r="U28" s="223"/>
      <c r="V28" s="223"/>
      <c r="W28" s="223"/>
      <c r="X28" s="223"/>
      <c r="Y28" s="223"/>
      <c r="Z28" s="223"/>
      <c r="AA28" s="223"/>
      <c r="AB28" s="223"/>
      <c r="AC28" s="223"/>
      <c r="AD28" s="223"/>
    </row>
    <row r="29" spans="3:30" ht="15.75" x14ac:dyDescent="0.25">
      <c r="C29" s="241" t="s">
        <v>309</v>
      </c>
      <c r="D29" s="235" t="s">
        <v>310</v>
      </c>
      <c r="E29" s="242" t="s">
        <v>31</v>
      </c>
      <c r="F29" s="290">
        <f t="shared" si="2"/>
        <v>0</v>
      </c>
      <c r="G29" s="227"/>
      <c r="H29" s="231"/>
      <c r="I29" s="232"/>
      <c r="J29" s="232"/>
      <c r="K29" s="232"/>
      <c r="L29" s="232"/>
      <c r="M29" s="232"/>
      <c r="N29" s="232"/>
      <c r="O29" s="232"/>
      <c r="P29" s="233"/>
      <c r="R29" s="879">
        <v>660</v>
      </c>
      <c r="S29" s="886">
        <f t="shared" si="4"/>
        <v>0</v>
      </c>
      <c r="T29" s="223"/>
      <c r="U29" s="223"/>
      <c r="V29" s="223"/>
      <c r="W29" s="223"/>
      <c r="X29" s="223"/>
      <c r="Y29" s="223"/>
      <c r="Z29" s="223"/>
      <c r="AA29" s="223"/>
      <c r="AB29" s="223"/>
      <c r="AC29" s="223"/>
      <c r="AD29" s="223"/>
    </row>
    <row r="30" spans="3:30" ht="15.75" x14ac:dyDescent="0.25">
      <c r="C30" s="241" t="s">
        <v>309</v>
      </c>
      <c r="D30" s="235" t="s">
        <v>311</v>
      </c>
      <c r="E30" s="242" t="s">
        <v>31</v>
      </c>
      <c r="F30" s="290">
        <f t="shared" si="2"/>
        <v>0</v>
      </c>
      <c r="G30" s="227"/>
      <c r="H30" s="231"/>
      <c r="I30" s="232"/>
      <c r="J30" s="232"/>
      <c r="K30" s="232"/>
      <c r="L30" s="232"/>
      <c r="M30" s="232"/>
      <c r="N30" s="232"/>
      <c r="O30" s="232"/>
      <c r="P30" s="233"/>
      <c r="R30" s="879">
        <v>1196.32</v>
      </c>
      <c r="S30" s="886">
        <f t="shared" si="4"/>
        <v>0</v>
      </c>
      <c r="T30" s="223"/>
      <c r="U30" s="223"/>
      <c r="V30" s="223"/>
      <c r="W30" s="223"/>
      <c r="X30" s="223"/>
      <c r="Y30" s="223"/>
      <c r="Z30" s="223"/>
      <c r="AA30" s="223"/>
      <c r="AB30" s="223"/>
      <c r="AC30" s="223"/>
      <c r="AD30" s="223"/>
    </row>
    <row r="31" spans="3:30" ht="15.75" x14ac:dyDescent="0.25">
      <c r="C31" s="241" t="s">
        <v>309</v>
      </c>
      <c r="D31" s="235" t="s">
        <v>313</v>
      </c>
      <c r="E31" s="242" t="s">
        <v>31</v>
      </c>
      <c r="F31" s="290">
        <f t="shared" si="2"/>
        <v>0</v>
      </c>
      <c r="G31" s="227"/>
      <c r="H31" s="231"/>
      <c r="I31" s="232"/>
      <c r="J31" s="232"/>
      <c r="K31" s="232"/>
      <c r="L31" s="232"/>
      <c r="M31" s="232"/>
      <c r="N31" s="232"/>
      <c r="O31" s="232"/>
      <c r="P31" s="233"/>
      <c r="R31" s="887">
        <v>24.61</v>
      </c>
      <c r="S31" s="886">
        <f t="shared" si="4"/>
        <v>0</v>
      </c>
      <c r="T31" s="223"/>
      <c r="U31" s="223"/>
      <c r="V31" s="223"/>
      <c r="W31" s="223"/>
      <c r="X31" s="223"/>
      <c r="Y31" s="223"/>
      <c r="Z31" s="223"/>
      <c r="AA31" s="223"/>
      <c r="AB31" s="223"/>
      <c r="AC31" s="223"/>
      <c r="AD31" s="223"/>
    </row>
    <row r="32" spans="3:30" ht="15.75" x14ac:dyDescent="0.25">
      <c r="C32" s="241" t="s">
        <v>309</v>
      </c>
      <c r="D32" s="235" t="s">
        <v>315</v>
      </c>
      <c r="E32" s="242" t="s">
        <v>31</v>
      </c>
      <c r="F32" s="290">
        <f t="shared" si="2"/>
        <v>4</v>
      </c>
      <c r="G32" s="227"/>
      <c r="H32" s="293">
        <f t="shared" ref="H32:O32" si="5">SUM(H$14:H$17)</f>
        <v>0</v>
      </c>
      <c r="I32" s="294">
        <f t="shared" si="5"/>
        <v>0</v>
      </c>
      <c r="J32" s="294">
        <f t="shared" si="5"/>
        <v>0</v>
      </c>
      <c r="K32" s="294">
        <f t="shared" si="5"/>
        <v>0</v>
      </c>
      <c r="L32" s="294">
        <f t="shared" si="5"/>
        <v>0</v>
      </c>
      <c r="M32" s="294">
        <f t="shared" si="5"/>
        <v>0</v>
      </c>
      <c r="N32" s="294">
        <f t="shared" si="5"/>
        <v>0</v>
      </c>
      <c r="O32" s="294">
        <f t="shared" si="5"/>
        <v>0</v>
      </c>
      <c r="P32" s="295">
        <f>SUM(P$14:P$17)</f>
        <v>4</v>
      </c>
      <c r="R32" s="887">
        <v>255.9</v>
      </c>
      <c r="S32" s="886">
        <f t="shared" si="4"/>
        <v>1023.6</v>
      </c>
      <c r="T32" s="223"/>
      <c r="U32" s="223"/>
      <c r="V32" s="223"/>
      <c r="W32" s="223"/>
      <c r="X32" s="223"/>
      <c r="Y32" s="223"/>
      <c r="Z32" s="223"/>
      <c r="AA32" s="223"/>
      <c r="AB32" s="223"/>
      <c r="AC32" s="223"/>
      <c r="AD32" s="223"/>
    </row>
    <row r="33" spans="3:30" ht="15.75" x14ac:dyDescent="0.25">
      <c r="C33" s="241" t="s">
        <v>309</v>
      </c>
      <c r="D33" s="235" t="s">
        <v>316</v>
      </c>
      <c r="E33" s="242" t="s">
        <v>31</v>
      </c>
      <c r="F33" s="290">
        <f t="shared" si="2"/>
        <v>2</v>
      </c>
      <c r="G33" s="227"/>
      <c r="H33" s="293">
        <f t="shared" ref="H33:O33" si="6">SUM(H$18:H$21)</f>
        <v>2</v>
      </c>
      <c r="I33" s="294">
        <f t="shared" si="6"/>
        <v>0</v>
      </c>
      <c r="J33" s="294">
        <f t="shared" si="6"/>
        <v>0</v>
      </c>
      <c r="K33" s="294">
        <f t="shared" si="6"/>
        <v>0</v>
      </c>
      <c r="L33" s="294">
        <f t="shared" si="6"/>
        <v>0</v>
      </c>
      <c r="M33" s="294">
        <f t="shared" si="6"/>
        <v>0</v>
      </c>
      <c r="N33" s="294">
        <f t="shared" si="6"/>
        <v>0</v>
      </c>
      <c r="O33" s="294">
        <f t="shared" si="6"/>
        <v>0</v>
      </c>
      <c r="P33" s="295">
        <f>SUM(P$18:P$21)</f>
        <v>0</v>
      </c>
      <c r="R33" s="887">
        <v>154</v>
      </c>
      <c r="S33" s="886">
        <f t="shared" si="4"/>
        <v>308</v>
      </c>
      <c r="T33" s="223"/>
      <c r="U33" s="223"/>
      <c r="V33" s="223"/>
      <c r="W33" s="223"/>
      <c r="X33" s="223"/>
      <c r="Y33" s="223"/>
      <c r="Z33" s="223"/>
      <c r="AA33" s="223"/>
      <c r="AB33" s="223"/>
      <c r="AC33" s="223"/>
      <c r="AD33" s="223"/>
    </row>
    <row r="34" spans="3:30" ht="15.75" x14ac:dyDescent="0.25">
      <c r="C34" s="241" t="s">
        <v>309</v>
      </c>
      <c r="D34" s="235" t="s">
        <v>317</v>
      </c>
      <c r="E34" s="242" t="s">
        <v>31</v>
      </c>
      <c r="F34" s="290">
        <f t="shared" si="2"/>
        <v>15</v>
      </c>
      <c r="G34" s="227"/>
      <c r="H34" s="293">
        <f t="shared" ref="H34:P34" si="7">SUM(H$10:H$13)</f>
        <v>8</v>
      </c>
      <c r="I34" s="294">
        <f t="shared" si="7"/>
        <v>0</v>
      </c>
      <c r="J34" s="294">
        <f t="shared" si="7"/>
        <v>0</v>
      </c>
      <c r="K34" s="294">
        <f t="shared" si="7"/>
        <v>0</v>
      </c>
      <c r="L34" s="294">
        <f t="shared" si="7"/>
        <v>0</v>
      </c>
      <c r="M34" s="294">
        <f t="shared" si="7"/>
        <v>0</v>
      </c>
      <c r="N34" s="294">
        <f t="shared" si="7"/>
        <v>0</v>
      </c>
      <c r="O34" s="294">
        <f t="shared" si="7"/>
        <v>0</v>
      </c>
      <c r="P34" s="295">
        <f t="shared" si="7"/>
        <v>7</v>
      </c>
      <c r="R34" s="887">
        <v>1054.93</v>
      </c>
      <c r="S34" s="886">
        <f t="shared" si="4"/>
        <v>15823.95</v>
      </c>
      <c r="T34" s="223"/>
      <c r="U34" s="223"/>
      <c r="V34" s="223"/>
      <c r="W34" s="223"/>
      <c r="X34" s="223"/>
      <c r="Y34" s="223"/>
      <c r="Z34" s="223"/>
      <c r="AA34" s="223"/>
      <c r="AB34" s="223"/>
      <c r="AC34" s="223"/>
      <c r="AD34" s="223"/>
    </row>
    <row r="35" spans="3:30" ht="15.75" x14ac:dyDescent="0.25">
      <c r="C35" s="241" t="s">
        <v>309</v>
      </c>
      <c r="D35" s="235" t="s">
        <v>318</v>
      </c>
      <c r="E35" s="242" t="s">
        <v>31</v>
      </c>
      <c r="F35" s="290">
        <f t="shared" si="2"/>
        <v>120</v>
      </c>
      <c r="G35" s="227"/>
      <c r="H35" s="293">
        <f t="shared" ref="H35:O35" si="8">H$9*8</f>
        <v>64</v>
      </c>
      <c r="I35" s="294">
        <f t="shared" si="8"/>
        <v>0</v>
      </c>
      <c r="J35" s="294">
        <f t="shared" si="8"/>
        <v>0</v>
      </c>
      <c r="K35" s="294">
        <f t="shared" si="8"/>
        <v>0</v>
      </c>
      <c r="L35" s="294">
        <f t="shared" si="8"/>
        <v>0</v>
      </c>
      <c r="M35" s="294">
        <f t="shared" si="8"/>
        <v>0</v>
      </c>
      <c r="N35" s="294">
        <f t="shared" si="8"/>
        <v>0</v>
      </c>
      <c r="O35" s="294">
        <f t="shared" si="8"/>
        <v>0</v>
      </c>
      <c r="P35" s="295">
        <f>P$9*8</f>
        <v>56</v>
      </c>
      <c r="R35" s="887">
        <v>84.8</v>
      </c>
      <c r="S35" s="886">
        <f t="shared" si="4"/>
        <v>10176</v>
      </c>
      <c r="T35" s="223"/>
      <c r="U35" s="223"/>
      <c r="V35" s="223"/>
      <c r="W35" s="223"/>
      <c r="X35" s="223"/>
      <c r="Y35" s="223"/>
      <c r="Z35" s="223"/>
      <c r="AA35" s="223"/>
      <c r="AB35" s="223"/>
      <c r="AC35" s="223"/>
      <c r="AD35" s="223"/>
    </row>
    <row r="36" spans="3:30" ht="15.75" x14ac:dyDescent="0.25">
      <c r="C36" s="241" t="s">
        <v>309</v>
      </c>
      <c r="D36" s="235" t="s">
        <v>3589</v>
      </c>
      <c r="E36" s="242" t="s">
        <v>31</v>
      </c>
      <c r="F36" s="290">
        <f t="shared" si="2"/>
        <v>17</v>
      </c>
      <c r="G36" s="227"/>
      <c r="H36" s="293">
        <f t="shared" ref="H36:P36" si="9">SUM(H$15:H$21,H$8:H$9)</f>
        <v>10</v>
      </c>
      <c r="I36" s="294">
        <f t="shared" si="9"/>
        <v>0</v>
      </c>
      <c r="J36" s="294">
        <f t="shared" si="9"/>
        <v>0</v>
      </c>
      <c r="K36" s="294">
        <f t="shared" si="9"/>
        <v>0</v>
      </c>
      <c r="L36" s="294">
        <f t="shared" si="9"/>
        <v>0</v>
      </c>
      <c r="M36" s="973"/>
      <c r="N36" s="973"/>
      <c r="O36" s="973"/>
      <c r="P36" s="295">
        <f t="shared" si="9"/>
        <v>7</v>
      </c>
      <c r="Q36" s="225">
        <v>0</v>
      </c>
      <c r="R36" s="887">
        <v>240.41</v>
      </c>
      <c r="S36" s="886">
        <f t="shared" si="4"/>
        <v>4086.97</v>
      </c>
      <c r="T36" s="223"/>
      <c r="U36" s="223"/>
      <c r="V36" s="223"/>
      <c r="W36" s="223"/>
      <c r="X36" s="223"/>
      <c r="Y36" s="223"/>
      <c r="Z36" s="223"/>
      <c r="AA36" s="223"/>
      <c r="AB36" s="223"/>
      <c r="AC36" s="223"/>
      <c r="AD36" s="223"/>
    </row>
    <row r="37" spans="3:30" ht="15.75" x14ac:dyDescent="0.25">
      <c r="C37" s="241" t="s">
        <v>309</v>
      </c>
      <c r="D37" s="235" t="s">
        <v>3577</v>
      </c>
      <c r="E37" s="242" t="s">
        <v>31</v>
      </c>
      <c r="F37" s="290">
        <f t="shared" si="2"/>
        <v>19</v>
      </c>
      <c r="G37" s="227"/>
      <c r="H37" s="293">
        <v>1</v>
      </c>
      <c r="I37" s="294">
        <v>1</v>
      </c>
      <c r="J37" s="294">
        <v>1</v>
      </c>
      <c r="K37" s="294">
        <v>1</v>
      </c>
      <c r="L37" s="294">
        <v>1</v>
      </c>
      <c r="M37" s="294">
        <v>1</v>
      </c>
      <c r="N37" s="294">
        <v>1</v>
      </c>
      <c r="O37" s="294">
        <v>1</v>
      </c>
      <c r="P37" s="295">
        <v>1</v>
      </c>
      <c r="Q37" s="225">
        <v>0</v>
      </c>
      <c r="R37" s="887">
        <v>493.7</v>
      </c>
      <c r="S37" s="886">
        <f t="shared" si="4"/>
        <v>9380.2999999999993</v>
      </c>
      <c r="T37" s="223"/>
      <c r="U37" s="223"/>
      <c r="V37" s="223"/>
      <c r="W37" s="223"/>
      <c r="X37" s="223"/>
      <c r="Y37" s="223"/>
      <c r="Z37" s="223"/>
      <c r="AA37" s="223"/>
      <c r="AB37" s="223"/>
      <c r="AC37" s="223"/>
      <c r="AD37" s="223"/>
    </row>
    <row r="38" spans="3:30" ht="15.75" x14ac:dyDescent="0.25">
      <c r="C38" s="892" t="s">
        <v>309</v>
      </c>
      <c r="D38" s="893" t="s">
        <v>314</v>
      </c>
      <c r="E38" s="894" t="s">
        <v>31</v>
      </c>
      <c r="F38" s="895">
        <f t="shared" si="2"/>
        <v>21</v>
      </c>
      <c r="G38" s="896"/>
      <c r="H38" s="897">
        <f t="shared" ref="H38:P38" si="10">SUM(H$10:H$23)</f>
        <v>10</v>
      </c>
      <c r="I38" s="898">
        <f t="shared" si="10"/>
        <v>0</v>
      </c>
      <c r="J38" s="898">
        <f t="shared" si="10"/>
        <v>0</v>
      </c>
      <c r="K38" s="898">
        <f t="shared" si="10"/>
        <v>0</v>
      </c>
      <c r="L38" s="898">
        <f t="shared" si="10"/>
        <v>0</v>
      </c>
      <c r="M38" s="898">
        <f t="shared" si="10"/>
        <v>0</v>
      </c>
      <c r="N38" s="898">
        <f t="shared" si="10"/>
        <v>0</v>
      </c>
      <c r="O38" s="898">
        <f t="shared" si="10"/>
        <v>0</v>
      </c>
      <c r="P38" s="899">
        <f t="shared" si="10"/>
        <v>11</v>
      </c>
      <c r="Q38" s="900"/>
      <c r="R38" s="901"/>
      <c r="S38" s="902">
        <f t="shared" ref="S38:S49" si="11">SUMPRODUCT(H38:P38,$H$7:$P$7)*R38</f>
        <v>0</v>
      </c>
      <c r="T38" s="223"/>
      <c r="U38" s="223" t="s">
        <v>3590</v>
      </c>
      <c r="V38" s="223"/>
      <c r="W38" s="223"/>
      <c r="X38" s="223"/>
      <c r="Y38" s="223"/>
      <c r="Z38" s="223"/>
      <c r="AA38" s="223"/>
      <c r="AB38" s="223"/>
      <c r="AC38" s="223"/>
      <c r="AD38" s="223"/>
    </row>
    <row r="39" spans="3:30" ht="15.75" x14ac:dyDescent="0.25">
      <c r="C39" s="892" t="s">
        <v>309</v>
      </c>
      <c r="D39" s="893" t="s">
        <v>319</v>
      </c>
      <c r="E39" s="894" t="s">
        <v>31</v>
      </c>
      <c r="F39" s="895">
        <f t="shared" si="2"/>
        <v>210</v>
      </c>
      <c r="G39" s="896"/>
      <c r="H39" s="897">
        <f t="shared" ref="H39:P39" si="12">SUM(H$8:H$9,H$22:H$23)</f>
        <v>8</v>
      </c>
      <c r="I39" s="898">
        <f t="shared" si="12"/>
        <v>0</v>
      </c>
      <c r="J39" s="898">
        <f t="shared" si="12"/>
        <v>0</v>
      </c>
      <c r="K39" s="898">
        <f t="shared" si="12"/>
        <v>0</v>
      </c>
      <c r="L39" s="898">
        <f t="shared" si="12"/>
        <v>0</v>
      </c>
      <c r="M39" s="898">
        <f t="shared" si="12"/>
        <v>15</v>
      </c>
      <c r="N39" s="898">
        <f t="shared" si="12"/>
        <v>15</v>
      </c>
      <c r="O39" s="898">
        <f t="shared" si="12"/>
        <v>15</v>
      </c>
      <c r="P39" s="899">
        <f t="shared" si="12"/>
        <v>7</v>
      </c>
      <c r="Q39" s="900"/>
      <c r="R39" s="901"/>
      <c r="S39" s="902">
        <f t="shared" si="11"/>
        <v>0</v>
      </c>
      <c r="T39" s="223"/>
      <c r="U39" s="223" t="s">
        <v>3590</v>
      </c>
      <c r="V39" s="223"/>
      <c r="W39" s="223"/>
      <c r="X39" s="223"/>
      <c r="Y39" s="223"/>
      <c r="Z39" s="223"/>
      <c r="AA39" s="223"/>
      <c r="AB39" s="223"/>
      <c r="AC39" s="223"/>
      <c r="AD39" s="223"/>
    </row>
    <row r="40" spans="3:30" ht="15.75" x14ac:dyDescent="0.25">
      <c r="C40" s="892" t="s">
        <v>309</v>
      </c>
      <c r="D40" s="893" t="s">
        <v>320</v>
      </c>
      <c r="E40" s="894" t="s">
        <v>31</v>
      </c>
      <c r="F40" s="895">
        <f t="shared" si="2"/>
        <v>218</v>
      </c>
      <c r="G40" s="896"/>
      <c r="H40" s="897">
        <f>SUM(H$8:H$9,H$10:H$17)</f>
        <v>16</v>
      </c>
      <c r="I40" s="898">
        <f t="shared" ref="I40:P40" si="13">SUM(I$8:I$9,I$22:I$23)</f>
        <v>0</v>
      </c>
      <c r="J40" s="898">
        <f t="shared" si="13"/>
        <v>0</v>
      </c>
      <c r="K40" s="898">
        <f t="shared" si="13"/>
        <v>0</v>
      </c>
      <c r="L40" s="898">
        <f t="shared" si="13"/>
        <v>0</v>
      </c>
      <c r="M40" s="898">
        <f t="shared" si="13"/>
        <v>15</v>
      </c>
      <c r="N40" s="898">
        <f t="shared" si="13"/>
        <v>15</v>
      </c>
      <c r="O40" s="898">
        <f t="shared" si="13"/>
        <v>15</v>
      </c>
      <c r="P40" s="899">
        <f t="shared" si="13"/>
        <v>7</v>
      </c>
      <c r="Q40" s="900"/>
      <c r="R40" s="901"/>
      <c r="S40" s="902">
        <f t="shared" si="11"/>
        <v>0</v>
      </c>
      <c r="T40" s="223"/>
      <c r="U40" s="223" t="s">
        <v>3590</v>
      </c>
      <c r="V40" s="223"/>
      <c r="W40" s="223"/>
      <c r="X40" s="223"/>
      <c r="Y40" s="223"/>
      <c r="Z40" s="223"/>
      <c r="AA40" s="223"/>
      <c r="AB40" s="223"/>
      <c r="AC40" s="223"/>
      <c r="AD40" s="223"/>
    </row>
    <row r="41" spans="3:30" ht="15.75" x14ac:dyDescent="0.25">
      <c r="C41" s="892" t="s">
        <v>309</v>
      </c>
      <c r="D41" s="893" t="s">
        <v>321</v>
      </c>
      <c r="E41" s="894" t="s">
        <v>31</v>
      </c>
      <c r="F41" s="895">
        <f t="shared" si="2"/>
        <v>840</v>
      </c>
      <c r="G41" s="896"/>
      <c r="H41" s="897">
        <f t="shared" ref="H41:O41" si="14">SUM(H$8:H$9)*4</f>
        <v>32</v>
      </c>
      <c r="I41" s="898">
        <f t="shared" si="14"/>
        <v>0</v>
      </c>
      <c r="J41" s="898">
        <f t="shared" si="14"/>
        <v>0</v>
      </c>
      <c r="K41" s="898">
        <f t="shared" si="14"/>
        <v>0</v>
      </c>
      <c r="L41" s="898">
        <f t="shared" si="14"/>
        <v>0</v>
      </c>
      <c r="M41" s="898">
        <f t="shared" si="14"/>
        <v>60</v>
      </c>
      <c r="N41" s="898">
        <f t="shared" si="14"/>
        <v>60</v>
      </c>
      <c r="O41" s="898">
        <f t="shared" si="14"/>
        <v>60</v>
      </c>
      <c r="P41" s="899">
        <f>SUM(P$8:P$9)*4</f>
        <v>28</v>
      </c>
      <c r="Q41" s="900"/>
      <c r="R41" s="901"/>
      <c r="S41" s="902">
        <f t="shared" si="11"/>
        <v>0</v>
      </c>
      <c r="T41" s="223"/>
      <c r="U41" s="223" t="s">
        <v>3590</v>
      </c>
      <c r="V41" s="223"/>
      <c r="W41" s="223"/>
      <c r="X41" s="223"/>
      <c r="Y41" s="223"/>
      <c r="Z41" s="223"/>
      <c r="AA41" s="223"/>
      <c r="AB41" s="223"/>
      <c r="AC41" s="223"/>
      <c r="AD41" s="223"/>
    </row>
    <row r="42" spans="3:30" ht="15.75" x14ac:dyDescent="0.25">
      <c r="C42" s="892" t="s">
        <v>309</v>
      </c>
      <c r="D42" s="893" t="s">
        <v>322</v>
      </c>
      <c r="E42" s="894" t="s">
        <v>31</v>
      </c>
      <c r="F42" s="895">
        <f t="shared" si="2"/>
        <v>15</v>
      </c>
      <c r="G42" s="896"/>
      <c r="H42" s="897">
        <f t="shared" ref="H42:P42" si="15">SUM(H$10:H$13)</f>
        <v>8</v>
      </c>
      <c r="I42" s="898">
        <f t="shared" si="15"/>
        <v>0</v>
      </c>
      <c r="J42" s="898">
        <f t="shared" si="15"/>
        <v>0</v>
      </c>
      <c r="K42" s="898">
        <f t="shared" si="15"/>
        <v>0</v>
      </c>
      <c r="L42" s="898">
        <f t="shared" si="15"/>
        <v>0</v>
      </c>
      <c r="M42" s="898">
        <f t="shared" si="15"/>
        <v>0</v>
      </c>
      <c r="N42" s="898">
        <f t="shared" si="15"/>
        <v>0</v>
      </c>
      <c r="O42" s="898">
        <f t="shared" si="15"/>
        <v>0</v>
      </c>
      <c r="P42" s="899">
        <f t="shared" si="15"/>
        <v>7</v>
      </c>
      <c r="Q42" s="900"/>
      <c r="R42" s="901"/>
      <c r="S42" s="902">
        <f t="shared" si="11"/>
        <v>0</v>
      </c>
      <c r="T42" s="223"/>
      <c r="U42" s="223" t="s">
        <v>3590</v>
      </c>
      <c r="V42" s="223"/>
      <c r="W42" s="223"/>
      <c r="X42" s="223"/>
      <c r="Y42" s="223"/>
      <c r="Z42" s="223"/>
      <c r="AA42" s="223"/>
      <c r="AB42" s="223"/>
      <c r="AC42" s="223"/>
      <c r="AD42" s="223"/>
    </row>
    <row r="43" spans="3:30" ht="15.75" x14ac:dyDescent="0.25">
      <c r="C43" s="892" t="s">
        <v>309</v>
      </c>
      <c r="D43" s="893" t="s">
        <v>323</v>
      </c>
      <c r="E43" s="894" t="s">
        <v>31</v>
      </c>
      <c r="F43" s="895">
        <f t="shared" si="2"/>
        <v>0</v>
      </c>
      <c r="G43" s="896"/>
      <c r="H43" s="897">
        <f t="shared" ref="H43:O43" si="16">SUM(H$15:H$17)</f>
        <v>0</v>
      </c>
      <c r="I43" s="898">
        <f t="shared" si="16"/>
        <v>0</v>
      </c>
      <c r="J43" s="898">
        <f t="shared" si="16"/>
        <v>0</v>
      </c>
      <c r="K43" s="898">
        <f t="shared" si="16"/>
        <v>0</v>
      </c>
      <c r="L43" s="898">
        <f t="shared" si="16"/>
        <v>0</v>
      </c>
      <c r="M43" s="898">
        <f t="shared" si="16"/>
        <v>0</v>
      </c>
      <c r="N43" s="898">
        <f t="shared" si="16"/>
        <v>0</v>
      </c>
      <c r="O43" s="898">
        <f t="shared" si="16"/>
        <v>0</v>
      </c>
      <c r="P43" s="899">
        <f>SUM(P$15:P$17)</f>
        <v>0</v>
      </c>
      <c r="Q43" s="900"/>
      <c r="R43" s="901"/>
      <c r="S43" s="902">
        <f t="shared" si="11"/>
        <v>0</v>
      </c>
      <c r="T43" s="223"/>
      <c r="U43" s="223" t="s">
        <v>3590</v>
      </c>
      <c r="V43" s="223"/>
      <c r="W43" s="223"/>
      <c r="X43" s="223"/>
      <c r="Y43" s="223"/>
      <c r="Z43" s="223"/>
      <c r="AA43" s="223"/>
      <c r="AB43" s="223"/>
      <c r="AC43" s="223"/>
      <c r="AD43" s="223"/>
    </row>
    <row r="44" spans="3:30" ht="15.75" x14ac:dyDescent="0.25">
      <c r="C44" s="892" t="s">
        <v>309</v>
      </c>
      <c r="D44" s="893" t="s">
        <v>324</v>
      </c>
      <c r="E44" s="894" t="s">
        <v>31</v>
      </c>
      <c r="F44" s="895">
        <f t="shared" si="2"/>
        <v>2</v>
      </c>
      <c r="G44" s="896"/>
      <c r="H44" s="897">
        <f t="shared" ref="H44:O44" si="17">SUM(H$18:H$21)</f>
        <v>2</v>
      </c>
      <c r="I44" s="898">
        <f t="shared" si="17"/>
        <v>0</v>
      </c>
      <c r="J44" s="898">
        <f t="shared" si="17"/>
        <v>0</v>
      </c>
      <c r="K44" s="898">
        <f t="shared" si="17"/>
        <v>0</v>
      </c>
      <c r="L44" s="898">
        <f t="shared" si="17"/>
        <v>0</v>
      </c>
      <c r="M44" s="898">
        <f t="shared" si="17"/>
        <v>0</v>
      </c>
      <c r="N44" s="898">
        <f t="shared" si="17"/>
        <v>0</v>
      </c>
      <c r="O44" s="898">
        <f t="shared" si="17"/>
        <v>0</v>
      </c>
      <c r="P44" s="899">
        <f>SUM(P$18:P$21)</f>
        <v>0</v>
      </c>
      <c r="Q44" s="900"/>
      <c r="R44" s="901"/>
      <c r="S44" s="902">
        <f t="shared" si="11"/>
        <v>0</v>
      </c>
      <c r="T44" s="223"/>
      <c r="U44" s="223" t="s">
        <v>3590</v>
      </c>
      <c r="V44" s="223"/>
      <c r="W44" s="223"/>
      <c r="X44" s="223"/>
      <c r="Y44" s="223"/>
      <c r="Z44" s="223"/>
      <c r="AA44" s="223"/>
      <c r="AB44" s="223"/>
      <c r="AC44" s="223"/>
      <c r="AD44" s="223"/>
    </row>
    <row r="45" spans="3:30" ht="16.5" thickBot="1" x14ac:dyDescent="0.3">
      <c r="C45" s="244" t="s">
        <v>309</v>
      </c>
      <c r="D45" s="245" t="s">
        <v>3576</v>
      </c>
      <c r="E45" s="246"/>
      <c r="F45" s="292">
        <f t="shared" si="2"/>
        <v>15</v>
      </c>
      <c r="G45" s="227"/>
      <c r="H45" s="870">
        <f>SUM(H$8:H$9)</f>
        <v>8</v>
      </c>
      <c r="I45" s="871">
        <f t="shared" ref="I45:P45" si="18">SUM(I$8:I$9)</f>
        <v>0</v>
      </c>
      <c r="J45" s="871">
        <f t="shared" si="18"/>
        <v>0</v>
      </c>
      <c r="K45" s="871">
        <f t="shared" si="18"/>
        <v>0</v>
      </c>
      <c r="L45" s="871">
        <f t="shared" si="18"/>
        <v>0</v>
      </c>
      <c r="M45" s="974"/>
      <c r="N45" s="974"/>
      <c r="O45" s="974"/>
      <c r="P45" s="872">
        <f t="shared" si="18"/>
        <v>7</v>
      </c>
      <c r="R45" s="883">
        <v>688.68</v>
      </c>
      <c r="S45" s="884">
        <f t="shared" si="11"/>
        <v>10330.199999999999</v>
      </c>
      <c r="T45" s="223"/>
      <c r="U45" s="223"/>
      <c r="V45" s="223"/>
      <c r="W45" s="223"/>
      <c r="X45" s="223"/>
      <c r="Y45" s="223"/>
      <c r="Z45" s="223"/>
      <c r="AA45" s="223"/>
      <c r="AB45" s="223"/>
      <c r="AC45" s="223"/>
      <c r="AD45" s="223"/>
    </row>
    <row r="46" spans="3:30" ht="16.5" thickTop="1" x14ac:dyDescent="0.25">
      <c r="C46" s="241" t="s">
        <v>325</v>
      </c>
      <c r="D46" s="235" t="s">
        <v>326</v>
      </c>
      <c r="E46" s="242" t="s">
        <v>66</v>
      </c>
      <c r="F46" s="290">
        <f t="shared" si="2"/>
        <v>12.319299999999998</v>
      </c>
      <c r="G46" s="227"/>
      <c r="H46" s="231"/>
      <c r="I46" s="232"/>
      <c r="J46" s="232"/>
      <c r="K46" s="232"/>
      <c r="L46" s="232"/>
      <c r="M46" s="232"/>
      <c r="N46" s="232"/>
      <c r="O46" s="232"/>
      <c r="P46" s="233">
        <f>3.88+0.6+2.83*0.68+3.15*0.85+2.78*0.58+2.5*0.65</f>
        <v>12.319299999999998</v>
      </c>
      <c r="R46" s="879">
        <v>750</v>
      </c>
      <c r="S46" s="880">
        <f t="shared" si="11"/>
        <v>9239.4749999999985</v>
      </c>
      <c r="T46" s="223"/>
      <c r="U46" s="223"/>
      <c r="V46" s="223"/>
      <c r="W46" s="223"/>
      <c r="X46" s="223"/>
      <c r="Y46" s="223"/>
      <c r="Z46" s="223"/>
      <c r="AA46" s="223"/>
      <c r="AB46" s="223"/>
      <c r="AC46" s="223"/>
      <c r="AD46" s="223"/>
    </row>
    <row r="47" spans="3:30" ht="18" customHeight="1" x14ac:dyDescent="0.25">
      <c r="C47" s="252" t="s">
        <v>325</v>
      </c>
      <c r="D47" s="253" t="s">
        <v>327</v>
      </c>
      <c r="E47" s="254" t="s">
        <v>66</v>
      </c>
      <c r="F47" s="290">
        <f t="shared" si="2"/>
        <v>107.20950000000001</v>
      </c>
      <c r="G47" s="227"/>
      <c r="H47" s="257">
        <f>2.17*45+2.17*0.3+1.58*0.3+1.97*0.3*2+1.8*0.3+1.4*0.48+1.75*0.48</f>
        <v>102.009</v>
      </c>
      <c r="I47" s="258"/>
      <c r="J47" s="258"/>
      <c r="K47" s="258"/>
      <c r="L47" s="258"/>
      <c r="M47" s="258"/>
      <c r="N47" s="232"/>
      <c r="O47" s="232"/>
      <c r="P47" s="259">
        <f>1.55*0.4+2*0.35+1.03*0.35+0.9*0.6+1.8*0.4+0.92*0.5+1.8*0.5*2</f>
        <v>5.2005000000000008</v>
      </c>
      <c r="R47" s="879">
        <v>750</v>
      </c>
      <c r="S47" s="880">
        <f t="shared" si="11"/>
        <v>80407.125</v>
      </c>
      <c r="T47" s="223"/>
      <c r="U47" s="223"/>
      <c r="V47" s="223"/>
      <c r="W47" s="223"/>
      <c r="X47" s="223"/>
      <c r="Y47" s="223"/>
      <c r="Z47" s="223"/>
      <c r="AA47" s="223"/>
      <c r="AB47" s="223"/>
      <c r="AC47" s="223"/>
      <c r="AD47" s="223"/>
    </row>
    <row r="48" spans="3:30" ht="18" customHeight="1" x14ac:dyDescent="0.25">
      <c r="C48" s="252" t="s">
        <v>325</v>
      </c>
      <c r="D48" s="253" t="s">
        <v>3615</v>
      </c>
      <c r="E48" s="254" t="s">
        <v>66</v>
      </c>
      <c r="F48" s="291"/>
      <c r="G48" s="227"/>
      <c r="H48" s="257">
        <f>4.3*0.6</f>
        <v>2.5799999999999996</v>
      </c>
      <c r="I48" s="258"/>
      <c r="J48" s="258"/>
      <c r="K48" s="258"/>
      <c r="L48" s="258"/>
      <c r="M48" s="258"/>
      <c r="N48" s="258"/>
      <c r="O48" s="258"/>
      <c r="P48" s="259"/>
      <c r="R48" s="879">
        <v>750</v>
      </c>
      <c r="S48" s="880">
        <f t="shared" si="11"/>
        <v>1934.9999999999998</v>
      </c>
      <c r="T48" s="223"/>
      <c r="U48" s="223"/>
      <c r="V48" s="223"/>
      <c r="W48" s="223"/>
      <c r="X48" s="223"/>
      <c r="Y48" s="223"/>
      <c r="Z48" s="223"/>
      <c r="AA48" s="223"/>
      <c r="AB48" s="223"/>
      <c r="AC48" s="223"/>
      <c r="AD48" s="223"/>
    </row>
    <row r="49" spans="1:30" ht="16.5" thickBot="1" x14ac:dyDescent="0.3">
      <c r="C49" s="268"/>
      <c r="D49" s="269"/>
      <c r="E49" s="270"/>
      <c r="F49" s="296"/>
      <c r="G49" s="227"/>
      <c r="H49" s="273"/>
      <c r="I49" s="274"/>
      <c r="J49" s="274"/>
      <c r="K49" s="274"/>
      <c r="L49" s="274"/>
      <c r="M49" s="274"/>
      <c r="N49" s="274"/>
      <c r="O49" s="274"/>
      <c r="P49" s="275"/>
      <c r="R49" s="888"/>
      <c r="S49" s="889">
        <f t="shared" si="11"/>
        <v>0</v>
      </c>
      <c r="T49" s="223"/>
      <c r="U49" s="223"/>
      <c r="V49" s="223"/>
      <c r="W49" s="223"/>
      <c r="X49" s="223"/>
      <c r="Y49" s="223"/>
      <c r="Z49" s="223"/>
      <c r="AA49" s="223"/>
      <c r="AB49" s="223"/>
      <c r="AC49" s="223"/>
      <c r="AD49" s="223"/>
    </row>
    <row r="50" spans="1:30" x14ac:dyDescent="0.25">
      <c r="C50" s="223"/>
      <c r="D50" s="223"/>
      <c r="E50" s="223"/>
      <c r="F50" s="276"/>
      <c r="G50" s="277"/>
      <c r="H50" s="223"/>
      <c r="I50" s="223"/>
      <c r="J50" s="223"/>
      <c r="K50" s="223"/>
      <c r="L50" s="223"/>
      <c r="M50" s="223"/>
      <c r="N50" s="223"/>
      <c r="O50" s="223"/>
      <c r="P50" s="223"/>
      <c r="Q50" s="223"/>
      <c r="R50" s="890"/>
      <c r="S50" s="890"/>
      <c r="T50" s="223"/>
      <c r="U50" s="223"/>
      <c r="V50" s="223"/>
      <c r="W50" s="223"/>
      <c r="X50" s="223"/>
      <c r="Y50" s="223"/>
      <c r="Z50" s="223"/>
      <c r="AA50" s="223"/>
      <c r="AB50" s="223"/>
      <c r="AC50" s="223"/>
      <c r="AD50" s="223"/>
    </row>
    <row r="51" spans="1:30" x14ac:dyDescent="0.25">
      <c r="C51" s="223"/>
      <c r="D51" s="223"/>
      <c r="E51" s="223"/>
      <c r="F51" s="223"/>
      <c r="G51" s="277"/>
      <c r="H51" s="223"/>
      <c r="I51" s="223"/>
      <c r="J51" s="223"/>
      <c r="K51" s="223"/>
      <c r="L51" s="223"/>
      <c r="M51" s="223"/>
      <c r="N51" s="223"/>
      <c r="O51" s="223"/>
      <c r="P51" s="223"/>
      <c r="Q51" s="223"/>
      <c r="R51" s="890"/>
      <c r="S51" s="890"/>
      <c r="T51" s="223"/>
      <c r="U51" s="223"/>
      <c r="V51" s="223"/>
      <c r="W51" s="223"/>
      <c r="X51" s="223"/>
      <c r="Y51" s="223"/>
      <c r="Z51" s="223"/>
      <c r="AA51" s="223"/>
      <c r="AB51" s="223"/>
      <c r="AC51" s="223"/>
      <c r="AD51" s="223"/>
    </row>
    <row r="52" spans="1:30" x14ac:dyDescent="0.25">
      <c r="A52" s="223"/>
      <c r="B52" s="223"/>
      <c r="C52" s="223"/>
      <c r="D52" s="223"/>
      <c r="E52" s="223"/>
      <c r="F52" s="276"/>
      <c r="G52" s="226"/>
      <c r="H52" s="297"/>
      <c r="I52" s="297"/>
      <c r="J52" s="297"/>
      <c r="K52" s="297"/>
      <c r="L52" s="297"/>
      <c r="M52" s="297" t="s">
        <v>4169</v>
      </c>
      <c r="N52" s="297"/>
      <c r="O52" s="297"/>
      <c r="P52" s="297"/>
      <c r="Q52" s="223"/>
      <c r="R52" s="890"/>
      <c r="S52" s="890"/>
      <c r="T52" s="223"/>
      <c r="U52" s="223"/>
      <c r="V52" s="223"/>
      <c r="W52" s="223"/>
      <c r="X52" s="223"/>
      <c r="Y52" s="223"/>
      <c r="Z52" s="223"/>
      <c r="AA52" s="223"/>
      <c r="AB52" s="223"/>
      <c r="AC52" s="223"/>
    </row>
    <row r="53" spans="1:30" x14ac:dyDescent="0.25">
      <c r="A53" s="223"/>
      <c r="B53" s="223"/>
      <c r="C53" s="223"/>
      <c r="D53" s="223"/>
      <c r="E53" s="223"/>
      <c r="F53" s="276"/>
      <c r="G53" s="226"/>
      <c r="H53" s="223"/>
      <c r="I53" s="223"/>
      <c r="J53" s="223"/>
      <c r="K53" s="223"/>
      <c r="L53" s="223"/>
      <c r="M53" s="223"/>
      <c r="N53" s="223"/>
      <c r="O53" s="223"/>
      <c r="P53" s="223"/>
      <c r="Q53" s="223"/>
      <c r="R53" s="890"/>
      <c r="S53" s="890"/>
      <c r="T53" s="223"/>
      <c r="U53" s="223"/>
      <c r="V53" s="223"/>
      <c r="W53" s="223"/>
      <c r="X53" s="223"/>
      <c r="Y53" s="223"/>
      <c r="Z53" s="223"/>
      <c r="AA53" s="223"/>
      <c r="AB53" s="223"/>
      <c r="AC53" s="223"/>
    </row>
    <row r="54" spans="1:30" x14ac:dyDescent="0.25">
      <c r="A54" s="223"/>
      <c r="B54" s="223"/>
      <c r="C54" s="223"/>
      <c r="D54" s="223"/>
      <c r="E54" s="223"/>
      <c r="F54" s="276"/>
      <c r="G54" s="226"/>
      <c r="H54" s="223"/>
      <c r="I54" s="223"/>
      <c r="J54" s="223"/>
      <c r="K54" s="223"/>
      <c r="L54" s="223"/>
      <c r="M54" s="223"/>
      <c r="N54" s="223"/>
      <c r="O54" s="223"/>
      <c r="P54" s="223"/>
      <c r="Q54" s="223"/>
      <c r="R54" s="890"/>
      <c r="S54" s="890"/>
      <c r="T54" s="223"/>
      <c r="U54" s="223"/>
      <c r="V54" s="223"/>
      <c r="W54" s="223"/>
      <c r="X54" s="223"/>
      <c r="Y54" s="223"/>
      <c r="Z54" s="223"/>
      <c r="AA54" s="223"/>
      <c r="AB54" s="223"/>
      <c r="AC54" s="223"/>
    </row>
    <row r="55" spans="1:30" x14ac:dyDescent="0.25">
      <c r="A55" s="223"/>
      <c r="B55" s="223"/>
      <c r="C55" s="223"/>
      <c r="D55" s="223"/>
      <c r="E55" s="223"/>
      <c r="F55" s="276"/>
      <c r="G55" s="226"/>
      <c r="H55" s="223"/>
      <c r="I55" s="223"/>
      <c r="J55" s="223"/>
      <c r="K55" s="223"/>
      <c r="L55" s="223"/>
      <c r="M55" s="223"/>
      <c r="N55" s="223"/>
      <c r="O55" s="223"/>
      <c r="P55" s="223"/>
      <c r="Q55" s="223"/>
      <c r="R55" s="890"/>
      <c r="S55" s="890"/>
      <c r="T55" s="223"/>
      <c r="U55" s="223"/>
      <c r="V55" s="223"/>
      <c r="W55" s="223"/>
      <c r="X55" s="223"/>
      <c r="Y55" s="223"/>
      <c r="Z55" s="223"/>
      <c r="AA55" s="223"/>
      <c r="AB55" s="223"/>
      <c r="AC55" s="223"/>
    </row>
    <row r="56" spans="1:30" x14ac:dyDescent="0.25">
      <c r="A56" s="223"/>
      <c r="B56" s="223"/>
      <c r="C56" s="223"/>
      <c r="D56" s="223"/>
      <c r="E56" s="223"/>
      <c r="F56" s="276"/>
      <c r="G56" s="226"/>
      <c r="H56" s="223"/>
      <c r="I56" s="223"/>
      <c r="J56" s="223"/>
      <c r="K56" s="223"/>
      <c r="L56" s="223"/>
      <c r="M56" s="223"/>
      <c r="N56" s="223"/>
      <c r="O56" s="223"/>
      <c r="P56" s="223"/>
      <c r="Q56" s="223"/>
      <c r="R56" s="890"/>
      <c r="S56" s="890"/>
      <c r="T56" s="223"/>
      <c r="U56" s="223"/>
      <c r="V56" s="223"/>
      <c r="W56" s="223"/>
      <c r="X56" s="223"/>
      <c r="Y56" s="223"/>
      <c r="Z56" s="223"/>
      <c r="AA56" s="223"/>
      <c r="AB56" s="223"/>
      <c r="AC56" s="223"/>
    </row>
    <row r="57" spans="1:30" x14ac:dyDescent="0.25">
      <c r="A57" s="223"/>
      <c r="B57" s="223"/>
      <c r="C57" s="223"/>
      <c r="D57" s="223"/>
      <c r="E57" s="223"/>
      <c r="F57" s="276"/>
      <c r="G57" s="226"/>
      <c r="H57" s="223"/>
      <c r="I57" s="223"/>
      <c r="J57" s="223"/>
      <c r="K57" s="223"/>
      <c r="L57" s="223"/>
      <c r="M57" s="223"/>
      <c r="N57" s="223"/>
      <c r="O57" s="223"/>
      <c r="P57" s="223"/>
      <c r="Q57" s="223"/>
      <c r="R57" s="890"/>
      <c r="S57" s="890"/>
      <c r="T57" s="223"/>
      <c r="U57" s="223"/>
      <c r="V57" s="223"/>
      <c r="W57" s="223"/>
      <c r="X57" s="223"/>
      <c r="Y57" s="223"/>
      <c r="Z57" s="223"/>
      <c r="AA57" s="223"/>
      <c r="AB57" s="223"/>
      <c r="AC57" s="223"/>
    </row>
    <row r="58" spans="1:30" x14ac:dyDescent="0.25">
      <c r="A58" s="223"/>
      <c r="B58" s="223"/>
      <c r="C58" s="223"/>
      <c r="D58" s="223"/>
      <c r="E58" s="223"/>
      <c r="F58" s="276"/>
      <c r="G58" s="226"/>
      <c r="H58" s="223"/>
      <c r="I58" s="223"/>
      <c r="J58" s="223"/>
      <c r="K58" s="223"/>
      <c r="L58" s="223"/>
      <c r="M58" s="223"/>
      <c r="N58" s="223"/>
      <c r="O58" s="223"/>
      <c r="P58" s="223"/>
      <c r="Q58" s="223"/>
      <c r="R58" s="890"/>
      <c r="S58" s="890"/>
      <c r="T58" s="223"/>
      <c r="U58" s="223"/>
      <c r="V58" s="223"/>
      <c r="W58" s="223"/>
      <c r="X58" s="223"/>
      <c r="Y58" s="223"/>
      <c r="Z58" s="223"/>
      <c r="AA58" s="223"/>
      <c r="AB58" s="223"/>
      <c r="AC58" s="223"/>
    </row>
    <row r="59" spans="1:30" x14ac:dyDescent="0.25">
      <c r="A59" s="223"/>
      <c r="B59" s="223"/>
      <c r="C59" s="223"/>
      <c r="D59" s="223"/>
      <c r="E59" s="223"/>
      <c r="F59" s="276"/>
      <c r="G59" s="226"/>
      <c r="H59" s="223"/>
      <c r="I59" s="223"/>
      <c r="J59" s="223"/>
      <c r="K59" s="223"/>
      <c r="L59" s="223"/>
      <c r="M59" s="223"/>
      <c r="N59" s="223"/>
      <c r="O59" s="223"/>
      <c r="P59" s="223"/>
      <c r="Q59" s="223"/>
      <c r="R59" s="890"/>
      <c r="S59" s="890"/>
      <c r="T59" s="223"/>
      <c r="U59" s="223"/>
      <c r="V59" s="223"/>
      <c r="W59" s="223"/>
      <c r="X59" s="223"/>
      <c r="Y59" s="223"/>
      <c r="Z59" s="223"/>
      <c r="AA59" s="223"/>
      <c r="AB59" s="223"/>
      <c r="AC59" s="223"/>
    </row>
    <row r="60" spans="1:30" x14ac:dyDescent="0.25">
      <c r="A60" s="223"/>
      <c r="B60" s="223"/>
      <c r="C60" s="223"/>
      <c r="D60" s="223"/>
      <c r="E60" s="223"/>
      <c r="F60" s="276"/>
      <c r="G60" s="226"/>
      <c r="H60" s="223"/>
      <c r="I60" s="223"/>
      <c r="J60" s="223"/>
      <c r="K60" s="223"/>
      <c r="L60" s="223"/>
      <c r="M60" s="223"/>
      <c r="N60" s="223"/>
      <c r="O60" s="223"/>
      <c r="P60" s="223"/>
      <c r="Q60" s="223"/>
      <c r="R60" s="890"/>
      <c r="S60" s="890"/>
      <c r="T60" s="223"/>
      <c r="U60" s="223"/>
      <c r="V60" s="223"/>
      <c r="W60" s="223"/>
      <c r="X60" s="223"/>
      <c r="Y60" s="223"/>
      <c r="Z60" s="223"/>
      <c r="AA60" s="223"/>
      <c r="AB60" s="223"/>
      <c r="AC60" s="223"/>
    </row>
    <row r="61" spans="1:30" x14ac:dyDescent="0.25">
      <c r="A61" s="223"/>
      <c r="B61" s="223"/>
      <c r="C61" s="223"/>
      <c r="D61" s="223"/>
      <c r="E61" s="223"/>
      <c r="F61" s="276"/>
      <c r="G61" s="226"/>
      <c r="H61" s="223"/>
      <c r="I61" s="223"/>
      <c r="J61" s="223"/>
      <c r="K61" s="223"/>
      <c r="L61" s="223"/>
      <c r="M61" s="223"/>
      <c r="N61" s="223"/>
      <c r="O61" s="223"/>
      <c r="P61" s="223"/>
      <c r="Q61" s="223"/>
      <c r="R61" s="890"/>
      <c r="S61" s="890"/>
      <c r="T61" s="223"/>
      <c r="U61" s="223"/>
      <c r="V61" s="223"/>
      <c r="W61" s="223"/>
      <c r="X61" s="223"/>
      <c r="Y61" s="223"/>
      <c r="Z61" s="223"/>
      <c r="AA61" s="223"/>
      <c r="AB61" s="223"/>
      <c r="AC61" s="223"/>
    </row>
    <row r="62" spans="1:30" x14ac:dyDescent="0.25">
      <c r="A62" s="223"/>
      <c r="B62" s="223"/>
      <c r="C62" s="223"/>
      <c r="E62" s="223"/>
      <c r="F62" s="276"/>
      <c r="G62" s="226"/>
      <c r="H62" s="223"/>
      <c r="I62" s="223"/>
      <c r="J62" s="223"/>
      <c r="K62" s="223"/>
      <c r="L62" s="223"/>
      <c r="M62" s="223"/>
      <c r="N62" s="223"/>
      <c r="O62" s="223"/>
      <c r="P62" s="223"/>
      <c r="Q62" s="223"/>
      <c r="R62" s="890"/>
      <c r="S62" s="890"/>
      <c r="T62" s="223"/>
      <c r="U62" s="223"/>
      <c r="V62" s="223"/>
      <c r="W62" s="223"/>
      <c r="X62" s="223"/>
      <c r="Y62" s="223"/>
      <c r="Z62" s="223"/>
      <c r="AA62" s="223"/>
      <c r="AB62" s="223"/>
      <c r="AC62" s="223"/>
    </row>
    <row r="63" spans="1:30" x14ac:dyDescent="0.25">
      <c r="A63" s="223"/>
      <c r="B63" s="223"/>
      <c r="C63" s="223"/>
      <c r="E63" s="223"/>
      <c r="F63" s="276"/>
      <c r="G63" s="226"/>
      <c r="H63" s="223"/>
      <c r="I63" s="223"/>
      <c r="J63" s="223"/>
      <c r="K63" s="223"/>
      <c r="L63" s="223"/>
      <c r="M63" s="223"/>
      <c r="N63" s="223"/>
      <c r="O63" s="223"/>
      <c r="P63" s="223"/>
      <c r="Q63" s="223"/>
      <c r="R63" s="890"/>
      <c r="S63" s="890"/>
      <c r="T63" s="223"/>
      <c r="U63" s="223"/>
      <c r="V63" s="223"/>
      <c r="W63" s="223"/>
      <c r="X63" s="223"/>
      <c r="Y63" s="223"/>
      <c r="Z63" s="223"/>
      <c r="AA63" s="223"/>
      <c r="AB63" s="223"/>
      <c r="AC63" s="223"/>
    </row>
    <row r="64" spans="1:30" x14ac:dyDescent="0.25">
      <c r="A64" s="223"/>
      <c r="B64" s="223"/>
      <c r="C64" s="223"/>
      <c r="E64" s="223"/>
      <c r="F64" s="276"/>
      <c r="G64" s="226"/>
      <c r="H64" s="223"/>
      <c r="I64" s="223"/>
      <c r="J64" s="223"/>
      <c r="K64" s="223"/>
      <c r="L64" s="223"/>
      <c r="M64" s="223"/>
      <c r="N64" s="223"/>
      <c r="O64" s="223"/>
      <c r="P64" s="223"/>
      <c r="Q64" s="223"/>
      <c r="R64" s="890"/>
      <c r="S64" s="890"/>
      <c r="T64" s="223"/>
      <c r="U64" s="223"/>
      <c r="V64" s="223"/>
      <c r="W64" s="223"/>
      <c r="X64" s="223"/>
      <c r="Y64" s="223"/>
      <c r="Z64" s="223"/>
      <c r="AA64" s="223"/>
      <c r="AB64" s="223"/>
      <c r="AC64" s="223"/>
    </row>
    <row r="65" spans="1:29" x14ac:dyDescent="0.25">
      <c r="A65" s="223"/>
      <c r="B65" s="223"/>
      <c r="C65" s="223"/>
      <c r="E65" s="223"/>
      <c r="F65" s="276"/>
      <c r="G65" s="226"/>
      <c r="H65" s="223"/>
      <c r="I65" s="223"/>
      <c r="J65" s="223"/>
      <c r="K65" s="223"/>
      <c r="L65" s="223"/>
      <c r="M65" s="223"/>
      <c r="N65" s="223"/>
      <c r="O65" s="223"/>
      <c r="P65" s="223"/>
      <c r="Q65" s="223"/>
      <c r="R65" s="890"/>
      <c r="S65" s="890"/>
      <c r="T65" s="223"/>
      <c r="U65" s="223"/>
      <c r="V65" s="223"/>
      <c r="W65" s="223"/>
      <c r="X65" s="223"/>
      <c r="Y65" s="223"/>
      <c r="Z65" s="223"/>
      <c r="AA65" s="223"/>
      <c r="AB65" s="223"/>
      <c r="AC65" s="223"/>
    </row>
    <row r="66" spans="1:29" x14ac:dyDescent="0.25">
      <c r="A66" s="223"/>
      <c r="B66" s="223"/>
      <c r="C66" s="223"/>
      <c r="E66" s="223"/>
      <c r="F66" s="276"/>
      <c r="G66" s="226"/>
      <c r="H66" s="223"/>
      <c r="I66" s="223"/>
      <c r="J66" s="223"/>
      <c r="K66" s="223"/>
      <c r="L66" s="223"/>
      <c r="M66" s="223"/>
      <c r="N66" s="223"/>
      <c r="O66" s="223"/>
      <c r="P66" s="223"/>
      <c r="Q66" s="223"/>
      <c r="R66" s="890"/>
      <c r="S66" s="890"/>
      <c r="T66" s="223"/>
      <c r="U66" s="223"/>
      <c r="V66" s="223"/>
      <c r="W66" s="223"/>
      <c r="X66" s="223"/>
      <c r="Y66" s="223"/>
      <c r="Z66" s="223"/>
      <c r="AA66" s="223"/>
      <c r="AB66" s="223"/>
      <c r="AC66" s="223"/>
    </row>
    <row r="67" spans="1:29" x14ac:dyDescent="0.25">
      <c r="A67" s="223"/>
      <c r="B67" s="223"/>
      <c r="C67" s="223"/>
      <c r="E67" s="223"/>
      <c r="F67" s="276"/>
      <c r="G67" s="226"/>
      <c r="H67" s="223"/>
      <c r="I67" s="223"/>
      <c r="J67" s="223"/>
      <c r="K67" s="223"/>
      <c r="L67" s="223"/>
      <c r="M67" s="223"/>
      <c r="N67" s="223"/>
      <c r="O67" s="223"/>
      <c r="P67" s="223"/>
      <c r="Q67" s="223"/>
      <c r="R67" s="890"/>
      <c r="S67" s="890"/>
      <c r="T67" s="223"/>
      <c r="U67" s="223"/>
      <c r="V67" s="223"/>
      <c r="W67" s="223"/>
      <c r="X67" s="223"/>
      <c r="Y67" s="223"/>
      <c r="Z67" s="223"/>
      <c r="AA67" s="223"/>
      <c r="AB67" s="223"/>
      <c r="AC67" s="223"/>
    </row>
    <row r="68" spans="1:29" x14ac:dyDescent="0.25">
      <c r="A68" s="223"/>
      <c r="B68" s="223"/>
      <c r="C68" s="223"/>
      <c r="E68" s="223"/>
      <c r="F68" s="276"/>
      <c r="G68" s="226"/>
      <c r="H68" s="223"/>
      <c r="I68" s="223"/>
      <c r="J68" s="223"/>
      <c r="K68" s="223"/>
      <c r="L68" s="223"/>
      <c r="M68" s="223"/>
      <c r="N68" s="223"/>
      <c r="O68" s="223"/>
      <c r="P68" s="223"/>
      <c r="Q68" s="223"/>
      <c r="R68" s="890"/>
      <c r="S68" s="890"/>
      <c r="T68" s="223"/>
      <c r="U68" s="223"/>
      <c r="V68" s="223"/>
      <c r="W68" s="223"/>
      <c r="X68" s="223"/>
      <c r="Y68" s="223"/>
      <c r="Z68" s="223"/>
      <c r="AA68" s="223"/>
      <c r="AB68" s="223"/>
      <c r="AC68" s="223"/>
    </row>
    <row r="69" spans="1:29" x14ac:dyDescent="0.25">
      <c r="A69" s="223"/>
      <c r="B69" s="223"/>
      <c r="C69" s="223"/>
      <c r="E69" s="223"/>
      <c r="F69" s="276"/>
      <c r="G69" s="226"/>
      <c r="H69" s="223"/>
      <c r="I69" s="223"/>
      <c r="J69" s="223"/>
      <c r="K69" s="223"/>
      <c r="L69" s="223"/>
      <c r="M69" s="223"/>
      <c r="N69" s="223"/>
      <c r="O69" s="223"/>
      <c r="P69" s="223"/>
      <c r="Q69" s="223"/>
      <c r="R69" s="890"/>
      <c r="S69" s="890"/>
      <c r="T69" s="223"/>
      <c r="U69" s="223"/>
      <c r="V69" s="223"/>
      <c r="W69" s="223"/>
      <c r="X69" s="223"/>
      <c r="Y69" s="223"/>
      <c r="Z69" s="223"/>
      <c r="AA69" s="223"/>
      <c r="AB69" s="223"/>
      <c r="AC69" s="223"/>
    </row>
    <row r="70" spans="1:29" x14ac:dyDescent="0.25">
      <c r="A70" s="223"/>
      <c r="B70" s="223"/>
      <c r="C70" s="223"/>
      <c r="E70" s="223"/>
      <c r="F70" s="276"/>
      <c r="G70" s="226"/>
      <c r="H70" s="223"/>
      <c r="I70" s="223"/>
      <c r="J70" s="223"/>
      <c r="K70" s="223"/>
      <c r="L70" s="223"/>
      <c r="M70" s="223"/>
      <c r="N70" s="223"/>
      <c r="O70" s="223"/>
      <c r="P70" s="223"/>
      <c r="Q70" s="223"/>
      <c r="R70" s="890"/>
      <c r="S70" s="890"/>
      <c r="T70" s="223"/>
      <c r="U70" s="223"/>
      <c r="V70" s="223"/>
      <c r="W70" s="223"/>
      <c r="X70" s="223"/>
      <c r="Y70" s="223"/>
      <c r="Z70" s="223"/>
      <c r="AA70" s="223"/>
      <c r="AB70" s="223"/>
      <c r="AC70" s="223"/>
    </row>
    <row r="71" spans="1:29" x14ac:dyDescent="0.25">
      <c r="A71" s="223"/>
      <c r="B71" s="223"/>
      <c r="C71" s="223"/>
      <c r="D71" s="223"/>
      <c r="E71" s="223"/>
      <c r="F71" s="276"/>
      <c r="G71" s="226"/>
      <c r="H71" s="223"/>
      <c r="I71" s="223"/>
      <c r="J71" s="223"/>
      <c r="K71" s="223"/>
      <c r="L71" s="223"/>
      <c r="M71" s="223"/>
      <c r="N71" s="223"/>
      <c r="O71" s="223"/>
      <c r="P71" s="223"/>
      <c r="Q71" s="223"/>
      <c r="R71" s="890"/>
      <c r="S71" s="890"/>
      <c r="T71" s="223"/>
      <c r="U71" s="223"/>
      <c r="V71" s="223"/>
      <c r="W71" s="223"/>
      <c r="X71" s="223"/>
      <c r="Y71" s="223"/>
      <c r="Z71" s="223"/>
      <c r="AA71" s="223"/>
      <c r="AB71" s="223"/>
      <c r="AC71" s="223"/>
    </row>
    <row r="72" spans="1:29" x14ac:dyDescent="0.25">
      <c r="A72" s="223"/>
      <c r="B72" s="223"/>
      <c r="C72" s="223"/>
      <c r="D72" s="223"/>
      <c r="E72" s="223"/>
      <c r="F72" s="276"/>
      <c r="G72" s="226"/>
      <c r="H72" s="223"/>
      <c r="I72" s="223"/>
      <c r="J72" s="223"/>
      <c r="K72" s="223"/>
      <c r="L72" s="223"/>
      <c r="M72" s="223"/>
      <c r="N72" s="223"/>
      <c r="O72" s="223"/>
      <c r="P72" s="223"/>
      <c r="Q72" s="223"/>
      <c r="R72" s="890"/>
      <c r="S72" s="890"/>
      <c r="T72" s="223"/>
      <c r="U72" s="223"/>
      <c r="V72" s="223"/>
      <c r="W72" s="223"/>
      <c r="X72" s="223"/>
      <c r="Y72" s="223"/>
      <c r="Z72" s="223"/>
      <c r="AA72" s="223"/>
      <c r="AB72" s="223"/>
      <c r="AC72" s="223"/>
    </row>
    <row r="73" spans="1:29" x14ac:dyDescent="0.25">
      <c r="A73" s="223"/>
      <c r="B73" s="223"/>
      <c r="C73" s="223"/>
      <c r="D73" s="223"/>
      <c r="E73" s="223"/>
      <c r="F73" s="276"/>
      <c r="G73" s="226"/>
      <c r="H73" s="223"/>
      <c r="I73" s="223"/>
      <c r="J73" s="223"/>
      <c r="K73" s="223"/>
      <c r="L73" s="223"/>
      <c r="M73" s="223"/>
      <c r="N73" s="223"/>
      <c r="O73" s="223"/>
      <c r="P73" s="223"/>
      <c r="Q73" s="223"/>
      <c r="R73" s="890"/>
      <c r="S73" s="890"/>
      <c r="T73" s="223"/>
      <c r="U73" s="223"/>
      <c r="V73" s="223"/>
      <c r="W73" s="223"/>
      <c r="X73" s="223"/>
      <c r="Y73" s="223"/>
      <c r="Z73" s="223"/>
      <c r="AA73" s="223"/>
      <c r="AB73" s="223"/>
      <c r="AC73" s="223"/>
    </row>
    <row r="74" spans="1:29" x14ac:dyDescent="0.25">
      <c r="A74" s="223"/>
      <c r="B74" s="223"/>
      <c r="C74" s="223"/>
      <c r="E74" s="223"/>
      <c r="F74" s="276"/>
      <c r="G74" s="226"/>
      <c r="H74" s="223"/>
      <c r="I74" s="223"/>
      <c r="J74" s="223"/>
      <c r="K74" s="223"/>
      <c r="L74" s="223"/>
      <c r="M74" s="223"/>
      <c r="N74" s="223"/>
      <c r="O74" s="223"/>
      <c r="P74" s="223"/>
      <c r="Q74" s="223"/>
      <c r="R74" s="890"/>
      <c r="S74" s="890"/>
      <c r="T74" s="223"/>
      <c r="U74" s="223"/>
      <c r="V74" s="223"/>
      <c r="W74" s="223"/>
      <c r="X74" s="223"/>
      <c r="Y74" s="223"/>
      <c r="Z74" s="223"/>
      <c r="AA74" s="223"/>
      <c r="AB74" s="223"/>
      <c r="AC74" s="223"/>
    </row>
    <row r="75" spans="1:29" x14ac:dyDescent="0.25">
      <c r="A75" s="223"/>
      <c r="B75" s="223"/>
      <c r="C75" s="223"/>
      <c r="E75" s="223"/>
      <c r="F75" s="276"/>
      <c r="G75" s="226"/>
      <c r="H75" s="223"/>
      <c r="I75" s="223"/>
      <c r="J75" s="223"/>
      <c r="K75" s="223"/>
      <c r="L75" s="223"/>
      <c r="M75" s="223"/>
      <c r="N75" s="223"/>
      <c r="O75" s="223"/>
      <c r="P75" s="223"/>
      <c r="Q75" s="223"/>
      <c r="R75" s="890"/>
      <c r="S75" s="890"/>
      <c r="T75" s="223"/>
      <c r="U75" s="223"/>
      <c r="V75" s="223"/>
      <c r="W75" s="223"/>
      <c r="X75" s="223"/>
      <c r="Y75" s="223"/>
      <c r="Z75" s="223"/>
      <c r="AA75" s="223"/>
      <c r="AB75" s="223"/>
      <c r="AC75" s="223"/>
    </row>
    <row r="76" spans="1:29" x14ac:dyDescent="0.25">
      <c r="A76" s="223"/>
      <c r="B76" s="223"/>
      <c r="C76" s="223"/>
      <c r="D76" s="223"/>
      <c r="E76" s="223"/>
      <c r="F76" s="276"/>
      <c r="G76" s="226"/>
      <c r="H76" s="223"/>
      <c r="I76" s="223"/>
      <c r="J76" s="223"/>
      <c r="K76" s="223"/>
      <c r="L76" s="223"/>
      <c r="M76" s="223"/>
      <c r="N76" s="223"/>
      <c r="O76" s="223"/>
      <c r="P76" s="223"/>
      <c r="Q76" s="223"/>
      <c r="R76" s="890"/>
      <c r="S76" s="890"/>
      <c r="T76" s="223"/>
      <c r="U76" s="223"/>
      <c r="V76" s="223"/>
      <c r="W76" s="223"/>
      <c r="X76" s="223"/>
      <c r="Y76" s="223"/>
      <c r="Z76" s="223"/>
      <c r="AA76" s="223"/>
      <c r="AB76" s="223"/>
      <c r="AC76" s="223"/>
    </row>
    <row r="77" spans="1:29" x14ac:dyDescent="0.25">
      <c r="A77" s="223"/>
      <c r="B77" s="223"/>
      <c r="C77" s="223"/>
      <c r="D77" s="223"/>
      <c r="E77" s="223"/>
      <c r="F77" s="276"/>
      <c r="G77" s="226"/>
      <c r="H77" s="223"/>
      <c r="I77" s="223"/>
      <c r="J77" s="223"/>
      <c r="K77" s="223"/>
      <c r="L77" s="223"/>
      <c r="M77" s="223"/>
      <c r="N77" s="223"/>
      <c r="O77" s="223"/>
      <c r="P77" s="223"/>
      <c r="Q77" s="223"/>
      <c r="R77" s="890"/>
      <c r="S77" s="890"/>
      <c r="T77" s="223"/>
      <c r="U77" s="223"/>
      <c r="V77" s="223"/>
      <c r="W77" s="223"/>
      <c r="X77" s="223"/>
      <c r="Y77" s="223"/>
      <c r="Z77" s="223"/>
      <c r="AA77" s="223"/>
      <c r="AB77" s="223"/>
      <c r="AC77" s="223"/>
    </row>
    <row r="78" spans="1:29" x14ac:dyDescent="0.25">
      <c r="A78" s="223"/>
      <c r="B78" s="223"/>
      <c r="C78" s="223"/>
      <c r="D78" s="223"/>
      <c r="E78" s="223"/>
      <c r="F78" s="276"/>
      <c r="G78" s="226"/>
      <c r="H78" s="223"/>
      <c r="I78" s="223"/>
      <c r="J78" s="223"/>
      <c r="K78" s="223"/>
      <c r="L78" s="223"/>
      <c r="M78" s="223"/>
      <c r="N78" s="223"/>
      <c r="O78" s="223"/>
      <c r="P78" s="223"/>
      <c r="Q78" s="223"/>
      <c r="R78" s="890"/>
      <c r="S78" s="890"/>
      <c r="T78" s="223"/>
      <c r="U78" s="223"/>
      <c r="V78" s="223"/>
      <c r="W78" s="223"/>
      <c r="X78" s="223"/>
      <c r="Y78" s="223"/>
      <c r="Z78" s="223"/>
      <c r="AA78" s="223"/>
      <c r="AB78" s="223"/>
      <c r="AC78" s="223"/>
    </row>
    <row r="79" spans="1:29" x14ac:dyDescent="0.25">
      <c r="A79" s="223"/>
      <c r="B79" s="223"/>
      <c r="C79" s="223"/>
      <c r="D79" s="223"/>
      <c r="E79" s="223"/>
      <c r="F79" s="276"/>
      <c r="G79" s="226"/>
      <c r="H79" s="223"/>
      <c r="I79" s="223"/>
      <c r="J79" s="223"/>
      <c r="K79" s="223"/>
      <c r="L79" s="223"/>
      <c r="M79" s="223"/>
      <c r="N79" s="223"/>
      <c r="O79" s="223"/>
      <c r="P79" s="223"/>
      <c r="Q79" s="223"/>
      <c r="R79" s="890"/>
      <c r="S79" s="890"/>
      <c r="T79" s="223"/>
      <c r="U79" s="223"/>
      <c r="V79" s="223"/>
      <c r="W79" s="223"/>
      <c r="X79" s="223"/>
      <c r="Y79" s="223"/>
      <c r="Z79" s="223"/>
      <c r="AA79" s="223"/>
      <c r="AB79" s="223"/>
      <c r="AC79" s="223"/>
    </row>
    <row r="80" spans="1:29" x14ac:dyDescent="0.25">
      <c r="A80" s="223"/>
      <c r="B80" s="223"/>
      <c r="C80" s="223"/>
      <c r="D80" s="223"/>
      <c r="E80" s="223"/>
      <c r="F80" s="276"/>
      <c r="G80" s="226"/>
      <c r="H80" s="223"/>
      <c r="I80" s="223"/>
      <c r="J80" s="223"/>
      <c r="K80" s="223"/>
      <c r="L80" s="223"/>
      <c r="M80" s="223"/>
      <c r="N80" s="223"/>
      <c r="O80" s="223"/>
      <c r="P80" s="223"/>
      <c r="Q80" s="223"/>
      <c r="R80" s="890"/>
      <c r="S80" s="890"/>
      <c r="T80" s="223"/>
      <c r="U80" s="223"/>
      <c r="V80" s="223"/>
      <c r="W80" s="223"/>
      <c r="X80" s="223"/>
      <c r="Y80" s="223"/>
      <c r="Z80" s="223"/>
      <c r="AA80" s="223"/>
      <c r="AB80" s="223"/>
      <c r="AC80" s="223"/>
    </row>
    <row r="81" spans="1:29" x14ac:dyDescent="0.25">
      <c r="A81" s="223"/>
      <c r="B81" s="223"/>
      <c r="C81" s="223"/>
      <c r="D81" s="223"/>
      <c r="E81" s="223"/>
      <c r="F81" s="276"/>
      <c r="G81" s="226"/>
      <c r="H81" s="223"/>
      <c r="I81" s="223"/>
      <c r="J81" s="223"/>
      <c r="K81" s="223"/>
      <c r="L81" s="223"/>
      <c r="M81" s="223"/>
      <c r="N81" s="223"/>
      <c r="O81" s="223"/>
      <c r="P81" s="223"/>
      <c r="Q81" s="223"/>
      <c r="R81" s="890"/>
      <c r="S81" s="890"/>
      <c r="T81" s="223"/>
      <c r="U81" s="223"/>
      <c r="V81" s="223"/>
      <c r="W81" s="223"/>
      <c r="X81" s="223"/>
      <c r="Y81" s="223"/>
      <c r="Z81" s="223"/>
      <c r="AA81" s="223"/>
      <c r="AB81" s="223"/>
      <c r="AC81" s="223"/>
    </row>
    <row r="82" spans="1:29" x14ac:dyDescent="0.25">
      <c r="A82" s="223"/>
      <c r="B82" s="223"/>
      <c r="C82" s="223"/>
      <c r="D82" s="223"/>
      <c r="E82" s="223"/>
      <c r="F82" s="276"/>
      <c r="G82" s="226"/>
      <c r="H82" s="223"/>
      <c r="I82" s="223"/>
      <c r="J82" s="223"/>
      <c r="K82" s="223"/>
      <c r="L82" s="223"/>
      <c r="M82" s="223"/>
      <c r="N82" s="223"/>
      <c r="O82" s="223"/>
      <c r="P82" s="223"/>
      <c r="Q82" s="223"/>
      <c r="R82" s="890"/>
      <c r="S82" s="890"/>
      <c r="T82" s="223"/>
      <c r="U82" s="223"/>
      <c r="V82" s="223"/>
      <c r="W82" s="223"/>
      <c r="X82" s="223"/>
      <c r="Y82" s="223"/>
      <c r="Z82" s="223"/>
      <c r="AA82" s="223"/>
      <c r="AB82" s="223"/>
      <c r="AC82" s="223"/>
    </row>
    <row r="83" spans="1:29" x14ac:dyDescent="0.25">
      <c r="A83" s="223"/>
      <c r="B83" s="223"/>
      <c r="C83" s="223"/>
      <c r="D83" s="223"/>
      <c r="E83" s="223"/>
      <c r="F83" s="276"/>
      <c r="G83" s="226"/>
      <c r="H83" s="223"/>
      <c r="I83" s="223"/>
      <c r="J83" s="223"/>
      <c r="K83" s="223"/>
      <c r="L83" s="223"/>
      <c r="M83" s="223"/>
      <c r="N83" s="223"/>
      <c r="O83" s="223"/>
      <c r="P83" s="223"/>
      <c r="Q83" s="223"/>
      <c r="R83" s="890"/>
      <c r="S83" s="890"/>
      <c r="T83" s="223"/>
      <c r="U83" s="223"/>
      <c r="V83" s="223"/>
      <c r="W83" s="223"/>
      <c r="X83" s="223"/>
      <c r="Y83" s="223"/>
      <c r="Z83" s="223"/>
      <c r="AA83" s="223"/>
      <c r="AB83" s="223"/>
      <c r="AC83" s="223"/>
    </row>
    <row r="84" spans="1:29" x14ac:dyDescent="0.25">
      <c r="A84" s="223"/>
      <c r="B84" s="223"/>
      <c r="C84" s="223"/>
      <c r="D84" s="223"/>
      <c r="E84" s="223"/>
      <c r="F84" s="276"/>
      <c r="G84" s="226"/>
      <c r="H84" s="223"/>
      <c r="I84" s="223"/>
      <c r="J84" s="223"/>
      <c r="K84" s="223"/>
      <c r="L84" s="223"/>
      <c r="M84" s="223"/>
      <c r="N84" s="223"/>
      <c r="O84" s="223"/>
      <c r="P84" s="223"/>
      <c r="Q84" s="223"/>
      <c r="R84" s="890"/>
      <c r="S84" s="890"/>
      <c r="T84" s="223"/>
      <c r="U84" s="223"/>
      <c r="V84" s="223"/>
      <c r="W84" s="223"/>
      <c r="X84" s="223"/>
      <c r="Y84" s="223"/>
      <c r="Z84" s="223"/>
      <c r="AA84" s="223"/>
      <c r="AB84" s="223"/>
      <c r="AC84" s="223"/>
    </row>
    <row r="85" spans="1:29" x14ac:dyDescent="0.25">
      <c r="A85" s="223"/>
      <c r="B85" s="223"/>
      <c r="C85" s="223"/>
      <c r="D85" s="223"/>
      <c r="E85" s="223"/>
      <c r="F85" s="276"/>
      <c r="G85" s="226"/>
      <c r="H85" s="223"/>
      <c r="I85" s="223"/>
      <c r="J85" s="223"/>
      <c r="K85" s="223"/>
      <c r="L85" s="223"/>
      <c r="M85" s="223"/>
      <c r="N85" s="223"/>
      <c r="O85" s="223"/>
      <c r="P85" s="223"/>
      <c r="Q85" s="223"/>
      <c r="R85" s="890"/>
      <c r="S85" s="890"/>
      <c r="T85" s="223"/>
      <c r="U85" s="223"/>
      <c r="V85" s="223"/>
      <c r="W85" s="223"/>
      <c r="X85" s="223"/>
      <c r="Y85" s="223"/>
      <c r="Z85" s="223"/>
      <c r="AA85" s="223"/>
      <c r="AB85" s="223"/>
      <c r="AC85" s="223"/>
    </row>
    <row r="86" spans="1:29" x14ac:dyDescent="0.25">
      <c r="A86" s="223"/>
      <c r="B86" s="223"/>
      <c r="C86" s="223"/>
      <c r="D86" s="223"/>
      <c r="E86" s="223"/>
      <c r="F86" s="276"/>
      <c r="G86" s="226"/>
      <c r="H86" s="223"/>
      <c r="I86" s="223"/>
      <c r="J86" s="223"/>
      <c r="K86" s="223"/>
      <c r="L86" s="223"/>
      <c r="M86" s="223"/>
      <c r="N86" s="223"/>
      <c r="O86" s="223"/>
      <c r="P86" s="223"/>
      <c r="Q86" s="223"/>
      <c r="R86" s="890"/>
      <c r="S86" s="890"/>
      <c r="T86" s="223"/>
      <c r="U86" s="223"/>
      <c r="V86" s="223"/>
      <c r="W86" s="223"/>
      <c r="X86" s="223"/>
      <c r="Y86" s="223"/>
      <c r="Z86" s="223"/>
      <c r="AA86" s="223"/>
      <c r="AB86" s="223"/>
      <c r="AC86" s="223"/>
    </row>
    <row r="87" spans="1:29" x14ac:dyDescent="0.25">
      <c r="A87" s="223"/>
      <c r="B87" s="223"/>
      <c r="C87" s="223"/>
      <c r="D87" s="223"/>
      <c r="E87" s="223"/>
      <c r="F87" s="276"/>
      <c r="G87" s="226"/>
      <c r="H87" s="223"/>
      <c r="I87" s="223"/>
      <c r="J87" s="223"/>
      <c r="K87" s="223"/>
      <c r="L87" s="223"/>
      <c r="M87" s="223"/>
      <c r="N87" s="223"/>
      <c r="O87" s="223"/>
      <c r="P87" s="223"/>
      <c r="Q87" s="223"/>
      <c r="R87" s="890"/>
      <c r="S87" s="890"/>
      <c r="T87" s="223"/>
      <c r="U87" s="223"/>
      <c r="V87" s="223"/>
      <c r="W87" s="223"/>
      <c r="X87" s="223"/>
      <c r="Y87" s="223"/>
      <c r="Z87" s="223"/>
      <c r="AA87" s="223"/>
      <c r="AB87" s="223"/>
      <c r="AC87" s="223"/>
    </row>
    <row r="88" spans="1:29" x14ac:dyDescent="0.25">
      <c r="A88" s="223"/>
      <c r="B88" s="223"/>
      <c r="C88" s="223"/>
      <c r="D88" s="223"/>
      <c r="E88" s="223"/>
      <c r="F88" s="276"/>
      <c r="G88" s="226"/>
      <c r="H88" s="223"/>
      <c r="I88" s="223"/>
      <c r="J88" s="223"/>
      <c r="K88" s="223"/>
      <c r="L88" s="223"/>
      <c r="M88" s="223"/>
      <c r="N88" s="223"/>
      <c r="O88" s="223"/>
      <c r="P88" s="223"/>
      <c r="Q88" s="223"/>
      <c r="R88" s="890"/>
      <c r="S88" s="890"/>
      <c r="T88" s="223"/>
      <c r="U88" s="223"/>
      <c r="V88" s="223"/>
      <c r="W88" s="223"/>
      <c r="X88" s="223"/>
      <c r="Y88" s="223"/>
      <c r="Z88" s="223"/>
      <c r="AA88" s="223"/>
      <c r="AB88" s="223"/>
      <c r="AC88" s="223"/>
    </row>
    <row r="89" spans="1:29" x14ac:dyDescent="0.25">
      <c r="A89" s="223"/>
      <c r="B89" s="223"/>
      <c r="C89" s="223"/>
      <c r="D89" s="223"/>
      <c r="E89" s="223"/>
      <c r="F89" s="276"/>
      <c r="G89" s="226"/>
      <c r="H89" s="223"/>
      <c r="I89" s="223"/>
      <c r="J89" s="223"/>
      <c r="K89" s="223"/>
      <c r="L89" s="223"/>
      <c r="M89" s="223"/>
      <c r="N89" s="223"/>
      <c r="O89" s="223"/>
      <c r="P89" s="223"/>
      <c r="Q89" s="223"/>
      <c r="R89" s="890"/>
      <c r="S89" s="890"/>
      <c r="T89" s="223"/>
      <c r="U89" s="223"/>
      <c r="V89" s="223"/>
      <c r="W89" s="223"/>
      <c r="X89" s="223"/>
      <c r="Y89" s="223"/>
      <c r="Z89" s="223"/>
      <c r="AA89" s="223"/>
      <c r="AB89" s="223"/>
      <c r="AC89" s="223"/>
    </row>
    <row r="90" spans="1:29" x14ac:dyDescent="0.25">
      <c r="A90" s="223"/>
      <c r="B90" s="223"/>
      <c r="C90" s="223"/>
      <c r="D90" s="223"/>
      <c r="E90" s="223"/>
      <c r="F90" s="276"/>
      <c r="G90" s="226"/>
      <c r="H90" s="223"/>
      <c r="I90" s="223"/>
      <c r="J90" s="223"/>
      <c r="K90" s="223"/>
      <c r="L90" s="223"/>
      <c r="M90" s="223"/>
      <c r="N90" s="223"/>
      <c r="O90" s="223"/>
      <c r="P90" s="223"/>
      <c r="Q90" s="223"/>
      <c r="R90" s="890"/>
      <c r="S90" s="890"/>
      <c r="T90" s="223"/>
      <c r="U90" s="223"/>
      <c r="V90" s="223"/>
      <c r="W90" s="223"/>
      <c r="X90" s="223"/>
      <c r="Y90" s="223"/>
      <c r="Z90" s="223"/>
      <c r="AA90" s="223"/>
      <c r="AB90" s="223"/>
      <c r="AC90" s="223"/>
    </row>
    <row r="91" spans="1:29" x14ac:dyDescent="0.25">
      <c r="A91" s="223"/>
      <c r="B91" s="223"/>
      <c r="C91" s="223"/>
      <c r="D91" s="223"/>
      <c r="E91" s="223"/>
      <c r="F91" s="276"/>
      <c r="G91" s="226"/>
      <c r="H91" s="223"/>
      <c r="I91" s="223"/>
      <c r="J91" s="223"/>
      <c r="K91" s="223"/>
      <c r="L91" s="223"/>
      <c r="M91" s="223"/>
      <c r="N91" s="223"/>
      <c r="O91" s="223"/>
      <c r="P91" s="223"/>
      <c r="Q91" s="223"/>
      <c r="R91" s="890"/>
      <c r="S91" s="890"/>
      <c r="T91" s="223"/>
      <c r="U91" s="223"/>
      <c r="V91" s="223"/>
      <c r="W91" s="223"/>
      <c r="X91" s="223"/>
      <c r="Y91" s="223"/>
      <c r="Z91" s="223"/>
      <c r="AA91" s="223"/>
      <c r="AB91" s="223"/>
      <c r="AC91" s="223"/>
    </row>
    <row r="92" spans="1:29" x14ac:dyDescent="0.25">
      <c r="A92" s="223"/>
      <c r="B92" s="223"/>
      <c r="C92" s="223"/>
      <c r="D92" s="223"/>
      <c r="E92" s="223"/>
      <c r="F92" s="276"/>
      <c r="G92" s="226"/>
      <c r="H92" s="223"/>
      <c r="I92" s="223"/>
      <c r="J92" s="223"/>
      <c r="K92" s="223"/>
      <c r="L92" s="223"/>
      <c r="M92" s="223"/>
      <c r="N92" s="223"/>
      <c r="O92" s="223"/>
      <c r="P92" s="223"/>
      <c r="Q92" s="223"/>
      <c r="R92" s="890"/>
      <c r="S92" s="890"/>
      <c r="T92" s="223"/>
      <c r="U92" s="223"/>
      <c r="V92" s="223"/>
      <c r="W92" s="223"/>
      <c r="X92" s="223"/>
      <c r="Y92" s="223"/>
      <c r="Z92" s="223"/>
      <c r="AA92" s="223"/>
      <c r="AB92" s="223"/>
      <c r="AC92" s="223"/>
    </row>
    <row r="93" spans="1:29" x14ac:dyDescent="0.25">
      <c r="A93" s="223"/>
      <c r="B93" s="223"/>
      <c r="C93" s="223"/>
      <c r="D93" s="223"/>
      <c r="E93" s="223"/>
      <c r="F93" s="276"/>
      <c r="G93" s="226"/>
      <c r="H93" s="223"/>
      <c r="I93" s="223"/>
      <c r="J93" s="223"/>
      <c r="K93" s="223"/>
      <c r="L93" s="223"/>
      <c r="M93" s="223"/>
      <c r="N93" s="223"/>
      <c r="O93" s="223"/>
      <c r="P93" s="223"/>
      <c r="Q93" s="223"/>
      <c r="R93" s="890"/>
      <c r="S93" s="890"/>
      <c r="T93" s="223"/>
      <c r="U93" s="223"/>
      <c r="V93" s="223"/>
      <c r="W93" s="223"/>
      <c r="X93" s="223"/>
      <c r="Y93" s="223"/>
      <c r="Z93" s="223"/>
      <c r="AA93" s="223"/>
      <c r="AB93" s="223"/>
      <c r="AC93" s="223"/>
    </row>
    <row r="94" spans="1:29" x14ac:dyDescent="0.25">
      <c r="A94" s="223"/>
      <c r="B94" s="223"/>
      <c r="C94" s="223"/>
      <c r="D94" s="223"/>
      <c r="E94" s="223"/>
      <c r="F94" s="276"/>
      <c r="G94" s="226"/>
      <c r="H94" s="223"/>
      <c r="I94" s="223"/>
      <c r="J94" s="223"/>
      <c r="K94" s="223"/>
      <c r="L94" s="223"/>
      <c r="M94" s="223"/>
      <c r="N94" s="223"/>
      <c r="O94" s="223"/>
      <c r="P94" s="223"/>
      <c r="Q94" s="223"/>
      <c r="R94" s="890"/>
      <c r="S94" s="890"/>
      <c r="T94" s="223"/>
      <c r="U94" s="223"/>
      <c r="V94" s="223"/>
      <c r="W94" s="223"/>
      <c r="X94" s="223"/>
      <c r="Y94" s="223"/>
      <c r="Z94" s="223"/>
      <c r="AA94" s="223"/>
      <c r="AB94" s="223"/>
      <c r="AC94" s="223"/>
    </row>
    <row r="95" spans="1:29" x14ac:dyDescent="0.25">
      <c r="A95" s="223"/>
      <c r="B95" s="223"/>
      <c r="C95" s="223"/>
      <c r="D95" s="223"/>
      <c r="E95" s="223"/>
      <c r="F95" s="276"/>
      <c r="G95" s="226"/>
      <c r="H95" s="223"/>
      <c r="I95" s="223"/>
      <c r="J95" s="223"/>
      <c r="K95" s="223"/>
      <c r="L95" s="223"/>
      <c r="M95" s="223"/>
      <c r="N95" s="223"/>
      <c r="O95" s="223"/>
      <c r="P95" s="223"/>
      <c r="Q95" s="223"/>
      <c r="R95" s="890"/>
      <c r="S95" s="890"/>
      <c r="T95" s="223"/>
      <c r="U95" s="223"/>
      <c r="V95" s="223"/>
      <c r="W95" s="223"/>
      <c r="X95" s="223"/>
      <c r="Y95" s="223"/>
      <c r="Z95" s="223"/>
      <c r="AA95" s="223"/>
      <c r="AB95" s="223"/>
      <c r="AC95" s="223"/>
    </row>
    <row r="96" spans="1:29" x14ac:dyDescent="0.25">
      <c r="A96" s="223"/>
      <c r="B96" s="223"/>
      <c r="C96" s="223"/>
      <c r="D96" s="223"/>
      <c r="E96" s="223"/>
      <c r="F96" s="276"/>
      <c r="G96" s="226"/>
      <c r="H96" s="223"/>
      <c r="I96" s="223"/>
      <c r="J96" s="223"/>
      <c r="K96" s="223"/>
      <c r="L96" s="223"/>
      <c r="M96" s="223"/>
      <c r="N96" s="223"/>
      <c r="O96" s="223"/>
      <c r="P96" s="223"/>
      <c r="Q96" s="223"/>
      <c r="R96" s="890"/>
      <c r="S96" s="890"/>
      <c r="T96" s="223"/>
      <c r="U96" s="223"/>
      <c r="V96" s="223"/>
      <c r="W96" s="223"/>
      <c r="X96" s="223"/>
      <c r="Y96" s="223"/>
      <c r="Z96" s="223"/>
      <c r="AA96" s="223"/>
      <c r="AB96" s="223"/>
      <c r="AC96" s="223"/>
    </row>
    <row r="97" spans="1:29" x14ac:dyDescent="0.25">
      <c r="A97" s="223"/>
      <c r="B97" s="223"/>
      <c r="C97" s="223"/>
      <c r="D97" s="223"/>
      <c r="E97" s="223"/>
      <c r="F97" s="276"/>
      <c r="G97" s="226"/>
      <c r="H97" s="223"/>
      <c r="I97" s="223"/>
      <c r="J97" s="223"/>
      <c r="K97" s="223"/>
      <c r="L97" s="223"/>
      <c r="M97" s="223"/>
      <c r="N97" s="223"/>
      <c r="O97" s="223"/>
      <c r="P97" s="223"/>
      <c r="Q97" s="223"/>
      <c r="R97" s="890"/>
      <c r="S97" s="890"/>
      <c r="T97" s="223"/>
      <c r="U97" s="223"/>
      <c r="V97" s="223"/>
      <c r="W97" s="223"/>
      <c r="X97" s="223"/>
      <c r="Y97" s="223"/>
      <c r="Z97" s="223"/>
      <c r="AA97" s="223"/>
      <c r="AB97" s="223"/>
      <c r="AC97" s="223"/>
    </row>
    <row r="98" spans="1:29" x14ac:dyDescent="0.25">
      <c r="A98" s="223"/>
      <c r="B98" s="223"/>
      <c r="C98" s="223"/>
      <c r="D98" s="223"/>
      <c r="E98" s="223"/>
      <c r="F98" s="276"/>
      <c r="G98" s="226"/>
      <c r="H98" s="223"/>
      <c r="I98" s="223"/>
      <c r="J98" s="223"/>
      <c r="K98" s="223"/>
      <c r="L98" s="223"/>
      <c r="M98" s="223"/>
      <c r="N98" s="223"/>
      <c r="O98" s="223"/>
      <c r="P98" s="223"/>
      <c r="Q98" s="223"/>
      <c r="R98" s="890"/>
      <c r="S98" s="890"/>
      <c r="T98" s="223"/>
      <c r="U98" s="223"/>
      <c r="V98" s="223"/>
      <c r="W98" s="223"/>
      <c r="X98" s="223"/>
      <c r="Y98" s="223"/>
      <c r="Z98" s="223"/>
      <c r="AA98" s="223"/>
      <c r="AB98" s="223"/>
      <c r="AC98" s="223"/>
    </row>
    <row r="99" spans="1:29" x14ac:dyDescent="0.25">
      <c r="A99" s="223"/>
      <c r="B99" s="223"/>
      <c r="C99" s="223"/>
      <c r="D99" s="223"/>
      <c r="E99" s="223"/>
      <c r="F99" s="276"/>
      <c r="G99" s="226"/>
      <c r="H99" s="223"/>
      <c r="I99" s="223"/>
      <c r="J99" s="223"/>
      <c r="K99" s="223"/>
      <c r="L99" s="223"/>
      <c r="M99" s="223"/>
      <c r="N99" s="223"/>
      <c r="O99" s="223"/>
      <c r="P99" s="223"/>
      <c r="Q99" s="223"/>
      <c r="R99" s="890"/>
      <c r="S99" s="890"/>
      <c r="T99" s="223"/>
      <c r="U99" s="223"/>
      <c r="V99" s="223"/>
      <c r="W99" s="223"/>
      <c r="X99" s="223"/>
      <c r="Y99" s="223"/>
      <c r="Z99" s="223"/>
      <c r="AA99" s="223"/>
      <c r="AB99" s="223"/>
      <c r="AC99" s="223"/>
    </row>
    <row r="100" spans="1:29" x14ac:dyDescent="0.25">
      <c r="A100" s="223"/>
      <c r="B100" s="223"/>
      <c r="C100" s="223"/>
      <c r="D100" s="223"/>
      <c r="E100" s="223"/>
      <c r="F100" s="276"/>
      <c r="G100" s="226"/>
      <c r="H100" s="223"/>
      <c r="I100" s="223"/>
      <c r="J100" s="223"/>
      <c r="K100" s="223"/>
      <c r="L100" s="223"/>
      <c r="M100" s="223"/>
      <c r="N100" s="223"/>
      <c r="O100" s="223"/>
      <c r="P100" s="223"/>
      <c r="Q100" s="223"/>
      <c r="R100" s="890"/>
      <c r="S100" s="890"/>
      <c r="T100" s="223"/>
      <c r="U100" s="223"/>
      <c r="V100" s="223"/>
      <c r="W100" s="223"/>
      <c r="X100" s="223"/>
      <c r="Y100" s="223"/>
      <c r="Z100" s="223"/>
      <c r="AA100" s="223"/>
      <c r="AB100" s="223"/>
      <c r="AC100" s="223"/>
    </row>
    <row r="101" spans="1:29" x14ac:dyDescent="0.25">
      <c r="A101" s="223"/>
      <c r="B101" s="223"/>
      <c r="C101" s="223"/>
      <c r="D101" s="223"/>
      <c r="E101" s="223"/>
      <c r="F101" s="276"/>
      <c r="G101" s="226"/>
      <c r="H101" s="223"/>
      <c r="I101" s="223"/>
      <c r="J101" s="223"/>
      <c r="K101" s="223"/>
      <c r="L101" s="223"/>
      <c r="M101" s="223"/>
      <c r="N101" s="223"/>
      <c r="O101" s="223"/>
      <c r="P101" s="223"/>
      <c r="Q101" s="223"/>
      <c r="R101" s="890"/>
      <c r="S101" s="890"/>
      <c r="T101" s="223"/>
      <c r="U101" s="223"/>
      <c r="V101" s="223"/>
      <c r="W101" s="223"/>
      <c r="X101" s="223"/>
      <c r="Y101" s="223"/>
      <c r="Z101" s="223"/>
      <c r="AA101" s="223"/>
      <c r="AB101" s="223"/>
      <c r="AC101" s="223"/>
    </row>
    <row r="102" spans="1:29" x14ac:dyDescent="0.25">
      <c r="A102" s="223"/>
      <c r="B102" s="223"/>
      <c r="C102" s="223"/>
      <c r="D102" s="223"/>
      <c r="E102" s="223"/>
      <c r="F102" s="276"/>
      <c r="G102" s="226"/>
      <c r="H102" s="223"/>
      <c r="I102" s="223"/>
      <c r="J102" s="223"/>
      <c r="K102" s="223"/>
      <c r="L102" s="223"/>
      <c r="M102" s="223"/>
      <c r="N102" s="223"/>
      <c r="O102" s="223"/>
      <c r="P102" s="223"/>
      <c r="Q102" s="223"/>
      <c r="R102" s="890"/>
      <c r="S102" s="890"/>
      <c r="T102" s="223"/>
      <c r="U102" s="223"/>
      <c r="V102" s="223"/>
      <c r="W102" s="223"/>
      <c r="X102" s="223"/>
      <c r="Y102" s="223"/>
      <c r="Z102" s="223"/>
      <c r="AA102" s="223"/>
      <c r="AB102" s="223"/>
      <c r="AC102" s="223"/>
    </row>
    <row r="103" spans="1:29" x14ac:dyDescent="0.25">
      <c r="A103" s="223"/>
      <c r="B103" s="223"/>
      <c r="C103" s="223"/>
      <c r="D103" s="223"/>
      <c r="E103" s="223"/>
      <c r="F103" s="276"/>
      <c r="G103" s="226"/>
      <c r="H103" s="223"/>
      <c r="I103" s="223"/>
      <c r="J103" s="223"/>
      <c r="K103" s="223"/>
      <c r="L103" s="223"/>
      <c r="M103" s="223"/>
      <c r="N103" s="223"/>
      <c r="O103" s="223"/>
      <c r="P103" s="223"/>
      <c r="Q103" s="223"/>
      <c r="R103" s="890"/>
      <c r="S103" s="890"/>
      <c r="T103" s="223"/>
      <c r="U103" s="223"/>
      <c r="V103" s="223"/>
      <c r="W103" s="223"/>
      <c r="X103" s="223"/>
      <c r="Y103" s="223"/>
      <c r="Z103" s="223"/>
      <c r="AA103" s="223"/>
      <c r="AB103" s="223"/>
      <c r="AC103" s="223"/>
    </row>
    <row r="104" spans="1:29" x14ac:dyDescent="0.25">
      <c r="A104" s="223"/>
      <c r="B104" s="223"/>
      <c r="C104" s="223"/>
      <c r="D104" s="223"/>
      <c r="E104" s="223"/>
      <c r="F104" s="276"/>
      <c r="G104" s="226"/>
      <c r="H104" s="223"/>
      <c r="I104" s="223"/>
      <c r="J104" s="223"/>
      <c r="K104" s="223"/>
      <c r="L104" s="223"/>
      <c r="M104" s="223"/>
      <c r="N104" s="223"/>
      <c r="O104" s="223"/>
      <c r="P104" s="223"/>
      <c r="Q104" s="223"/>
      <c r="R104" s="890"/>
      <c r="S104" s="890"/>
      <c r="T104" s="223"/>
      <c r="U104" s="223"/>
      <c r="V104" s="223"/>
      <c r="W104" s="223"/>
      <c r="X104" s="223"/>
      <c r="Y104" s="223"/>
      <c r="Z104" s="223"/>
      <c r="AA104" s="223"/>
      <c r="AB104" s="223"/>
      <c r="AC104" s="223"/>
    </row>
    <row r="105" spans="1:29" x14ac:dyDescent="0.25">
      <c r="A105" s="223"/>
      <c r="B105" s="223"/>
      <c r="C105" s="223"/>
      <c r="D105" s="223"/>
      <c r="E105" s="223"/>
      <c r="F105" s="276"/>
      <c r="G105" s="226"/>
      <c r="H105" s="223"/>
      <c r="I105" s="223"/>
      <c r="J105" s="223"/>
      <c r="K105" s="223"/>
      <c r="L105" s="223"/>
      <c r="M105" s="223"/>
      <c r="N105" s="223"/>
      <c r="O105" s="223"/>
      <c r="P105" s="223"/>
      <c r="Q105" s="223"/>
      <c r="R105" s="890"/>
      <c r="S105" s="890"/>
      <c r="T105" s="223"/>
      <c r="U105" s="223"/>
      <c r="V105" s="223"/>
      <c r="W105" s="223"/>
      <c r="X105" s="223"/>
      <c r="Y105" s="223"/>
      <c r="Z105" s="223"/>
      <c r="AA105" s="223"/>
      <c r="AB105" s="223"/>
      <c r="AC105" s="223"/>
    </row>
    <row r="106" spans="1:29" x14ac:dyDescent="0.25">
      <c r="A106" s="223"/>
      <c r="B106" s="223"/>
      <c r="C106" s="223"/>
      <c r="D106" s="223"/>
      <c r="E106" s="223"/>
      <c r="F106" s="276"/>
      <c r="G106" s="226"/>
      <c r="H106" s="223"/>
      <c r="I106" s="223"/>
      <c r="J106" s="223"/>
      <c r="K106" s="223"/>
      <c r="L106" s="223"/>
      <c r="M106" s="223"/>
      <c r="N106" s="223"/>
      <c r="O106" s="223"/>
      <c r="P106" s="223"/>
      <c r="Q106" s="223"/>
      <c r="R106" s="890"/>
      <c r="S106" s="890"/>
      <c r="T106" s="223"/>
      <c r="U106" s="223"/>
      <c r="V106" s="223"/>
      <c r="W106" s="223"/>
      <c r="X106" s="223"/>
      <c r="Y106" s="223"/>
      <c r="Z106" s="223"/>
      <c r="AA106" s="223"/>
      <c r="AB106" s="223"/>
      <c r="AC106" s="223"/>
    </row>
    <row r="107" spans="1:29" x14ac:dyDescent="0.25">
      <c r="A107" s="223"/>
      <c r="B107" s="223"/>
      <c r="C107" s="223"/>
      <c r="D107" s="223"/>
      <c r="E107" s="223"/>
      <c r="F107" s="276"/>
      <c r="G107" s="226"/>
      <c r="H107" s="223"/>
      <c r="I107" s="223"/>
      <c r="J107" s="223"/>
      <c r="K107" s="223"/>
      <c r="L107" s="223"/>
      <c r="M107" s="223"/>
      <c r="N107" s="223"/>
      <c r="O107" s="223"/>
      <c r="P107" s="223"/>
      <c r="Q107" s="223"/>
      <c r="R107" s="890"/>
      <c r="S107" s="890"/>
      <c r="T107" s="223"/>
      <c r="U107" s="223"/>
      <c r="V107" s="223"/>
      <c r="W107" s="223"/>
      <c r="X107" s="223"/>
      <c r="Y107" s="223"/>
      <c r="Z107" s="223"/>
      <c r="AA107" s="223"/>
      <c r="AB107" s="223"/>
      <c r="AC107" s="223"/>
    </row>
    <row r="108" spans="1:29" x14ac:dyDescent="0.25">
      <c r="A108" s="223"/>
      <c r="B108" s="223"/>
      <c r="C108" s="223"/>
      <c r="D108" s="223"/>
      <c r="E108" s="223"/>
      <c r="F108" s="276"/>
      <c r="G108" s="226"/>
      <c r="H108" s="223"/>
      <c r="I108" s="223"/>
      <c r="J108" s="223"/>
      <c r="K108" s="223"/>
      <c r="L108" s="223"/>
      <c r="M108" s="223"/>
      <c r="N108" s="223"/>
      <c r="O108" s="223"/>
      <c r="P108" s="223"/>
      <c r="Q108" s="223"/>
      <c r="R108" s="890"/>
      <c r="S108" s="890"/>
      <c r="T108" s="223"/>
      <c r="U108" s="223"/>
      <c r="V108" s="223"/>
      <c r="W108" s="223"/>
      <c r="X108" s="223"/>
      <c r="Y108" s="223"/>
      <c r="Z108" s="223"/>
      <c r="AA108" s="223"/>
      <c r="AB108" s="223"/>
      <c r="AC108" s="223"/>
    </row>
    <row r="109" spans="1:29" x14ac:dyDescent="0.25">
      <c r="A109" s="223"/>
      <c r="B109" s="223"/>
      <c r="C109" s="223"/>
      <c r="D109" s="223"/>
      <c r="E109" s="223"/>
      <c r="F109" s="276"/>
      <c r="G109" s="226"/>
      <c r="H109" s="223"/>
      <c r="I109" s="223"/>
      <c r="J109" s="223"/>
      <c r="K109" s="223"/>
      <c r="L109" s="223"/>
      <c r="M109" s="223"/>
      <c r="N109" s="223"/>
      <c r="O109" s="223"/>
      <c r="P109" s="223"/>
      <c r="Q109" s="223"/>
      <c r="R109" s="890"/>
      <c r="S109" s="890"/>
      <c r="T109" s="223"/>
      <c r="U109" s="223"/>
      <c r="V109" s="223"/>
      <c r="W109" s="223"/>
      <c r="X109" s="223"/>
      <c r="Y109" s="223"/>
      <c r="Z109" s="223"/>
      <c r="AA109" s="223"/>
      <c r="AB109" s="223"/>
      <c r="AC109" s="223"/>
    </row>
    <row r="110" spans="1:29" x14ac:dyDescent="0.25">
      <c r="A110" s="223"/>
      <c r="B110" s="223"/>
      <c r="C110" s="223"/>
      <c r="D110" s="223"/>
      <c r="E110" s="223"/>
      <c r="F110" s="276"/>
      <c r="G110" s="226"/>
      <c r="H110" s="223"/>
      <c r="I110" s="223"/>
      <c r="J110" s="223"/>
      <c r="K110" s="223"/>
      <c r="L110" s="223"/>
      <c r="M110" s="223"/>
      <c r="N110" s="223"/>
      <c r="O110" s="223"/>
      <c r="P110" s="223"/>
      <c r="Q110" s="223"/>
      <c r="R110" s="890"/>
      <c r="S110" s="890"/>
      <c r="T110" s="223"/>
      <c r="U110" s="223"/>
      <c r="V110" s="223"/>
      <c r="W110" s="223"/>
      <c r="X110" s="223"/>
      <c r="Y110" s="223"/>
      <c r="Z110" s="223"/>
      <c r="AA110" s="223"/>
      <c r="AB110" s="223"/>
      <c r="AC110" s="223"/>
    </row>
    <row r="111" spans="1:29" x14ac:dyDescent="0.25">
      <c r="A111" s="223"/>
      <c r="B111" s="223"/>
      <c r="C111" s="223"/>
      <c r="D111" s="223"/>
      <c r="E111" s="223"/>
      <c r="F111" s="276"/>
      <c r="G111" s="226"/>
      <c r="H111" s="223"/>
      <c r="I111" s="223"/>
      <c r="J111" s="223"/>
      <c r="K111" s="223"/>
      <c r="L111" s="223"/>
      <c r="M111" s="223"/>
      <c r="N111" s="223"/>
      <c r="O111" s="223"/>
      <c r="P111" s="223"/>
      <c r="Q111" s="223"/>
      <c r="R111" s="890"/>
      <c r="S111" s="890"/>
      <c r="T111" s="223"/>
      <c r="U111" s="223"/>
      <c r="V111" s="223"/>
      <c r="W111" s="223"/>
      <c r="X111" s="223"/>
      <c r="Y111" s="223"/>
      <c r="Z111" s="223"/>
      <c r="AA111" s="223"/>
      <c r="AB111" s="223"/>
      <c r="AC111" s="223"/>
    </row>
    <row r="112" spans="1:29" x14ac:dyDescent="0.25">
      <c r="A112" s="223"/>
      <c r="B112" s="223"/>
      <c r="C112" s="223"/>
      <c r="D112" s="223"/>
      <c r="E112" s="223"/>
      <c r="F112" s="276"/>
      <c r="G112" s="226"/>
      <c r="H112" s="223"/>
      <c r="I112" s="223"/>
      <c r="J112" s="223"/>
      <c r="K112" s="223"/>
      <c r="L112" s="223"/>
      <c r="M112" s="223"/>
      <c r="N112" s="223"/>
      <c r="O112" s="223"/>
      <c r="P112" s="223"/>
      <c r="Q112" s="223"/>
      <c r="R112" s="890"/>
      <c r="S112" s="890"/>
      <c r="T112" s="223"/>
      <c r="U112" s="223"/>
      <c r="V112" s="223"/>
      <c r="W112" s="223"/>
      <c r="X112" s="223"/>
      <c r="Y112" s="223"/>
      <c r="Z112" s="223"/>
      <c r="AA112" s="223"/>
      <c r="AB112" s="223"/>
      <c r="AC112" s="223"/>
    </row>
    <row r="113" spans="1:29" x14ac:dyDescent="0.25">
      <c r="A113" s="223"/>
      <c r="B113" s="223"/>
      <c r="C113" s="223"/>
      <c r="D113" s="223"/>
      <c r="E113" s="223"/>
      <c r="F113" s="276"/>
      <c r="G113" s="226"/>
      <c r="H113" s="223"/>
      <c r="I113" s="223"/>
      <c r="J113" s="223"/>
      <c r="K113" s="223"/>
      <c r="L113" s="223"/>
      <c r="M113" s="223"/>
      <c r="N113" s="223"/>
      <c r="O113" s="223"/>
      <c r="P113" s="223"/>
      <c r="Q113" s="223"/>
      <c r="R113" s="890"/>
      <c r="S113" s="890"/>
      <c r="T113" s="223"/>
      <c r="U113" s="223"/>
      <c r="V113" s="223"/>
      <c r="W113" s="223"/>
      <c r="X113" s="223"/>
      <c r="Y113" s="223"/>
      <c r="Z113" s="223"/>
      <c r="AA113" s="223"/>
      <c r="AB113" s="223"/>
      <c r="AC113" s="223"/>
    </row>
    <row r="114" spans="1:29" x14ac:dyDescent="0.25">
      <c r="A114" s="223"/>
      <c r="B114" s="223"/>
      <c r="C114" s="223"/>
      <c r="D114" s="223"/>
      <c r="E114" s="223"/>
      <c r="F114" s="276"/>
      <c r="G114" s="226"/>
      <c r="H114" s="223"/>
      <c r="I114" s="223"/>
      <c r="J114" s="223"/>
      <c r="K114" s="223"/>
      <c r="L114" s="223"/>
      <c r="M114" s="223"/>
      <c r="N114" s="223"/>
      <c r="O114" s="223"/>
      <c r="P114" s="223"/>
      <c r="Q114" s="223"/>
      <c r="R114" s="890"/>
      <c r="S114" s="890"/>
      <c r="T114" s="223"/>
      <c r="U114" s="223"/>
      <c r="V114" s="223"/>
      <c r="W114" s="223"/>
      <c r="X114" s="223"/>
      <c r="Y114" s="223"/>
      <c r="Z114" s="223"/>
      <c r="AA114" s="223"/>
      <c r="AB114" s="223"/>
      <c r="AC114" s="223"/>
    </row>
    <row r="115" spans="1:29" x14ac:dyDescent="0.25">
      <c r="A115" s="223"/>
      <c r="B115" s="223"/>
      <c r="C115" s="223"/>
      <c r="D115" s="223"/>
      <c r="E115" s="223"/>
      <c r="F115" s="276"/>
      <c r="G115" s="226"/>
      <c r="H115" s="223"/>
      <c r="I115" s="223"/>
      <c r="J115" s="223"/>
      <c r="K115" s="223"/>
      <c r="L115" s="223"/>
      <c r="M115" s="223"/>
      <c r="N115" s="223"/>
      <c r="O115" s="223"/>
      <c r="P115" s="223"/>
      <c r="Q115" s="223"/>
      <c r="R115" s="890"/>
      <c r="S115" s="890"/>
      <c r="T115" s="223"/>
      <c r="U115" s="223"/>
      <c r="V115" s="223"/>
      <c r="W115" s="223"/>
      <c r="X115" s="223"/>
      <c r="Y115" s="223"/>
      <c r="Z115" s="223"/>
      <c r="AA115" s="223"/>
      <c r="AB115" s="223"/>
      <c r="AC115" s="223"/>
    </row>
    <row r="116" spans="1:29" x14ac:dyDescent="0.25">
      <c r="A116" s="223"/>
      <c r="B116" s="223"/>
      <c r="C116" s="223"/>
      <c r="D116" s="223"/>
      <c r="E116" s="223"/>
      <c r="F116" s="276"/>
      <c r="G116" s="226"/>
      <c r="H116" s="223"/>
      <c r="I116" s="223"/>
      <c r="J116" s="223"/>
      <c r="K116" s="223"/>
      <c r="L116" s="223"/>
      <c r="M116" s="223"/>
      <c r="N116" s="223"/>
      <c r="O116" s="223"/>
      <c r="P116" s="223"/>
      <c r="Q116" s="223"/>
      <c r="R116" s="890"/>
      <c r="S116" s="890"/>
      <c r="T116" s="223"/>
      <c r="U116" s="223"/>
      <c r="V116" s="223"/>
      <c r="W116" s="223"/>
      <c r="X116" s="223"/>
      <c r="Y116" s="223"/>
      <c r="Z116" s="223"/>
      <c r="AA116" s="223"/>
      <c r="AB116" s="223"/>
      <c r="AC116" s="223"/>
    </row>
    <row r="117" spans="1:29" x14ac:dyDescent="0.25">
      <c r="A117" s="223"/>
      <c r="B117" s="223"/>
      <c r="C117" s="223"/>
      <c r="D117" s="223"/>
      <c r="E117" s="223"/>
      <c r="F117" s="276"/>
      <c r="G117" s="226"/>
      <c r="H117" s="223"/>
      <c r="I117" s="223"/>
      <c r="J117" s="223"/>
      <c r="K117" s="223"/>
      <c r="L117" s="223"/>
      <c r="M117" s="223"/>
      <c r="N117" s="223"/>
      <c r="O117" s="223"/>
      <c r="P117" s="223"/>
      <c r="Q117" s="223"/>
      <c r="R117" s="890"/>
      <c r="S117" s="890"/>
      <c r="T117" s="223"/>
      <c r="U117" s="223"/>
      <c r="V117" s="223"/>
      <c r="W117" s="223"/>
      <c r="X117" s="223"/>
      <c r="Y117" s="223"/>
      <c r="Z117" s="223"/>
      <c r="AA117" s="223"/>
      <c r="AB117" s="223"/>
      <c r="AC117" s="223"/>
    </row>
    <row r="118" spans="1:29" x14ac:dyDescent="0.25">
      <c r="A118" s="223"/>
      <c r="B118" s="223"/>
      <c r="C118" s="223"/>
      <c r="D118" s="223"/>
      <c r="E118" s="223"/>
      <c r="F118" s="276"/>
      <c r="G118" s="226"/>
      <c r="H118" s="223"/>
      <c r="I118" s="223"/>
      <c r="J118" s="223"/>
      <c r="K118" s="223"/>
      <c r="L118" s="223"/>
      <c r="M118" s="223"/>
      <c r="N118" s="223"/>
      <c r="O118" s="223"/>
      <c r="P118" s="223"/>
      <c r="Q118" s="223"/>
      <c r="R118" s="890"/>
      <c r="S118" s="890"/>
      <c r="T118" s="223"/>
      <c r="U118" s="223"/>
      <c r="V118" s="223"/>
      <c r="W118" s="223"/>
      <c r="X118" s="223"/>
      <c r="Y118" s="223"/>
      <c r="Z118" s="223"/>
      <c r="AA118" s="223"/>
      <c r="AB118" s="223"/>
      <c r="AC118" s="223"/>
    </row>
    <row r="119" spans="1:29" x14ac:dyDescent="0.25">
      <c r="A119" s="223"/>
      <c r="B119" s="223"/>
      <c r="C119" s="223"/>
      <c r="D119" s="223"/>
      <c r="E119" s="223"/>
      <c r="F119" s="276"/>
      <c r="G119" s="226"/>
      <c r="H119" s="223"/>
      <c r="I119" s="223"/>
      <c r="J119" s="223"/>
      <c r="K119" s="223"/>
      <c r="L119" s="223"/>
      <c r="M119" s="223"/>
      <c r="N119" s="223"/>
      <c r="O119" s="223"/>
      <c r="P119" s="223"/>
      <c r="Q119" s="223"/>
      <c r="R119" s="890"/>
      <c r="S119" s="890"/>
      <c r="T119" s="223"/>
      <c r="U119" s="223"/>
      <c r="V119" s="223"/>
      <c r="W119" s="223"/>
      <c r="X119" s="223"/>
      <c r="Y119" s="223"/>
      <c r="Z119" s="223"/>
      <c r="AA119" s="223"/>
      <c r="AB119" s="223"/>
      <c r="AC119" s="223"/>
    </row>
    <row r="120" spans="1:29" x14ac:dyDescent="0.25">
      <c r="A120" s="223"/>
      <c r="B120" s="223"/>
      <c r="C120" s="223"/>
      <c r="D120" s="223"/>
      <c r="E120" s="223"/>
      <c r="F120" s="276"/>
      <c r="G120" s="226"/>
      <c r="H120" s="223"/>
      <c r="I120" s="223"/>
      <c r="J120" s="223"/>
      <c r="K120" s="223"/>
      <c r="L120" s="223"/>
      <c r="M120" s="223"/>
      <c r="N120" s="223"/>
      <c r="O120" s="223"/>
      <c r="P120" s="223"/>
      <c r="Q120" s="223"/>
      <c r="R120" s="890"/>
      <c r="S120" s="890"/>
      <c r="T120" s="223"/>
      <c r="U120" s="223"/>
      <c r="V120" s="223"/>
      <c r="W120" s="223"/>
      <c r="X120" s="223"/>
      <c r="Y120" s="223"/>
      <c r="Z120" s="223"/>
      <c r="AA120" s="223"/>
      <c r="AB120" s="223"/>
      <c r="AC120" s="223"/>
    </row>
    <row r="121" spans="1:29" x14ac:dyDescent="0.25">
      <c r="A121" s="223"/>
      <c r="B121" s="223"/>
      <c r="C121" s="223"/>
      <c r="D121" s="223"/>
      <c r="E121" s="223"/>
      <c r="F121" s="276"/>
      <c r="G121" s="226"/>
      <c r="H121" s="223"/>
      <c r="I121" s="223"/>
      <c r="J121" s="223"/>
      <c r="K121" s="223"/>
      <c r="L121" s="223"/>
      <c r="M121" s="223"/>
      <c r="N121" s="223"/>
      <c r="O121" s="223"/>
      <c r="P121" s="223"/>
      <c r="Q121" s="223"/>
      <c r="R121" s="890"/>
      <c r="S121" s="890"/>
      <c r="T121" s="223"/>
      <c r="U121" s="223"/>
      <c r="V121" s="223"/>
      <c r="W121" s="223"/>
      <c r="X121" s="223"/>
      <c r="Y121" s="223"/>
      <c r="Z121" s="223"/>
      <c r="AA121" s="223"/>
      <c r="AB121" s="223"/>
      <c r="AC121" s="223"/>
    </row>
    <row r="122" spans="1:29" x14ac:dyDescent="0.25">
      <c r="A122" s="223"/>
      <c r="B122" s="223"/>
      <c r="C122" s="223"/>
      <c r="D122" s="223"/>
      <c r="E122" s="223"/>
      <c r="F122" s="276"/>
      <c r="G122" s="226"/>
      <c r="H122" s="223"/>
      <c r="I122" s="223"/>
      <c r="J122" s="223"/>
      <c r="K122" s="223"/>
      <c r="L122" s="223"/>
      <c r="M122" s="223"/>
      <c r="N122" s="223"/>
      <c r="O122" s="223"/>
      <c r="P122" s="223"/>
      <c r="Q122" s="223"/>
      <c r="R122" s="890"/>
      <c r="S122" s="890"/>
      <c r="T122" s="223"/>
      <c r="U122" s="223"/>
      <c r="V122" s="223"/>
      <c r="W122" s="223"/>
      <c r="X122" s="223"/>
      <c r="Y122" s="223"/>
      <c r="Z122" s="223"/>
      <c r="AA122" s="223"/>
      <c r="AB122" s="223"/>
      <c r="AC122" s="223"/>
    </row>
    <row r="123" spans="1:29" x14ac:dyDescent="0.25">
      <c r="A123" s="223"/>
      <c r="B123" s="223"/>
      <c r="C123" s="223"/>
      <c r="D123" s="223"/>
      <c r="E123" s="223"/>
      <c r="F123" s="276"/>
      <c r="G123" s="226"/>
      <c r="H123" s="223"/>
      <c r="I123" s="223"/>
      <c r="J123" s="223"/>
      <c r="K123" s="223"/>
      <c r="L123" s="223"/>
      <c r="M123" s="223"/>
      <c r="N123" s="223"/>
      <c r="O123" s="223"/>
      <c r="P123" s="223"/>
      <c r="Q123" s="223"/>
      <c r="R123" s="890"/>
      <c r="S123" s="890"/>
      <c r="T123" s="223"/>
      <c r="U123" s="223"/>
      <c r="V123" s="223"/>
      <c r="W123" s="223"/>
      <c r="X123" s="223"/>
      <c r="Y123" s="223"/>
      <c r="Z123" s="223"/>
      <c r="AA123" s="223"/>
      <c r="AB123" s="223"/>
      <c r="AC123" s="223"/>
    </row>
    <row r="124" spans="1:29" x14ac:dyDescent="0.25">
      <c r="A124" s="223"/>
      <c r="B124" s="223"/>
      <c r="C124" s="223"/>
      <c r="D124" s="223"/>
      <c r="E124" s="223"/>
      <c r="F124" s="276"/>
      <c r="G124" s="226"/>
      <c r="H124" s="223"/>
      <c r="I124" s="223"/>
      <c r="J124" s="223"/>
      <c r="K124" s="223"/>
      <c r="L124" s="223"/>
      <c r="M124" s="223"/>
      <c r="N124" s="223"/>
      <c r="O124" s="223"/>
      <c r="P124" s="223"/>
      <c r="Q124" s="223"/>
      <c r="R124" s="890"/>
      <c r="S124" s="890"/>
      <c r="T124" s="223"/>
      <c r="U124" s="223"/>
      <c r="V124" s="223"/>
      <c r="W124" s="223"/>
      <c r="X124" s="223"/>
      <c r="Y124" s="223"/>
      <c r="Z124" s="223"/>
      <c r="AA124" s="223"/>
      <c r="AB124" s="223"/>
      <c r="AC124" s="223"/>
    </row>
    <row r="125" spans="1:29" x14ac:dyDescent="0.25">
      <c r="A125" s="223"/>
      <c r="B125" s="223"/>
      <c r="C125" s="223"/>
      <c r="D125" s="223"/>
      <c r="E125" s="223"/>
      <c r="F125" s="276"/>
      <c r="G125" s="226"/>
      <c r="H125" s="223"/>
      <c r="I125" s="223"/>
      <c r="J125" s="223"/>
      <c r="K125" s="223"/>
      <c r="L125" s="223"/>
      <c r="M125" s="223"/>
      <c r="N125" s="223"/>
      <c r="O125" s="223"/>
      <c r="P125" s="223"/>
      <c r="Q125" s="223"/>
      <c r="R125" s="890"/>
      <c r="S125" s="890"/>
      <c r="T125" s="223"/>
      <c r="U125" s="223"/>
      <c r="V125" s="223"/>
      <c r="W125" s="223"/>
      <c r="X125" s="223"/>
      <c r="Y125" s="223"/>
      <c r="Z125" s="223"/>
      <c r="AA125" s="223"/>
      <c r="AB125" s="223"/>
      <c r="AC125" s="223"/>
    </row>
    <row r="126" spans="1:29" x14ac:dyDescent="0.25">
      <c r="A126" s="223"/>
      <c r="B126" s="223"/>
      <c r="C126" s="223"/>
      <c r="D126" s="223"/>
      <c r="E126" s="223"/>
      <c r="F126" s="276"/>
      <c r="G126" s="226"/>
      <c r="H126" s="223"/>
      <c r="I126" s="223"/>
      <c r="J126" s="223"/>
      <c r="K126" s="223"/>
      <c r="L126" s="223"/>
      <c r="M126" s="223"/>
      <c r="N126" s="223"/>
      <c r="O126" s="223"/>
      <c r="P126" s="223"/>
      <c r="Q126" s="223"/>
      <c r="R126" s="890"/>
      <c r="S126" s="890"/>
      <c r="T126" s="223"/>
      <c r="U126" s="223"/>
      <c r="V126" s="223"/>
      <c r="W126" s="223"/>
      <c r="X126" s="223"/>
      <c r="Y126" s="223"/>
      <c r="Z126" s="223"/>
      <c r="AA126" s="223"/>
      <c r="AB126" s="223"/>
      <c r="AC126" s="223"/>
    </row>
    <row r="127" spans="1:29" x14ac:dyDescent="0.25">
      <c r="A127" s="223"/>
      <c r="B127" s="223"/>
      <c r="C127" s="223"/>
      <c r="D127" s="223"/>
      <c r="E127" s="223"/>
      <c r="F127" s="276"/>
      <c r="G127" s="226"/>
      <c r="H127" s="223"/>
      <c r="I127" s="223"/>
      <c r="J127" s="223"/>
      <c r="K127" s="223"/>
      <c r="L127" s="223"/>
      <c r="M127" s="223"/>
      <c r="N127" s="223"/>
      <c r="O127" s="223"/>
      <c r="P127" s="223"/>
      <c r="Q127" s="223"/>
      <c r="R127" s="890"/>
      <c r="S127" s="890"/>
      <c r="T127" s="223"/>
      <c r="U127" s="223"/>
      <c r="V127" s="223"/>
      <c r="W127" s="223"/>
      <c r="X127" s="223"/>
      <c r="Y127" s="223"/>
      <c r="Z127" s="223"/>
      <c r="AA127" s="223"/>
      <c r="AB127" s="223"/>
      <c r="AC127" s="223"/>
    </row>
    <row r="128" spans="1:29" x14ac:dyDescent="0.25">
      <c r="A128" s="223"/>
      <c r="B128" s="223"/>
      <c r="C128" s="223"/>
      <c r="D128" s="223"/>
      <c r="E128" s="223"/>
      <c r="F128" s="276"/>
      <c r="G128" s="226"/>
      <c r="H128" s="223"/>
      <c r="I128" s="223"/>
      <c r="J128" s="223"/>
      <c r="K128" s="223"/>
      <c r="L128" s="223"/>
      <c r="M128" s="223"/>
      <c r="N128" s="223"/>
      <c r="O128" s="223"/>
      <c r="P128" s="223"/>
      <c r="Q128" s="223"/>
      <c r="R128" s="890"/>
      <c r="S128" s="890"/>
      <c r="T128" s="223"/>
      <c r="U128" s="223"/>
      <c r="V128" s="223"/>
      <c r="W128" s="223"/>
      <c r="X128" s="223"/>
      <c r="Y128" s="223"/>
      <c r="Z128" s="223"/>
      <c r="AA128" s="223"/>
      <c r="AB128" s="223"/>
      <c r="AC128" s="223"/>
    </row>
    <row r="129" spans="1:29" x14ac:dyDescent="0.25">
      <c r="A129" s="223"/>
      <c r="B129" s="223"/>
      <c r="C129" s="223"/>
      <c r="D129" s="223"/>
      <c r="E129" s="223"/>
      <c r="F129" s="276"/>
      <c r="G129" s="226"/>
      <c r="H129" s="223"/>
      <c r="I129" s="223"/>
      <c r="J129" s="223"/>
      <c r="K129" s="223"/>
      <c r="L129" s="223"/>
      <c r="M129" s="223"/>
      <c r="N129" s="223"/>
      <c r="O129" s="223"/>
      <c r="P129" s="223"/>
      <c r="Q129" s="223"/>
      <c r="R129" s="890"/>
      <c r="S129" s="890"/>
      <c r="T129" s="223"/>
      <c r="U129" s="223"/>
      <c r="V129" s="223"/>
      <c r="W129" s="223"/>
      <c r="X129" s="223"/>
      <c r="Y129" s="223"/>
      <c r="Z129" s="223"/>
      <c r="AA129" s="223"/>
      <c r="AB129" s="223"/>
      <c r="AC129" s="223"/>
    </row>
    <row r="130" spans="1:29" x14ac:dyDescent="0.25">
      <c r="A130" s="223"/>
      <c r="B130" s="223"/>
      <c r="C130" s="223"/>
      <c r="D130" s="223"/>
      <c r="E130" s="223"/>
      <c r="F130" s="276"/>
      <c r="G130" s="226"/>
      <c r="H130" s="223"/>
      <c r="I130" s="223"/>
      <c r="J130" s="223"/>
      <c r="K130" s="223"/>
      <c r="L130" s="223"/>
      <c r="M130" s="223"/>
      <c r="N130" s="223"/>
      <c r="O130" s="223"/>
      <c r="P130" s="223"/>
      <c r="Q130" s="223"/>
      <c r="R130" s="890"/>
      <c r="S130" s="890"/>
      <c r="T130" s="223"/>
      <c r="U130" s="223"/>
      <c r="V130" s="223"/>
      <c r="W130" s="223"/>
      <c r="X130" s="223"/>
      <c r="Y130" s="223"/>
      <c r="Z130" s="223"/>
      <c r="AA130" s="223"/>
      <c r="AB130" s="223"/>
      <c r="AC130" s="223"/>
    </row>
    <row r="131" spans="1:29" x14ac:dyDescent="0.25">
      <c r="A131" s="223"/>
      <c r="B131" s="223"/>
      <c r="C131" s="223"/>
      <c r="D131" s="223"/>
      <c r="E131" s="223"/>
      <c r="F131" s="276"/>
      <c r="G131" s="226"/>
      <c r="H131" s="223"/>
      <c r="I131" s="223"/>
      <c r="J131" s="223"/>
      <c r="K131" s="223"/>
      <c r="L131" s="223"/>
      <c r="M131" s="223"/>
      <c r="N131" s="223"/>
      <c r="O131" s="223"/>
      <c r="P131" s="223"/>
      <c r="Q131" s="223"/>
      <c r="R131" s="890"/>
      <c r="S131" s="890"/>
      <c r="T131" s="223"/>
      <c r="U131" s="223"/>
      <c r="V131" s="223"/>
      <c r="W131" s="223"/>
      <c r="X131" s="223"/>
      <c r="Y131" s="223"/>
      <c r="Z131" s="223"/>
      <c r="AA131" s="223"/>
      <c r="AB131" s="223"/>
      <c r="AC131" s="223"/>
    </row>
    <row r="132" spans="1:29" x14ac:dyDescent="0.25">
      <c r="A132" s="223"/>
      <c r="B132" s="223"/>
      <c r="C132" s="223"/>
      <c r="D132" s="223"/>
      <c r="E132" s="223"/>
      <c r="F132" s="276"/>
      <c r="G132" s="226"/>
      <c r="H132" s="223"/>
      <c r="I132" s="223"/>
      <c r="J132" s="223"/>
      <c r="K132" s="223"/>
      <c r="L132" s="223"/>
      <c r="M132" s="223"/>
      <c r="N132" s="223"/>
      <c r="O132" s="223"/>
      <c r="P132" s="223"/>
      <c r="Q132" s="223"/>
      <c r="R132" s="890"/>
      <c r="S132" s="890"/>
      <c r="T132" s="223"/>
      <c r="U132" s="223"/>
      <c r="V132" s="223"/>
      <c r="W132" s="223"/>
      <c r="X132" s="223"/>
      <c r="Y132" s="223"/>
      <c r="Z132" s="223"/>
      <c r="AA132" s="223"/>
      <c r="AB132" s="223"/>
      <c r="AC132" s="223"/>
    </row>
    <row r="133" spans="1:29" x14ac:dyDescent="0.25">
      <c r="A133" s="223"/>
      <c r="B133" s="223"/>
      <c r="C133" s="223"/>
      <c r="D133" s="223"/>
      <c r="E133" s="223"/>
      <c r="F133" s="276"/>
      <c r="G133" s="226"/>
      <c r="H133" s="223"/>
      <c r="I133" s="223"/>
      <c r="J133" s="223"/>
      <c r="K133" s="223"/>
      <c r="L133" s="223"/>
      <c r="M133" s="223"/>
      <c r="N133" s="223"/>
      <c r="O133" s="223"/>
      <c r="P133" s="223"/>
      <c r="Q133" s="223"/>
      <c r="R133" s="890"/>
      <c r="S133" s="890"/>
      <c r="T133" s="223"/>
      <c r="U133" s="223"/>
      <c r="V133" s="223"/>
      <c r="W133" s="223"/>
      <c r="X133" s="223"/>
      <c r="Y133" s="223"/>
      <c r="Z133" s="223"/>
      <c r="AA133" s="223"/>
      <c r="AB133" s="223"/>
      <c r="AC133" s="223"/>
    </row>
    <row r="134" spans="1:29" x14ac:dyDescent="0.25">
      <c r="A134" s="223"/>
      <c r="B134" s="223"/>
      <c r="C134" s="223"/>
      <c r="D134" s="223"/>
      <c r="E134" s="223"/>
      <c r="F134" s="276"/>
      <c r="G134" s="226"/>
      <c r="H134" s="223"/>
      <c r="I134" s="223"/>
      <c r="J134" s="223"/>
      <c r="K134" s="223"/>
      <c r="L134" s="223"/>
      <c r="M134" s="223"/>
      <c r="N134" s="223"/>
      <c r="O134" s="223"/>
      <c r="P134" s="223"/>
      <c r="Q134" s="223"/>
      <c r="R134" s="890"/>
      <c r="S134" s="890"/>
      <c r="T134" s="223"/>
      <c r="U134" s="223"/>
      <c r="V134" s="223"/>
      <c r="W134" s="223"/>
      <c r="X134" s="223"/>
      <c r="Y134" s="223"/>
      <c r="Z134" s="223"/>
      <c r="AA134" s="223"/>
      <c r="AB134" s="223"/>
      <c r="AC134" s="223"/>
    </row>
    <row r="135" spans="1:29" x14ac:dyDescent="0.25">
      <c r="A135" s="223"/>
      <c r="B135" s="223"/>
      <c r="C135" s="223"/>
      <c r="D135" s="223"/>
      <c r="E135" s="223"/>
      <c r="F135" s="276"/>
      <c r="G135" s="226"/>
      <c r="H135" s="223"/>
      <c r="I135" s="223"/>
      <c r="J135" s="223"/>
      <c r="K135" s="223"/>
      <c r="L135" s="223"/>
      <c r="M135" s="223"/>
      <c r="N135" s="223"/>
      <c r="O135" s="223"/>
      <c r="P135" s="223"/>
      <c r="Q135" s="223"/>
      <c r="R135" s="890"/>
      <c r="S135" s="890"/>
      <c r="T135" s="223"/>
      <c r="U135" s="223"/>
      <c r="V135" s="223"/>
      <c r="W135" s="223"/>
      <c r="X135" s="223"/>
      <c r="Y135" s="223"/>
      <c r="Z135" s="223"/>
      <c r="AA135" s="223"/>
      <c r="AB135" s="223"/>
      <c r="AC135" s="223"/>
    </row>
    <row r="136" spans="1:29" x14ac:dyDescent="0.25">
      <c r="A136" s="223"/>
      <c r="B136" s="223"/>
      <c r="C136" s="223"/>
      <c r="D136" s="223"/>
      <c r="E136" s="223"/>
      <c r="F136" s="276"/>
      <c r="G136" s="226"/>
      <c r="H136" s="223"/>
      <c r="I136" s="223"/>
      <c r="J136" s="223"/>
      <c r="K136" s="223"/>
      <c r="L136" s="223"/>
      <c r="M136" s="223"/>
      <c r="N136" s="223"/>
      <c r="O136" s="223"/>
      <c r="P136" s="223"/>
      <c r="Q136" s="223"/>
      <c r="R136" s="890"/>
      <c r="S136" s="890"/>
      <c r="T136" s="223"/>
      <c r="U136" s="223"/>
      <c r="V136" s="223"/>
      <c r="W136" s="223"/>
      <c r="X136" s="223"/>
      <c r="Y136" s="223"/>
      <c r="Z136" s="223"/>
      <c r="AA136" s="223"/>
      <c r="AB136" s="223"/>
      <c r="AC136" s="223"/>
    </row>
    <row r="137" spans="1:29" x14ac:dyDescent="0.25">
      <c r="A137" s="223"/>
      <c r="B137" s="223"/>
      <c r="C137" s="223"/>
      <c r="D137" s="223"/>
      <c r="E137" s="223"/>
      <c r="F137" s="276"/>
      <c r="G137" s="226"/>
      <c r="H137" s="223"/>
      <c r="I137" s="223"/>
      <c r="J137" s="223"/>
      <c r="K137" s="223"/>
      <c r="L137" s="223"/>
      <c r="M137" s="223"/>
      <c r="N137" s="223"/>
      <c r="O137" s="223"/>
      <c r="P137" s="223"/>
      <c r="Q137" s="223"/>
      <c r="R137" s="890"/>
      <c r="S137" s="890"/>
      <c r="T137" s="223"/>
      <c r="U137" s="223"/>
      <c r="V137" s="223"/>
      <c r="W137" s="223"/>
      <c r="X137" s="223"/>
      <c r="Y137" s="223"/>
      <c r="Z137" s="223"/>
      <c r="AA137" s="223"/>
      <c r="AB137" s="223"/>
      <c r="AC137" s="223"/>
    </row>
    <row r="138" spans="1:29" x14ac:dyDescent="0.25">
      <c r="A138" s="223"/>
      <c r="B138" s="223"/>
      <c r="C138" s="223"/>
      <c r="D138" s="223"/>
      <c r="E138" s="223"/>
      <c r="F138" s="276"/>
      <c r="G138" s="226"/>
      <c r="H138" s="223"/>
      <c r="I138" s="223"/>
      <c r="J138" s="223"/>
      <c r="K138" s="223"/>
      <c r="L138" s="223"/>
      <c r="M138" s="223"/>
      <c r="N138" s="223"/>
      <c r="O138" s="223"/>
      <c r="P138" s="223"/>
      <c r="Q138" s="223"/>
      <c r="R138" s="890"/>
      <c r="S138" s="890"/>
      <c r="T138" s="223"/>
      <c r="U138" s="223"/>
      <c r="V138" s="223"/>
      <c r="W138" s="223"/>
      <c r="X138" s="223"/>
      <c r="Y138" s="223"/>
      <c r="Z138" s="223"/>
      <c r="AA138" s="223"/>
      <c r="AB138" s="223"/>
      <c r="AC138" s="223"/>
    </row>
    <row r="139" spans="1:29" x14ac:dyDescent="0.25">
      <c r="A139" s="223"/>
      <c r="B139" s="223"/>
      <c r="C139" s="223"/>
      <c r="D139" s="223"/>
      <c r="E139" s="223"/>
      <c r="F139" s="276"/>
      <c r="G139" s="226"/>
      <c r="H139" s="223"/>
      <c r="I139" s="223"/>
      <c r="J139" s="223"/>
      <c r="K139" s="223"/>
      <c r="L139" s="223"/>
      <c r="M139" s="223"/>
      <c r="N139" s="223"/>
      <c r="O139" s="223"/>
      <c r="P139" s="223"/>
      <c r="Q139" s="223"/>
      <c r="R139" s="890"/>
      <c r="S139" s="890"/>
      <c r="T139" s="223"/>
      <c r="U139" s="223"/>
      <c r="V139" s="223"/>
      <c r="W139" s="223"/>
      <c r="X139" s="223"/>
      <c r="Y139" s="223"/>
      <c r="Z139" s="223"/>
      <c r="AA139" s="223"/>
      <c r="AB139" s="223"/>
      <c r="AC139" s="223"/>
    </row>
    <row r="140" spans="1:29" x14ac:dyDescent="0.25">
      <c r="A140" s="223"/>
      <c r="B140" s="223"/>
      <c r="C140" s="223"/>
      <c r="D140" s="223"/>
      <c r="E140" s="223"/>
      <c r="F140" s="276"/>
      <c r="G140" s="226"/>
      <c r="H140" s="223"/>
      <c r="I140" s="223"/>
      <c r="J140" s="223"/>
      <c r="K140" s="223"/>
      <c r="L140" s="223"/>
      <c r="M140" s="223"/>
      <c r="N140" s="223"/>
      <c r="O140" s="223"/>
      <c r="P140" s="223"/>
      <c r="Q140" s="223"/>
      <c r="R140" s="890"/>
      <c r="S140" s="890"/>
      <c r="T140" s="223"/>
      <c r="U140" s="223"/>
      <c r="V140" s="223"/>
      <c r="W140" s="223"/>
      <c r="X140" s="223"/>
      <c r="Y140" s="223"/>
      <c r="Z140" s="223"/>
      <c r="AA140" s="223"/>
      <c r="AB140" s="223"/>
      <c r="AC140" s="223"/>
    </row>
    <row r="141" spans="1:29" x14ac:dyDescent="0.25">
      <c r="A141" s="223"/>
      <c r="B141" s="223"/>
      <c r="C141" s="223"/>
      <c r="D141" s="223"/>
      <c r="E141" s="223"/>
      <c r="F141" s="276"/>
      <c r="G141" s="226"/>
      <c r="H141" s="223"/>
      <c r="I141" s="223"/>
      <c r="J141" s="223"/>
      <c r="K141" s="223"/>
      <c r="L141" s="223"/>
      <c r="M141" s="223"/>
      <c r="N141" s="223"/>
      <c r="O141" s="223"/>
      <c r="P141" s="223"/>
      <c r="Q141" s="223"/>
      <c r="R141" s="890"/>
      <c r="S141" s="890"/>
      <c r="T141" s="223"/>
      <c r="U141" s="223"/>
      <c r="V141" s="223"/>
      <c r="W141" s="223"/>
      <c r="X141" s="223"/>
      <c r="Y141" s="223"/>
      <c r="Z141" s="223"/>
      <c r="AA141" s="223"/>
      <c r="AB141" s="223"/>
      <c r="AC141" s="223"/>
    </row>
    <row r="142" spans="1:29" x14ac:dyDescent="0.25">
      <c r="A142" s="223"/>
      <c r="B142" s="223"/>
      <c r="C142" s="223"/>
      <c r="D142" s="223"/>
      <c r="E142" s="223"/>
      <c r="F142" s="276"/>
      <c r="G142" s="226"/>
      <c r="H142" s="223"/>
      <c r="I142" s="223"/>
      <c r="J142" s="223"/>
      <c r="K142" s="223"/>
      <c r="L142" s="223"/>
      <c r="M142" s="223"/>
      <c r="N142" s="223"/>
      <c r="O142" s="223"/>
      <c r="P142" s="223"/>
      <c r="Q142" s="223"/>
      <c r="R142" s="890"/>
      <c r="S142" s="890"/>
      <c r="T142" s="223"/>
      <c r="U142" s="223"/>
      <c r="V142" s="223"/>
      <c r="W142" s="223"/>
      <c r="X142" s="223"/>
      <c r="Y142" s="223"/>
      <c r="Z142" s="223"/>
      <c r="AA142" s="223"/>
      <c r="AB142" s="223"/>
      <c r="AC142" s="223"/>
    </row>
    <row r="143" spans="1:29" x14ac:dyDescent="0.25">
      <c r="A143" s="223"/>
      <c r="B143" s="223"/>
      <c r="C143" s="223"/>
      <c r="D143" s="223"/>
      <c r="E143" s="223"/>
      <c r="F143" s="276"/>
      <c r="G143" s="226"/>
      <c r="H143" s="223"/>
      <c r="I143" s="223"/>
      <c r="J143" s="223"/>
      <c r="K143" s="223"/>
      <c r="L143" s="223"/>
      <c r="M143" s="223"/>
      <c r="N143" s="223"/>
      <c r="O143" s="223"/>
      <c r="P143" s="223"/>
      <c r="Q143" s="223"/>
      <c r="R143" s="890"/>
      <c r="S143" s="890"/>
      <c r="T143" s="223"/>
      <c r="U143" s="223"/>
      <c r="V143" s="223"/>
      <c r="W143" s="223"/>
      <c r="X143" s="223"/>
      <c r="Y143" s="223"/>
      <c r="Z143" s="223"/>
      <c r="AA143" s="223"/>
      <c r="AB143" s="223"/>
      <c r="AC143" s="223"/>
    </row>
    <row r="144" spans="1:29" x14ac:dyDescent="0.25">
      <c r="A144" s="223"/>
      <c r="B144" s="223"/>
      <c r="C144" s="223"/>
      <c r="D144" s="223"/>
      <c r="E144" s="223"/>
      <c r="F144" s="276"/>
      <c r="G144" s="226"/>
      <c r="H144" s="223"/>
      <c r="I144" s="223"/>
      <c r="J144" s="223"/>
      <c r="K144" s="223"/>
      <c r="L144" s="223"/>
      <c r="M144" s="223"/>
      <c r="N144" s="223"/>
      <c r="O144" s="223"/>
      <c r="P144" s="223"/>
      <c r="Q144" s="223"/>
      <c r="R144" s="890"/>
      <c r="S144" s="890"/>
      <c r="T144" s="223"/>
      <c r="U144" s="223"/>
      <c r="V144" s="223"/>
      <c r="W144" s="223"/>
      <c r="X144" s="223"/>
      <c r="Y144" s="223"/>
      <c r="Z144" s="223"/>
      <c r="AA144" s="223"/>
      <c r="AB144" s="223"/>
      <c r="AC144" s="223"/>
    </row>
    <row r="145" spans="1:29" x14ac:dyDescent="0.25">
      <c r="A145" s="223"/>
      <c r="B145" s="223"/>
      <c r="C145" s="223"/>
      <c r="D145" s="223"/>
      <c r="E145" s="223"/>
      <c r="F145" s="276"/>
      <c r="G145" s="226"/>
      <c r="H145" s="223"/>
      <c r="I145" s="223"/>
      <c r="J145" s="223"/>
      <c r="K145" s="223"/>
      <c r="L145" s="223"/>
      <c r="M145" s="223"/>
      <c r="N145" s="223"/>
      <c r="O145" s="223"/>
      <c r="P145" s="223"/>
      <c r="Q145" s="223"/>
      <c r="R145" s="890"/>
      <c r="S145" s="890"/>
      <c r="T145" s="223"/>
      <c r="U145" s="223"/>
      <c r="V145" s="223"/>
      <c r="W145" s="223"/>
      <c r="X145" s="223"/>
      <c r="Y145" s="223"/>
      <c r="Z145" s="223"/>
      <c r="AA145" s="223"/>
      <c r="AB145" s="223"/>
      <c r="AC145" s="223"/>
    </row>
    <row r="146" spans="1:29" x14ac:dyDescent="0.25">
      <c r="A146" s="223"/>
      <c r="B146" s="223"/>
      <c r="C146" s="223"/>
      <c r="D146" s="223"/>
      <c r="E146" s="223"/>
      <c r="F146" s="276"/>
      <c r="G146" s="226"/>
      <c r="H146" s="223"/>
      <c r="I146" s="223"/>
      <c r="J146" s="223"/>
      <c r="K146" s="223"/>
      <c r="L146" s="223"/>
      <c r="M146" s="223"/>
      <c r="N146" s="223"/>
      <c r="O146" s="223"/>
      <c r="P146" s="223"/>
      <c r="Q146" s="223"/>
      <c r="R146" s="890"/>
      <c r="S146" s="890"/>
      <c r="T146" s="223"/>
      <c r="U146" s="223"/>
      <c r="V146" s="223"/>
      <c r="W146" s="223"/>
      <c r="X146" s="223"/>
      <c r="Y146" s="223"/>
      <c r="Z146" s="223"/>
      <c r="AA146" s="223"/>
      <c r="AB146" s="223"/>
      <c r="AC146" s="223"/>
    </row>
    <row r="147" spans="1:29" x14ac:dyDescent="0.25">
      <c r="A147" s="223"/>
      <c r="B147" s="223"/>
      <c r="C147" s="223"/>
      <c r="D147" s="223"/>
      <c r="E147" s="223"/>
      <c r="F147" s="276"/>
      <c r="G147" s="226"/>
      <c r="H147" s="223"/>
      <c r="I147" s="223"/>
      <c r="J147" s="223"/>
      <c r="K147" s="223"/>
      <c r="L147" s="223"/>
      <c r="M147" s="223"/>
      <c r="N147" s="223"/>
      <c r="O147" s="223"/>
      <c r="P147" s="223"/>
      <c r="Q147" s="223"/>
      <c r="R147" s="890"/>
      <c r="S147" s="890"/>
      <c r="T147" s="223"/>
      <c r="U147" s="223"/>
      <c r="V147" s="223"/>
      <c r="W147" s="223"/>
      <c r="X147" s="223"/>
      <c r="Y147" s="223"/>
      <c r="Z147" s="223"/>
      <c r="AA147" s="223"/>
      <c r="AB147" s="223"/>
      <c r="AC147" s="223"/>
    </row>
    <row r="148" spans="1:29" x14ac:dyDescent="0.25">
      <c r="A148" s="223"/>
      <c r="B148" s="223"/>
      <c r="C148" s="223"/>
      <c r="D148" s="223"/>
      <c r="E148" s="223"/>
      <c r="F148" s="276"/>
      <c r="G148" s="226"/>
      <c r="H148" s="223"/>
      <c r="I148" s="223"/>
      <c r="J148" s="223"/>
      <c r="K148" s="223"/>
      <c r="L148" s="223"/>
      <c r="M148" s="223"/>
      <c r="N148" s="223"/>
      <c r="O148" s="223"/>
      <c r="P148" s="223"/>
      <c r="Q148" s="223"/>
      <c r="R148" s="890"/>
      <c r="S148" s="890"/>
      <c r="T148" s="223"/>
      <c r="U148" s="223"/>
      <c r="V148" s="223"/>
      <c r="W148" s="223"/>
      <c r="X148" s="223"/>
      <c r="Y148" s="223"/>
      <c r="Z148" s="223"/>
      <c r="AA148" s="223"/>
      <c r="AB148" s="223"/>
      <c r="AC148" s="223"/>
    </row>
    <row r="149" spans="1:29" x14ac:dyDescent="0.25">
      <c r="A149" s="223"/>
      <c r="B149" s="223"/>
      <c r="C149" s="223"/>
      <c r="D149" s="223"/>
      <c r="E149" s="223"/>
      <c r="F149" s="276"/>
      <c r="G149" s="226"/>
      <c r="H149" s="223"/>
      <c r="I149" s="223"/>
      <c r="J149" s="223"/>
      <c r="K149" s="223"/>
      <c r="L149" s="223"/>
      <c r="M149" s="223"/>
      <c r="N149" s="223"/>
      <c r="O149" s="223"/>
      <c r="P149" s="223"/>
      <c r="Q149" s="223"/>
      <c r="R149" s="890"/>
      <c r="S149" s="890"/>
      <c r="T149" s="223"/>
      <c r="U149" s="223"/>
      <c r="V149" s="223"/>
      <c r="W149" s="223"/>
      <c r="X149" s="223"/>
      <c r="Y149" s="223"/>
      <c r="Z149" s="223"/>
      <c r="AA149" s="223"/>
      <c r="AB149" s="223"/>
      <c r="AC149" s="223"/>
    </row>
    <row r="150" spans="1:29" x14ac:dyDescent="0.25">
      <c r="A150" s="223"/>
      <c r="B150" s="223"/>
      <c r="C150" s="223"/>
      <c r="D150" s="223"/>
      <c r="E150" s="223"/>
      <c r="F150" s="276"/>
      <c r="G150" s="226"/>
      <c r="H150" s="223"/>
      <c r="I150" s="223"/>
      <c r="J150" s="223"/>
      <c r="K150" s="223"/>
      <c r="L150" s="223"/>
      <c r="M150" s="223"/>
      <c r="N150" s="223"/>
      <c r="O150" s="223"/>
      <c r="P150" s="223"/>
      <c r="Q150" s="223"/>
      <c r="R150" s="890"/>
      <c r="S150" s="890"/>
      <c r="T150" s="223"/>
      <c r="U150" s="223"/>
      <c r="V150" s="223"/>
      <c r="W150" s="223"/>
      <c r="X150" s="223"/>
      <c r="Y150" s="223"/>
      <c r="Z150" s="223"/>
      <c r="AA150" s="223"/>
      <c r="AB150" s="223"/>
      <c r="AC150" s="223"/>
    </row>
    <row r="151" spans="1:29" x14ac:dyDescent="0.25">
      <c r="A151" s="223"/>
      <c r="B151" s="223"/>
      <c r="C151" s="223"/>
      <c r="D151" s="223"/>
      <c r="E151" s="223"/>
      <c r="F151" s="276"/>
      <c r="G151" s="226"/>
      <c r="H151" s="223"/>
      <c r="I151" s="223"/>
      <c r="J151" s="223"/>
      <c r="K151" s="223"/>
      <c r="L151" s="223"/>
      <c r="M151" s="223"/>
      <c r="N151" s="223"/>
      <c r="O151" s="223"/>
      <c r="P151" s="223"/>
      <c r="Q151" s="223"/>
      <c r="R151" s="890"/>
      <c r="S151" s="890"/>
      <c r="T151" s="223"/>
      <c r="U151" s="223"/>
      <c r="V151" s="223"/>
      <c r="W151" s="223"/>
      <c r="X151" s="223"/>
      <c r="Y151" s="223"/>
      <c r="Z151" s="223"/>
      <c r="AA151" s="223"/>
      <c r="AB151" s="223"/>
      <c r="AC151" s="223"/>
    </row>
    <row r="152" spans="1:29" x14ac:dyDescent="0.25">
      <c r="A152" s="223"/>
      <c r="B152" s="223"/>
      <c r="C152" s="223"/>
      <c r="D152" s="223"/>
      <c r="E152" s="223"/>
      <c r="F152" s="276"/>
      <c r="G152" s="226"/>
      <c r="H152" s="223"/>
      <c r="I152" s="223"/>
      <c r="J152" s="223"/>
      <c r="K152" s="223"/>
      <c r="L152" s="223"/>
      <c r="M152" s="223"/>
      <c r="N152" s="223"/>
      <c r="O152" s="223"/>
      <c r="P152" s="223"/>
      <c r="Q152" s="223"/>
      <c r="R152" s="890"/>
      <c r="S152" s="890"/>
      <c r="T152" s="223"/>
      <c r="U152" s="223"/>
      <c r="V152" s="223"/>
      <c r="W152" s="223"/>
      <c r="X152" s="223"/>
      <c r="Y152" s="223"/>
      <c r="Z152" s="223"/>
      <c r="AA152" s="223"/>
      <c r="AB152" s="223"/>
      <c r="AC152" s="223"/>
    </row>
    <row r="153" spans="1:29" x14ac:dyDescent="0.25">
      <c r="A153" s="223"/>
      <c r="B153" s="223"/>
      <c r="C153" s="223"/>
      <c r="D153" s="223"/>
      <c r="E153" s="223"/>
      <c r="F153" s="276"/>
      <c r="G153" s="226"/>
      <c r="H153" s="223"/>
      <c r="I153" s="223"/>
      <c r="J153" s="223"/>
      <c r="K153" s="223"/>
      <c r="L153" s="223"/>
      <c r="M153" s="223"/>
      <c r="N153" s="223"/>
      <c r="O153" s="223"/>
      <c r="P153" s="223"/>
      <c r="Q153" s="223"/>
      <c r="R153" s="890"/>
      <c r="S153" s="890"/>
      <c r="T153" s="223"/>
      <c r="U153" s="223"/>
      <c r="V153" s="223"/>
      <c r="W153" s="223"/>
      <c r="X153" s="223"/>
      <c r="Y153" s="223"/>
      <c r="Z153" s="223"/>
      <c r="AA153" s="223"/>
      <c r="AB153" s="223"/>
      <c r="AC153" s="223"/>
    </row>
    <row r="154" spans="1:29" x14ac:dyDescent="0.25">
      <c r="A154" s="223"/>
      <c r="B154" s="223"/>
      <c r="C154" s="223"/>
      <c r="D154" s="223"/>
      <c r="E154" s="223"/>
      <c r="F154" s="276"/>
      <c r="G154" s="226"/>
      <c r="H154" s="223"/>
      <c r="I154" s="223"/>
      <c r="J154" s="223"/>
      <c r="K154" s="223"/>
      <c r="L154" s="223"/>
      <c r="M154" s="223"/>
      <c r="N154" s="223"/>
      <c r="O154" s="223"/>
      <c r="P154" s="223"/>
      <c r="Q154" s="223"/>
      <c r="R154" s="890"/>
      <c r="S154" s="890"/>
      <c r="T154" s="223"/>
      <c r="U154" s="223"/>
      <c r="V154" s="223"/>
      <c r="W154" s="223"/>
      <c r="X154" s="223"/>
      <c r="Y154" s="223"/>
      <c r="Z154" s="223"/>
      <c r="AA154" s="223"/>
      <c r="AB154" s="223"/>
      <c r="AC154" s="223"/>
    </row>
    <row r="155" spans="1:29" x14ac:dyDescent="0.25">
      <c r="A155" s="223"/>
      <c r="B155" s="223"/>
      <c r="C155" s="223"/>
      <c r="D155" s="223"/>
      <c r="E155" s="223"/>
      <c r="F155" s="276"/>
      <c r="G155" s="226"/>
      <c r="H155" s="223"/>
      <c r="I155" s="223"/>
      <c r="J155" s="223"/>
      <c r="K155" s="223"/>
      <c r="L155" s="223"/>
      <c r="M155" s="223"/>
      <c r="N155" s="223"/>
      <c r="O155" s="223"/>
      <c r="P155" s="223"/>
      <c r="Q155" s="223"/>
      <c r="R155" s="890"/>
      <c r="S155" s="890"/>
      <c r="T155" s="223"/>
      <c r="U155" s="223"/>
      <c r="V155" s="223"/>
      <c r="W155" s="223"/>
      <c r="X155" s="223"/>
      <c r="Y155" s="223"/>
      <c r="Z155" s="223"/>
      <c r="AA155" s="223"/>
      <c r="AB155" s="223"/>
      <c r="AC155" s="223"/>
    </row>
    <row r="156" spans="1:29" x14ac:dyDescent="0.25">
      <c r="A156" s="223"/>
      <c r="B156" s="223"/>
      <c r="C156" s="223"/>
      <c r="D156" s="223"/>
      <c r="E156" s="223"/>
      <c r="F156" s="276"/>
      <c r="G156" s="226"/>
      <c r="H156" s="223"/>
      <c r="I156" s="223"/>
      <c r="J156" s="223"/>
      <c r="K156" s="223"/>
      <c r="L156" s="223"/>
      <c r="M156" s="223"/>
      <c r="N156" s="223"/>
      <c r="O156" s="223"/>
      <c r="P156" s="223"/>
      <c r="Q156" s="223"/>
      <c r="R156" s="890"/>
      <c r="S156" s="890"/>
      <c r="T156" s="223"/>
      <c r="U156" s="223"/>
      <c r="V156" s="223"/>
      <c r="W156" s="223"/>
      <c r="X156" s="223"/>
      <c r="Y156" s="223"/>
      <c r="Z156" s="223"/>
      <c r="AA156" s="223"/>
      <c r="AB156" s="223"/>
      <c r="AC156" s="223"/>
    </row>
    <row r="157" spans="1:29" x14ac:dyDescent="0.25">
      <c r="A157" s="223"/>
      <c r="B157" s="223"/>
      <c r="C157" s="223"/>
      <c r="D157" s="223"/>
      <c r="E157" s="223"/>
      <c r="F157" s="276"/>
      <c r="G157" s="226"/>
      <c r="H157" s="223"/>
      <c r="I157" s="223"/>
      <c r="J157" s="223"/>
      <c r="K157" s="223"/>
      <c r="L157" s="223"/>
      <c r="M157" s="223"/>
      <c r="N157" s="223"/>
      <c r="O157" s="223"/>
      <c r="P157" s="223"/>
      <c r="Q157" s="223"/>
      <c r="R157" s="890"/>
      <c r="S157" s="890"/>
      <c r="T157" s="223"/>
      <c r="U157" s="223"/>
      <c r="V157" s="223"/>
      <c r="W157" s="223"/>
      <c r="X157" s="223"/>
      <c r="Y157" s="223"/>
      <c r="Z157" s="223"/>
      <c r="AA157" s="223"/>
      <c r="AB157" s="223"/>
      <c r="AC157" s="223"/>
    </row>
    <row r="158" spans="1:29" x14ac:dyDescent="0.25">
      <c r="A158" s="223"/>
      <c r="B158" s="223"/>
      <c r="C158" s="223"/>
      <c r="D158" s="223"/>
      <c r="E158" s="223"/>
      <c r="F158" s="276"/>
      <c r="G158" s="226"/>
      <c r="H158" s="223"/>
      <c r="I158" s="223"/>
      <c r="J158" s="223"/>
      <c r="K158" s="223"/>
      <c r="L158" s="223"/>
      <c r="M158" s="223"/>
      <c r="N158" s="223"/>
      <c r="O158" s="223"/>
      <c r="P158" s="223"/>
      <c r="Q158" s="223"/>
      <c r="R158" s="890"/>
      <c r="S158" s="890"/>
      <c r="T158" s="223"/>
      <c r="U158" s="223"/>
      <c r="V158" s="223"/>
      <c r="W158" s="223"/>
      <c r="X158" s="223"/>
      <c r="Y158" s="223"/>
      <c r="Z158" s="223"/>
      <c r="AA158" s="223"/>
      <c r="AB158" s="223"/>
      <c r="AC158" s="223"/>
    </row>
    <row r="159" spans="1:29" x14ac:dyDescent="0.25">
      <c r="A159" s="223"/>
      <c r="B159" s="223"/>
      <c r="C159" s="223"/>
      <c r="D159" s="223"/>
      <c r="E159" s="223"/>
      <c r="F159" s="276"/>
      <c r="G159" s="226"/>
      <c r="H159" s="223"/>
      <c r="I159" s="223"/>
      <c r="J159" s="223"/>
      <c r="K159" s="223"/>
      <c r="L159" s="223"/>
      <c r="M159" s="223"/>
      <c r="N159" s="223"/>
      <c r="O159" s="223"/>
      <c r="P159" s="223"/>
      <c r="Q159" s="223"/>
      <c r="R159" s="890"/>
      <c r="S159" s="890"/>
      <c r="T159" s="223"/>
      <c r="U159" s="223"/>
      <c r="V159" s="223"/>
      <c r="W159" s="223"/>
      <c r="X159" s="223"/>
      <c r="Y159" s="223"/>
      <c r="Z159" s="223"/>
      <c r="AA159" s="223"/>
      <c r="AB159" s="223"/>
      <c r="AC159" s="223"/>
    </row>
    <row r="160" spans="1:29" x14ac:dyDescent="0.25">
      <c r="A160" s="223"/>
      <c r="B160" s="223"/>
      <c r="C160" s="223"/>
      <c r="D160" s="223"/>
      <c r="E160" s="223"/>
      <c r="F160" s="276"/>
      <c r="G160" s="226"/>
      <c r="H160" s="223"/>
      <c r="I160" s="223"/>
      <c r="J160" s="223"/>
      <c r="K160" s="223"/>
      <c r="L160" s="223"/>
      <c r="M160" s="223"/>
      <c r="N160" s="223"/>
      <c r="O160" s="223"/>
      <c r="P160" s="223"/>
      <c r="Q160" s="223"/>
      <c r="R160" s="890"/>
      <c r="S160" s="890"/>
      <c r="T160" s="223"/>
      <c r="U160" s="223"/>
      <c r="V160" s="223"/>
      <c r="W160" s="223"/>
      <c r="X160" s="223"/>
      <c r="Y160" s="223"/>
      <c r="Z160" s="223"/>
      <c r="AA160" s="223"/>
      <c r="AB160" s="223"/>
      <c r="AC160" s="223"/>
    </row>
    <row r="161" spans="1:29" x14ac:dyDescent="0.25">
      <c r="A161" s="223"/>
      <c r="B161" s="223"/>
      <c r="C161" s="223"/>
      <c r="D161" s="223"/>
      <c r="E161" s="223"/>
      <c r="F161" s="276"/>
      <c r="G161" s="226"/>
      <c r="H161" s="223"/>
      <c r="I161" s="223"/>
      <c r="J161" s="223"/>
      <c r="K161" s="223"/>
      <c r="L161" s="223"/>
      <c r="M161" s="223"/>
      <c r="N161" s="223"/>
      <c r="O161" s="223"/>
      <c r="P161" s="223"/>
      <c r="Q161" s="223"/>
      <c r="R161" s="890"/>
      <c r="S161" s="890"/>
      <c r="T161" s="223"/>
      <c r="U161" s="223"/>
      <c r="V161" s="223"/>
      <c r="W161" s="223"/>
      <c r="X161" s="223"/>
      <c r="Y161" s="223"/>
      <c r="Z161" s="223"/>
      <c r="AA161" s="223"/>
      <c r="AB161" s="223"/>
      <c r="AC161" s="223"/>
    </row>
    <row r="162" spans="1:29" x14ac:dyDescent="0.25">
      <c r="A162" s="223"/>
      <c r="B162" s="223"/>
      <c r="C162" s="223"/>
      <c r="D162" s="223"/>
      <c r="E162" s="223"/>
      <c r="F162" s="276"/>
      <c r="G162" s="226"/>
      <c r="H162" s="223"/>
      <c r="I162" s="223"/>
      <c r="J162" s="223"/>
      <c r="K162" s="223"/>
      <c r="L162" s="223"/>
      <c r="M162" s="223"/>
      <c r="N162" s="223"/>
      <c r="O162" s="223"/>
      <c r="P162" s="223"/>
      <c r="Q162" s="223"/>
      <c r="R162" s="890"/>
      <c r="S162" s="890"/>
      <c r="T162" s="223"/>
      <c r="U162" s="223"/>
      <c r="V162" s="223"/>
      <c r="W162" s="223"/>
      <c r="X162" s="223"/>
      <c r="Y162" s="223"/>
      <c r="Z162" s="223"/>
      <c r="AA162" s="223"/>
      <c r="AB162" s="223"/>
      <c r="AC162" s="223"/>
    </row>
    <row r="163" spans="1:29" x14ac:dyDescent="0.25">
      <c r="A163" s="223"/>
      <c r="B163" s="223"/>
      <c r="C163" s="223"/>
      <c r="D163" s="223"/>
      <c r="E163" s="223"/>
      <c r="F163" s="276"/>
      <c r="G163" s="226"/>
      <c r="H163" s="223"/>
      <c r="I163" s="223"/>
      <c r="J163" s="223"/>
      <c r="K163" s="223"/>
      <c r="L163" s="223"/>
      <c r="M163" s="223"/>
      <c r="N163" s="223"/>
      <c r="O163" s="223"/>
      <c r="P163" s="223"/>
      <c r="Q163" s="223"/>
      <c r="R163" s="890"/>
      <c r="S163" s="890"/>
      <c r="T163" s="223"/>
      <c r="U163" s="223"/>
      <c r="V163" s="223"/>
      <c r="W163" s="223"/>
      <c r="X163" s="223"/>
      <c r="Y163" s="223"/>
      <c r="Z163" s="223"/>
      <c r="AA163" s="223"/>
      <c r="AB163" s="223"/>
      <c r="AC163" s="223"/>
    </row>
    <row r="164" spans="1:29" x14ac:dyDescent="0.25">
      <c r="A164" s="223"/>
      <c r="B164" s="223"/>
      <c r="C164" s="223"/>
      <c r="D164" s="223"/>
      <c r="E164" s="223"/>
      <c r="F164" s="276"/>
      <c r="G164" s="226"/>
      <c r="H164" s="223"/>
      <c r="I164" s="223"/>
      <c r="J164" s="223"/>
      <c r="K164" s="223"/>
      <c r="L164" s="223"/>
      <c r="M164" s="223"/>
      <c r="N164" s="223"/>
      <c r="O164" s="223"/>
      <c r="P164" s="223"/>
      <c r="Q164" s="223"/>
      <c r="R164" s="890"/>
      <c r="S164" s="890"/>
      <c r="T164" s="223"/>
      <c r="U164" s="223"/>
      <c r="V164" s="223"/>
      <c r="W164" s="223"/>
      <c r="X164" s="223"/>
      <c r="Y164" s="223"/>
      <c r="Z164" s="223"/>
      <c r="AA164" s="223"/>
      <c r="AB164" s="223"/>
      <c r="AC164" s="223"/>
    </row>
    <row r="165" spans="1:29" x14ac:dyDescent="0.25">
      <c r="A165" s="223"/>
      <c r="B165" s="223"/>
      <c r="C165" s="223"/>
      <c r="D165" s="223"/>
      <c r="E165" s="223"/>
      <c r="F165" s="276"/>
      <c r="G165" s="226"/>
      <c r="H165" s="223"/>
      <c r="I165" s="223"/>
      <c r="J165" s="223"/>
      <c r="K165" s="223"/>
      <c r="L165" s="223"/>
      <c r="M165" s="223"/>
      <c r="N165" s="223"/>
      <c r="O165" s="223"/>
      <c r="P165" s="223"/>
      <c r="Q165" s="223"/>
      <c r="R165" s="890"/>
      <c r="S165" s="890"/>
      <c r="T165" s="223"/>
      <c r="U165" s="223"/>
      <c r="V165" s="223"/>
      <c r="W165" s="223"/>
      <c r="X165" s="223"/>
      <c r="Y165" s="223"/>
      <c r="Z165" s="223"/>
      <c r="AA165" s="223"/>
      <c r="AB165" s="223"/>
      <c r="AC165" s="223"/>
    </row>
    <row r="166" spans="1:29" x14ac:dyDescent="0.25">
      <c r="A166" s="223"/>
      <c r="B166" s="223"/>
      <c r="C166" s="223"/>
      <c r="D166" s="223"/>
      <c r="E166" s="223"/>
      <c r="F166" s="276"/>
      <c r="G166" s="226"/>
      <c r="H166" s="223"/>
      <c r="I166" s="223"/>
      <c r="J166" s="223"/>
      <c r="K166" s="223"/>
      <c r="L166" s="223"/>
      <c r="M166" s="223"/>
      <c r="N166" s="223"/>
      <c r="O166" s="223"/>
      <c r="P166" s="223"/>
      <c r="Q166" s="223"/>
      <c r="R166" s="890"/>
      <c r="S166" s="890"/>
      <c r="T166" s="223"/>
      <c r="U166" s="223"/>
      <c r="V166" s="223"/>
      <c r="W166" s="223"/>
      <c r="X166" s="223"/>
      <c r="Y166" s="223"/>
      <c r="Z166" s="223"/>
      <c r="AA166" s="223"/>
      <c r="AB166" s="223"/>
      <c r="AC166" s="223"/>
    </row>
    <row r="167" spans="1:29" x14ac:dyDescent="0.25">
      <c r="A167" s="223"/>
      <c r="B167" s="223"/>
      <c r="C167" s="223"/>
      <c r="D167" s="223"/>
      <c r="E167" s="223"/>
      <c r="F167" s="276"/>
      <c r="G167" s="226"/>
      <c r="H167" s="223"/>
      <c r="I167" s="223"/>
      <c r="J167" s="223"/>
      <c r="K167" s="223"/>
      <c r="L167" s="223"/>
      <c r="M167" s="223"/>
      <c r="N167" s="223"/>
      <c r="O167" s="223"/>
      <c r="P167" s="223"/>
      <c r="Q167" s="223"/>
      <c r="R167" s="890"/>
      <c r="S167" s="890"/>
      <c r="T167" s="223"/>
      <c r="U167" s="223"/>
      <c r="V167" s="223"/>
      <c r="W167" s="223"/>
      <c r="X167" s="223"/>
      <c r="Y167" s="223"/>
      <c r="Z167" s="223"/>
      <c r="AA167" s="223"/>
      <c r="AB167" s="223"/>
      <c r="AC167" s="223"/>
    </row>
    <row r="168" spans="1:29" x14ac:dyDescent="0.25">
      <c r="A168" s="223"/>
      <c r="B168" s="223"/>
      <c r="C168" s="223"/>
      <c r="D168" s="223"/>
      <c r="E168" s="223"/>
      <c r="F168" s="276"/>
      <c r="G168" s="226"/>
      <c r="H168" s="223"/>
      <c r="I168" s="223"/>
      <c r="J168" s="223"/>
      <c r="K168" s="223"/>
      <c r="L168" s="223"/>
      <c r="M168" s="223"/>
      <c r="N168" s="223"/>
      <c r="O168" s="223"/>
      <c r="P168" s="223"/>
      <c r="Q168" s="223"/>
      <c r="R168" s="890"/>
      <c r="S168" s="890"/>
      <c r="T168" s="223"/>
      <c r="U168" s="223"/>
      <c r="V168" s="223"/>
      <c r="W168" s="223"/>
      <c r="X168" s="223"/>
      <c r="Y168" s="223"/>
      <c r="Z168" s="223"/>
      <c r="AA168" s="223"/>
      <c r="AB168" s="223"/>
      <c r="AC168" s="223"/>
    </row>
    <row r="169" spans="1:29" x14ac:dyDescent="0.25">
      <c r="A169" s="223"/>
      <c r="B169" s="223"/>
      <c r="C169" s="223"/>
      <c r="D169" s="223"/>
      <c r="E169" s="223"/>
      <c r="F169" s="276"/>
      <c r="G169" s="226"/>
      <c r="H169" s="223"/>
      <c r="I169" s="223"/>
      <c r="J169" s="223"/>
      <c r="K169" s="223"/>
      <c r="L169" s="223"/>
      <c r="M169" s="223"/>
      <c r="N169" s="223"/>
      <c r="O169" s="223"/>
      <c r="P169" s="223"/>
      <c r="Q169" s="223"/>
      <c r="R169" s="890"/>
      <c r="S169" s="890"/>
      <c r="T169" s="223"/>
      <c r="U169" s="223"/>
      <c r="V169" s="223"/>
      <c r="W169" s="223"/>
      <c r="X169" s="223"/>
      <c r="Y169" s="223"/>
      <c r="Z169" s="223"/>
      <c r="AA169" s="223"/>
      <c r="AB169" s="223"/>
      <c r="AC169" s="223"/>
    </row>
    <row r="170" spans="1:29" x14ac:dyDescent="0.25">
      <c r="A170" s="223"/>
      <c r="B170" s="223"/>
      <c r="C170" s="223"/>
      <c r="D170" s="223"/>
      <c r="E170" s="223"/>
      <c r="F170" s="276"/>
      <c r="G170" s="226"/>
      <c r="H170" s="223"/>
      <c r="I170" s="223"/>
      <c r="J170" s="223"/>
      <c r="K170" s="223"/>
      <c r="L170" s="223"/>
      <c r="M170" s="223"/>
      <c r="N170" s="223"/>
      <c r="O170" s="223"/>
      <c r="P170" s="223"/>
      <c r="Q170" s="223"/>
      <c r="R170" s="890"/>
      <c r="S170" s="890"/>
      <c r="T170" s="223"/>
      <c r="U170" s="223"/>
      <c r="V170" s="223"/>
      <c r="W170" s="223"/>
      <c r="X170" s="223"/>
      <c r="Y170" s="223"/>
      <c r="Z170" s="223"/>
      <c r="AA170" s="223"/>
      <c r="AB170" s="223"/>
      <c r="AC170" s="223"/>
    </row>
    <row r="171" spans="1:29" x14ac:dyDescent="0.25">
      <c r="A171" s="223"/>
      <c r="B171" s="223"/>
      <c r="C171" s="223"/>
      <c r="D171" s="223"/>
      <c r="E171" s="223"/>
      <c r="F171" s="276"/>
      <c r="G171" s="226"/>
      <c r="H171" s="223"/>
      <c r="I171" s="223"/>
      <c r="J171" s="223"/>
      <c r="K171" s="223"/>
      <c r="L171" s="223"/>
      <c r="M171" s="223"/>
      <c r="N171" s="223"/>
      <c r="O171" s="223"/>
      <c r="P171" s="223"/>
      <c r="Q171" s="223"/>
      <c r="R171" s="890"/>
      <c r="S171" s="890"/>
      <c r="T171" s="223"/>
      <c r="U171" s="223"/>
      <c r="V171" s="223"/>
      <c r="W171" s="223"/>
      <c r="X171" s="223"/>
      <c r="Y171" s="223"/>
      <c r="Z171" s="223"/>
      <c r="AA171" s="223"/>
      <c r="AB171" s="223"/>
      <c r="AC171" s="223"/>
    </row>
    <row r="172" spans="1:29" x14ac:dyDescent="0.25">
      <c r="A172" s="223"/>
      <c r="B172" s="223"/>
      <c r="C172" s="223"/>
      <c r="D172" s="223"/>
      <c r="E172" s="223"/>
      <c r="F172" s="276"/>
      <c r="G172" s="226"/>
      <c r="H172" s="223"/>
      <c r="I172" s="223"/>
      <c r="J172" s="223"/>
      <c r="K172" s="223"/>
      <c r="L172" s="223"/>
      <c r="M172" s="223"/>
      <c r="N172" s="223"/>
      <c r="O172" s="223"/>
      <c r="P172" s="223"/>
      <c r="Q172" s="223"/>
      <c r="R172" s="890"/>
      <c r="S172" s="890"/>
      <c r="T172" s="223"/>
      <c r="U172" s="223"/>
      <c r="V172" s="223"/>
      <c r="W172" s="223"/>
      <c r="X172" s="223"/>
      <c r="Y172" s="223"/>
      <c r="Z172" s="223"/>
      <c r="AA172" s="223"/>
      <c r="AB172" s="223"/>
      <c r="AC172" s="223"/>
    </row>
    <row r="173" spans="1:29" x14ac:dyDescent="0.25">
      <c r="A173" s="223"/>
      <c r="B173" s="223"/>
      <c r="C173" s="223"/>
      <c r="D173" s="223"/>
      <c r="E173" s="223"/>
      <c r="F173" s="276"/>
      <c r="G173" s="226"/>
      <c r="H173" s="223"/>
      <c r="I173" s="223"/>
      <c r="J173" s="223"/>
      <c r="K173" s="223"/>
      <c r="L173" s="223"/>
      <c r="M173" s="223"/>
      <c r="N173" s="223"/>
      <c r="O173" s="223"/>
      <c r="P173" s="223"/>
      <c r="Q173" s="223"/>
      <c r="R173" s="890"/>
      <c r="S173" s="890"/>
      <c r="T173" s="223"/>
      <c r="U173" s="223"/>
      <c r="V173" s="223"/>
      <c r="W173" s="223"/>
      <c r="X173" s="223"/>
      <c r="Y173" s="223"/>
      <c r="Z173" s="223"/>
      <c r="AA173" s="223"/>
      <c r="AB173" s="223"/>
      <c r="AC173" s="223"/>
    </row>
    <row r="174" spans="1:29" x14ac:dyDescent="0.25">
      <c r="A174" s="223"/>
      <c r="B174" s="223"/>
      <c r="C174" s="223"/>
      <c r="D174" s="223"/>
      <c r="E174" s="223"/>
      <c r="F174" s="276"/>
      <c r="G174" s="226"/>
      <c r="H174" s="223"/>
      <c r="I174" s="223"/>
      <c r="J174" s="223"/>
      <c r="K174" s="223"/>
      <c r="L174" s="223"/>
      <c r="M174" s="223"/>
      <c r="N174" s="223"/>
      <c r="O174" s="223"/>
      <c r="P174" s="223"/>
      <c r="Q174" s="223"/>
      <c r="R174" s="890"/>
      <c r="S174" s="890"/>
      <c r="T174" s="223"/>
      <c r="U174" s="223"/>
      <c r="V174" s="223"/>
      <c r="W174" s="223"/>
      <c r="X174" s="223"/>
      <c r="Y174" s="223"/>
      <c r="Z174" s="223"/>
      <c r="AA174" s="223"/>
      <c r="AB174" s="223"/>
      <c r="AC174" s="223"/>
    </row>
    <row r="175" spans="1:29" x14ac:dyDescent="0.25">
      <c r="A175" s="223"/>
      <c r="B175" s="223"/>
      <c r="C175" s="223"/>
      <c r="D175" s="223"/>
      <c r="E175" s="223"/>
      <c r="F175" s="276"/>
      <c r="G175" s="226"/>
      <c r="H175" s="223"/>
      <c r="I175" s="223"/>
      <c r="J175" s="223"/>
      <c r="K175" s="223"/>
      <c r="L175" s="223"/>
      <c r="M175" s="223"/>
      <c r="N175" s="223"/>
      <c r="O175" s="223"/>
      <c r="P175" s="223"/>
      <c r="Q175" s="223"/>
      <c r="R175" s="890"/>
      <c r="S175" s="890"/>
      <c r="T175" s="223"/>
      <c r="U175" s="223"/>
      <c r="V175" s="223"/>
      <c r="W175" s="223"/>
      <c r="X175" s="223"/>
      <c r="Y175" s="223"/>
      <c r="Z175" s="223"/>
      <c r="AA175" s="223"/>
      <c r="AB175" s="223"/>
      <c r="AC175" s="223"/>
    </row>
    <row r="176" spans="1:29" x14ac:dyDescent="0.25">
      <c r="A176" s="223"/>
      <c r="B176" s="223"/>
      <c r="C176" s="223"/>
      <c r="D176" s="223"/>
      <c r="E176" s="223"/>
      <c r="F176" s="276"/>
      <c r="G176" s="226"/>
      <c r="H176" s="223"/>
      <c r="I176" s="223"/>
      <c r="J176" s="223"/>
      <c r="K176" s="223"/>
      <c r="L176" s="223"/>
      <c r="M176" s="223"/>
      <c r="N176" s="223"/>
      <c r="O176" s="223"/>
      <c r="P176" s="223"/>
      <c r="Q176" s="223"/>
      <c r="R176" s="890"/>
      <c r="S176" s="890"/>
      <c r="T176" s="223"/>
      <c r="U176" s="223"/>
      <c r="V176" s="223"/>
      <c r="W176" s="223"/>
      <c r="X176" s="223"/>
      <c r="Y176" s="223"/>
      <c r="Z176" s="223"/>
      <c r="AA176" s="223"/>
      <c r="AB176" s="223"/>
      <c r="AC176" s="223"/>
    </row>
    <row r="177" spans="1:29" x14ac:dyDescent="0.25">
      <c r="A177" s="223"/>
      <c r="B177" s="223"/>
      <c r="C177" s="223"/>
      <c r="D177" s="223"/>
      <c r="E177" s="223"/>
      <c r="F177" s="276"/>
      <c r="G177" s="226"/>
      <c r="H177" s="223"/>
      <c r="I177" s="223"/>
      <c r="J177" s="223"/>
      <c r="K177" s="223"/>
      <c r="L177" s="223"/>
      <c r="M177" s="223"/>
      <c r="N177" s="223"/>
      <c r="O177" s="223"/>
      <c r="P177" s="223"/>
      <c r="Q177" s="223"/>
      <c r="R177" s="890"/>
      <c r="S177" s="890"/>
      <c r="T177" s="223"/>
      <c r="U177" s="223"/>
      <c r="V177" s="223"/>
      <c r="W177" s="223"/>
      <c r="X177" s="223"/>
      <c r="Y177" s="223"/>
      <c r="Z177" s="223"/>
      <c r="AA177" s="223"/>
      <c r="AB177" s="223"/>
      <c r="AC177" s="223"/>
    </row>
    <row r="178" spans="1:29" x14ac:dyDescent="0.25">
      <c r="A178" s="223"/>
      <c r="B178" s="223"/>
      <c r="C178" s="223"/>
      <c r="D178" s="223"/>
      <c r="E178" s="223"/>
      <c r="F178" s="276"/>
      <c r="G178" s="226"/>
      <c r="H178" s="223"/>
      <c r="I178" s="223"/>
      <c r="J178" s="223"/>
      <c r="K178" s="223"/>
      <c r="L178" s="223"/>
      <c r="M178" s="223"/>
      <c r="N178" s="223"/>
      <c r="O178" s="223"/>
      <c r="P178" s="223"/>
      <c r="Q178" s="223"/>
      <c r="R178" s="890"/>
      <c r="S178" s="890"/>
      <c r="T178" s="223"/>
      <c r="U178" s="223"/>
      <c r="V178" s="223"/>
      <c r="W178" s="223"/>
      <c r="X178" s="223"/>
      <c r="Y178" s="223"/>
      <c r="Z178" s="223"/>
      <c r="AA178" s="223"/>
      <c r="AB178" s="223"/>
      <c r="AC178" s="223"/>
    </row>
    <row r="179" spans="1:29" x14ac:dyDescent="0.25">
      <c r="A179" s="223"/>
      <c r="B179" s="223"/>
      <c r="C179" s="223"/>
      <c r="D179" s="223"/>
      <c r="E179" s="223"/>
      <c r="F179" s="276"/>
      <c r="G179" s="226"/>
      <c r="H179" s="223"/>
      <c r="I179" s="223"/>
      <c r="J179" s="223"/>
      <c r="K179" s="223"/>
      <c r="L179" s="223"/>
      <c r="M179" s="223"/>
      <c r="N179" s="223"/>
      <c r="O179" s="223"/>
      <c r="P179" s="223"/>
      <c r="Q179" s="223"/>
      <c r="R179" s="890"/>
      <c r="S179" s="890"/>
      <c r="T179" s="223"/>
      <c r="U179" s="223"/>
      <c r="V179" s="223"/>
      <c r="W179" s="223"/>
      <c r="X179" s="223"/>
      <c r="Y179" s="223"/>
      <c r="Z179" s="223"/>
      <c r="AA179" s="223"/>
      <c r="AB179" s="223"/>
      <c r="AC179" s="223"/>
    </row>
    <row r="180" spans="1:29" x14ac:dyDescent="0.25">
      <c r="A180" s="223"/>
      <c r="B180" s="223"/>
      <c r="C180" s="223"/>
      <c r="D180" s="223"/>
      <c r="E180" s="223"/>
      <c r="F180" s="276"/>
      <c r="G180" s="226"/>
      <c r="H180" s="223"/>
      <c r="I180" s="223"/>
      <c r="J180" s="223"/>
      <c r="K180" s="223"/>
      <c r="L180" s="223"/>
      <c r="M180" s="223"/>
      <c r="N180" s="223"/>
      <c r="O180" s="223"/>
      <c r="P180" s="223"/>
      <c r="Q180" s="223"/>
      <c r="R180" s="890"/>
      <c r="S180" s="890"/>
      <c r="T180" s="223"/>
      <c r="U180" s="223"/>
      <c r="V180" s="223"/>
      <c r="W180" s="223"/>
      <c r="X180" s="223"/>
      <c r="Y180" s="223"/>
      <c r="Z180" s="223"/>
      <c r="AA180" s="223"/>
      <c r="AB180" s="223"/>
      <c r="AC180" s="223"/>
    </row>
    <row r="181" spans="1:29" x14ac:dyDescent="0.25">
      <c r="A181" s="223"/>
      <c r="B181" s="223"/>
      <c r="C181" s="223"/>
      <c r="D181" s="223"/>
      <c r="E181" s="223"/>
      <c r="F181" s="276"/>
      <c r="G181" s="226"/>
      <c r="H181" s="223"/>
      <c r="I181" s="223"/>
      <c r="J181" s="223"/>
      <c r="K181" s="223"/>
      <c r="L181" s="223"/>
      <c r="M181" s="223"/>
      <c r="N181" s="223"/>
      <c r="O181" s="223"/>
      <c r="P181" s="223"/>
      <c r="Q181" s="223"/>
      <c r="R181" s="890"/>
      <c r="S181" s="890"/>
      <c r="T181" s="223"/>
      <c r="U181" s="223"/>
      <c r="V181" s="223"/>
      <c r="W181" s="223"/>
      <c r="X181" s="223"/>
      <c r="Y181" s="223"/>
      <c r="Z181" s="223"/>
      <c r="AA181" s="223"/>
      <c r="AB181" s="223"/>
      <c r="AC181" s="223"/>
    </row>
    <row r="182" spans="1:29" x14ac:dyDescent="0.25">
      <c r="A182" s="223"/>
      <c r="B182" s="223"/>
      <c r="C182" s="223"/>
      <c r="D182" s="223"/>
      <c r="E182" s="223"/>
      <c r="F182" s="276"/>
      <c r="G182" s="226"/>
      <c r="H182" s="223"/>
      <c r="I182" s="223"/>
      <c r="J182" s="223"/>
      <c r="K182" s="223"/>
      <c r="L182" s="223"/>
      <c r="M182" s="223"/>
      <c r="N182" s="223"/>
      <c r="O182" s="223"/>
      <c r="P182" s="223"/>
      <c r="Q182" s="223"/>
      <c r="R182" s="890"/>
      <c r="S182" s="890"/>
      <c r="T182" s="223"/>
      <c r="U182" s="223"/>
      <c r="V182" s="223"/>
      <c r="W182" s="223"/>
      <c r="X182" s="223"/>
      <c r="Y182" s="223"/>
      <c r="Z182" s="223"/>
      <c r="AA182" s="223"/>
      <c r="AB182" s="223"/>
      <c r="AC182" s="223"/>
    </row>
    <row r="183" spans="1:29" x14ac:dyDescent="0.25">
      <c r="A183" s="223"/>
      <c r="B183" s="223"/>
      <c r="C183" s="223"/>
      <c r="D183" s="223"/>
      <c r="E183" s="223"/>
      <c r="F183" s="276"/>
      <c r="G183" s="226"/>
      <c r="H183" s="223"/>
      <c r="I183" s="223"/>
      <c r="J183" s="223"/>
      <c r="K183" s="223"/>
      <c r="L183" s="223"/>
      <c r="M183" s="223"/>
      <c r="N183" s="223"/>
      <c r="O183" s="223"/>
      <c r="P183" s="223"/>
      <c r="Q183" s="223"/>
      <c r="R183" s="890"/>
      <c r="S183" s="890"/>
      <c r="T183" s="223"/>
      <c r="U183" s="223"/>
      <c r="V183" s="223"/>
      <c r="W183" s="223"/>
      <c r="X183" s="223"/>
      <c r="Y183" s="223"/>
      <c r="Z183" s="223"/>
      <c r="AA183" s="223"/>
      <c r="AB183" s="223"/>
      <c r="AC183" s="223"/>
    </row>
    <row r="184" spans="1:29" x14ac:dyDescent="0.25">
      <c r="A184" s="223"/>
      <c r="B184" s="223"/>
      <c r="C184" s="223"/>
      <c r="D184" s="223"/>
      <c r="E184" s="223"/>
      <c r="F184" s="276"/>
      <c r="G184" s="226"/>
      <c r="H184" s="223"/>
      <c r="I184" s="223"/>
      <c r="J184" s="223"/>
      <c r="K184" s="223"/>
      <c r="L184" s="223"/>
      <c r="M184" s="223"/>
      <c r="N184" s="223"/>
      <c r="O184" s="223"/>
      <c r="P184" s="223"/>
      <c r="Q184" s="223"/>
      <c r="R184" s="890"/>
      <c r="S184" s="890"/>
      <c r="T184" s="223"/>
      <c r="U184" s="223"/>
      <c r="V184" s="223"/>
      <c r="W184" s="223"/>
      <c r="X184" s="223"/>
      <c r="Y184" s="223"/>
      <c r="Z184" s="223"/>
      <c r="AA184" s="223"/>
      <c r="AB184" s="223"/>
      <c r="AC184" s="223"/>
    </row>
    <row r="185" spans="1:29" x14ac:dyDescent="0.25">
      <c r="A185" s="223"/>
      <c r="B185" s="223"/>
      <c r="C185" s="223"/>
      <c r="D185" s="223"/>
      <c r="E185" s="223"/>
      <c r="F185" s="276"/>
      <c r="G185" s="226"/>
      <c r="H185" s="223"/>
      <c r="I185" s="223"/>
      <c r="J185" s="223"/>
      <c r="K185" s="223"/>
      <c r="L185" s="223"/>
      <c r="M185" s="223"/>
      <c r="N185" s="223"/>
      <c r="O185" s="223"/>
      <c r="P185" s="223"/>
      <c r="Q185" s="223"/>
      <c r="R185" s="890"/>
      <c r="S185" s="890"/>
      <c r="T185" s="223"/>
      <c r="U185" s="223"/>
      <c r="V185" s="223"/>
      <c r="W185" s="223"/>
      <c r="X185" s="223"/>
      <c r="Y185" s="223"/>
      <c r="Z185" s="223"/>
      <c r="AA185" s="223"/>
      <c r="AB185" s="223"/>
      <c r="AC185" s="223"/>
    </row>
    <row r="186" spans="1:29" x14ac:dyDescent="0.25">
      <c r="A186" s="223"/>
      <c r="B186" s="223"/>
      <c r="C186" s="223"/>
      <c r="D186" s="223"/>
      <c r="E186" s="223"/>
      <c r="F186" s="276"/>
      <c r="G186" s="226"/>
      <c r="H186" s="223"/>
      <c r="I186" s="223"/>
      <c r="J186" s="223"/>
      <c r="K186" s="223"/>
      <c r="L186" s="223"/>
      <c r="M186" s="223"/>
      <c r="N186" s="223"/>
      <c r="O186" s="223"/>
      <c r="P186" s="223"/>
      <c r="Q186" s="223"/>
      <c r="R186" s="890"/>
      <c r="S186" s="890"/>
      <c r="T186" s="223"/>
      <c r="U186" s="223"/>
      <c r="V186" s="223"/>
      <c r="W186" s="223"/>
      <c r="X186" s="223"/>
      <c r="Y186" s="223"/>
      <c r="Z186" s="223"/>
      <c r="AA186" s="223"/>
      <c r="AB186" s="223"/>
      <c r="AC186" s="223"/>
    </row>
    <row r="187" spans="1:29" x14ac:dyDescent="0.25">
      <c r="A187" s="223"/>
      <c r="B187" s="223"/>
      <c r="C187" s="223"/>
      <c r="D187" s="223"/>
      <c r="E187" s="223"/>
      <c r="F187" s="276"/>
      <c r="G187" s="226"/>
      <c r="H187" s="223"/>
      <c r="I187" s="223"/>
      <c r="J187" s="223"/>
      <c r="K187" s="223"/>
      <c r="L187" s="223"/>
      <c r="M187" s="223"/>
      <c r="N187" s="223"/>
      <c r="O187" s="223"/>
      <c r="P187" s="223"/>
      <c r="Q187" s="223"/>
      <c r="R187" s="890"/>
      <c r="S187" s="890"/>
      <c r="T187" s="223"/>
      <c r="U187" s="223"/>
      <c r="V187" s="223"/>
      <c r="W187" s="223"/>
      <c r="X187" s="223"/>
      <c r="Y187" s="223"/>
      <c r="Z187" s="223"/>
      <c r="AA187" s="223"/>
      <c r="AB187" s="223"/>
      <c r="AC187" s="223"/>
    </row>
    <row r="188" spans="1:29" x14ac:dyDescent="0.25">
      <c r="A188" s="223"/>
      <c r="B188" s="223"/>
      <c r="C188" s="223"/>
      <c r="D188" s="223"/>
      <c r="E188" s="223"/>
      <c r="F188" s="276"/>
      <c r="G188" s="226"/>
      <c r="H188" s="223"/>
      <c r="I188" s="223"/>
      <c r="J188" s="223"/>
      <c r="K188" s="223"/>
      <c r="L188" s="223"/>
      <c r="M188" s="223"/>
      <c r="N188" s="223"/>
      <c r="O188" s="223"/>
      <c r="P188" s="223"/>
      <c r="Q188" s="223"/>
      <c r="R188" s="890"/>
      <c r="S188" s="890"/>
      <c r="T188" s="223"/>
      <c r="U188" s="223"/>
      <c r="V188" s="223"/>
      <c r="W188" s="223"/>
      <c r="X188" s="223"/>
      <c r="Y188" s="223"/>
      <c r="Z188" s="223"/>
      <c r="AA188" s="223"/>
      <c r="AB188" s="223"/>
      <c r="AC188" s="223"/>
    </row>
    <row r="189" spans="1:29" x14ac:dyDescent="0.25">
      <c r="A189" s="223"/>
      <c r="B189" s="223"/>
      <c r="C189" s="223"/>
      <c r="D189" s="223"/>
      <c r="E189" s="223"/>
      <c r="F189" s="276"/>
      <c r="G189" s="226"/>
      <c r="H189" s="223"/>
      <c r="I189" s="223"/>
      <c r="J189" s="223"/>
      <c r="K189" s="223"/>
      <c r="L189" s="223"/>
      <c r="M189" s="223"/>
      <c r="N189" s="223"/>
      <c r="O189" s="223"/>
      <c r="P189" s="223"/>
      <c r="Q189" s="223"/>
      <c r="R189" s="890"/>
      <c r="S189" s="890"/>
      <c r="T189" s="223"/>
      <c r="U189" s="223"/>
      <c r="V189" s="223"/>
      <c r="W189" s="223"/>
      <c r="X189" s="223"/>
      <c r="Y189" s="223"/>
      <c r="Z189" s="223"/>
      <c r="AA189" s="223"/>
      <c r="AB189" s="223"/>
      <c r="AC189" s="223"/>
    </row>
    <row r="190" spans="1:29" x14ac:dyDescent="0.25">
      <c r="A190" s="223"/>
      <c r="B190" s="223"/>
      <c r="C190" s="223"/>
      <c r="D190" s="223"/>
      <c r="E190" s="223"/>
      <c r="F190" s="276"/>
      <c r="G190" s="226"/>
      <c r="H190" s="223"/>
      <c r="I190" s="223"/>
      <c r="J190" s="223"/>
      <c r="K190" s="223"/>
      <c r="L190" s="223"/>
      <c r="M190" s="223"/>
      <c r="N190" s="223"/>
      <c r="O190" s="223"/>
      <c r="P190" s="223"/>
      <c r="Q190" s="223"/>
      <c r="R190" s="890"/>
      <c r="S190" s="890"/>
      <c r="T190" s="223"/>
      <c r="U190" s="223"/>
      <c r="V190" s="223"/>
      <c r="W190" s="223"/>
      <c r="X190" s="223"/>
      <c r="Y190" s="223"/>
      <c r="Z190" s="223"/>
      <c r="AA190" s="223"/>
      <c r="AB190" s="223"/>
      <c r="AC190" s="223"/>
    </row>
    <row r="191" spans="1:29" x14ac:dyDescent="0.25">
      <c r="A191" s="223"/>
      <c r="B191" s="223"/>
      <c r="C191" s="223"/>
      <c r="D191" s="223"/>
      <c r="E191" s="223"/>
      <c r="F191" s="276"/>
      <c r="G191" s="226"/>
      <c r="H191" s="223"/>
      <c r="I191" s="223"/>
      <c r="J191" s="223"/>
      <c r="K191" s="223"/>
      <c r="L191" s="223"/>
      <c r="M191" s="223"/>
      <c r="N191" s="223"/>
      <c r="O191" s="223"/>
      <c r="P191" s="223"/>
      <c r="Q191" s="223"/>
      <c r="R191" s="890"/>
      <c r="S191" s="890"/>
      <c r="T191" s="223"/>
      <c r="U191" s="223"/>
      <c r="V191" s="223"/>
      <c r="W191" s="223"/>
      <c r="X191" s="223"/>
      <c r="Y191" s="223"/>
      <c r="Z191" s="223"/>
      <c r="AA191" s="223"/>
      <c r="AB191" s="223"/>
      <c r="AC191" s="223"/>
    </row>
    <row r="192" spans="1:29" x14ac:dyDescent="0.25">
      <c r="A192" s="223"/>
      <c r="B192" s="223"/>
      <c r="C192" s="223"/>
      <c r="D192" s="223"/>
      <c r="E192" s="223"/>
      <c r="F192" s="276"/>
      <c r="G192" s="226"/>
      <c r="H192" s="223"/>
      <c r="I192" s="223"/>
      <c r="J192" s="223"/>
      <c r="K192" s="223"/>
      <c r="L192" s="223"/>
      <c r="M192" s="223"/>
      <c r="N192" s="223"/>
      <c r="O192" s="223"/>
      <c r="P192" s="223"/>
      <c r="Q192" s="223"/>
      <c r="R192" s="890"/>
      <c r="S192" s="890"/>
      <c r="T192" s="223"/>
      <c r="U192" s="223"/>
      <c r="V192" s="223"/>
      <c r="W192" s="223"/>
      <c r="X192" s="223"/>
      <c r="Y192" s="223"/>
      <c r="Z192" s="223"/>
      <c r="AA192" s="223"/>
      <c r="AB192" s="223"/>
      <c r="AC192" s="223"/>
    </row>
    <row r="193" spans="1:29" x14ac:dyDescent="0.25">
      <c r="A193" s="223"/>
      <c r="B193" s="223"/>
      <c r="C193" s="223"/>
      <c r="D193" s="223"/>
      <c r="E193" s="223"/>
      <c r="F193" s="276"/>
      <c r="G193" s="226"/>
      <c r="H193" s="223"/>
      <c r="I193" s="223"/>
      <c r="J193" s="223"/>
      <c r="K193" s="223"/>
      <c r="L193" s="223"/>
      <c r="M193" s="223"/>
      <c r="N193" s="223"/>
      <c r="O193" s="223"/>
      <c r="P193" s="223"/>
      <c r="Q193" s="223"/>
      <c r="R193" s="890"/>
      <c r="S193" s="890"/>
      <c r="T193" s="223"/>
      <c r="U193" s="223"/>
      <c r="V193" s="223"/>
      <c r="W193" s="223"/>
      <c r="X193" s="223"/>
      <c r="Y193" s="223"/>
      <c r="Z193" s="223"/>
      <c r="AA193" s="223"/>
      <c r="AB193" s="223"/>
      <c r="AC193" s="223"/>
    </row>
    <row r="194" spans="1:29" x14ac:dyDescent="0.25">
      <c r="A194" s="223"/>
      <c r="B194" s="223"/>
      <c r="C194" s="223"/>
      <c r="D194" s="223"/>
      <c r="E194" s="223"/>
      <c r="F194" s="276"/>
      <c r="G194" s="226"/>
      <c r="H194" s="223"/>
      <c r="I194" s="223"/>
      <c r="J194" s="223"/>
      <c r="K194" s="223"/>
      <c r="L194" s="223"/>
      <c r="M194" s="223"/>
      <c r="N194" s="223"/>
      <c r="O194" s="223"/>
      <c r="P194" s="223"/>
      <c r="Q194" s="223"/>
      <c r="R194" s="890"/>
      <c r="S194" s="890"/>
      <c r="T194" s="223"/>
      <c r="U194" s="223"/>
      <c r="V194" s="223"/>
      <c r="W194" s="223"/>
      <c r="X194" s="223"/>
      <c r="Y194" s="223"/>
      <c r="Z194" s="223"/>
      <c r="AA194" s="223"/>
      <c r="AB194" s="223"/>
      <c r="AC194" s="223"/>
    </row>
    <row r="195" spans="1:29" x14ac:dyDescent="0.25">
      <c r="A195" s="223"/>
      <c r="B195" s="223"/>
      <c r="C195" s="223"/>
      <c r="D195" s="223"/>
      <c r="E195" s="223"/>
      <c r="F195" s="276"/>
      <c r="G195" s="226"/>
      <c r="H195" s="223"/>
      <c r="I195" s="223"/>
      <c r="J195" s="223"/>
      <c r="K195" s="223"/>
      <c r="L195" s="223"/>
      <c r="M195" s="223"/>
      <c r="N195" s="223"/>
      <c r="O195" s="223"/>
      <c r="P195" s="223"/>
      <c r="Q195" s="223"/>
      <c r="R195" s="890"/>
      <c r="S195" s="890"/>
      <c r="T195" s="223"/>
      <c r="U195" s="223"/>
      <c r="V195" s="223"/>
      <c r="W195" s="223"/>
      <c r="X195" s="223"/>
      <c r="Y195" s="223"/>
      <c r="Z195" s="223"/>
      <c r="AA195" s="223"/>
      <c r="AB195" s="223"/>
      <c r="AC195" s="223"/>
    </row>
    <row r="196" spans="1:29" x14ac:dyDescent="0.25">
      <c r="A196" s="223"/>
      <c r="B196" s="223"/>
      <c r="C196" s="223"/>
      <c r="D196" s="223"/>
      <c r="E196" s="223"/>
      <c r="F196" s="276"/>
      <c r="G196" s="226"/>
      <c r="H196" s="223"/>
      <c r="I196" s="223"/>
      <c r="J196" s="223"/>
      <c r="K196" s="223"/>
      <c r="L196" s="223"/>
      <c r="M196" s="223"/>
      <c r="N196" s="223"/>
      <c r="O196" s="223"/>
      <c r="P196" s="223"/>
      <c r="Q196" s="223"/>
      <c r="R196" s="890"/>
      <c r="S196" s="890"/>
      <c r="T196" s="223"/>
      <c r="U196" s="223"/>
      <c r="V196" s="223"/>
      <c r="W196" s="223"/>
      <c r="X196" s="223"/>
      <c r="Y196" s="223"/>
      <c r="Z196" s="223"/>
      <c r="AA196" s="223"/>
      <c r="AB196" s="223"/>
      <c r="AC196" s="223"/>
    </row>
    <row r="197" spans="1:29" x14ac:dyDescent="0.25">
      <c r="A197" s="223"/>
      <c r="B197" s="223"/>
      <c r="C197" s="223"/>
      <c r="D197" s="223"/>
      <c r="E197" s="223"/>
      <c r="F197" s="276"/>
      <c r="G197" s="226"/>
      <c r="H197" s="223"/>
      <c r="I197" s="223"/>
      <c r="J197" s="223"/>
      <c r="K197" s="223"/>
      <c r="L197" s="223"/>
      <c r="M197" s="223"/>
      <c r="N197" s="223"/>
      <c r="O197" s="223"/>
      <c r="P197" s="223"/>
      <c r="Q197" s="223"/>
      <c r="R197" s="890"/>
      <c r="S197" s="890"/>
      <c r="T197" s="223"/>
      <c r="U197" s="223"/>
      <c r="V197" s="223"/>
      <c r="W197" s="223"/>
      <c r="X197" s="223"/>
      <c r="Y197" s="223"/>
      <c r="Z197" s="223"/>
      <c r="AA197" s="223"/>
      <c r="AB197" s="223"/>
      <c r="AC197" s="223"/>
    </row>
    <row r="198" spans="1:29" x14ac:dyDescent="0.25">
      <c r="A198" s="223"/>
      <c r="B198" s="223"/>
      <c r="C198" s="223"/>
      <c r="D198" s="223"/>
      <c r="E198" s="223"/>
      <c r="F198" s="276"/>
      <c r="G198" s="226"/>
      <c r="H198" s="223"/>
      <c r="I198" s="223"/>
      <c r="J198" s="223"/>
      <c r="K198" s="223"/>
      <c r="L198" s="223"/>
      <c r="M198" s="223"/>
      <c r="N198" s="223"/>
      <c r="O198" s="223"/>
      <c r="P198" s="223"/>
      <c r="Q198" s="223"/>
      <c r="R198" s="890"/>
      <c r="S198" s="890"/>
      <c r="T198" s="223"/>
      <c r="U198" s="223"/>
      <c r="V198" s="223"/>
      <c r="W198" s="223"/>
      <c r="X198" s="223"/>
      <c r="Y198" s="223"/>
      <c r="Z198" s="223"/>
      <c r="AA198" s="223"/>
      <c r="AB198" s="223"/>
      <c r="AC198" s="223"/>
    </row>
    <row r="199" spans="1:29" x14ac:dyDescent="0.25">
      <c r="A199" s="223"/>
      <c r="B199" s="223"/>
      <c r="C199" s="223"/>
      <c r="D199" s="223"/>
      <c r="E199" s="223"/>
      <c r="F199" s="276"/>
      <c r="G199" s="226"/>
      <c r="H199" s="223"/>
      <c r="I199" s="223"/>
      <c r="J199" s="223"/>
      <c r="K199" s="223"/>
      <c r="L199" s="223"/>
      <c r="M199" s="223"/>
      <c r="N199" s="223"/>
      <c r="O199" s="223"/>
      <c r="P199" s="223"/>
      <c r="Q199" s="223"/>
      <c r="R199" s="890"/>
      <c r="S199" s="890"/>
      <c r="T199" s="223"/>
      <c r="U199" s="223"/>
      <c r="V199" s="223"/>
      <c r="W199" s="223"/>
      <c r="X199" s="223"/>
      <c r="Y199" s="223"/>
      <c r="Z199" s="223"/>
      <c r="AA199" s="223"/>
      <c r="AB199" s="223"/>
      <c r="AC199" s="223"/>
    </row>
    <row r="200" spans="1:29" x14ac:dyDescent="0.25">
      <c r="A200" s="223"/>
      <c r="B200" s="223"/>
      <c r="C200" s="223"/>
      <c r="D200" s="223"/>
      <c r="E200" s="223"/>
      <c r="F200" s="276"/>
      <c r="G200" s="226"/>
      <c r="H200" s="223"/>
      <c r="I200" s="223"/>
      <c r="J200" s="223"/>
      <c r="K200" s="223"/>
      <c r="L200" s="223"/>
      <c r="M200" s="223"/>
      <c r="N200" s="223"/>
      <c r="O200" s="223"/>
      <c r="P200" s="223"/>
      <c r="Q200" s="223"/>
      <c r="R200" s="890"/>
      <c r="S200" s="890"/>
      <c r="T200" s="223"/>
      <c r="U200" s="223"/>
      <c r="V200" s="223"/>
      <c r="W200" s="223"/>
      <c r="X200" s="223"/>
      <c r="Y200" s="223"/>
      <c r="Z200" s="223"/>
      <c r="AA200" s="223"/>
      <c r="AB200" s="223"/>
      <c r="AC200" s="223"/>
    </row>
    <row r="201" spans="1:29" x14ac:dyDescent="0.25">
      <c r="A201" s="223"/>
      <c r="B201" s="223"/>
      <c r="C201" s="223"/>
      <c r="D201" s="223"/>
      <c r="E201" s="223"/>
      <c r="F201" s="276"/>
      <c r="G201" s="226"/>
      <c r="H201" s="223"/>
      <c r="I201" s="223"/>
      <c r="J201" s="223"/>
      <c r="K201" s="223"/>
      <c r="L201" s="223"/>
      <c r="M201" s="223"/>
      <c r="N201" s="223"/>
      <c r="O201" s="223"/>
      <c r="P201" s="223"/>
      <c r="Q201" s="223"/>
      <c r="R201" s="890"/>
      <c r="S201" s="890"/>
      <c r="T201" s="223"/>
      <c r="U201" s="223"/>
      <c r="V201" s="223"/>
      <c r="W201" s="223"/>
      <c r="X201" s="223"/>
      <c r="Y201" s="223"/>
      <c r="Z201" s="223"/>
      <c r="AA201" s="223"/>
      <c r="AB201" s="223"/>
      <c r="AC201" s="223"/>
    </row>
    <row r="202" spans="1:29" x14ac:dyDescent="0.25">
      <c r="A202" s="223"/>
      <c r="B202" s="223"/>
      <c r="C202" s="223"/>
      <c r="D202" s="223"/>
      <c r="E202" s="223"/>
      <c r="F202" s="276"/>
      <c r="G202" s="226"/>
      <c r="H202" s="223"/>
      <c r="I202" s="223"/>
      <c r="J202" s="223"/>
      <c r="K202" s="223"/>
      <c r="L202" s="223"/>
      <c r="M202" s="223"/>
      <c r="N202" s="223"/>
      <c r="O202" s="223"/>
      <c r="P202" s="223"/>
      <c r="Q202" s="223"/>
      <c r="R202" s="890"/>
      <c r="S202" s="890"/>
      <c r="T202" s="223"/>
      <c r="U202" s="223"/>
      <c r="V202" s="223"/>
      <c r="W202" s="223"/>
      <c r="X202" s="223"/>
      <c r="Y202" s="223"/>
      <c r="Z202" s="223"/>
      <c r="AA202" s="223"/>
      <c r="AB202" s="223"/>
      <c r="AC202" s="223"/>
    </row>
    <row r="203" spans="1:29" x14ac:dyDescent="0.25">
      <c r="A203" s="223"/>
      <c r="B203" s="223"/>
      <c r="C203" s="223"/>
      <c r="D203" s="223"/>
      <c r="E203" s="223"/>
      <c r="F203" s="276"/>
      <c r="G203" s="226"/>
      <c r="H203" s="223"/>
      <c r="I203" s="223"/>
      <c r="J203" s="223"/>
      <c r="K203" s="223"/>
      <c r="L203" s="223"/>
      <c r="M203" s="223"/>
      <c r="N203" s="223"/>
      <c r="O203" s="223"/>
      <c r="P203" s="223"/>
      <c r="Q203" s="223"/>
      <c r="R203" s="890"/>
      <c r="S203" s="890"/>
      <c r="T203" s="223"/>
      <c r="U203" s="223"/>
      <c r="V203" s="223"/>
      <c r="W203" s="223"/>
      <c r="X203" s="223"/>
      <c r="Y203" s="223"/>
      <c r="Z203" s="223"/>
      <c r="AA203" s="223"/>
      <c r="AB203" s="223"/>
      <c r="AC203" s="223"/>
    </row>
    <row r="204" spans="1:29" x14ac:dyDescent="0.25">
      <c r="A204" s="223"/>
      <c r="B204" s="223"/>
      <c r="C204" s="223"/>
      <c r="D204" s="223"/>
      <c r="E204" s="223"/>
      <c r="F204" s="276"/>
      <c r="G204" s="226"/>
      <c r="H204" s="223"/>
      <c r="I204" s="223"/>
      <c r="J204" s="223"/>
      <c r="K204" s="223"/>
      <c r="L204" s="223"/>
      <c r="M204" s="223"/>
      <c r="N204" s="223"/>
      <c r="O204" s="223"/>
      <c r="P204" s="223"/>
      <c r="Q204" s="223"/>
      <c r="R204" s="890"/>
      <c r="S204" s="890"/>
      <c r="T204" s="223"/>
      <c r="U204" s="223"/>
      <c r="V204" s="223"/>
      <c r="W204" s="223"/>
      <c r="X204" s="223"/>
      <c r="Y204" s="223"/>
      <c r="Z204" s="223"/>
      <c r="AA204" s="223"/>
      <c r="AB204" s="223"/>
      <c r="AC204" s="223"/>
    </row>
    <row r="205" spans="1:29" x14ac:dyDescent="0.25">
      <c r="A205" s="223"/>
      <c r="B205" s="223"/>
      <c r="C205" s="223"/>
      <c r="D205" s="223"/>
      <c r="E205" s="223"/>
      <c r="F205" s="276"/>
      <c r="G205" s="226"/>
      <c r="H205" s="223"/>
      <c r="I205" s="223"/>
      <c r="J205" s="223"/>
      <c r="K205" s="223"/>
      <c r="L205" s="223"/>
      <c r="M205" s="223"/>
      <c r="N205" s="223"/>
      <c r="O205" s="223"/>
      <c r="P205" s="223"/>
      <c r="Q205" s="223"/>
      <c r="R205" s="890"/>
      <c r="S205" s="890"/>
      <c r="T205" s="223"/>
      <c r="U205" s="223"/>
      <c r="V205" s="223"/>
      <c r="W205" s="223"/>
      <c r="X205" s="223"/>
      <c r="Y205" s="223"/>
      <c r="Z205" s="223"/>
      <c r="AA205" s="223"/>
      <c r="AB205" s="223"/>
      <c r="AC205" s="223"/>
    </row>
    <row r="206" spans="1:29" x14ac:dyDescent="0.25">
      <c r="A206" s="223"/>
      <c r="B206" s="223"/>
      <c r="C206" s="223"/>
      <c r="D206" s="223"/>
      <c r="E206" s="223"/>
      <c r="F206" s="276"/>
      <c r="G206" s="226"/>
      <c r="H206" s="223"/>
      <c r="I206" s="223"/>
      <c r="J206" s="223"/>
      <c r="K206" s="223"/>
      <c r="L206" s="223"/>
      <c r="M206" s="223"/>
      <c r="N206" s="223"/>
      <c r="O206" s="223"/>
      <c r="P206" s="223"/>
      <c r="Q206" s="223"/>
      <c r="R206" s="890"/>
      <c r="S206" s="890"/>
      <c r="T206" s="223"/>
      <c r="U206" s="223"/>
      <c r="V206" s="223"/>
      <c r="W206" s="223"/>
      <c r="X206" s="223"/>
      <c r="Y206" s="223"/>
      <c r="Z206" s="223"/>
      <c r="AA206" s="223"/>
      <c r="AB206" s="223"/>
      <c r="AC206" s="223"/>
    </row>
    <row r="207" spans="1:29" x14ac:dyDescent="0.25">
      <c r="A207" s="223"/>
      <c r="B207" s="223"/>
      <c r="C207" s="223"/>
      <c r="D207" s="223"/>
      <c r="E207" s="223"/>
      <c r="F207" s="276"/>
      <c r="G207" s="226"/>
      <c r="H207" s="223"/>
      <c r="I207" s="223"/>
      <c r="J207" s="223"/>
      <c r="K207" s="223"/>
      <c r="L207" s="223"/>
      <c r="M207" s="223"/>
      <c r="N207" s="223"/>
      <c r="O207" s="223"/>
      <c r="P207" s="223"/>
      <c r="Q207" s="223"/>
      <c r="R207" s="890"/>
      <c r="S207" s="890"/>
      <c r="T207" s="223"/>
      <c r="U207" s="223"/>
      <c r="V207" s="223"/>
      <c r="W207" s="223"/>
      <c r="X207" s="223"/>
      <c r="Y207" s="223"/>
      <c r="Z207" s="223"/>
      <c r="AA207" s="223"/>
      <c r="AB207" s="223"/>
      <c r="AC207" s="223"/>
    </row>
    <row r="208" spans="1:29" x14ac:dyDescent="0.25">
      <c r="A208" s="223"/>
      <c r="B208" s="223"/>
      <c r="C208" s="223"/>
      <c r="D208" s="223"/>
      <c r="E208" s="223"/>
      <c r="F208" s="276"/>
      <c r="G208" s="226"/>
      <c r="H208" s="223"/>
      <c r="I208" s="223"/>
      <c r="J208" s="223"/>
      <c r="K208" s="223"/>
      <c r="L208" s="223"/>
      <c r="M208" s="223"/>
      <c r="N208" s="223"/>
      <c r="O208" s="223"/>
      <c r="P208" s="223"/>
      <c r="Q208" s="223"/>
      <c r="R208" s="890"/>
      <c r="S208" s="890"/>
      <c r="T208" s="223"/>
      <c r="U208" s="223"/>
      <c r="V208" s="223"/>
      <c r="W208" s="223"/>
      <c r="X208" s="223"/>
      <c r="Y208" s="223"/>
      <c r="Z208" s="223"/>
      <c r="AA208" s="223"/>
      <c r="AB208" s="223"/>
      <c r="AC208" s="223"/>
    </row>
    <row r="209" spans="1:29" x14ac:dyDescent="0.25">
      <c r="A209" s="223"/>
      <c r="B209" s="223"/>
      <c r="C209" s="223"/>
      <c r="D209" s="223"/>
      <c r="E209" s="223"/>
      <c r="F209" s="276"/>
      <c r="G209" s="226"/>
      <c r="H209" s="223"/>
      <c r="I209" s="223"/>
      <c r="J209" s="223"/>
      <c r="K209" s="223"/>
      <c r="L209" s="223"/>
      <c r="M209" s="223"/>
      <c r="N209" s="223"/>
      <c r="O209" s="223"/>
      <c r="P209" s="223"/>
      <c r="Q209" s="223"/>
      <c r="R209" s="890"/>
      <c r="S209" s="890"/>
      <c r="T209" s="223"/>
      <c r="U209" s="223"/>
      <c r="V209" s="223"/>
      <c r="W209" s="223"/>
      <c r="X209" s="223"/>
      <c r="Y209" s="223"/>
      <c r="Z209" s="223"/>
      <c r="AA209" s="223"/>
      <c r="AB209" s="223"/>
      <c r="AC209" s="223"/>
    </row>
    <row r="210" spans="1:29" x14ac:dyDescent="0.25">
      <c r="A210" s="223"/>
      <c r="B210" s="223"/>
      <c r="C210" s="223"/>
      <c r="D210" s="223"/>
      <c r="E210" s="223"/>
      <c r="F210" s="276"/>
      <c r="G210" s="226"/>
      <c r="H210" s="223"/>
      <c r="I210" s="223"/>
      <c r="J210" s="223"/>
      <c r="K210" s="223"/>
      <c r="L210" s="223"/>
      <c r="M210" s="223"/>
      <c r="N210" s="223"/>
      <c r="O210" s="223"/>
      <c r="P210" s="223"/>
      <c r="Q210" s="223"/>
      <c r="R210" s="890"/>
      <c r="S210" s="890"/>
      <c r="T210" s="223"/>
      <c r="U210" s="223"/>
      <c r="V210" s="223"/>
      <c r="W210" s="223"/>
      <c r="X210" s="223"/>
      <c r="Y210" s="223"/>
      <c r="Z210" s="223"/>
      <c r="AA210" s="223"/>
      <c r="AB210" s="223"/>
      <c r="AC210" s="223"/>
    </row>
    <row r="211" spans="1:29" x14ac:dyDescent="0.25">
      <c r="A211" s="223"/>
      <c r="B211" s="223"/>
      <c r="C211" s="223"/>
      <c r="D211" s="223"/>
      <c r="E211" s="223"/>
      <c r="F211" s="276"/>
      <c r="G211" s="226"/>
      <c r="H211" s="223"/>
      <c r="I211" s="223"/>
      <c r="J211" s="223"/>
      <c r="K211" s="223"/>
      <c r="L211" s="223"/>
      <c r="M211" s="223"/>
      <c r="N211" s="223"/>
      <c r="O211" s="223"/>
      <c r="P211" s="223"/>
      <c r="Q211" s="223"/>
      <c r="R211" s="890"/>
      <c r="S211" s="890"/>
      <c r="T211" s="223"/>
      <c r="U211" s="223"/>
      <c r="V211" s="223"/>
      <c r="W211" s="223"/>
      <c r="X211" s="223"/>
      <c r="Y211" s="223"/>
      <c r="Z211" s="223"/>
      <c r="AA211" s="223"/>
      <c r="AB211" s="223"/>
      <c r="AC211" s="223"/>
    </row>
    <row r="212" spans="1:29" x14ac:dyDescent="0.25">
      <c r="A212" s="223"/>
      <c r="B212" s="223"/>
      <c r="C212" s="223"/>
      <c r="D212" s="223"/>
      <c r="E212" s="223"/>
      <c r="F212" s="276"/>
      <c r="G212" s="226"/>
      <c r="H212" s="223"/>
      <c r="I212" s="223"/>
      <c r="J212" s="223"/>
      <c r="K212" s="223"/>
      <c r="L212" s="223"/>
      <c r="M212" s="223"/>
      <c r="N212" s="223"/>
      <c r="O212" s="223"/>
      <c r="P212" s="223"/>
      <c r="Q212" s="223"/>
      <c r="R212" s="890"/>
      <c r="S212" s="890"/>
      <c r="T212" s="223"/>
      <c r="U212" s="223"/>
      <c r="V212" s="223"/>
      <c r="W212" s="223"/>
      <c r="X212" s="223"/>
      <c r="Y212" s="223"/>
      <c r="Z212" s="223"/>
      <c r="AA212" s="223"/>
      <c r="AB212" s="223"/>
      <c r="AC212" s="223"/>
    </row>
    <row r="213" spans="1:29" x14ac:dyDescent="0.25">
      <c r="A213" s="223"/>
      <c r="B213" s="223"/>
      <c r="C213" s="223"/>
      <c r="D213" s="223"/>
      <c r="E213" s="223"/>
      <c r="F213" s="276"/>
      <c r="G213" s="226"/>
      <c r="H213" s="223"/>
      <c r="I213" s="223"/>
      <c r="J213" s="223"/>
      <c r="K213" s="223"/>
      <c r="L213" s="223"/>
      <c r="M213" s="223"/>
      <c r="N213" s="223"/>
      <c r="O213" s="223"/>
      <c r="P213" s="223"/>
      <c r="Q213" s="223"/>
      <c r="R213" s="890"/>
      <c r="S213" s="890"/>
      <c r="T213" s="223"/>
      <c r="U213" s="223"/>
      <c r="V213" s="223"/>
      <c r="W213" s="223"/>
      <c r="X213" s="223"/>
      <c r="Y213" s="223"/>
      <c r="Z213" s="223"/>
      <c r="AA213" s="223"/>
      <c r="AB213" s="223"/>
      <c r="AC213" s="223"/>
    </row>
    <row r="214" spans="1:29" x14ac:dyDescent="0.25">
      <c r="A214" s="223"/>
      <c r="B214" s="223"/>
      <c r="C214" s="223"/>
      <c r="D214" s="223"/>
      <c r="E214" s="223"/>
      <c r="F214" s="276"/>
      <c r="G214" s="226"/>
      <c r="H214" s="223"/>
      <c r="I214" s="223"/>
      <c r="J214" s="223"/>
      <c r="K214" s="223"/>
      <c r="L214" s="223"/>
      <c r="M214" s="223"/>
      <c r="N214" s="223"/>
      <c r="O214" s="223"/>
      <c r="P214" s="223"/>
      <c r="Q214" s="223"/>
      <c r="R214" s="890"/>
      <c r="S214" s="890"/>
      <c r="T214" s="223"/>
      <c r="U214" s="223"/>
      <c r="V214" s="223"/>
      <c r="W214" s="223"/>
      <c r="X214" s="223"/>
      <c r="Y214" s="223"/>
      <c r="Z214" s="223"/>
      <c r="AA214" s="223"/>
      <c r="AB214" s="223"/>
      <c r="AC214" s="223"/>
    </row>
    <row r="215" spans="1:29" x14ac:dyDescent="0.25">
      <c r="A215" s="223"/>
      <c r="B215" s="223"/>
      <c r="C215" s="223"/>
      <c r="D215" s="223"/>
      <c r="E215" s="223"/>
      <c r="F215" s="276"/>
      <c r="G215" s="226"/>
      <c r="H215" s="223"/>
      <c r="I215" s="223"/>
      <c r="J215" s="223"/>
      <c r="K215" s="223"/>
      <c r="L215" s="223"/>
      <c r="M215" s="223"/>
      <c r="N215" s="223"/>
      <c r="O215" s="223"/>
      <c r="P215" s="223"/>
      <c r="Q215" s="223"/>
      <c r="R215" s="890"/>
      <c r="S215" s="890"/>
      <c r="T215" s="223"/>
      <c r="U215" s="223"/>
      <c r="V215" s="223"/>
      <c r="W215" s="223"/>
      <c r="X215" s="223"/>
      <c r="Y215" s="223"/>
      <c r="Z215" s="223"/>
      <c r="AA215" s="223"/>
      <c r="AB215" s="223"/>
      <c r="AC215" s="223"/>
    </row>
    <row r="216" spans="1:29" x14ac:dyDescent="0.25">
      <c r="A216" s="223"/>
      <c r="B216" s="223"/>
      <c r="C216" s="223"/>
      <c r="D216" s="223"/>
      <c r="E216" s="223"/>
      <c r="F216" s="276"/>
      <c r="G216" s="226"/>
      <c r="H216" s="223"/>
      <c r="I216" s="223"/>
      <c r="J216" s="223"/>
      <c r="K216" s="223"/>
      <c r="L216" s="223"/>
      <c r="M216" s="223"/>
      <c r="N216" s="223"/>
      <c r="O216" s="223"/>
      <c r="P216" s="223"/>
      <c r="Q216" s="223"/>
      <c r="R216" s="890"/>
      <c r="S216" s="890"/>
      <c r="T216" s="223"/>
      <c r="U216" s="223"/>
      <c r="V216" s="223"/>
      <c r="W216" s="223"/>
      <c r="X216" s="223"/>
      <c r="Y216" s="223"/>
      <c r="Z216" s="223"/>
      <c r="AA216" s="223"/>
      <c r="AB216" s="223"/>
      <c r="AC216" s="223"/>
    </row>
    <row r="217" spans="1:29" x14ac:dyDescent="0.25">
      <c r="A217" s="223"/>
      <c r="B217" s="223"/>
      <c r="C217" s="223"/>
      <c r="D217" s="223"/>
      <c r="E217" s="223"/>
      <c r="F217" s="276"/>
      <c r="G217" s="226"/>
      <c r="H217" s="223"/>
      <c r="I217" s="223"/>
      <c r="J217" s="223"/>
      <c r="K217" s="223"/>
      <c r="L217" s="223"/>
      <c r="M217" s="223"/>
      <c r="N217" s="223"/>
      <c r="O217" s="223"/>
      <c r="P217" s="223"/>
      <c r="Q217" s="223"/>
      <c r="R217" s="890"/>
      <c r="S217" s="890"/>
      <c r="T217" s="223"/>
      <c r="U217" s="223"/>
      <c r="V217" s="223"/>
      <c r="W217" s="223"/>
      <c r="X217" s="223"/>
      <c r="Y217" s="223"/>
      <c r="Z217" s="223"/>
      <c r="AA217" s="223"/>
      <c r="AB217" s="223"/>
      <c r="AC217" s="223"/>
    </row>
    <row r="218" spans="1:29" x14ac:dyDescent="0.25">
      <c r="A218" s="223"/>
      <c r="B218" s="223"/>
      <c r="C218" s="223"/>
      <c r="D218" s="223"/>
      <c r="E218" s="223"/>
      <c r="F218" s="276"/>
      <c r="G218" s="226"/>
      <c r="H218" s="223"/>
      <c r="I218" s="223"/>
      <c r="J218" s="223"/>
      <c r="K218" s="223"/>
      <c r="L218" s="223"/>
      <c r="M218" s="223"/>
      <c r="N218" s="223"/>
      <c r="O218" s="223"/>
      <c r="P218" s="223"/>
      <c r="Q218" s="223"/>
      <c r="R218" s="890"/>
      <c r="S218" s="890"/>
      <c r="T218" s="223"/>
      <c r="U218" s="223"/>
      <c r="V218" s="223"/>
      <c r="W218" s="223"/>
      <c r="X218" s="223"/>
      <c r="Y218" s="223"/>
      <c r="Z218" s="223"/>
      <c r="AA218" s="223"/>
      <c r="AB218" s="223"/>
      <c r="AC218" s="223"/>
    </row>
    <row r="219" spans="1:29" x14ac:dyDescent="0.25">
      <c r="A219" s="223"/>
      <c r="B219" s="223"/>
      <c r="C219" s="223"/>
      <c r="D219" s="223"/>
      <c r="E219" s="223"/>
      <c r="F219" s="276"/>
      <c r="G219" s="226"/>
      <c r="H219" s="223"/>
      <c r="I219" s="223"/>
      <c r="J219" s="223"/>
      <c r="K219" s="223"/>
      <c r="L219" s="223"/>
      <c r="M219" s="223"/>
      <c r="N219" s="223"/>
      <c r="O219" s="223"/>
      <c r="P219" s="223"/>
      <c r="Q219" s="223"/>
      <c r="R219" s="890"/>
      <c r="S219" s="890"/>
      <c r="T219" s="223"/>
      <c r="U219" s="223"/>
      <c r="V219" s="223"/>
      <c r="W219" s="223"/>
      <c r="X219" s="223"/>
      <c r="Y219" s="223"/>
      <c r="Z219" s="223"/>
      <c r="AA219" s="223"/>
      <c r="AB219" s="223"/>
      <c r="AC219" s="223"/>
    </row>
    <row r="220" spans="1:29" x14ac:dyDescent="0.25">
      <c r="A220" s="223"/>
      <c r="B220" s="223"/>
      <c r="C220" s="223"/>
      <c r="D220" s="223"/>
      <c r="E220" s="223"/>
      <c r="F220" s="276"/>
      <c r="G220" s="226"/>
      <c r="H220" s="223"/>
      <c r="I220" s="223"/>
      <c r="J220" s="223"/>
      <c r="K220" s="223"/>
      <c r="L220" s="223"/>
      <c r="M220" s="223"/>
      <c r="N220" s="223"/>
      <c r="O220" s="223"/>
      <c r="P220" s="223"/>
      <c r="Q220" s="223"/>
      <c r="R220" s="890"/>
      <c r="S220" s="890"/>
      <c r="T220" s="223"/>
      <c r="U220" s="223"/>
      <c r="V220" s="223"/>
      <c r="W220" s="223"/>
      <c r="X220" s="223"/>
      <c r="Y220" s="223"/>
      <c r="Z220" s="223"/>
      <c r="AA220" s="223"/>
      <c r="AB220" s="223"/>
      <c r="AC220" s="223"/>
    </row>
    <row r="221" spans="1:29" x14ac:dyDescent="0.25">
      <c r="A221" s="223"/>
      <c r="B221" s="223"/>
      <c r="C221" s="223"/>
      <c r="D221" s="223"/>
      <c r="E221" s="223"/>
      <c r="F221" s="276"/>
      <c r="G221" s="226"/>
      <c r="H221" s="223"/>
      <c r="I221" s="223"/>
      <c r="J221" s="223"/>
      <c r="K221" s="223"/>
      <c r="L221" s="223"/>
      <c r="M221" s="223"/>
      <c r="N221" s="223"/>
      <c r="O221" s="223"/>
      <c r="P221" s="223"/>
      <c r="Q221" s="223"/>
      <c r="R221" s="890"/>
      <c r="S221" s="890"/>
      <c r="T221" s="223"/>
      <c r="U221" s="223"/>
      <c r="V221" s="223"/>
      <c r="W221" s="223"/>
      <c r="X221" s="223"/>
      <c r="Y221" s="223"/>
      <c r="Z221" s="223"/>
      <c r="AA221" s="223"/>
      <c r="AB221" s="223"/>
      <c r="AC221" s="223"/>
    </row>
    <row r="222" spans="1:29" x14ac:dyDescent="0.25">
      <c r="A222" s="223"/>
      <c r="B222" s="223"/>
      <c r="C222" s="223"/>
      <c r="D222" s="223"/>
      <c r="E222" s="223"/>
      <c r="F222" s="276"/>
      <c r="G222" s="226"/>
      <c r="H222" s="223"/>
      <c r="I222" s="223"/>
      <c r="J222" s="223"/>
      <c r="K222" s="223"/>
      <c r="L222" s="223"/>
      <c r="M222" s="223"/>
      <c r="N222" s="223"/>
      <c r="O222" s="223"/>
      <c r="P222" s="223"/>
      <c r="Q222" s="223"/>
      <c r="R222" s="890"/>
      <c r="S222" s="890"/>
      <c r="T222" s="223"/>
      <c r="U222" s="223"/>
      <c r="V222" s="223"/>
      <c r="W222" s="223"/>
      <c r="X222" s="223"/>
      <c r="Y222" s="223"/>
      <c r="Z222" s="223"/>
      <c r="AA222" s="223"/>
      <c r="AB222" s="223"/>
      <c r="AC222" s="223"/>
    </row>
    <row r="223" spans="1:29" x14ac:dyDescent="0.25">
      <c r="A223" s="223"/>
      <c r="B223" s="223"/>
      <c r="C223" s="223"/>
      <c r="D223" s="223"/>
      <c r="E223" s="223"/>
      <c r="F223" s="276"/>
      <c r="G223" s="226"/>
      <c r="H223" s="223"/>
      <c r="I223" s="223"/>
      <c r="J223" s="223"/>
      <c r="K223" s="223"/>
      <c r="L223" s="223"/>
      <c r="M223" s="223"/>
      <c r="N223" s="223"/>
      <c r="O223" s="223"/>
      <c r="P223" s="223"/>
      <c r="Q223" s="223"/>
      <c r="R223" s="890"/>
      <c r="S223" s="890"/>
      <c r="T223" s="223"/>
      <c r="U223" s="223"/>
      <c r="V223" s="223"/>
      <c r="W223" s="223"/>
      <c r="X223" s="223"/>
      <c r="Y223" s="223"/>
      <c r="Z223" s="223"/>
      <c r="AA223" s="223"/>
      <c r="AB223" s="223"/>
      <c r="AC223" s="223"/>
    </row>
    <row r="224" spans="1:29" x14ac:dyDescent="0.25">
      <c r="A224" s="223"/>
      <c r="B224" s="223"/>
      <c r="C224" s="223"/>
      <c r="D224" s="223"/>
      <c r="E224" s="223"/>
      <c r="F224" s="276"/>
      <c r="G224" s="226"/>
      <c r="H224" s="223"/>
      <c r="I224" s="223"/>
      <c r="J224" s="223"/>
      <c r="K224" s="223"/>
      <c r="L224" s="223"/>
      <c r="M224" s="223"/>
      <c r="N224" s="223"/>
      <c r="O224" s="223"/>
      <c r="P224" s="223"/>
      <c r="Q224" s="223"/>
      <c r="R224" s="890"/>
      <c r="S224" s="890"/>
      <c r="T224" s="223"/>
      <c r="U224" s="223"/>
      <c r="V224" s="223"/>
      <c r="W224" s="223"/>
      <c r="X224" s="223"/>
      <c r="Y224" s="223"/>
      <c r="Z224" s="223"/>
      <c r="AA224" s="223"/>
      <c r="AB224" s="223"/>
      <c r="AC224" s="223"/>
    </row>
    <row r="225" spans="1:29" x14ac:dyDescent="0.25">
      <c r="A225" s="223"/>
      <c r="B225" s="223"/>
      <c r="C225" s="223"/>
      <c r="D225" s="223"/>
      <c r="E225" s="223"/>
      <c r="F225" s="276"/>
      <c r="G225" s="226"/>
      <c r="H225" s="223"/>
      <c r="I225" s="223"/>
      <c r="J225" s="223"/>
      <c r="K225" s="223"/>
      <c r="L225" s="223"/>
      <c r="M225" s="223"/>
      <c r="N225" s="223"/>
      <c r="O225" s="223"/>
      <c r="P225" s="223"/>
      <c r="Q225" s="223"/>
      <c r="R225" s="890"/>
      <c r="S225" s="890"/>
      <c r="T225" s="223"/>
      <c r="U225" s="223"/>
      <c r="V225" s="223"/>
      <c r="W225" s="223"/>
      <c r="X225" s="223"/>
      <c r="Y225" s="223"/>
      <c r="Z225" s="223"/>
      <c r="AA225" s="223"/>
      <c r="AB225" s="223"/>
      <c r="AC225" s="223"/>
    </row>
    <row r="226" spans="1:29" x14ac:dyDescent="0.25">
      <c r="A226" s="223"/>
      <c r="B226" s="223"/>
      <c r="C226" s="223"/>
      <c r="D226" s="223"/>
      <c r="E226" s="223"/>
      <c r="F226" s="276"/>
      <c r="G226" s="226"/>
      <c r="H226" s="223"/>
      <c r="I226" s="223"/>
      <c r="J226" s="223"/>
      <c r="K226" s="223"/>
      <c r="L226" s="223"/>
      <c r="M226" s="223"/>
      <c r="N226" s="223"/>
      <c r="O226" s="223"/>
      <c r="P226" s="223"/>
      <c r="Q226" s="223"/>
      <c r="R226" s="890"/>
      <c r="S226" s="890"/>
      <c r="T226" s="223"/>
      <c r="U226" s="223"/>
      <c r="V226" s="223"/>
      <c r="W226" s="223"/>
      <c r="X226" s="223"/>
      <c r="Y226" s="223"/>
      <c r="Z226" s="223"/>
      <c r="AA226" s="223"/>
      <c r="AB226" s="223"/>
      <c r="AC226" s="223"/>
    </row>
    <row r="227" spans="1:29" x14ac:dyDescent="0.25">
      <c r="A227" s="223"/>
      <c r="B227" s="223"/>
      <c r="C227" s="223"/>
      <c r="D227" s="223"/>
      <c r="E227" s="223"/>
      <c r="F227" s="276"/>
      <c r="G227" s="226"/>
      <c r="H227" s="223"/>
      <c r="I227" s="223"/>
      <c r="J227" s="223"/>
      <c r="K227" s="223"/>
      <c r="L227" s="223"/>
      <c r="M227" s="223"/>
      <c r="N227" s="223"/>
      <c r="O227" s="223"/>
      <c r="P227" s="223"/>
      <c r="Q227" s="223"/>
      <c r="R227" s="890"/>
      <c r="S227" s="890"/>
      <c r="T227" s="223"/>
      <c r="U227" s="223"/>
      <c r="V227" s="223"/>
      <c r="W227" s="223"/>
      <c r="X227" s="223"/>
      <c r="Y227" s="223"/>
      <c r="Z227" s="223"/>
      <c r="AA227" s="223"/>
      <c r="AB227" s="223"/>
      <c r="AC227" s="223"/>
    </row>
    <row r="228" spans="1:29" x14ac:dyDescent="0.25">
      <c r="A228" s="223"/>
      <c r="B228" s="223"/>
      <c r="C228" s="223"/>
      <c r="D228" s="223"/>
      <c r="E228" s="223"/>
      <c r="F228" s="276"/>
      <c r="G228" s="226"/>
      <c r="H228" s="223"/>
      <c r="I228" s="223"/>
      <c r="J228" s="223"/>
      <c r="K228" s="223"/>
      <c r="L228" s="223"/>
      <c r="M228" s="223"/>
      <c r="N228" s="223"/>
      <c r="O228" s="223"/>
      <c r="P228" s="223"/>
      <c r="Q228" s="223"/>
      <c r="R228" s="890"/>
      <c r="S228" s="890"/>
      <c r="T228" s="223"/>
      <c r="U228" s="223"/>
      <c r="V228" s="223"/>
      <c r="W228" s="223"/>
      <c r="X228" s="223"/>
      <c r="Y228" s="223"/>
      <c r="Z228" s="223"/>
      <c r="AA228" s="223"/>
      <c r="AB228" s="223"/>
      <c r="AC228" s="223"/>
    </row>
    <row r="229" spans="1:29" x14ac:dyDescent="0.25">
      <c r="A229" s="223"/>
      <c r="B229" s="223"/>
      <c r="C229" s="223"/>
      <c r="D229" s="223"/>
      <c r="E229" s="223"/>
      <c r="F229" s="276"/>
      <c r="G229" s="226"/>
      <c r="H229" s="223"/>
      <c r="I229" s="223"/>
      <c r="J229" s="223"/>
      <c r="K229" s="223"/>
      <c r="L229" s="223"/>
      <c r="M229" s="223"/>
      <c r="N229" s="223"/>
      <c r="O229" s="223"/>
      <c r="P229" s="223"/>
      <c r="Q229" s="223"/>
      <c r="R229" s="890"/>
      <c r="S229" s="890"/>
      <c r="T229" s="223"/>
      <c r="U229" s="223"/>
      <c r="V229" s="223"/>
      <c r="W229" s="223"/>
      <c r="X229" s="223"/>
      <c r="Y229" s="223"/>
      <c r="Z229" s="223"/>
      <c r="AA229" s="223"/>
      <c r="AB229" s="223"/>
      <c r="AC229" s="223"/>
    </row>
    <row r="230" spans="1:29" x14ac:dyDescent="0.25">
      <c r="A230" s="223"/>
      <c r="B230" s="223"/>
      <c r="C230" s="223"/>
      <c r="D230" s="223"/>
      <c r="E230" s="223"/>
      <c r="F230" s="276"/>
      <c r="G230" s="226"/>
      <c r="H230" s="223"/>
      <c r="I230" s="223"/>
      <c r="J230" s="223"/>
      <c r="K230" s="223"/>
      <c r="L230" s="223"/>
      <c r="M230" s="223"/>
      <c r="N230" s="223"/>
      <c r="O230" s="223"/>
      <c r="P230" s="223"/>
      <c r="Q230" s="223"/>
      <c r="R230" s="890"/>
      <c r="S230" s="890"/>
      <c r="T230" s="223"/>
      <c r="U230" s="223"/>
      <c r="V230" s="223"/>
      <c r="W230" s="223"/>
      <c r="X230" s="223"/>
      <c r="Y230" s="223"/>
      <c r="Z230" s="223"/>
      <c r="AA230" s="223"/>
      <c r="AB230" s="223"/>
      <c r="AC230" s="223"/>
    </row>
    <row r="231" spans="1:29" x14ac:dyDescent="0.25">
      <c r="A231" s="223"/>
      <c r="B231" s="223"/>
      <c r="C231" s="223"/>
      <c r="D231" s="223"/>
      <c r="E231" s="223"/>
      <c r="F231" s="276"/>
      <c r="G231" s="226"/>
      <c r="H231" s="223"/>
      <c r="I231" s="223"/>
      <c r="J231" s="223"/>
      <c r="K231" s="223"/>
      <c r="L231" s="223"/>
      <c r="M231" s="223"/>
      <c r="N231" s="223"/>
      <c r="O231" s="223"/>
      <c r="P231" s="223"/>
      <c r="Q231" s="223"/>
      <c r="R231" s="890"/>
      <c r="S231" s="890"/>
      <c r="T231" s="223"/>
      <c r="U231" s="223"/>
      <c r="V231" s="223"/>
      <c r="W231" s="223"/>
      <c r="X231" s="223"/>
      <c r="Y231" s="223"/>
      <c r="Z231" s="223"/>
      <c r="AA231" s="223"/>
      <c r="AB231" s="223"/>
      <c r="AC231" s="223"/>
    </row>
    <row r="232" spans="1:29" x14ac:dyDescent="0.25">
      <c r="A232" s="223"/>
      <c r="B232" s="223"/>
      <c r="C232" s="223"/>
      <c r="D232" s="223"/>
      <c r="E232" s="223"/>
      <c r="F232" s="276"/>
      <c r="G232" s="226"/>
      <c r="H232" s="223"/>
      <c r="I232" s="223"/>
      <c r="J232" s="223"/>
      <c r="K232" s="223"/>
      <c r="L232" s="223"/>
      <c r="M232" s="223"/>
      <c r="N232" s="223"/>
      <c r="O232" s="223"/>
      <c r="P232" s="223"/>
      <c r="Q232" s="223"/>
      <c r="R232" s="890"/>
      <c r="S232" s="890"/>
      <c r="T232" s="223"/>
      <c r="U232" s="223"/>
      <c r="V232" s="223"/>
      <c r="W232" s="223"/>
      <c r="X232" s="223"/>
      <c r="Y232" s="223"/>
      <c r="Z232" s="223"/>
      <c r="AA232" s="223"/>
      <c r="AB232" s="223"/>
      <c r="AC232" s="223"/>
    </row>
    <row r="233" spans="1:29" x14ac:dyDescent="0.25">
      <c r="A233" s="223"/>
      <c r="B233" s="223"/>
      <c r="C233" s="223"/>
      <c r="D233" s="223"/>
      <c r="E233" s="223"/>
      <c r="F233" s="276"/>
      <c r="G233" s="226"/>
      <c r="H233" s="223"/>
      <c r="I233" s="223"/>
      <c r="J233" s="223"/>
      <c r="K233" s="223"/>
      <c r="L233" s="223"/>
      <c r="M233" s="223"/>
      <c r="N233" s="223"/>
      <c r="O233" s="223"/>
      <c r="P233" s="223"/>
      <c r="Q233" s="223"/>
      <c r="R233" s="890"/>
      <c r="S233" s="890"/>
      <c r="T233" s="223"/>
      <c r="U233" s="223"/>
      <c r="V233" s="223"/>
      <c r="W233" s="223"/>
      <c r="X233" s="223"/>
      <c r="Y233" s="223"/>
      <c r="Z233" s="223"/>
      <c r="AA233" s="223"/>
      <c r="AB233" s="223"/>
      <c r="AC233" s="223"/>
    </row>
    <row r="234" spans="1:29" x14ac:dyDescent="0.25">
      <c r="A234" s="223"/>
      <c r="B234" s="223"/>
      <c r="C234" s="223"/>
      <c r="D234" s="223"/>
      <c r="E234" s="223"/>
      <c r="F234" s="276"/>
      <c r="G234" s="226"/>
      <c r="H234" s="223"/>
      <c r="I234" s="223"/>
      <c r="J234" s="223"/>
      <c r="K234" s="223"/>
      <c r="L234" s="223"/>
      <c r="M234" s="223"/>
      <c r="N234" s="223"/>
      <c r="O234" s="223"/>
      <c r="P234" s="223"/>
      <c r="Q234" s="223"/>
      <c r="R234" s="890"/>
      <c r="S234" s="890"/>
      <c r="T234" s="223"/>
      <c r="U234" s="223"/>
      <c r="V234" s="223"/>
      <c r="W234" s="223"/>
      <c r="X234" s="223"/>
      <c r="Y234" s="223"/>
      <c r="Z234" s="223"/>
      <c r="AA234" s="223"/>
      <c r="AB234" s="223"/>
      <c r="AC234" s="223"/>
    </row>
    <row r="235" spans="1:29" x14ac:dyDescent="0.25">
      <c r="A235" s="223"/>
      <c r="B235" s="223"/>
      <c r="C235" s="223"/>
      <c r="D235" s="223"/>
      <c r="E235" s="223"/>
      <c r="F235" s="276"/>
      <c r="G235" s="226"/>
      <c r="H235" s="223"/>
      <c r="I235" s="223"/>
      <c r="J235" s="223"/>
      <c r="K235" s="223"/>
      <c r="L235" s="223"/>
      <c r="M235" s="223"/>
      <c r="N235" s="223"/>
      <c r="O235" s="223"/>
      <c r="P235" s="223"/>
      <c r="Q235" s="223"/>
      <c r="R235" s="890"/>
      <c r="S235" s="890"/>
      <c r="T235" s="223"/>
      <c r="U235" s="223"/>
      <c r="V235" s="223"/>
      <c r="W235" s="223"/>
      <c r="X235" s="223"/>
      <c r="Y235" s="223"/>
      <c r="Z235" s="223"/>
      <c r="AA235" s="223"/>
      <c r="AB235" s="223"/>
      <c r="AC235" s="223"/>
    </row>
    <row r="236" spans="1:29" x14ac:dyDescent="0.25">
      <c r="A236" s="223"/>
      <c r="B236" s="223"/>
      <c r="C236" s="223"/>
      <c r="D236" s="223"/>
      <c r="E236" s="223"/>
      <c r="F236" s="276"/>
      <c r="G236" s="226"/>
      <c r="H236" s="223"/>
      <c r="I236" s="223"/>
      <c r="J236" s="223"/>
      <c r="K236" s="223"/>
      <c r="L236" s="223"/>
      <c r="M236" s="223"/>
      <c r="N236" s="223"/>
      <c r="O236" s="223"/>
      <c r="P236" s="223"/>
      <c r="Q236" s="223"/>
      <c r="R236" s="890"/>
      <c r="S236" s="890"/>
      <c r="T236" s="223"/>
      <c r="U236" s="223"/>
      <c r="V236" s="223"/>
      <c r="W236" s="223"/>
      <c r="X236" s="223"/>
      <c r="Y236" s="223"/>
      <c r="Z236" s="223"/>
      <c r="AA236" s="223"/>
      <c r="AB236" s="223"/>
      <c r="AC236" s="223"/>
    </row>
    <row r="237" spans="1:29" x14ac:dyDescent="0.25">
      <c r="A237" s="223"/>
      <c r="B237" s="223"/>
      <c r="C237" s="223"/>
      <c r="D237" s="223"/>
      <c r="E237" s="223"/>
      <c r="F237" s="276"/>
      <c r="G237" s="226"/>
      <c r="H237" s="223"/>
      <c r="I237" s="223"/>
      <c r="J237" s="223"/>
      <c r="K237" s="223"/>
      <c r="L237" s="223"/>
      <c r="M237" s="223"/>
      <c r="N237" s="223"/>
      <c r="O237" s="223"/>
      <c r="P237" s="223"/>
      <c r="Q237" s="223"/>
      <c r="R237" s="890"/>
      <c r="S237" s="890"/>
      <c r="T237" s="223"/>
      <c r="U237" s="223"/>
      <c r="V237" s="223"/>
      <c r="W237" s="223"/>
      <c r="X237" s="223"/>
      <c r="Y237" s="223"/>
      <c r="Z237" s="223"/>
      <c r="AA237" s="223"/>
      <c r="AB237" s="223"/>
      <c r="AC237" s="223"/>
    </row>
    <row r="238" spans="1:29" x14ac:dyDescent="0.25">
      <c r="A238" s="223"/>
      <c r="B238" s="223"/>
      <c r="C238" s="223"/>
      <c r="D238" s="223"/>
      <c r="E238" s="223"/>
      <c r="F238" s="276"/>
      <c r="G238" s="226"/>
      <c r="H238" s="223"/>
      <c r="I238" s="223"/>
      <c r="J238" s="223"/>
      <c r="K238" s="223"/>
      <c r="L238" s="223"/>
      <c r="M238" s="223"/>
      <c r="N238" s="223"/>
      <c r="O238" s="223"/>
      <c r="P238" s="223"/>
      <c r="Q238" s="223"/>
      <c r="R238" s="890"/>
      <c r="S238" s="890"/>
      <c r="T238" s="223"/>
      <c r="U238" s="223"/>
      <c r="V238" s="223"/>
      <c r="W238" s="223"/>
      <c r="X238" s="223"/>
      <c r="Y238" s="223"/>
      <c r="Z238" s="223"/>
      <c r="AA238" s="223"/>
      <c r="AB238" s="223"/>
      <c r="AC238" s="223"/>
    </row>
    <row r="239" spans="1:29" x14ac:dyDescent="0.25">
      <c r="A239" s="223"/>
      <c r="B239" s="223"/>
      <c r="C239" s="223"/>
      <c r="D239" s="223"/>
      <c r="E239" s="223"/>
      <c r="F239" s="276"/>
      <c r="G239" s="226"/>
      <c r="H239" s="223"/>
      <c r="I239" s="223"/>
      <c r="J239" s="223"/>
      <c r="K239" s="223"/>
      <c r="L239" s="223"/>
      <c r="M239" s="223"/>
      <c r="N239" s="223"/>
      <c r="O239" s="223"/>
      <c r="P239" s="223"/>
      <c r="Q239" s="223"/>
      <c r="R239" s="890"/>
      <c r="S239" s="890"/>
      <c r="T239" s="223"/>
      <c r="U239" s="223"/>
      <c r="V239" s="223"/>
      <c r="W239" s="223"/>
      <c r="X239" s="223"/>
      <c r="Y239" s="223"/>
      <c r="Z239" s="223"/>
      <c r="AA239" s="223"/>
      <c r="AB239" s="223"/>
      <c r="AC239" s="223"/>
    </row>
    <row r="240" spans="1:29" x14ac:dyDescent="0.25">
      <c r="A240" s="223"/>
      <c r="B240" s="223"/>
      <c r="C240" s="223"/>
      <c r="D240" s="223"/>
      <c r="E240" s="223"/>
      <c r="F240" s="276"/>
      <c r="G240" s="226"/>
      <c r="H240" s="223"/>
      <c r="I240" s="223"/>
      <c r="J240" s="223"/>
      <c r="K240" s="223"/>
      <c r="L240" s="223"/>
      <c r="M240" s="223"/>
      <c r="N240" s="223"/>
      <c r="O240" s="223"/>
      <c r="P240" s="223"/>
      <c r="Q240" s="223"/>
      <c r="R240" s="890"/>
      <c r="S240" s="890"/>
      <c r="T240" s="223"/>
      <c r="U240" s="223"/>
      <c r="V240" s="223"/>
      <c r="W240" s="223"/>
      <c r="X240" s="223"/>
      <c r="Y240" s="223"/>
      <c r="Z240" s="223"/>
      <c r="AA240" s="223"/>
      <c r="AB240" s="223"/>
      <c r="AC240" s="223"/>
    </row>
    <row r="241" spans="1:29" x14ac:dyDescent="0.25">
      <c r="A241" s="223"/>
      <c r="B241" s="223"/>
      <c r="C241" s="223"/>
      <c r="D241" s="223"/>
      <c r="E241" s="223"/>
      <c r="F241" s="276"/>
      <c r="G241" s="226"/>
      <c r="H241" s="223"/>
      <c r="I241" s="223"/>
      <c r="J241" s="223"/>
      <c r="K241" s="223"/>
      <c r="L241" s="223"/>
      <c r="M241" s="223"/>
      <c r="N241" s="223"/>
      <c r="O241" s="223"/>
      <c r="P241" s="223"/>
      <c r="Q241" s="223"/>
      <c r="R241" s="890"/>
      <c r="S241" s="890"/>
      <c r="T241" s="223"/>
      <c r="U241" s="223"/>
      <c r="V241" s="223"/>
      <c r="W241" s="223"/>
      <c r="X241" s="223"/>
      <c r="Y241" s="223"/>
      <c r="Z241" s="223"/>
      <c r="AA241" s="223"/>
      <c r="AB241" s="223"/>
      <c r="AC241" s="223"/>
    </row>
    <row r="242" spans="1:29" x14ac:dyDescent="0.25">
      <c r="A242" s="223"/>
      <c r="B242" s="223"/>
      <c r="C242" s="223"/>
      <c r="D242" s="223"/>
      <c r="E242" s="223"/>
      <c r="F242" s="276"/>
      <c r="G242" s="226"/>
      <c r="H242" s="223"/>
      <c r="I242" s="223"/>
      <c r="J242" s="223"/>
      <c r="K242" s="223"/>
      <c r="L242" s="223"/>
      <c r="M242" s="223"/>
      <c r="N242" s="223"/>
      <c r="O242" s="223"/>
      <c r="P242" s="223"/>
      <c r="Q242" s="223"/>
      <c r="R242" s="890"/>
      <c r="S242" s="890"/>
      <c r="T242" s="223"/>
      <c r="U242" s="223"/>
      <c r="V242" s="223"/>
      <c r="W242" s="223"/>
      <c r="X242" s="223"/>
      <c r="Y242" s="223"/>
      <c r="Z242" s="223"/>
      <c r="AA242" s="223"/>
      <c r="AB242" s="223"/>
      <c r="AC242" s="223"/>
    </row>
    <row r="243" spans="1:29" x14ac:dyDescent="0.25">
      <c r="A243" s="223"/>
      <c r="B243" s="223"/>
      <c r="C243" s="223"/>
      <c r="D243" s="223"/>
      <c r="E243" s="223"/>
      <c r="F243" s="276"/>
      <c r="G243" s="226"/>
      <c r="H243" s="223"/>
      <c r="I243" s="223"/>
      <c r="J243" s="223"/>
      <c r="K243" s="223"/>
      <c r="L243" s="223"/>
      <c r="M243" s="223"/>
      <c r="N243" s="223"/>
      <c r="O243" s="223"/>
      <c r="P243" s="223"/>
      <c r="Q243" s="223"/>
      <c r="R243" s="890"/>
      <c r="S243" s="890"/>
      <c r="T243" s="223"/>
      <c r="U243" s="223"/>
      <c r="V243" s="223"/>
      <c r="W243" s="223"/>
      <c r="X243" s="223"/>
      <c r="Y243" s="223"/>
      <c r="Z243" s="223"/>
      <c r="AA243" s="223"/>
      <c r="AB243" s="223"/>
      <c r="AC243" s="223"/>
    </row>
    <row r="244" spans="1:29" x14ac:dyDescent="0.25">
      <c r="A244" s="223"/>
      <c r="B244" s="223"/>
      <c r="C244" s="223"/>
      <c r="D244" s="223"/>
      <c r="E244" s="223"/>
      <c r="F244" s="276"/>
      <c r="G244" s="226"/>
      <c r="H244" s="223"/>
      <c r="I244" s="223"/>
      <c r="J244" s="223"/>
      <c r="K244" s="223"/>
      <c r="L244" s="223"/>
      <c r="M244" s="223"/>
      <c r="N244" s="223"/>
      <c r="O244" s="223"/>
      <c r="P244" s="223"/>
      <c r="Q244" s="223"/>
      <c r="R244" s="890"/>
      <c r="S244" s="890"/>
      <c r="T244" s="223"/>
      <c r="U244" s="223"/>
      <c r="V244" s="223"/>
      <c r="W244" s="223"/>
      <c r="X244" s="223"/>
      <c r="Y244" s="223"/>
      <c r="Z244" s="223"/>
      <c r="AA244" s="223"/>
      <c r="AB244" s="223"/>
      <c r="AC244" s="223"/>
    </row>
    <row r="245" spans="1:29" x14ac:dyDescent="0.25">
      <c r="A245" s="223"/>
      <c r="B245" s="223"/>
      <c r="C245" s="223"/>
      <c r="D245" s="223"/>
      <c r="E245" s="223"/>
      <c r="F245" s="276"/>
      <c r="G245" s="226"/>
      <c r="H245" s="223"/>
      <c r="I245" s="223"/>
      <c r="J245" s="223"/>
      <c r="K245" s="223"/>
      <c r="L245" s="223"/>
      <c r="M245" s="223"/>
      <c r="N245" s="223"/>
      <c r="O245" s="223"/>
      <c r="P245" s="223"/>
      <c r="Q245" s="223"/>
      <c r="R245" s="890"/>
      <c r="S245" s="890"/>
      <c r="T245" s="223"/>
      <c r="U245" s="223"/>
      <c r="V245" s="223"/>
      <c r="W245" s="223"/>
      <c r="X245" s="223"/>
      <c r="Y245" s="223"/>
      <c r="Z245" s="223"/>
      <c r="AA245" s="223"/>
      <c r="AB245" s="223"/>
      <c r="AC245" s="223"/>
    </row>
    <row r="246" spans="1:29" x14ac:dyDescent="0.25">
      <c r="A246" s="223"/>
      <c r="B246" s="223"/>
      <c r="C246" s="223"/>
      <c r="D246" s="223"/>
      <c r="E246" s="223"/>
      <c r="F246" s="276"/>
      <c r="G246" s="226"/>
      <c r="H246" s="223"/>
      <c r="I246" s="223"/>
      <c r="J246" s="223"/>
      <c r="K246" s="223"/>
      <c r="L246" s="223"/>
      <c r="M246" s="223"/>
      <c r="N246" s="223"/>
      <c r="O246" s="223"/>
      <c r="P246" s="223"/>
      <c r="Q246" s="223"/>
      <c r="R246" s="890"/>
      <c r="S246" s="890"/>
      <c r="T246" s="223"/>
      <c r="U246" s="223"/>
      <c r="V246" s="223"/>
      <c r="W246" s="223"/>
      <c r="X246" s="223"/>
      <c r="Y246" s="223"/>
      <c r="Z246" s="223"/>
      <c r="AA246" s="223"/>
      <c r="AB246" s="223"/>
      <c r="AC246" s="223"/>
    </row>
    <row r="247" spans="1:29" x14ac:dyDescent="0.25">
      <c r="A247" s="223"/>
      <c r="B247" s="223"/>
      <c r="C247" s="223"/>
      <c r="D247" s="223"/>
      <c r="E247" s="223"/>
      <c r="F247" s="276"/>
      <c r="G247" s="226"/>
      <c r="H247" s="223"/>
      <c r="I247" s="223"/>
      <c r="J247" s="223"/>
      <c r="K247" s="223"/>
      <c r="L247" s="223"/>
      <c r="M247" s="223"/>
      <c r="N247" s="223"/>
      <c r="O247" s="223"/>
      <c r="P247" s="223"/>
      <c r="Q247" s="223"/>
      <c r="R247" s="890"/>
      <c r="S247" s="890"/>
      <c r="T247" s="223"/>
      <c r="U247" s="223"/>
      <c r="V247" s="223"/>
      <c r="W247" s="223"/>
      <c r="X247" s="223"/>
      <c r="Y247" s="223"/>
      <c r="Z247" s="223"/>
      <c r="AA247" s="223"/>
      <c r="AB247" s="223"/>
      <c r="AC247" s="223"/>
    </row>
    <row r="248" spans="1:29" x14ac:dyDescent="0.25">
      <c r="A248" s="223"/>
      <c r="B248" s="223"/>
      <c r="C248" s="223"/>
      <c r="D248" s="223"/>
      <c r="E248" s="223"/>
      <c r="F248" s="276"/>
      <c r="G248" s="226"/>
      <c r="H248" s="223"/>
      <c r="I248" s="223"/>
      <c r="J248" s="223"/>
      <c r="K248" s="223"/>
      <c r="L248" s="223"/>
      <c r="M248" s="223"/>
      <c r="N248" s="223"/>
      <c r="O248" s="223"/>
      <c r="P248" s="223"/>
      <c r="Q248" s="223"/>
      <c r="R248" s="890"/>
      <c r="S248" s="890"/>
      <c r="T248" s="223"/>
      <c r="U248" s="223"/>
      <c r="V248" s="223"/>
      <c r="W248" s="223"/>
      <c r="X248" s="223"/>
      <c r="Y248" s="223"/>
      <c r="Z248" s="223"/>
      <c r="AA248" s="223"/>
      <c r="AB248" s="223"/>
      <c r="AC248" s="223"/>
    </row>
    <row r="249" spans="1:29" x14ac:dyDescent="0.25">
      <c r="A249" s="223"/>
      <c r="B249" s="223"/>
      <c r="C249" s="223"/>
      <c r="D249" s="223"/>
      <c r="E249" s="223"/>
      <c r="F249" s="276"/>
      <c r="G249" s="226"/>
      <c r="H249" s="223"/>
      <c r="I249" s="223"/>
      <c r="J249" s="223"/>
      <c r="K249" s="223"/>
      <c r="L249" s="223"/>
      <c r="M249" s="223"/>
      <c r="N249" s="223"/>
      <c r="O249" s="223"/>
      <c r="P249" s="223"/>
      <c r="Q249" s="223"/>
      <c r="R249" s="890"/>
      <c r="S249" s="890"/>
      <c r="T249" s="223"/>
      <c r="U249" s="223"/>
      <c r="V249" s="223"/>
      <c r="W249" s="223"/>
      <c r="X249" s="223"/>
      <c r="Y249" s="223"/>
      <c r="Z249" s="223"/>
      <c r="AA249" s="223"/>
      <c r="AB249" s="223"/>
      <c r="AC249" s="223"/>
    </row>
    <row r="250" spans="1:29" x14ac:dyDescent="0.25">
      <c r="A250" s="223"/>
      <c r="B250" s="223"/>
      <c r="C250" s="223"/>
      <c r="D250" s="223"/>
      <c r="E250" s="223"/>
      <c r="F250" s="276"/>
      <c r="G250" s="226"/>
      <c r="H250" s="223"/>
      <c r="I250" s="223"/>
      <c r="J250" s="223"/>
      <c r="K250" s="223"/>
      <c r="L250" s="223"/>
      <c r="M250" s="223"/>
      <c r="N250" s="223"/>
      <c r="O250" s="223"/>
      <c r="P250" s="223"/>
      <c r="Q250" s="223"/>
      <c r="R250" s="890"/>
      <c r="S250" s="890"/>
      <c r="T250" s="223"/>
      <c r="U250" s="223"/>
      <c r="V250" s="223"/>
      <c r="W250" s="223"/>
      <c r="X250" s="223"/>
      <c r="Y250" s="223"/>
      <c r="Z250" s="223"/>
      <c r="AA250" s="223"/>
      <c r="AB250" s="223"/>
      <c r="AC250" s="223"/>
    </row>
    <row r="251" spans="1:29" x14ac:dyDescent="0.25">
      <c r="A251" s="223"/>
      <c r="B251" s="223"/>
      <c r="C251" s="223"/>
      <c r="D251" s="223"/>
      <c r="E251" s="223"/>
      <c r="F251" s="276"/>
      <c r="G251" s="226"/>
      <c r="H251" s="223"/>
      <c r="I251" s="223"/>
      <c r="J251" s="223"/>
      <c r="K251" s="223"/>
      <c r="L251" s="223"/>
      <c r="M251" s="223"/>
      <c r="N251" s="223"/>
      <c r="O251" s="223"/>
      <c r="P251" s="223"/>
      <c r="Q251" s="223"/>
      <c r="R251" s="890"/>
      <c r="S251" s="890"/>
      <c r="T251" s="223"/>
      <c r="U251" s="223"/>
      <c r="V251" s="223"/>
      <c r="W251" s="223"/>
      <c r="X251" s="223"/>
      <c r="Y251" s="223"/>
      <c r="Z251" s="223"/>
      <c r="AA251" s="223"/>
      <c r="AB251" s="223"/>
      <c r="AC251" s="223"/>
    </row>
    <row r="252" spans="1:29" x14ac:dyDescent="0.25">
      <c r="A252" s="223"/>
      <c r="B252" s="223"/>
      <c r="C252" s="223"/>
      <c r="D252" s="223"/>
      <c r="E252" s="223"/>
      <c r="F252" s="276"/>
      <c r="G252" s="226"/>
      <c r="H252" s="223"/>
      <c r="I252" s="223"/>
      <c r="J252" s="223"/>
      <c r="K252" s="223"/>
      <c r="L252" s="223"/>
      <c r="M252" s="223"/>
      <c r="N252" s="223"/>
      <c r="O252" s="223"/>
      <c r="P252" s="223"/>
      <c r="Q252" s="223"/>
      <c r="R252" s="890"/>
      <c r="S252" s="890"/>
      <c r="T252" s="223"/>
      <c r="U252" s="223"/>
      <c r="V252" s="223"/>
      <c r="W252" s="223"/>
      <c r="X252" s="223"/>
      <c r="Y252" s="223"/>
      <c r="Z252" s="223"/>
      <c r="AA252" s="223"/>
      <c r="AB252" s="223"/>
      <c r="AC252" s="223"/>
    </row>
    <row r="253" spans="1:29" x14ac:dyDescent="0.25">
      <c r="A253" s="223"/>
      <c r="B253" s="223"/>
      <c r="C253" s="223"/>
      <c r="D253" s="223"/>
      <c r="E253" s="223"/>
      <c r="F253" s="276"/>
      <c r="G253" s="226"/>
      <c r="H253" s="223"/>
      <c r="I253" s="223"/>
      <c r="J253" s="223"/>
      <c r="K253" s="223"/>
      <c r="L253" s="223"/>
      <c r="M253" s="223"/>
      <c r="N253" s="223"/>
      <c r="O253" s="223"/>
      <c r="P253" s="223"/>
      <c r="Q253" s="223"/>
      <c r="R253" s="890"/>
      <c r="S253" s="890"/>
      <c r="T253" s="223"/>
      <c r="U253" s="223"/>
      <c r="V253" s="223"/>
      <c r="W253" s="223"/>
      <c r="X253" s="223"/>
      <c r="Y253" s="223"/>
      <c r="Z253" s="223"/>
      <c r="AA253" s="223"/>
      <c r="AB253" s="223"/>
      <c r="AC253" s="223"/>
    </row>
    <row r="254" spans="1:29" x14ac:dyDescent="0.25">
      <c r="A254" s="223"/>
      <c r="B254" s="223"/>
      <c r="C254" s="223"/>
      <c r="D254" s="223"/>
      <c r="E254" s="223"/>
      <c r="F254" s="276"/>
      <c r="G254" s="226"/>
      <c r="H254" s="223"/>
      <c r="I254" s="223"/>
      <c r="J254" s="223"/>
      <c r="K254" s="223"/>
      <c r="L254" s="223"/>
      <c r="M254" s="223"/>
      <c r="N254" s="223"/>
      <c r="O254" s="223"/>
      <c r="P254" s="223"/>
      <c r="Q254" s="223"/>
      <c r="R254" s="890"/>
      <c r="S254" s="890"/>
      <c r="T254" s="223"/>
      <c r="U254" s="223"/>
      <c r="V254" s="223"/>
      <c r="W254" s="223"/>
      <c r="X254" s="223"/>
      <c r="Y254" s="223"/>
      <c r="Z254" s="223"/>
      <c r="AA254" s="223"/>
      <c r="AB254" s="223"/>
      <c r="AC254" s="223"/>
    </row>
    <row r="255" spans="1:29" x14ac:dyDescent="0.25">
      <c r="A255" s="223"/>
      <c r="B255" s="223"/>
      <c r="C255" s="223"/>
      <c r="D255" s="223"/>
      <c r="E255" s="223"/>
      <c r="F255" s="276"/>
      <c r="G255" s="226"/>
      <c r="H255" s="223"/>
      <c r="I255" s="223"/>
      <c r="J255" s="223"/>
      <c r="K255" s="223"/>
      <c r="L255" s="223"/>
      <c r="M255" s="223"/>
      <c r="N255" s="223"/>
      <c r="O255" s="223"/>
      <c r="P255" s="223"/>
      <c r="Q255" s="223"/>
      <c r="R255" s="890"/>
      <c r="S255" s="890"/>
      <c r="T255" s="223"/>
      <c r="U255" s="223"/>
      <c r="V255" s="223"/>
      <c r="W255" s="223"/>
      <c r="X255" s="223"/>
      <c r="Y255" s="223"/>
      <c r="Z255" s="223"/>
      <c r="AA255" s="223"/>
      <c r="AB255" s="223"/>
      <c r="AC255" s="223"/>
    </row>
    <row r="256" spans="1:29" x14ac:dyDescent="0.25">
      <c r="A256" s="223"/>
      <c r="B256" s="223"/>
      <c r="C256" s="223"/>
      <c r="D256" s="223"/>
      <c r="E256" s="223"/>
      <c r="F256" s="276"/>
      <c r="G256" s="226"/>
      <c r="H256" s="223"/>
      <c r="I256" s="223"/>
      <c r="J256" s="223"/>
      <c r="K256" s="223"/>
      <c r="L256" s="223"/>
      <c r="M256" s="223"/>
      <c r="N256" s="223"/>
      <c r="O256" s="223"/>
      <c r="P256" s="223"/>
      <c r="Q256" s="223"/>
      <c r="R256" s="890"/>
      <c r="S256" s="890"/>
      <c r="T256" s="223"/>
      <c r="U256" s="223"/>
      <c r="V256" s="223"/>
      <c r="W256" s="223"/>
      <c r="X256" s="223"/>
      <c r="Y256" s="223"/>
      <c r="Z256" s="223"/>
      <c r="AA256" s="223"/>
      <c r="AB256" s="223"/>
      <c r="AC256" s="223"/>
    </row>
    <row r="257" spans="1:29" x14ac:dyDescent="0.25">
      <c r="A257" s="223"/>
      <c r="B257" s="223"/>
      <c r="C257" s="223"/>
      <c r="D257" s="223"/>
      <c r="E257" s="223"/>
      <c r="F257" s="276"/>
      <c r="G257" s="226"/>
      <c r="H257" s="223"/>
      <c r="I257" s="223"/>
      <c r="J257" s="223"/>
      <c r="K257" s="223"/>
      <c r="L257" s="223"/>
      <c r="M257" s="223"/>
      <c r="N257" s="223"/>
      <c r="O257" s="223"/>
      <c r="P257" s="223"/>
      <c r="Q257" s="223"/>
      <c r="R257" s="890"/>
      <c r="S257" s="890"/>
      <c r="T257" s="223"/>
      <c r="U257" s="223"/>
      <c r="V257" s="223"/>
      <c r="W257" s="223"/>
      <c r="X257" s="223"/>
      <c r="Y257" s="223"/>
      <c r="Z257" s="223"/>
      <c r="AA257" s="223"/>
      <c r="AB257" s="223"/>
      <c r="AC257" s="223"/>
    </row>
    <row r="258" spans="1:29" x14ac:dyDescent="0.25">
      <c r="A258" s="223"/>
      <c r="B258" s="223"/>
      <c r="C258" s="223"/>
      <c r="D258" s="223"/>
      <c r="E258" s="223"/>
      <c r="F258" s="276"/>
      <c r="G258" s="226"/>
      <c r="H258" s="223"/>
      <c r="I258" s="223"/>
      <c r="J258" s="223"/>
      <c r="K258" s="223"/>
      <c r="L258" s="223"/>
      <c r="M258" s="223"/>
      <c r="N258" s="223"/>
      <c r="O258" s="223"/>
      <c r="P258" s="223"/>
      <c r="Q258" s="223"/>
      <c r="R258" s="890"/>
      <c r="S258" s="890"/>
      <c r="T258" s="223"/>
      <c r="U258" s="223"/>
      <c r="V258" s="223"/>
      <c r="W258" s="223"/>
      <c r="X258" s="223"/>
      <c r="Y258" s="223"/>
      <c r="Z258" s="223"/>
      <c r="AA258" s="223"/>
      <c r="AB258" s="223"/>
      <c r="AC258" s="223"/>
    </row>
    <row r="259" spans="1:29" x14ac:dyDescent="0.25">
      <c r="A259" s="223"/>
      <c r="B259" s="223"/>
      <c r="C259" s="223"/>
      <c r="D259" s="223"/>
      <c r="E259" s="223"/>
      <c r="F259" s="276"/>
      <c r="G259" s="226"/>
      <c r="H259" s="223"/>
      <c r="I259" s="223"/>
      <c r="J259" s="223"/>
      <c r="K259" s="223"/>
      <c r="L259" s="223"/>
      <c r="M259" s="223"/>
      <c r="N259" s="223"/>
      <c r="O259" s="223"/>
      <c r="P259" s="223"/>
      <c r="Q259" s="223"/>
      <c r="R259" s="890"/>
      <c r="S259" s="890"/>
      <c r="T259" s="223"/>
      <c r="U259" s="223"/>
      <c r="V259" s="223"/>
      <c r="W259" s="223"/>
      <c r="X259" s="223"/>
      <c r="Y259" s="223"/>
      <c r="Z259" s="223"/>
      <c r="AA259" s="223"/>
      <c r="AB259" s="223"/>
      <c r="AC259" s="223"/>
    </row>
    <row r="260" spans="1:29" x14ac:dyDescent="0.25">
      <c r="A260" s="223"/>
      <c r="B260" s="223"/>
      <c r="C260" s="223"/>
      <c r="D260" s="223"/>
      <c r="E260" s="223"/>
      <c r="F260" s="276"/>
      <c r="G260" s="226"/>
      <c r="H260" s="223"/>
      <c r="I260" s="223"/>
      <c r="J260" s="223"/>
      <c r="K260" s="223"/>
      <c r="L260" s="223"/>
      <c r="M260" s="223"/>
      <c r="N260" s="223"/>
      <c r="O260" s="223"/>
      <c r="P260" s="223"/>
      <c r="Q260" s="223"/>
      <c r="R260" s="890"/>
      <c r="S260" s="890"/>
      <c r="T260" s="223"/>
      <c r="U260" s="223"/>
      <c r="V260" s="223"/>
      <c r="W260" s="223"/>
      <c r="X260" s="223"/>
      <c r="Y260" s="223"/>
      <c r="Z260" s="223"/>
      <c r="AA260" s="223"/>
      <c r="AB260" s="223"/>
      <c r="AC260" s="223"/>
    </row>
    <row r="261" spans="1:29" x14ac:dyDescent="0.25">
      <c r="A261" s="223"/>
      <c r="B261" s="223"/>
      <c r="C261" s="223"/>
      <c r="D261" s="223"/>
      <c r="E261" s="223"/>
      <c r="F261" s="276"/>
      <c r="G261" s="226"/>
      <c r="H261" s="223"/>
      <c r="I261" s="223"/>
      <c r="J261" s="223"/>
      <c r="K261" s="223"/>
      <c r="L261" s="223"/>
      <c r="M261" s="223"/>
      <c r="N261" s="223"/>
      <c r="O261" s="223"/>
      <c r="P261" s="223"/>
      <c r="Q261" s="223"/>
      <c r="R261" s="890"/>
      <c r="S261" s="890"/>
      <c r="T261" s="223"/>
      <c r="U261" s="223"/>
      <c r="V261" s="223"/>
      <c r="W261" s="223"/>
      <c r="X261" s="223"/>
      <c r="Y261" s="223"/>
      <c r="Z261" s="223"/>
      <c r="AA261" s="223"/>
      <c r="AB261" s="223"/>
      <c r="AC261" s="223"/>
    </row>
    <row r="262" spans="1:29" x14ac:dyDescent="0.25">
      <c r="A262" s="223"/>
      <c r="B262" s="223"/>
      <c r="C262" s="223"/>
      <c r="D262" s="223"/>
      <c r="E262" s="223"/>
      <c r="F262" s="276"/>
      <c r="G262" s="226"/>
      <c r="H262" s="223"/>
      <c r="I262" s="223"/>
      <c r="J262" s="223"/>
      <c r="K262" s="223"/>
      <c r="L262" s="223"/>
      <c r="M262" s="223"/>
      <c r="N262" s="223"/>
      <c r="O262" s="223"/>
      <c r="P262" s="223"/>
      <c r="Q262" s="223"/>
      <c r="R262" s="890"/>
      <c r="S262" s="890"/>
      <c r="T262" s="223"/>
      <c r="U262" s="223"/>
      <c r="V262" s="223"/>
      <c r="W262" s="223"/>
      <c r="X262" s="223"/>
      <c r="Y262" s="223"/>
      <c r="Z262" s="223"/>
      <c r="AA262" s="223"/>
      <c r="AB262" s="223"/>
      <c r="AC262" s="223"/>
    </row>
    <row r="263" spans="1:29" x14ac:dyDescent="0.25">
      <c r="A263" s="223"/>
      <c r="B263" s="223"/>
      <c r="C263" s="223"/>
      <c r="D263" s="223"/>
      <c r="E263" s="223"/>
      <c r="F263" s="276"/>
      <c r="G263" s="226"/>
      <c r="H263" s="223"/>
      <c r="I263" s="223"/>
      <c r="J263" s="223"/>
      <c r="K263" s="223"/>
      <c r="L263" s="223"/>
      <c r="M263" s="223"/>
      <c r="N263" s="223"/>
      <c r="O263" s="223"/>
      <c r="P263" s="223"/>
      <c r="Q263" s="223"/>
      <c r="R263" s="890"/>
      <c r="S263" s="890"/>
      <c r="T263" s="223"/>
      <c r="U263" s="223"/>
      <c r="V263" s="223"/>
      <c r="W263" s="223"/>
      <c r="X263" s="223"/>
      <c r="Y263" s="223"/>
      <c r="Z263" s="223"/>
      <c r="AA263" s="223"/>
      <c r="AB263" s="223"/>
      <c r="AC263" s="223"/>
    </row>
    <row r="264" spans="1:29" x14ac:dyDescent="0.25">
      <c r="A264" s="223"/>
      <c r="B264" s="223"/>
      <c r="C264" s="223"/>
      <c r="D264" s="223"/>
      <c r="E264" s="223"/>
      <c r="F264" s="276"/>
      <c r="G264" s="226"/>
      <c r="H264" s="223"/>
      <c r="I264" s="223"/>
      <c r="J264" s="223"/>
      <c r="K264" s="223"/>
      <c r="L264" s="223"/>
      <c r="M264" s="223"/>
      <c r="N264" s="223"/>
      <c r="O264" s="223"/>
      <c r="P264" s="223"/>
      <c r="Q264" s="223"/>
      <c r="R264" s="890"/>
      <c r="S264" s="890"/>
      <c r="T264" s="223"/>
      <c r="U264" s="223"/>
      <c r="V264" s="223"/>
      <c r="W264" s="223"/>
      <c r="X264" s="223"/>
      <c r="Y264" s="223"/>
      <c r="Z264" s="223"/>
      <c r="AA264" s="223"/>
      <c r="AB264" s="223"/>
      <c r="AC264" s="223"/>
    </row>
    <row r="265" spans="1:29" x14ac:dyDescent="0.25">
      <c r="A265" s="223"/>
      <c r="B265" s="223"/>
      <c r="C265" s="223"/>
      <c r="D265" s="223"/>
      <c r="E265" s="223"/>
      <c r="F265" s="276"/>
      <c r="G265" s="226"/>
      <c r="H265" s="223"/>
      <c r="I265" s="223"/>
      <c r="J265" s="223"/>
      <c r="K265" s="223"/>
      <c r="L265" s="223"/>
      <c r="M265" s="223"/>
      <c r="N265" s="223"/>
      <c r="O265" s="223"/>
      <c r="P265" s="223"/>
      <c r="Q265" s="223"/>
      <c r="R265" s="890"/>
      <c r="S265" s="890"/>
      <c r="T265" s="223"/>
      <c r="U265" s="223"/>
      <c r="V265" s="223"/>
      <c r="W265" s="223"/>
      <c r="X265" s="223"/>
      <c r="Y265" s="223"/>
      <c r="Z265" s="223"/>
      <c r="AA265" s="223"/>
      <c r="AB265" s="223"/>
      <c r="AC265" s="223"/>
    </row>
    <row r="266" spans="1:29" x14ac:dyDescent="0.25">
      <c r="A266" s="223"/>
      <c r="B266" s="223"/>
      <c r="C266" s="223"/>
      <c r="D266" s="223"/>
      <c r="E266" s="223"/>
      <c r="F266" s="276"/>
      <c r="G266" s="226"/>
      <c r="H266" s="223"/>
      <c r="I266" s="223"/>
      <c r="J266" s="223"/>
      <c r="K266" s="223"/>
      <c r="L266" s="223"/>
      <c r="M266" s="223"/>
      <c r="N266" s="223"/>
      <c r="O266" s="223"/>
      <c r="P266" s="223"/>
      <c r="Q266" s="223"/>
      <c r="R266" s="890"/>
      <c r="S266" s="890"/>
      <c r="T266" s="223"/>
      <c r="U266" s="223"/>
      <c r="V266" s="223"/>
      <c r="W266" s="223"/>
      <c r="X266" s="223"/>
      <c r="Y266" s="223"/>
      <c r="Z266" s="223"/>
      <c r="AA266" s="223"/>
      <c r="AB266" s="223"/>
      <c r="AC266" s="223"/>
    </row>
    <row r="267" spans="1:29" x14ac:dyDescent="0.25">
      <c r="A267" s="223"/>
      <c r="B267" s="223"/>
      <c r="C267" s="223"/>
      <c r="D267" s="223"/>
      <c r="E267" s="223"/>
      <c r="F267" s="276"/>
      <c r="G267" s="226"/>
      <c r="H267" s="223"/>
      <c r="I267" s="223"/>
      <c r="J267" s="223"/>
      <c r="K267" s="223"/>
      <c r="L267" s="223"/>
      <c r="M267" s="223"/>
      <c r="N267" s="223"/>
      <c r="O267" s="223"/>
      <c r="P267" s="223"/>
      <c r="Q267" s="223"/>
      <c r="R267" s="890"/>
      <c r="S267" s="890"/>
      <c r="T267" s="223"/>
      <c r="U267" s="223"/>
      <c r="V267" s="223"/>
      <c r="W267" s="223"/>
      <c r="X267" s="223"/>
      <c r="Y267" s="223"/>
      <c r="Z267" s="223"/>
      <c r="AA267" s="223"/>
      <c r="AB267" s="223"/>
      <c r="AC267" s="223"/>
    </row>
    <row r="268" spans="1:29" x14ac:dyDescent="0.25">
      <c r="A268" s="223"/>
      <c r="B268" s="223"/>
      <c r="C268" s="223"/>
      <c r="D268" s="223"/>
      <c r="E268" s="223"/>
      <c r="F268" s="276"/>
      <c r="G268" s="226"/>
      <c r="H268" s="223"/>
      <c r="I268" s="223"/>
      <c r="J268" s="223"/>
      <c r="K268" s="223"/>
      <c r="L268" s="223"/>
      <c r="M268" s="223"/>
      <c r="N268" s="223"/>
      <c r="O268" s="223"/>
      <c r="P268" s="223"/>
      <c r="Q268" s="223"/>
      <c r="R268" s="890"/>
      <c r="S268" s="890"/>
      <c r="T268" s="223"/>
      <c r="U268" s="223"/>
      <c r="V268" s="223"/>
      <c r="W268" s="223"/>
      <c r="X268" s="223"/>
      <c r="Y268" s="223"/>
      <c r="Z268" s="223"/>
      <c r="AA268" s="223"/>
      <c r="AB268" s="223"/>
      <c r="AC268" s="223"/>
    </row>
    <row r="269" spans="1:29" x14ac:dyDescent="0.25">
      <c r="A269" s="223"/>
      <c r="B269" s="223"/>
      <c r="C269" s="223"/>
      <c r="D269" s="223"/>
      <c r="E269" s="223"/>
      <c r="F269" s="276"/>
      <c r="G269" s="226"/>
      <c r="H269" s="223"/>
      <c r="I269" s="223"/>
      <c r="J269" s="223"/>
      <c r="K269" s="223"/>
      <c r="L269" s="223"/>
      <c r="M269" s="223"/>
      <c r="N269" s="223"/>
      <c r="O269" s="223"/>
      <c r="P269" s="223"/>
      <c r="Q269" s="223"/>
      <c r="R269" s="890"/>
      <c r="S269" s="890"/>
      <c r="T269" s="223"/>
      <c r="U269" s="223"/>
      <c r="V269" s="223"/>
      <c r="W269" s="223"/>
      <c r="X269" s="223"/>
      <c r="Y269" s="223"/>
      <c r="Z269" s="223"/>
      <c r="AA269" s="223"/>
      <c r="AB269" s="223"/>
      <c r="AC269" s="223"/>
    </row>
    <row r="270" spans="1:29" x14ac:dyDescent="0.25">
      <c r="A270" s="223"/>
      <c r="B270" s="223"/>
      <c r="C270" s="223"/>
      <c r="D270" s="223"/>
      <c r="E270" s="223"/>
      <c r="F270" s="276"/>
      <c r="G270" s="226"/>
      <c r="H270" s="223"/>
      <c r="I270" s="223"/>
      <c r="J270" s="223"/>
      <c r="K270" s="223"/>
      <c r="L270" s="223"/>
      <c r="M270" s="223"/>
      <c r="N270" s="223"/>
      <c r="O270" s="223"/>
      <c r="P270" s="223"/>
      <c r="Q270" s="223"/>
      <c r="R270" s="890"/>
      <c r="S270" s="890"/>
      <c r="T270" s="223"/>
      <c r="U270" s="223"/>
      <c r="V270" s="223"/>
      <c r="W270" s="223"/>
      <c r="X270" s="223"/>
      <c r="Y270" s="223"/>
      <c r="Z270" s="223"/>
      <c r="AA270" s="223"/>
      <c r="AB270" s="223"/>
      <c r="AC270" s="223"/>
    </row>
    <row r="271" spans="1:29" x14ac:dyDescent="0.25">
      <c r="A271" s="223"/>
      <c r="B271" s="223"/>
      <c r="C271" s="223"/>
      <c r="D271" s="223"/>
      <c r="E271" s="223"/>
      <c r="F271" s="276"/>
      <c r="G271" s="226"/>
      <c r="H271" s="223"/>
      <c r="I271" s="223"/>
      <c r="J271" s="223"/>
      <c r="K271" s="223"/>
      <c r="L271" s="223"/>
      <c r="M271" s="223"/>
      <c r="N271" s="223"/>
      <c r="O271" s="223"/>
      <c r="P271" s="223"/>
      <c r="Q271" s="223"/>
      <c r="R271" s="890"/>
      <c r="S271" s="890"/>
      <c r="T271" s="223"/>
      <c r="U271" s="223"/>
      <c r="V271" s="223"/>
      <c r="W271" s="223"/>
      <c r="X271" s="223"/>
      <c r="Y271" s="223"/>
      <c r="Z271" s="223"/>
      <c r="AA271" s="223"/>
      <c r="AB271" s="223"/>
      <c r="AC271" s="223"/>
    </row>
    <row r="272" spans="1:29" x14ac:dyDescent="0.25">
      <c r="A272" s="223"/>
      <c r="B272" s="223"/>
      <c r="C272" s="223"/>
      <c r="D272" s="223"/>
      <c r="E272" s="223"/>
      <c r="F272" s="276"/>
      <c r="G272" s="226"/>
      <c r="H272" s="223"/>
      <c r="I272" s="223"/>
      <c r="J272" s="223"/>
      <c r="K272" s="223"/>
      <c r="L272" s="223"/>
      <c r="M272" s="223"/>
      <c r="N272" s="223"/>
      <c r="O272" s="223"/>
      <c r="P272" s="223"/>
      <c r="Q272" s="223"/>
      <c r="R272" s="890"/>
      <c r="S272" s="890"/>
      <c r="T272" s="223"/>
      <c r="U272" s="223"/>
      <c r="V272" s="223"/>
      <c r="W272" s="223"/>
      <c r="X272" s="223"/>
      <c r="Y272" s="223"/>
      <c r="Z272" s="223"/>
      <c r="AA272" s="223"/>
      <c r="AB272" s="223"/>
      <c r="AC272" s="223"/>
    </row>
    <row r="273" spans="1:29" x14ac:dyDescent="0.25">
      <c r="A273" s="223"/>
      <c r="B273" s="223"/>
      <c r="C273" s="223"/>
      <c r="D273" s="223"/>
      <c r="E273" s="223"/>
      <c r="F273" s="276"/>
      <c r="G273" s="226"/>
      <c r="H273" s="223"/>
      <c r="I273" s="223"/>
      <c r="J273" s="223"/>
      <c r="K273" s="223"/>
      <c r="L273" s="223"/>
      <c r="M273" s="223"/>
      <c r="N273" s="223"/>
      <c r="O273" s="223"/>
      <c r="P273" s="223"/>
      <c r="Q273" s="223"/>
      <c r="R273" s="890"/>
      <c r="S273" s="890"/>
      <c r="T273" s="223"/>
      <c r="U273" s="223"/>
      <c r="V273" s="223"/>
      <c r="W273" s="223"/>
      <c r="X273" s="223"/>
      <c r="Y273" s="223"/>
      <c r="Z273" s="223"/>
      <c r="AA273" s="223"/>
      <c r="AB273" s="223"/>
      <c r="AC273" s="223"/>
    </row>
    <row r="274" spans="1:29" x14ac:dyDescent="0.25">
      <c r="A274" s="223"/>
      <c r="B274" s="223"/>
      <c r="C274" s="223"/>
      <c r="D274" s="223"/>
      <c r="E274" s="223"/>
      <c r="F274" s="276"/>
      <c r="G274" s="226"/>
      <c r="H274" s="223"/>
      <c r="I274" s="223"/>
      <c r="J274" s="223"/>
      <c r="K274" s="223"/>
      <c r="L274" s="223"/>
      <c r="M274" s="223"/>
      <c r="N274" s="223"/>
      <c r="O274" s="223"/>
      <c r="P274" s="223"/>
      <c r="Q274" s="223"/>
      <c r="R274" s="890"/>
      <c r="S274" s="890"/>
      <c r="T274" s="223"/>
      <c r="U274" s="223"/>
      <c r="V274" s="223"/>
      <c r="W274" s="223"/>
      <c r="X274" s="223"/>
      <c r="Y274" s="223"/>
      <c r="Z274" s="223"/>
      <c r="AA274" s="223"/>
      <c r="AB274" s="223"/>
      <c r="AC274" s="223"/>
    </row>
    <row r="275" spans="1:29" x14ac:dyDescent="0.25">
      <c r="A275" s="223"/>
      <c r="B275" s="223"/>
      <c r="C275" s="223"/>
      <c r="D275" s="223"/>
      <c r="E275" s="223"/>
      <c r="F275" s="276"/>
      <c r="G275" s="226"/>
      <c r="H275" s="223"/>
      <c r="I275" s="223"/>
      <c r="J275" s="223"/>
      <c r="K275" s="223"/>
      <c r="L275" s="223"/>
      <c r="M275" s="223"/>
      <c r="N275" s="223"/>
      <c r="O275" s="223"/>
      <c r="P275" s="223"/>
      <c r="Q275" s="223"/>
      <c r="R275" s="890"/>
      <c r="S275" s="890"/>
      <c r="T275" s="223"/>
      <c r="U275" s="223"/>
      <c r="V275" s="223"/>
      <c r="W275" s="223"/>
      <c r="X275" s="223"/>
      <c r="Y275" s="223"/>
      <c r="Z275" s="223"/>
      <c r="AA275" s="223"/>
      <c r="AB275" s="223"/>
      <c r="AC275" s="223"/>
    </row>
    <row r="276" spans="1:29" x14ac:dyDescent="0.25">
      <c r="A276" s="223"/>
      <c r="B276" s="223"/>
      <c r="C276" s="223"/>
      <c r="D276" s="223"/>
      <c r="E276" s="223"/>
      <c r="F276" s="276"/>
      <c r="G276" s="226"/>
      <c r="H276" s="223"/>
      <c r="I276" s="223"/>
      <c r="J276" s="223"/>
      <c r="K276" s="223"/>
      <c r="L276" s="223"/>
      <c r="M276" s="223"/>
      <c r="N276" s="223"/>
      <c r="O276" s="223"/>
      <c r="P276" s="223"/>
      <c r="Q276" s="223"/>
      <c r="R276" s="890"/>
      <c r="S276" s="890"/>
      <c r="T276" s="223"/>
      <c r="U276" s="223"/>
      <c r="V276" s="223"/>
      <c r="W276" s="223"/>
      <c r="X276" s="223"/>
      <c r="Y276" s="223"/>
      <c r="Z276" s="223"/>
      <c r="AA276" s="223"/>
      <c r="AB276" s="223"/>
      <c r="AC276" s="223"/>
    </row>
    <row r="277" spans="1:29" x14ac:dyDescent="0.25">
      <c r="A277" s="223"/>
      <c r="B277" s="223"/>
      <c r="C277" s="223"/>
      <c r="D277" s="223"/>
      <c r="E277" s="223"/>
      <c r="F277" s="276"/>
      <c r="G277" s="226"/>
      <c r="H277" s="223"/>
      <c r="I277" s="223"/>
      <c r="J277" s="223"/>
      <c r="K277" s="223"/>
      <c r="L277" s="223"/>
      <c r="M277" s="223"/>
      <c r="N277" s="223"/>
      <c r="O277" s="223"/>
      <c r="P277" s="223"/>
      <c r="Q277" s="223"/>
      <c r="R277" s="890"/>
      <c r="S277" s="890"/>
      <c r="T277" s="223"/>
      <c r="U277" s="223"/>
      <c r="V277" s="223"/>
      <c r="W277" s="223"/>
      <c r="X277" s="223"/>
      <c r="Y277" s="223"/>
      <c r="Z277" s="223"/>
      <c r="AA277" s="223"/>
      <c r="AB277" s="223"/>
      <c r="AC277" s="223"/>
    </row>
    <row r="278" spans="1:29" x14ac:dyDescent="0.25">
      <c r="A278" s="223"/>
      <c r="B278" s="223"/>
      <c r="C278" s="223"/>
      <c r="D278" s="223"/>
      <c r="E278" s="223"/>
      <c r="F278" s="276"/>
      <c r="G278" s="226"/>
      <c r="H278" s="223"/>
      <c r="I278" s="223"/>
      <c r="J278" s="223"/>
      <c r="K278" s="223"/>
      <c r="L278" s="223"/>
      <c r="M278" s="223"/>
      <c r="N278" s="223"/>
      <c r="O278" s="223"/>
      <c r="P278" s="223"/>
      <c r="Q278" s="223"/>
      <c r="R278" s="890"/>
      <c r="S278" s="890"/>
      <c r="T278" s="223"/>
      <c r="U278" s="223"/>
      <c r="V278" s="223"/>
      <c r="W278" s="223"/>
      <c r="X278" s="223"/>
      <c r="Y278" s="223"/>
      <c r="Z278" s="223"/>
      <c r="AA278" s="223"/>
      <c r="AB278" s="223"/>
      <c r="AC278" s="223"/>
    </row>
    <row r="279" spans="1:29" x14ac:dyDescent="0.25">
      <c r="A279" s="223"/>
      <c r="B279" s="223"/>
      <c r="C279" s="223"/>
      <c r="D279" s="223"/>
      <c r="E279" s="223"/>
      <c r="F279" s="276"/>
      <c r="G279" s="226"/>
      <c r="H279" s="223"/>
      <c r="I279" s="223"/>
      <c r="J279" s="223"/>
      <c r="K279" s="223"/>
      <c r="L279" s="223"/>
      <c r="M279" s="223"/>
      <c r="N279" s="223"/>
      <c r="O279" s="223"/>
      <c r="P279" s="223"/>
      <c r="Q279" s="223"/>
      <c r="R279" s="890"/>
      <c r="S279" s="890"/>
      <c r="T279" s="223"/>
      <c r="U279" s="223"/>
      <c r="V279" s="223"/>
      <c r="W279" s="223"/>
      <c r="X279" s="223"/>
      <c r="Y279" s="223"/>
      <c r="Z279" s="223"/>
      <c r="AA279" s="223"/>
      <c r="AB279" s="223"/>
      <c r="AC279" s="223"/>
    </row>
    <row r="280" spans="1:29" x14ac:dyDescent="0.25">
      <c r="A280" s="223"/>
      <c r="B280" s="223"/>
      <c r="C280" s="223"/>
      <c r="D280" s="223"/>
      <c r="E280" s="223"/>
      <c r="F280" s="276"/>
      <c r="G280" s="226"/>
      <c r="H280" s="223"/>
      <c r="I280" s="223"/>
      <c r="J280" s="223"/>
      <c r="K280" s="223"/>
      <c r="L280" s="223"/>
      <c r="M280" s="223"/>
      <c r="N280" s="223"/>
      <c r="O280" s="223"/>
      <c r="P280" s="223"/>
      <c r="Q280" s="223"/>
      <c r="R280" s="890"/>
      <c r="S280" s="890"/>
      <c r="T280" s="223"/>
      <c r="U280" s="223"/>
      <c r="V280" s="223"/>
      <c r="W280" s="223"/>
      <c r="X280" s="223"/>
      <c r="Y280" s="223"/>
      <c r="Z280" s="223"/>
      <c r="AA280" s="223"/>
      <c r="AB280" s="223"/>
      <c r="AC280" s="223"/>
    </row>
    <row r="281" spans="1:29" x14ac:dyDescent="0.25">
      <c r="A281" s="223"/>
      <c r="B281" s="223"/>
      <c r="C281" s="223"/>
      <c r="D281" s="223"/>
      <c r="E281" s="223"/>
      <c r="F281" s="276"/>
      <c r="G281" s="226"/>
      <c r="H281" s="223"/>
      <c r="I281" s="223"/>
      <c r="J281" s="223"/>
      <c r="K281" s="223"/>
      <c r="L281" s="223"/>
      <c r="M281" s="223"/>
      <c r="N281" s="223"/>
      <c r="O281" s="223"/>
      <c r="P281" s="223"/>
      <c r="Q281" s="223"/>
      <c r="R281" s="890"/>
      <c r="S281" s="890"/>
      <c r="T281" s="223"/>
      <c r="U281" s="223"/>
      <c r="V281" s="223"/>
      <c r="W281" s="223"/>
      <c r="X281" s="223"/>
      <c r="Y281" s="223"/>
      <c r="Z281" s="223"/>
      <c r="AA281" s="223"/>
      <c r="AB281" s="223"/>
      <c r="AC281" s="223"/>
    </row>
    <row r="282" spans="1:29" x14ac:dyDescent="0.25">
      <c r="A282" s="223"/>
      <c r="B282" s="223"/>
      <c r="C282" s="223"/>
      <c r="D282" s="223"/>
      <c r="E282" s="223"/>
      <c r="F282" s="276"/>
      <c r="G282" s="226"/>
      <c r="H282" s="223"/>
      <c r="I282" s="223"/>
      <c r="J282" s="223"/>
      <c r="K282" s="223"/>
      <c r="L282" s="223"/>
      <c r="M282" s="223"/>
      <c r="N282" s="223"/>
      <c r="O282" s="223"/>
      <c r="P282" s="223"/>
      <c r="Q282" s="223"/>
      <c r="R282" s="890"/>
      <c r="S282" s="890"/>
      <c r="T282" s="223"/>
      <c r="U282" s="223"/>
      <c r="V282" s="223"/>
      <c r="W282" s="223"/>
      <c r="X282" s="223"/>
      <c r="Y282" s="223"/>
      <c r="Z282" s="223"/>
      <c r="AA282" s="223"/>
      <c r="AB282" s="223"/>
      <c r="AC282" s="223"/>
    </row>
    <row r="283" spans="1:29" x14ac:dyDescent="0.25">
      <c r="A283" s="223"/>
      <c r="B283" s="223"/>
      <c r="C283" s="223"/>
      <c r="D283" s="223"/>
      <c r="E283" s="223"/>
      <c r="F283" s="276"/>
      <c r="G283" s="226"/>
      <c r="H283" s="223"/>
      <c r="I283" s="223"/>
      <c r="J283" s="223"/>
      <c r="K283" s="223"/>
      <c r="L283" s="223"/>
      <c r="M283" s="223"/>
      <c r="N283" s="223"/>
      <c r="O283" s="223"/>
      <c r="P283" s="223"/>
      <c r="Q283" s="223"/>
      <c r="R283" s="890"/>
      <c r="S283" s="890"/>
      <c r="T283" s="223"/>
      <c r="U283" s="223"/>
      <c r="V283" s="223"/>
      <c r="W283" s="223"/>
      <c r="X283" s="223"/>
      <c r="Y283" s="223"/>
      <c r="Z283" s="223"/>
      <c r="AA283" s="223"/>
      <c r="AB283" s="223"/>
      <c r="AC283" s="223"/>
    </row>
    <row r="284" spans="1:29" x14ac:dyDescent="0.25">
      <c r="A284" s="223"/>
      <c r="B284" s="223"/>
      <c r="C284" s="223"/>
      <c r="D284" s="223"/>
      <c r="E284" s="223"/>
      <c r="F284" s="276"/>
      <c r="G284" s="226"/>
      <c r="H284" s="223"/>
      <c r="I284" s="223"/>
      <c r="J284" s="223"/>
      <c r="K284" s="223"/>
      <c r="L284" s="223"/>
      <c r="M284" s="223"/>
      <c r="N284" s="223"/>
      <c r="O284" s="223"/>
      <c r="P284" s="223"/>
      <c r="Q284" s="223"/>
      <c r="R284" s="890"/>
      <c r="S284" s="890"/>
      <c r="T284" s="223"/>
      <c r="U284" s="223"/>
      <c r="V284" s="223"/>
      <c r="W284" s="223"/>
      <c r="X284" s="223"/>
      <c r="Y284" s="223"/>
      <c r="Z284" s="223"/>
      <c r="AA284" s="223"/>
      <c r="AB284" s="223"/>
      <c r="AC284" s="223"/>
    </row>
    <row r="285" spans="1:29" x14ac:dyDescent="0.25">
      <c r="A285" s="223"/>
      <c r="B285" s="223"/>
      <c r="C285" s="223"/>
      <c r="D285" s="223"/>
      <c r="E285" s="223"/>
      <c r="F285" s="276"/>
      <c r="G285" s="226"/>
      <c r="H285" s="223"/>
      <c r="I285" s="223"/>
      <c r="J285" s="223"/>
      <c r="K285" s="223"/>
      <c r="L285" s="223"/>
      <c r="M285" s="223"/>
      <c r="N285" s="223"/>
      <c r="O285" s="223"/>
      <c r="P285" s="223"/>
      <c r="Q285" s="223"/>
      <c r="R285" s="890"/>
      <c r="S285" s="890"/>
      <c r="T285" s="223"/>
      <c r="U285" s="223"/>
      <c r="V285" s="223"/>
      <c r="W285" s="223"/>
      <c r="X285" s="223"/>
      <c r="Y285" s="223"/>
      <c r="Z285" s="223"/>
      <c r="AA285" s="223"/>
      <c r="AB285" s="223"/>
      <c r="AC285" s="223"/>
    </row>
    <row r="286" spans="1:29" x14ac:dyDescent="0.25">
      <c r="A286" s="223"/>
      <c r="B286" s="223"/>
      <c r="C286" s="223"/>
      <c r="D286" s="223"/>
      <c r="E286" s="223"/>
      <c r="F286" s="276"/>
      <c r="G286" s="226"/>
      <c r="H286" s="223"/>
      <c r="I286" s="223"/>
      <c r="J286" s="223"/>
      <c r="K286" s="223"/>
      <c r="L286" s="223"/>
      <c r="M286" s="223"/>
      <c r="N286" s="223"/>
      <c r="O286" s="223"/>
      <c r="P286" s="223"/>
      <c r="Q286" s="223"/>
      <c r="R286" s="890"/>
      <c r="S286" s="890"/>
      <c r="T286" s="223"/>
      <c r="U286" s="223"/>
      <c r="V286" s="223"/>
      <c r="W286" s="223"/>
      <c r="X286" s="223"/>
      <c r="Y286" s="223"/>
      <c r="Z286" s="223"/>
      <c r="AA286" s="223"/>
      <c r="AB286" s="223"/>
      <c r="AC286" s="223"/>
    </row>
    <row r="287" spans="1:29" x14ac:dyDescent="0.25">
      <c r="A287" s="223"/>
      <c r="B287" s="223"/>
      <c r="C287" s="223"/>
      <c r="D287" s="223"/>
      <c r="E287" s="223"/>
      <c r="F287" s="276"/>
      <c r="G287" s="226"/>
      <c r="H287" s="223"/>
      <c r="I287" s="223"/>
      <c r="J287" s="223"/>
      <c r="K287" s="223"/>
      <c r="L287" s="223"/>
      <c r="M287" s="223"/>
      <c r="N287" s="223"/>
      <c r="O287" s="223"/>
      <c r="P287" s="223"/>
      <c r="Q287" s="223"/>
      <c r="R287" s="890"/>
      <c r="S287" s="890"/>
      <c r="T287" s="223"/>
      <c r="U287" s="223"/>
      <c r="V287" s="223"/>
      <c r="W287" s="223"/>
      <c r="X287" s="223"/>
      <c r="Y287" s="223"/>
      <c r="Z287" s="223"/>
      <c r="AA287" s="223"/>
      <c r="AB287" s="223"/>
      <c r="AC287" s="223"/>
    </row>
    <row r="288" spans="1:29" x14ac:dyDescent="0.25">
      <c r="A288" s="223"/>
      <c r="B288" s="223"/>
      <c r="C288" s="223"/>
      <c r="D288" s="223"/>
      <c r="E288" s="223"/>
      <c r="F288" s="276"/>
      <c r="G288" s="226"/>
      <c r="H288" s="223"/>
      <c r="I288" s="223"/>
      <c r="J288" s="223"/>
      <c r="K288" s="223"/>
      <c r="L288" s="223"/>
      <c r="M288" s="223"/>
      <c r="N288" s="223"/>
      <c r="O288" s="223"/>
      <c r="P288" s="223"/>
      <c r="Q288" s="223"/>
      <c r="R288" s="890"/>
      <c r="S288" s="890"/>
      <c r="T288" s="223"/>
      <c r="U288" s="223"/>
      <c r="V288" s="223"/>
      <c r="W288" s="223"/>
      <c r="X288" s="223"/>
      <c r="Y288" s="223"/>
      <c r="Z288" s="223"/>
      <c r="AA288" s="223"/>
      <c r="AB288" s="223"/>
      <c r="AC288" s="223"/>
    </row>
    <row r="289" spans="1:29" x14ac:dyDescent="0.25">
      <c r="A289" s="223"/>
      <c r="B289" s="223"/>
      <c r="C289" s="223"/>
      <c r="D289" s="223"/>
      <c r="E289" s="223"/>
      <c r="F289" s="276"/>
      <c r="G289" s="226"/>
      <c r="H289" s="223"/>
      <c r="I289" s="223"/>
      <c r="J289" s="223"/>
      <c r="K289" s="223"/>
      <c r="L289" s="223"/>
      <c r="M289" s="223"/>
      <c r="N289" s="223"/>
      <c r="O289" s="223"/>
      <c r="P289" s="223"/>
      <c r="Q289" s="223"/>
      <c r="R289" s="890"/>
      <c r="S289" s="890"/>
      <c r="T289" s="223"/>
      <c r="U289" s="223"/>
      <c r="V289" s="223"/>
      <c r="W289" s="223"/>
      <c r="X289" s="223"/>
      <c r="Y289" s="223"/>
      <c r="Z289" s="223"/>
      <c r="AA289" s="223"/>
      <c r="AB289" s="223"/>
      <c r="AC289" s="223"/>
    </row>
    <row r="290" spans="1:29" x14ac:dyDescent="0.25">
      <c r="A290" s="223"/>
      <c r="B290" s="223"/>
      <c r="C290" s="223"/>
      <c r="D290" s="223"/>
      <c r="E290" s="223"/>
      <c r="F290" s="276"/>
      <c r="G290" s="226"/>
      <c r="H290" s="223"/>
      <c r="I290" s="223"/>
      <c r="J290" s="223"/>
      <c r="K290" s="223"/>
      <c r="L290" s="223"/>
      <c r="M290" s="223"/>
      <c r="N290" s="223"/>
      <c r="O290" s="223"/>
      <c r="P290" s="223"/>
      <c r="Q290" s="223"/>
      <c r="R290" s="890"/>
      <c r="S290" s="890"/>
      <c r="T290" s="223"/>
      <c r="U290" s="223"/>
      <c r="V290" s="223"/>
      <c r="W290" s="223"/>
      <c r="X290" s="223"/>
      <c r="Y290" s="223"/>
      <c r="Z290" s="223"/>
      <c r="AA290" s="223"/>
      <c r="AB290" s="223"/>
      <c r="AC290" s="223"/>
    </row>
    <row r="291" spans="1:29" x14ac:dyDescent="0.25">
      <c r="A291" s="223"/>
      <c r="B291" s="223"/>
      <c r="C291" s="223"/>
      <c r="D291" s="223"/>
      <c r="E291" s="223"/>
      <c r="F291" s="276"/>
      <c r="G291" s="226"/>
      <c r="H291" s="223"/>
      <c r="I291" s="223"/>
      <c r="J291" s="223"/>
      <c r="K291" s="223"/>
      <c r="L291" s="223"/>
      <c r="M291" s="223"/>
      <c r="N291" s="223"/>
      <c r="O291" s="223"/>
      <c r="P291" s="223"/>
      <c r="Q291" s="223"/>
      <c r="R291" s="890"/>
      <c r="S291" s="890"/>
      <c r="T291" s="223"/>
      <c r="U291" s="223"/>
      <c r="V291" s="223"/>
      <c r="W291" s="223"/>
      <c r="X291" s="223"/>
      <c r="Y291" s="223"/>
      <c r="Z291" s="223"/>
      <c r="AA291" s="223"/>
      <c r="AB291" s="223"/>
      <c r="AC291" s="223"/>
    </row>
    <row r="292" spans="1:29" x14ac:dyDescent="0.25">
      <c r="A292" s="223"/>
      <c r="B292" s="223"/>
      <c r="C292" s="223"/>
      <c r="D292" s="223"/>
      <c r="E292" s="223"/>
      <c r="F292" s="276"/>
      <c r="G292" s="226"/>
      <c r="H292" s="223"/>
      <c r="I292" s="223"/>
      <c r="J292" s="223"/>
      <c r="K292" s="223"/>
      <c r="L292" s="223"/>
      <c r="M292" s="223"/>
      <c r="N292" s="223"/>
      <c r="O292" s="223"/>
      <c r="P292" s="223"/>
      <c r="Q292" s="223"/>
      <c r="R292" s="890"/>
      <c r="S292" s="890"/>
      <c r="T292" s="223"/>
      <c r="U292" s="223"/>
      <c r="V292" s="223"/>
      <c r="W292" s="223"/>
      <c r="X292" s="223"/>
      <c r="Y292" s="223"/>
      <c r="Z292" s="223"/>
      <c r="AA292" s="223"/>
      <c r="AB292" s="223"/>
      <c r="AC292" s="223"/>
    </row>
    <row r="293" spans="1:29" x14ac:dyDescent="0.25">
      <c r="A293" s="223"/>
      <c r="B293" s="223"/>
      <c r="C293" s="223"/>
      <c r="D293" s="223"/>
      <c r="E293" s="223"/>
      <c r="F293" s="276"/>
      <c r="G293" s="226"/>
      <c r="H293" s="223"/>
      <c r="I293" s="223"/>
      <c r="J293" s="223"/>
      <c r="K293" s="223"/>
      <c r="L293" s="223"/>
      <c r="M293" s="223"/>
      <c r="N293" s="223"/>
      <c r="O293" s="223"/>
      <c r="P293" s="223"/>
      <c r="Q293" s="223"/>
      <c r="R293" s="890"/>
      <c r="S293" s="890"/>
      <c r="T293" s="223"/>
      <c r="U293" s="223"/>
      <c r="V293" s="223"/>
      <c r="W293" s="223"/>
      <c r="X293" s="223"/>
      <c r="Y293" s="223"/>
      <c r="Z293" s="223"/>
      <c r="AA293" s="223"/>
      <c r="AB293" s="223"/>
      <c r="AC293" s="223"/>
    </row>
    <row r="294" spans="1:29" x14ac:dyDescent="0.25">
      <c r="A294" s="223"/>
      <c r="B294" s="223"/>
      <c r="C294" s="223"/>
      <c r="D294" s="223"/>
      <c r="E294" s="223"/>
      <c r="F294" s="276"/>
      <c r="G294" s="226"/>
      <c r="H294" s="223"/>
      <c r="I294" s="223"/>
      <c r="J294" s="223"/>
      <c r="K294" s="223"/>
      <c r="L294" s="223"/>
      <c r="M294" s="223"/>
      <c r="N294" s="223"/>
      <c r="O294" s="223"/>
      <c r="P294" s="223"/>
      <c r="Q294" s="223"/>
      <c r="R294" s="890"/>
      <c r="S294" s="890"/>
      <c r="T294" s="223"/>
      <c r="U294" s="223"/>
      <c r="V294" s="223"/>
      <c r="W294" s="223"/>
      <c r="X294" s="223"/>
      <c r="Y294" s="223"/>
      <c r="Z294" s="223"/>
      <c r="AA294" s="223"/>
      <c r="AB294" s="223"/>
      <c r="AC294" s="223"/>
    </row>
    <row r="295" spans="1:29" x14ac:dyDescent="0.25">
      <c r="A295" s="223"/>
      <c r="B295" s="223"/>
      <c r="C295" s="223"/>
      <c r="D295" s="223"/>
      <c r="E295" s="223"/>
      <c r="F295" s="276"/>
      <c r="G295" s="226"/>
      <c r="H295" s="223"/>
      <c r="I295" s="223"/>
      <c r="J295" s="223"/>
      <c r="K295" s="223"/>
      <c r="L295" s="223"/>
      <c r="M295" s="223"/>
      <c r="N295" s="223"/>
      <c r="O295" s="223"/>
      <c r="P295" s="223"/>
      <c r="Q295" s="223"/>
      <c r="R295" s="890"/>
      <c r="S295" s="890"/>
      <c r="T295" s="223"/>
      <c r="U295" s="223"/>
      <c r="V295" s="223"/>
      <c r="W295" s="223"/>
      <c r="X295" s="223"/>
      <c r="Y295" s="223"/>
      <c r="Z295" s="223"/>
      <c r="AA295" s="223"/>
      <c r="AB295" s="223"/>
      <c r="AC295" s="223"/>
    </row>
    <row r="296" spans="1:29" x14ac:dyDescent="0.25">
      <c r="A296" s="223"/>
      <c r="B296" s="223"/>
      <c r="C296" s="223"/>
      <c r="D296" s="223"/>
      <c r="E296" s="223"/>
      <c r="F296" s="276"/>
      <c r="G296" s="226"/>
      <c r="H296" s="223"/>
      <c r="I296" s="223"/>
      <c r="J296" s="223"/>
      <c r="K296" s="223"/>
      <c r="L296" s="223"/>
      <c r="M296" s="223"/>
      <c r="N296" s="223"/>
      <c r="O296" s="223"/>
      <c r="P296" s="223"/>
      <c r="Q296" s="223"/>
      <c r="R296" s="890"/>
      <c r="S296" s="890"/>
      <c r="T296" s="223"/>
      <c r="U296" s="223"/>
      <c r="V296" s="223"/>
      <c r="W296" s="223"/>
      <c r="X296" s="223"/>
      <c r="Y296" s="223"/>
      <c r="Z296" s="223"/>
      <c r="AA296" s="223"/>
      <c r="AB296" s="223"/>
      <c r="AC296" s="223"/>
    </row>
    <row r="297" spans="1:29" x14ac:dyDescent="0.25">
      <c r="A297" s="223"/>
      <c r="B297" s="223"/>
      <c r="C297" s="223"/>
      <c r="D297" s="223"/>
      <c r="E297" s="223"/>
      <c r="F297" s="276"/>
      <c r="G297" s="226"/>
      <c r="H297" s="223"/>
      <c r="I297" s="223"/>
      <c r="J297" s="223"/>
      <c r="K297" s="223"/>
      <c r="L297" s="223"/>
      <c r="M297" s="223"/>
      <c r="N297" s="223"/>
      <c r="O297" s="223"/>
      <c r="P297" s="223"/>
      <c r="Q297" s="223"/>
      <c r="R297" s="890"/>
      <c r="S297" s="890"/>
      <c r="T297" s="223"/>
      <c r="U297" s="223"/>
      <c r="V297" s="223"/>
      <c r="W297" s="223"/>
      <c r="X297" s="223"/>
      <c r="Y297" s="223"/>
      <c r="Z297" s="223"/>
      <c r="AA297" s="223"/>
      <c r="AB297" s="223"/>
      <c r="AC297" s="223"/>
    </row>
    <row r="298" spans="1:29" x14ac:dyDescent="0.25">
      <c r="A298" s="223"/>
      <c r="B298" s="223"/>
      <c r="C298" s="223"/>
      <c r="D298" s="223"/>
      <c r="E298" s="223"/>
      <c r="F298" s="276"/>
      <c r="G298" s="226"/>
      <c r="H298" s="223"/>
      <c r="I298" s="223"/>
      <c r="J298" s="223"/>
      <c r="K298" s="223"/>
      <c r="L298" s="223"/>
      <c r="M298" s="223"/>
      <c r="N298" s="223"/>
      <c r="O298" s="223"/>
      <c r="P298" s="223"/>
      <c r="Q298" s="223"/>
      <c r="R298" s="890"/>
      <c r="S298" s="890"/>
      <c r="T298" s="223"/>
      <c r="U298" s="223"/>
      <c r="V298" s="223"/>
      <c r="W298" s="223"/>
      <c r="X298" s="223"/>
      <c r="Y298" s="223"/>
      <c r="Z298" s="223"/>
      <c r="AA298" s="223"/>
      <c r="AB298" s="223"/>
      <c r="AC298" s="223"/>
    </row>
    <row r="299" spans="1:29" x14ac:dyDescent="0.25">
      <c r="A299" s="223"/>
      <c r="B299" s="223"/>
      <c r="C299" s="223"/>
      <c r="D299" s="223"/>
      <c r="E299" s="223"/>
      <c r="F299" s="276"/>
      <c r="G299" s="226"/>
      <c r="H299" s="223"/>
      <c r="I299" s="223"/>
      <c r="J299" s="223"/>
      <c r="K299" s="223"/>
      <c r="L299" s="223"/>
      <c r="M299" s="223"/>
      <c r="N299" s="223"/>
      <c r="O299" s="223"/>
      <c r="P299" s="223"/>
      <c r="Q299" s="223"/>
      <c r="R299" s="890"/>
      <c r="S299" s="890"/>
      <c r="T299" s="223"/>
      <c r="U299" s="223"/>
      <c r="V299" s="223"/>
      <c r="W299" s="223"/>
      <c r="X299" s="223"/>
      <c r="Y299" s="223"/>
      <c r="Z299" s="223"/>
      <c r="AA299" s="223"/>
      <c r="AB299" s="223"/>
      <c r="AC299" s="223"/>
    </row>
    <row r="300" spans="1:29" x14ac:dyDescent="0.25">
      <c r="A300" s="223"/>
      <c r="B300" s="223"/>
      <c r="C300" s="223"/>
      <c r="D300" s="223"/>
      <c r="E300" s="223"/>
      <c r="F300" s="276"/>
      <c r="G300" s="226"/>
      <c r="H300" s="223"/>
      <c r="I300" s="223"/>
      <c r="J300" s="223"/>
      <c r="K300" s="223"/>
      <c r="L300" s="223"/>
      <c r="M300" s="223"/>
      <c r="N300" s="223"/>
      <c r="O300" s="223"/>
      <c r="P300" s="223"/>
      <c r="Q300" s="223"/>
      <c r="R300" s="890"/>
      <c r="S300" s="890"/>
      <c r="T300" s="223"/>
      <c r="U300" s="223"/>
      <c r="V300" s="223"/>
      <c r="W300" s="223"/>
      <c r="X300" s="223"/>
      <c r="Y300" s="223"/>
      <c r="Z300" s="223"/>
      <c r="AA300" s="223"/>
      <c r="AB300" s="223"/>
      <c r="AC300" s="223"/>
    </row>
    <row r="301" spans="1:29" x14ac:dyDescent="0.25">
      <c r="A301" s="223"/>
      <c r="B301" s="223"/>
      <c r="C301" s="223"/>
      <c r="D301" s="223"/>
      <c r="E301" s="223"/>
      <c r="F301" s="276"/>
      <c r="G301" s="226"/>
      <c r="H301" s="223"/>
      <c r="I301" s="223"/>
      <c r="J301" s="223"/>
      <c r="K301" s="223"/>
      <c r="L301" s="223"/>
      <c r="M301" s="223"/>
      <c r="N301" s="223"/>
      <c r="O301" s="223"/>
      <c r="P301" s="223"/>
      <c r="Q301" s="223"/>
      <c r="R301" s="890"/>
      <c r="S301" s="890"/>
      <c r="T301" s="223"/>
      <c r="U301" s="223"/>
      <c r="V301" s="223"/>
      <c r="W301" s="223"/>
      <c r="X301" s="223"/>
      <c r="Y301" s="223"/>
      <c r="Z301" s="223"/>
      <c r="AA301" s="223"/>
      <c r="AB301" s="223"/>
      <c r="AC301" s="223"/>
    </row>
    <row r="302" spans="1:29" x14ac:dyDescent="0.25">
      <c r="A302" s="223"/>
      <c r="B302" s="223"/>
      <c r="C302" s="223"/>
      <c r="D302" s="223"/>
      <c r="E302" s="223"/>
      <c r="F302" s="276"/>
      <c r="G302" s="226"/>
      <c r="H302" s="223"/>
      <c r="I302" s="223"/>
      <c r="J302" s="223"/>
      <c r="K302" s="223"/>
      <c r="L302" s="223"/>
      <c r="M302" s="223"/>
      <c r="N302" s="223"/>
      <c r="O302" s="223"/>
      <c r="P302" s="223"/>
      <c r="Q302" s="223"/>
      <c r="R302" s="890"/>
      <c r="S302" s="890"/>
      <c r="T302" s="223"/>
      <c r="U302" s="223"/>
      <c r="V302" s="223"/>
      <c r="W302" s="223"/>
      <c r="X302" s="223"/>
      <c r="Y302" s="223"/>
      <c r="Z302" s="223"/>
      <c r="AA302" s="223"/>
      <c r="AB302" s="223"/>
      <c r="AC302" s="223"/>
    </row>
    <row r="303" spans="1:29" x14ac:dyDescent="0.25">
      <c r="A303" s="223"/>
      <c r="B303" s="223"/>
      <c r="C303" s="223"/>
      <c r="D303" s="223"/>
      <c r="E303" s="223"/>
      <c r="F303" s="276"/>
      <c r="G303" s="226"/>
      <c r="H303" s="223"/>
      <c r="I303" s="223"/>
      <c r="J303" s="223"/>
      <c r="K303" s="223"/>
      <c r="L303" s="223"/>
      <c r="M303" s="223"/>
      <c r="N303" s="223"/>
      <c r="O303" s="223"/>
      <c r="P303" s="223"/>
      <c r="Q303" s="223"/>
      <c r="R303" s="890"/>
      <c r="S303" s="890"/>
      <c r="T303" s="223"/>
      <c r="U303" s="223"/>
      <c r="V303" s="223"/>
      <c r="W303" s="223"/>
      <c r="X303" s="223"/>
      <c r="Y303" s="223"/>
      <c r="Z303" s="223"/>
      <c r="AA303" s="223"/>
      <c r="AB303" s="223"/>
      <c r="AC303" s="223"/>
    </row>
    <row r="304" spans="1:29" x14ac:dyDescent="0.25">
      <c r="A304" s="223"/>
      <c r="B304" s="223"/>
      <c r="C304" s="223"/>
      <c r="D304" s="223"/>
      <c r="E304" s="223"/>
      <c r="F304" s="276"/>
      <c r="G304" s="226"/>
      <c r="H304" s="223"/>
      <c r="I304" s="223"/>
      <c r="J304" s="223"/>
      <c r="K304" s="223"/>
      <c r="L304" s="223"/>
      <c r="M304" s="223"/>
      <c r="N304" s="223"/>
      <c r="O304" s="223"/>
      <c r="P304" s="223"/>
      <c r="Q304" s="223"/>
      <c r="R304" s="890"/>
      <c r="S304" s="890"/>
      <c r="T304" s="223"/>
      <c r="U304" s="223"/>
      <c r="V304" s="223"/>
      <c r="W304" s="223"/>
      <c r="X304" s="223"/>
      <c r="Y304" s="223"/>
      <c r="Z304" s="223"/>
      <c r="AA304" s="223"/>
      <c r="AB304" s="223"/>
      <c r="AC304" s="223"/>
    </row>
    <row r="305" spans="1:29" x14ac:dyDescent="0.25">
      <c r="A305" s="223"/>
      <c r="B305" s="223"/>
      <c r="C305" s="223"/>
      <c r="D305" s="223"/>
      <c r="E305" s="223"/>
      <c r="F305" s="276"/>
      <c r="G305" s="226"/>
      <c r="H305" s="223"/>
      <c r="I305" s="223"/>
      <c r="J305" s="223"/>
      <c r="K305" s="223"/>
      <c r="L305" s="223"/>
      <c r="M305" s="223"/>
      <c r="N305" s="223"/>
      <c r="O305" s="223"/>
      <c r="P305" s="223"/>
      <c r="Q305" s="223"/>
      <c r="R305" s="890"/>
      <c r="S305" s="890"/>
      <c r="T305" s="223"/>
      <c r="U305" s="223"/>
      <c r="V305" s="223"/>
      <c r="W305" s="223"/>
      <c r="X305" s="223"/>
      <c r="Y305" s="223"/>
      <c r="Z305" s="223"/>
      <c r="AA305" s="223"/>
      <c r="AB305" s="223"/>
      <c r="AC305" s="223"/>
    </row>
    <row r="306" spans="1:29" x14ac:dyDescent="0.25">
      <c r="A306" s="223"/>
      <c r="B306" s="223"/>
      <c r="C306" s="223"/>
      <c r="D306" s="223"/>
      <c r="E306" s="223"/>
      <c r="F306" s="276"/>
      <c r="G306" s="226"/>
      <c r="H306" s="223"/>
      <c r="I306" s="223"/>
      <c r="J306" s="223"/>
      <c r="K306" s="223"/>
      <c r="L306" s="223"/>
      <c r="M306" s="223"/>
      <c r="N306" s="223"/>
      <c r="O306" s="223"/>
      <c r="P306" s="223"/>
      <c r="Q306" s="223"/>
      <c r="R306" s="890"/>
      <c r="S306" s="890"/>
      <c r="T306" s="223"/>
      <c r="U306" s="223"/>
      <c r="V306" s="223"/>
      <c r="W306" s="223"/>
      <c r="X306" s="223"/>
      <c r="Y306" s="223"/>
      <c r="Z306" s="223"/>
      <c r="AA306" s="223"/>
      <c r="AB306" s="223"/>
      <c r="AC306" s="223"/>
    </row>
    <row r="307" spans="1:29" x14ac:dyDescent="0.25">
      <c r="A307" s="223"/>
      <c r="B307" s="223"/>
      <c r="C307" s="223"/>
      <c r="D307" s="223"/>
      <c r="E307" s="223"/>
      <c r="F307" s="276"/>
      <c r="G307" s="226"/>
      <c r="H307" s="223"/>
      <c r="I307" s="223"/>
      <c r="J307" s="223"/>
      <c r="K307" s="223"/>
      <c r="L307" s="223"/>
      <c r="M307" s="223"/>
      <c r="N307" s="223"/>
      <c r="O307" s="223"/>
      <c r="P307" s="223"/>
      <c r="Q307" s="223"/>
      <c r="R307" s="890"/>
      <c r="S307" s="890"/>
      <c r="T307" s="223"/>
      <c r="U307" s="223"/>
      <c r="V307" s="223"/>
      <c r="W307" s="223"/>
      <c r="X307" s="223"/>
      <c r="Y307" s="223"/>
      <c r="Z307" s="223"/>
      <c r="AA307" s="223"/>
      <c r="AB307" s="223"/>
      <c r="AC307" s="223"/>
    </row>
    <row r="308" spans="1:29" x14ac:dyDescent="0.25">
      <c r="A308" s="223"/>
      <c r="B308" s="223"/>
      <c r="C308" s="223"/>
      <c r="D308" s="223"/>
      <c r="E308" s="223"/>
      <c r="F308" s="276"/>
      <c r="G308" s="226"/>
      <c r="H308" s="223"/>
      <c r="I308" s="223"/>
      <c r="J308" s="223"/>
      <c r="K308" s="223"/>
      <c r="L308" s="223"/>
      <c r="M308" s="223"/>
      <c r="N308" s="223"/>
      <c r="O308" s="223"/>
      <c r="P308" s="223"/>
      <c r="Q308" s="223"/>
      <c r="R308" s="890"/>
      <c r="S308" s="890"/>
      <c r="T308" s="223"/>
      <c r="U308" s="223"/>
      <c r="V308" s="223"/>
      <c r="W308" s="223"/>
      <c r="X308" s="223"/>
      <c r="Y308" s="223"/>
      <c r="Z308" s="223"/>
      <c r="AA308" s="223"/>
      <c r="AB308" s="223"/>
      <c r="AC308" s="223"/>
    </row>
    <row r="309" spans="1:29" x14ac:dyDescent="0.25">
      <c r="A309" s="223"/>
      <c r="B309" s="223"/>
      <c r="C309" s="223"/>
      <c r="D309" s="223"/>
      <c r="E309" s="223"/>
      <c r="F309" s="276"/>
      <c r="G309" s="226"/>
      <c r="H309" s="223"/>
      <c r="I309" s="223"/>
      <c r="J309" s="223"/>
      <c r="K309" s="223"/>
      <c r="L309" s="223"/>
      <c r="M309" s="223"/>
      <c r="N309" s="223"/>
      <c r="O309" s="223"/>
      <c r="P309" s="223"/>
      <c r="Q309" s="223"/>
      <c r="R309" s="890"/>
      <c r="S309" s="890"/>
      <c r="T309" s="223"/>
      <c r="U309" s="223"/>
      <c r="V309" s="223"/>
      <c r="W309" s="223"/>
      <c r="X309" s="223"/>
      <c r="Y309" s="223"/>
      <c r="Z309" s="223"/>
      <c r="AA309" s="223"/>
      <c r="AB309" s="223"/>
      <c r="AC309" s="223"/>
    </row>
    <row r="310" spans="1:29" x14ac:dyDescent="0.25">
      <c r="A310" s="223"/>
      <c r="B310" s="223"/>
      <c r="C310" s="223"/>
      <c r="D310" s="223"/>
      <c r="E310" s="223"/>
      <c r="F310" s="276"/>
      <c r="G310" s="226"/>
      <c r="H310" s="223"/>
      <c r="I310" s="223"/>
      <c r="J310" s="223"/>
      <c r="K310" s="223"/>
      <c r="L310" s="223"/>
      <c r="M310" s="223"/>
      <c r="N310" s="223"/>
      <c r="O310" s="223"/>
      <c r="P310" s="223"/>
      <c r="Q310" s="223"/>
      <c r="R310" s="890"/>
      <c r="S310" s="890"/>
      <c r="T310" s="223"/>
      <c r="U310" s="223"/>
      <c r="V310" s="223"/>
      <c r="W310" s="223"/>
      <c r="X310" s="223"/>
      <c r="Y310" s="223"/>
      <c r="Z310" s="223"/>
      <c r="AA310" s="223"/>
      <c r="AB310" s="223"/>
      <c r="AC310" s="223"/>
    </row>
    <row r="311" spans="1:29" x14ac:dyDescent="0.25">
      <c r="A311" s="223"/>
      <c r="B311" s="223"/>
      <c r="C311" s="223"/>
      <c r="D311" s="223"/>
      <c r="E311" s="223"/>
      <c r="F311" s="276"/>
      <c r="G311" s="226"/>
      <c r="H311" s="223"/>
      <c r="I311" s="223"/>
      <c r="J311" s="223"/>
      <c r="K311" s="223"/>
      <c r="L311" s="223"/>
      <c r="M311" s="223"/>
      <c r="N311" s="223"/>
      <c r="O311" s="223"/>
      <c r="P311" s="223"/>
      <c r="Q311" s="223"/>
      <c r="R311" s="890"/>
      <c r="S311" s="890"/>
      <c r="T311" s="223"/>
      <c r="U311" s="223"/>
      <c r="V311" s="223"/>
      <c r="W311" s="223"/>
      <c r="X311" s="223"/>
      <c r="Y311" s="223"/>
      <c r="Z311" s="223"/>
      <c r="AA311" s="223"/>
      <c r="AB311" s="223"/>
      <c r="AC311" s="223"/>
    </row>
    <row r="312" spans="1:29" x14ac:dyDescent="0.25">
      <c r="A312" s="223"/>
      <c r="B312" s="223"/>
      <c r="C312" s="223"/>
      <c r="D312" s="223"/>
      <c r="E312" s="223"/>
      <c r="F312" s="276"/>
      <c r="G312" s="226"/>
      <c r="H312" s="223"/>
      <c r="I312" s="223"/>
      <c r="J312" s="223"/>
      <c r="K312" s="223"/>
      <c r="L312" s="223"/>
      <c r="M312" s="223"/>
      <c r="N312" s="223"/>
      <c r="O312" s="223"/>
      <c r="P312" s="223"/>
      <c r="Q312" s="223"/>
      <c r="R312" s="890"/>
      <c r="S312" s="890"/>
      <c r="T312" s="223"/>
      <c r="U312" s="223"/>
      <c r="V312" s="223"/>
      <c r="W312" s="223"/>
      <c r="X312" s="223"/>
      <c r="Y312" s="223"/>
      <c r="Z312" s="223"/>
      <c r="AA312" s="223"/>
      <c r="AB312" s="223"/>
      <c r="AC312" s="223"/>
    </row>
    <row r="313" spans="1:29" x14ac:dyDescent="0.25">
      <c r="A313" s="223"/>
      <c r="B313" s="223"/>
      <c r="C313" s="223"/>
      <c r="D313" s="223"/>
      <c r="E313" s="223"/>
      <c r="F313" s="276"/>
      <c r="G313" s="226"/>
      <c r="H313" s="223"/>
      <c r="I313" s="223"/>
      <c r="J313" s="223"/>
      <c r="K313" s="223"/>
      <c r="L313" s="223"/>
      <c r="M313" s="223"/>
      <c r="N313" s="223"/>
      <c r="O313" s="223"/>
      <c r="P313" s="223"/>
      <c r="Q313" s="223"/>
      <c r="R313" s="890"/>
      <c r="S313" s="890"/>
      <c r="T313" s="223"/>
      <c r="U313" s="223"/>
      <c r="V313" s="223"/>
      <c r="W313" s="223"/>
      <c r="X313" s="223"/>
      <c r="Y313" s="223"/>
      <c r="Z313" s="223"/>
      <c r="AA313" s="223"/>
      <c r="AB313" s="223"/>
      <c r="AC313" s="223"/>
    </row>
    <row r="314" spans="1:29" x14ac:dyDescent="0.25">
      <c r="A314" s="223"/>
      <c r="B314" s="223"/>
      <c r="C314" s="223"/>
      <c r="D314" s="223"/>
      <c r="E314" s="223"/>
      <c r="F314" s="276"/>
      <c r="G314" s="226"/>
      <c r="H314" s="223"/>
      <c r="I314" s="223"/>
      <c r="J314" s="223"/>
      <c r="K314" s="223"/>
      <c r="L314" s="223"/>
      <c r="M314" s="223"/>
      <c r="N314" s="223"/>
      <c r="O314" s="223"/>
      <c r="P314" s="223"/>
      <c r="Q314" s="223"/>
      <c r="R314" s="890"/>
      <c r="S314" s="890"/>
      <c r="T314" s="223"/>
      <c r="U314" s="223"/>
      <c r="V314" s="223"/>
      <c r="W314" s="223"/>
      <c r="X314" s="223"/>
      <c r="Y314" s="223"/>
      <c r="Z314" s="223"/>
      <c r="AA314" s="223"/>
      <c r="AB314" s="223"/>
      <c r="AC314" s="223"/>
    </row>
    <row r="315" spans="1:29" x14ac:dyDescent="0.25">
      <c r="A315" s="223"/>
      <c r="B315" s="223"/>
      <c r="C315" s="223"/>
      <c r="D315" s="223"/>
      <c r="E315" s="223"/>
      <c r="F315" s="276"/>
      <c r="G315" s="226"/>
      <c r="H315" s="223"/>
      <c r="I315" s="223"/>
      <c r="J315" s="223"/>
      <c r="K315" s="223"/>
      <c r="L315" s="223"/>
      <c r="M315" s="223"/>
      <c r="N315" s="223"/>
      <c r="O315" s="223"/>
      <c r="P315" s="223"/>
      <c r="Q315" s="223"/>
      <c r="R315" s="890"/>
      <c r="S315" s="890"/>
      <c r="T315" s="223"/>
      <c r="U315" s="223"/>
      <c r="V315" s="223"/>
      <c r="W315" s="223"/>
      <c r="X315" s="223"/>
      <c r="Y315" s="223"/>
      <c r="Z315" s="223"/>
      <c r="AA315" s="223"/>
      <c r="AB315" s="223"/>
      <c r="AC315" s="223"/>
    </row>
    <row r="316" spans="1:29" x14ac:dyDescent="0.25">
      <c r="A316" s="223"/>
      <c r="B316" s="223"/>
      <c r="C316" s="223"/>
      <c r="D316" s="223"/>
      <c r="E316" s="223"/>
      <c r="F316" s="276"/>
      <c r="G316" s="226"/>
      <c r="H316" s="223"/>
      <c r="I316" s="223"/>
      <c r="J316" s="223"/>
      <c r="K316" s="223"/>
      <c r="L316" s="223"/>
      <c r="M316" s="223"/>
      <c r="N316" s="223"/>
      <c r="O316" s="223"/>
      <c r="P316" s="223"/>
      <c r="Q316" s="223"/>
      <c r="R316" s="890"/>
      <c r="S316" s="890"/>
      <c r="T316" s="223"/>
      <c r="U316" s="223"/>
      <c r="V316" s="223"/>
      <c r="W316" s="223"/>
      <c r="X316" s="223"/>
      <c r="Y316" s="223"/>
      <c r="Z316" s="223"/>
      <c r="AA316" s="223"/>
      <c r="AB316" s="223"/>
      <c r="AC316" s="223"/>
    </row>
    <row r="317" spans="1:29" x14ac:dyDescent="0.25">
      <c r="A317" s="223"/>
      <c r="B317" s="223"/>
      <c r="C317" s="223"/>
      <c r="D317" s="223"/>
      <c r="E317" s="223"/>
      <c r="F317" s="276"/>
      <c r="G317" s="226"/>
      <c r="H317" s="223"/>
      <c r="I317" s="223"/>
      <c r="J317" s="223"/>
      <c r="K317" s="223"/>
      <c r="L317" s="223"/>
      <c r="M317" s="223"/>
      <c r="N317" s="223"/>
      <c r="O317" s="223"/>
      <c r="P317" s="223"/>
      <c r="Q317" s="223"/>
      <c r="R317" s="890"/>
      <c r="S317" s="890"/>
      <c r="T317" s="223"/>
      <c r="U317" s="223"/>
      <c r="V317" s="223"/>
      <c r="W317" s="223"/>
      <c r="X317" s="223"/>
      <c r="Y317" s="223"/>
      <c r="Z317" s="223"/>
      <c r="AA317" s="223"/>
      <c r="AB317" s="223"/>
      <c r="AC317" s="223"/>
    </row>
    <row r="318" spans="1:29" x14ac:dyDescent="0.25">
      <c r="A318" s="223"/>
      <c r="B318" s="223"/>
      <c r="C318" s="223"/>
      <c r="D318" s="223"/>
      <c r="E318" s="223"/>
      <c r="F318" s="276"/>
      <c r="G318" s="226"/>
      <c r="H318" s="223"/>
      <c r="I318" s="223"/>
      <c r="J318" s="223"/>
      <c r="K318" s="223"/>
      <c r="L318" s="223"/>
      <c r="M318" s="223"/>
      <c r="N318" s="223"/>
      <c r="O318" s="223"/>
      <c r="P318" s="223"/>
      <c r="Q318" s="223"/>
      <c r="R318" s="890"/>
      <c r="S318" s="890"/>
      <c r="T318" s="223"/>
      <c r="U318" s="223"/>
      <c r="V318" s="223"/>
      <c r="W318" s="223"/>
      <c r="X318" s="223"/>
      <c r="Y318" s="223"/>
      <c r="Z318" s="223"/>
      <c r="AA318" s="223"/>
      <c r="AB318" s="223"/>
      <c r="AC318" s="223"/>
    </row>
    <row r="319" spans="1:29" x14ac:dyDescent="0.25">
      <c r="A319" s="223"/>
      <c r="B319" s="223"/>
      <c r="C319" s="223"/>
      <c r="D319" s="223"/>
      <c r="E319" s="223"/>
      <c r="F319" s="276"/>
      <c r="G319" s="226"/>
      <c r="H319" s="223"/>
      <c r="I319" s="223"/>
      <c r="J319" s="223"/>
      <c r="K319" s="223"/>
      <c r="L319" s="223"/>
      <c r="M319" s="223"/>
      <c r="N319" s="223"/>
      <c r="O319" s="223"/>
      <c r="P319" s="223"/>
      <c r="Q319" s="223"/>
      <c r="R319" s="890"/>
      <c r="S319" s="890"/>
      <c r="T319" s="223"/>
      <c r="U319" s="223"/>
      <c r="V319" s="223"/>
      <c r="W319" s="223"/>
      <c r="X319" s="223"/>
      <c r="Y319" s="223"/>
      <c r="Z319" s="223"/>
      <c r="AA319" s="223"/>
      <c r="AB319" s="223"/>
      <c r="AC319" s="223"/>
    </row>
    <row r="320" spans="1:29" x14ac:dyDescent="0.25">
      <c r="A320" s="223"/>
      <c r="B320" s="223"/>
      <c r="C320" s="223"/>
      <c r="D320" s="223"/>
      <c r="E320" s="223"/>
      <c r="F320" s="276"/>
      <c r="G320" s="226"/>
      <c r="H320" s="223"/>
      <c r="I320" s="223"/>
      <c r="J320" s="223"/>
      <c r="K320" s="223"/>
      <c r="L320" s="223"/>
      <c r="M320" s="223"/>
      <c r="N320" s="223"/>
      <c r="O320" s="223"/>
      <c r="P320" s="223"/>
      <c r="Q320" s="223"/>
      <c r="R320" s="890"/>
      <c r="S320" s="890"/>
      <c r="T320" s="223"/>
      <c r="U320" s="223"/>
      <c r="V320" s="223"/>
      <c r="W320" s="223"/>
      <c r="X320" s="223"/>
      <c r="Y320" s="223"/>
      <c r="Z320" s="223"/>
      <c r="AA320" s="223"/>
      <c r="AB320" s="223"/>
      <c r="AC320" s="223"/>
    </row>
    <row r="321" spans="1:29" x14ac:dyDescent="0.25">
      <c r="A321" s="223"/>
      <c r="B321" s="223"/>
      <c r="C321" s="223"/>
      <c r="D321" s="223"/>
      <c r="E321" s="223"/>
      <c r="F321" s="276"/>
      <c r="G321" s="226"/>
      <c r="H321" s="223"/>
      <c r="I321" s="223"/>
      <c r="J321" s="223"/>
      <c r="K321" s="223"/>
      <c r="L321" s="223"/>
      <c r="M321" s="223"/>
      <c r="N321" s="223"/>
      <c r="O321" s="223"/>
      <c r="P321" s="223"/>
      <c r="Q321" s="223"/>
      <c r="R321" s="890"/>
      <c r="S321" s="890"/>
      <c r="T321" s="223"/>
      <c r="U321" s="223"/>
      <c r="V321" s="223"/>
      <c r="W321" s="223"/>
      <c r="X321" s="223"/>
      <c r="Y321" s="223"/>
      <c r="Z321" s="223"/>
      <c r="AA321" s="223"/>
      <c r="AB321" s="223"/>
      <c r="AC321" s="223"/>
    </row>
    <row r="322" spans="1:29" x14ac:dyDescent="0.25">
      <c r="A322" s="223"/>
      <c r="B322" s="223"/>
      <c r="C322" s="223"/>
      <c r="D322" s="223"/>
      <c r="E322" s="223"/>
      <c r="F322" s="276"/>
      <c r="G322" s="226"/>
      <c r="H322" s="223"/>
      <c r="I322" s="223"/>
      <c r="J322" s="223"/>
      <c r="K322" s="223"/>
      <c r="L322" s="223"/>
      <c r="M322" s="223"/>
      <c r="N322" s="223"/>
      <c r="O322" s="223"/>
      <c r="P322" s="223"/>
      <c r="Q322" s="223"/>
      <c r="R322" s="890"/>
      <c r="S322" s="890"/>
      <c r="T322" s="223"/>
      <c r="U322" s="223"/>
      <c r="V322" s="223"/>
      <c r="W322" s="223"/>
      <c r="X322" s="223"/>
      <c r="Y322" s="223"/>
      <c r="Z322" s="223"/>
      <c r="AA322" s="223"/>
      <c r="AB322" s="223"/>
      <c r="AC322" s="223"/>
    </row>
    <row r="323" spans="1:29" x14ac:dyDescent="0.25">
      <c r="A323" s="223"/>
      <c r="B323" s="223"/>
      <c r="C323" s="223"/>
      <c r="D323" s="223"/>
      <c r="E323" s="223"/>
      <c r="F323" s="276"/>
      <c r="G323" s="226"/>
      <c r="H323" s="223"/>
      <c r="I323" s="223"/>
      <c r="J323" s="223"/>
      <c r="K323" s="223"/>
      <c r="L323" s="223"/>
      <c r="M323" s="223"/>
      <c r="N323" s="223"/>
      <c r="O323" s="223"/>
      <c r="P323" s="223"/>
      <c r="Q323" s="223"/>
      <c r="R323" s="890"/>
      <c r="S323" s="890"/>
      <c r="T323" s="223"/>
      <c r="U323" s="223"/>
      <c r="V323" s="223"/>
      <c r="W323" s="223"/>
      <c r="X323" s="223"/>
      <c r="Y323" s="223"/>
      <c r="Z323" s="223"/>
      <c r="AA323" s="223"/>
      <c r="AB323" s="223"/>
      <c r="AC323" s="223"/>
    </row>
    <row r="324" spans="1:29" x14ac:dyDescent="0.25">
      <c r="A324" s="223"/>
      <c r="B324" s="223"/>
      <c r="C324" s="223"/>
      <c r="D324" s="223"/>
      <c r="E324" s="223"/>
      <c r="F324" s="276"/>
      <c r="G324" s="226"/>
      <c r="H324" s="223"/>
      <c r="I324" s="223"/>
      <c r="J324" s="223"/>
      <c r="K324" s="223"/>
      <c r="L324" s="223"/>
      <c r="M324" s="223"/>
      <c r="N324" s="223"/>
      <c r="O324" s="223"/>
      <c r="P324" s="223"/>
      <c r="Q324" s="223"/>
      <c r="R324" s="890"/>
      <c r="S324" s="890"/>
      <c r="T324" s="223"/>
      <c r="U324" s="223"/>
      <c r="V324" s="223"/>
      <c r="W324" s="223"/>
      <c r="X324" s="223"/>
      <c r="Y324" s="223"/>
      <c r="Z324" s="223"/>
      <c r="AA324" s="223"/>
      <c r="AB324" s="223"/>
      <c r="AC324" s="223"/>
    </row>
    <row r="325" spans="1:29" x14ac:dyDescent="0.25">
      <c r="A325" s="223"/>
      <c r="B325" s="223"/>
      <c r="C325" s="223"/>
      <c r="D325" s="223"/>
      <c r="E325" s="223"/>
      <c r="F325" s="276"/>
      <c r="G325" s="226"/>
      <c r="H325" s="223"/>
      <c r="I325" s="223"/>
      <c r="J325" s="223"/>
      <c r="K325" s="223"/>
      <c r="L325" s="223"/>
      <c r="M325" s="223"/>
      <c r="N325" s="223"/>
      <c r="O325" s="223"/>
      <c r="P325" s="223"/>
      <c r="Q325" s="223"/>
      <c r="R325" s="890"/>
      <c r="S325" s="890"/>
      <c r="T325" s="223"/>
      <c r="U325" s="223"/>
      <c r="V325" s="223"/>
      <c r="W325" s="223"/>
      <c r="X325" s="223"/>
      <c r="Y325" s="223"/>
      <c r="Z325" s="223"/>
      <c r="AA325" s="223"/>
      <c r="AB325" s="223"/>
      <c r="AC325" s="223"/>
    </row>
    <row r="326" spans="1:29" x14ac:dyDescent="0.25">
      <c r="A326" s="223"/>
      <c r="B326" s="223"/>
      <c r="C326" s="223"/>
      <c r="D326" s="223"/>
      <c r="E326" s="223"/>
      <c r="F326" s="276"/>
      <c r="G326" s="226"/>
      <c r="H326" s="223"/>
      <c r="I326" s="223"/>
      <c r="J326" s="223"/>
      <c r="K326" s="223"/>
      <c r="L326" s="223"/>
      <c r="M326" s="223"/>
      <c r="N326" s="223"/>
      <c r="O326" s="223"/>
      <c r="P326" s="223"/>
      <c r="Q326" s="223"/>
      <c r="R326" s="890"/>
      <c r="S326" s="890"/>
      <c r="T326" s="223"/>
      <c r="U326" s="223"/>
      <c r="V326" s="223"/>
      <c r="W326" s="223"/>
      <c r="X326" s="223"/>
      <c r="Y326" s="223"/>
      <c r="Z326" s="223"/>
      <c r="AA326" s="223"/>
      <c r="AB326" s="223"/>
      <c r="AC326" s="223"/>
    </row>
    <row r="327" spans="1:29" x14ac:dyDescent="0.25">
      <c r="A327" s="223"/>
      <c r="B327" s="223"/>
      <c r="C327" s="223"/>
      <c r="D327" s="223"/>
      <c r="E327" s="223"/>
      <c r="F327" s="276"/>
      <c r="G327" s="226"/>
      <c r="H327" s="223"/>
      <c r="I327" s="223"/>
      <c r="J327" s="223"/>
      <c r="K327" s="223"/>
      <c r="L327" s="223"/>
      <c r="M327" s="223"/>
      <c r="N327" s="223"/>
      <c r="O327" s="223"/>
      <c r="P327" s="223"/>
      <c r="Q327" s="223"/>
      <c r="R327" s="890"/>
      <c r="S327" s="890"/>
      <c r="T327" s="223"/>
      <c r="U327" s="223"/>
      <c r="V327" s="223"/>
      <c r="W327" s="223"/>
      <c r="X327" s="223"/>
      <c r="Y327" s="223"/>
      <c r="Z327" s="223"/>
      <c r="AA327" s="223"/>
      <c r="AB327" s="223"/>
      <c r="AC327" s="223"/>
    </row>
    <row r="328" spans="1:29" x14ac:dyDescent="0.25">
      <c r="A328" s="223"/>
      <c r="B328" s="223"/>
      <c r="C328" s="223"/>
      <c r="D328" s="223"/>
      <c r="E328" s="223"/>
      <c r="F328" s="276"/>
      <c r="G328" s="226"/>
      <c r="H328" s="223"/>
      <c r="I328" s="223"/>
      <c r="J328" s="223"/>
      <c r="K328" s="223"/>
      <c r="L328" s="223"/>
      <c r="M328" s="223"/>
      <c r="N328" s="223"/>
      <c r="O328" s="223"/>
      <c r="P328" s="223"/>
      <c r="Q328" s="223"/>
      <c r="R328" s="890"/>
      <c r="S328" s="890"/>
      <c r="T328" s="223"/>
      <c r="U328" s="223"/>
      <c r="V328" s="223"/>
      <c r="W328" s="223"/>
      <c r="X328" s="223"/>
      <c r="Y328" s="223"/>
      <c r="Z328" s="223"/>
      <c r="AA328" s="223"/>
      <c r="AB328" s="223"/>
      <c r="AC328" s="223"/>
    </row>
    <row r="329" spans="1:29" x14ac:dyDescent="0.25">
      <c r="A329" s="223"/>
      <c r="B329" s="223"/>
      <c r="C329" s="223"/>
      <c r="D329" s="223"/>
      <c r="E329" s="223"/>
      <c r="F329" s="276"/>
      <c r="G329" s="226"/>
      <c r="H329" s="223"/>
      <c r="I329" s="223"/>
      <c r="J329" s="223"/>
      <c r="K329" s="223"/>
      <c r="L329" s="223"/>
      <c r="M329" s="223"/>
      <c r="N329" s="223"/>
      <c r="O329" s="223"/>
      <c r="P329" s="223"/>
      <c r="Q329" s="223"/>
      <c r="R329" s="890"/>
      <c r="S329" s="890"/>
      <c r="T329" s="223"/>
      <c r="U329" s="223"/>
      <c r="V329" s="223"/>
      <c r="W329" s="223"/>
      <c r="X329" s="223"/>
      <c r="Y329" s="223"/>
      <c r="Z329" s="223"/>
      <c r="AA329" s="223"/>
      <c r="AB329" s="223"/>
      <c r="AC329" s="223"/>
    </row>
    <row r="330" spans="1:29" x14ac:dyDescent="0.25">
      <c r="A330" s="223"/>
      <c r="B330" s="223"/>
      <c r="C330" s="223"/>
      <c r="D330" s="223"/>
      <c r="E330" s="223"/>
      <c r="F330" s="276"/>
      <c r="G330" s="226"/>
      <c r="H330" s="223"/>
      <c r="I330" s="223"/>
      <c r="J330" s="223"/>
      <c r="K330" s="223"/>
      <c r="L330" s="223"/>
      <c r="M330" s="223"/>
      <c r="N330" s="223"/>
      <c r="O330" s="223"/>
      <c r="P330" s="223"/>
      <c r="Q330" s="223"/>
      <c r="R330" s="890"/>
      <c r="S330" s="890"/>
      <c r="T330" s="223"/>
      <c r="U330" s="223"/>
      <c r="V330" s="223"/>
      <c r="W330" s="223"/>
      <c r="X330" s="223"/>
      <c r="Y330" s="223"/>
      <c r="Z330" s="223"/>
      <c r="AA330" s="223"/>
      <c r="AB330" s="223"/>
      <c r="AC330" s="223"/>
    </row>
    <row r="331" spans="1:29" x14ac:dyDescent="0.25">
      <c r="A331" s="223"/>
      <c r="B331" s="223"/>
      <c r="C331" s="223"/>
      <c r="D331" s="223"/>
      <c r="E331" s="223"/>
      <c r="F331" s="276"/>
      <c r="G331" s="226"/>
      <c r="H331" s="223"/>
      <c r="I331" s="223"/>
      <c r="J331" s="223"/>
      <c r="K331" s="223"/>
      <c r="L331" s="223"/>
      <c r="M331" s="223"/>
      <c r="N331" s="223"/>
      <c r="O331" s="223"/>
      <c r="P331" s="223"/>
      <c r="Q331" s="223"/>
      <c r="R331" s="890"/>
      <c r="S331" s="890"/>
      <c r="T331" s="223"/>
      <c r="U331" s="223"/>
      <c r="V331" s="223"/>
      <c r="W331" s="223"/>
      <c r="X331" s="223"/>
      <c r="Y331" s="223"/>
      <c r="Z331" s="223"/>
      <c r="AA331" s="223"/>
      <c r="AB331" s="223"/>
      <c r="AC331" s="223"/>
    </row>
    <row r="332" spans="1:29" x14ac:dyDescent="0.25">
      <c r="A332" s="223"/>
      <c r="B332" s="223"/>
      <c r="C332" s="223"/>
      <c r="D332" s="223"/>
      <c r="E332" s="223"/>
      <c r="F332" s="276"/>
      <c r="G332" s="226"/>
      <c r="H332" s="223"/>
      <c r="I332" s="223"/>
      <c r="J332" s="223"/>
      <c r="K332" s="223"/>
      <c r="L332" s="223"/>
      <c r="M332" s="223"/>
      <c r="N332" s="223"/>
      <c r="O332" s="223"/>
      <c r="P332" s="223"/>
      <c r="Q332" s="223"/>
      <c r="R332" s="890"/>
      <c r="S332" s="890"/>
      <c r="T332" s="223"/>
      <c r="U332" s="223"/>
      <c r="V332" s="223"/>
      <c r="W332" s="223"/>
      <c r="X332" s="223"/>
      <c r="Y332" s="223"/>
      <c r="Z332" s="223"/>
      <c r="AA332" s="223"/>
      <c r="AB332" s="223"/>
      <c r="AC332" s="223"/>
    </row>
    <row r="333" spans="1:29" x14ac:dyDescent="0.25">
      <c r="A333" s="223"/>
      <c r="B333" s="223"/>
      <c r="C333" s="223"/>
      <c r="D333" s="223"/>
      <c r="E333" s="223"/>
      <c r="F333" s="276"/>
      <c r="G333" s="226"/>
      <c r="H333" s="223"/>
      <c r="I333" s="223"/>
      <c r="J333" s="223"/>
      <c r="K333" s="223"/>
      <c r="L333" s="223"/>
      <c r="M333" s="223"/>
      <c r="N333" s="223"/>
      <c r="O333" s="223"/>
      <c r="P333" s="223"/>
      <c r="Q333" s="223"/>
      <c r="R333" s="890"/>
      <c r="S333" s="890"/>
      <c r="T333" s="223"/>
      <c r="U333" s="223"/>
      <c r="V333" s="223"/>
      <c r="W333" s="223"/>
      <c r="X333" s="223"/>
      <c r="Y333" s="223"/>
      <c r="Z333" s="223"/>
      <c r="AA333" s="223"/>
      <c r="AB333" s="223"/>
      <c r="AC333" s="223"/>
    </row>
    <row r="334" spans="1:29" x14ac:dyDescent="0.25">
      <c r="A334" s="223"/>
      <c r="B334" s="223"/>
      <c r="C334" s="223"/>
      <c r="D334" s="223"/>
      <c r="E334" s="223"/>
      <c r="F334" s="276"/>
      <c r="G334" s="226"/>
      <c r="H334" s="223"/>
      <c r="I334" s="223"/>
      <c r="J334" s="223"/>
      <c r="K334" s="223"/>
      <c r="L334" s="223"/>
      <c r="M334" s="223"/>
      <c r="N334" s="223"/>
      <c r="O334" s="223"/>
      <c r="P334" s="223"/>
      <c r="Q334" s="223"/>
      <c r="R334" s="890"/>
      <c r="S334" s="890"/>
      <c r="T334" s="223"/>
      <c r="U334" s="223"/>
      <c r="V334" s="223"/>
      <c r="W334" s="223"/>
      <c r="X334" s="223"/>
      <c r="Y334" s="223"/>
      <c r="Z334" s="223"/>
      <c r="AA334" s="223"/>
      <c r="AB334" s="223"/>
      <c r="AC334" s="223"/>
    </row>
    <row r="335" spans="1:29" x14ac:dyDescent="0.25">
      <c r="A335" s="223"/>
      <c r="B335" s="223"/>
      <c r="C335" s="223"/>
      <c r="D335" s="223"/>
      <c r="E335" s="223"/>
      <c r="F335" s="276"/>
      <c r="G335" s="226"/>
      <c r="H335" s="223"/>
      <c r="I335" s="223"/>
      <c r="J335" s="223"/>
      <c r="K335" s="223"/>
      <c r="L335" s="223"/>
      <c r="M335" s="223"/>
      <c r="N335" s="223"/>
      <c r="O335" s="223"/>
      <c r="P335" s="223"/>
      <c r="Q335" s="223"/>
      <c r="R335" s="890"/>
      <c r="S335" s="890"/>
      <c r="T335" s="223"/>
      <c r="U335" s="223"/>
      <c r="V335" s="223"/>
      <c r="W335" s="223"/>
      <c r="X335" s="223"/>
      <c r="Y335" s="223"/>
      <c r="Z335" s="223"/>
      <c r="AA335" s="223"/>
      <c r="AB335" s="223"/>
      <c r="AC335" s="223"/>
    </row>
    <row r="336" spans="1:29" x14ac:dyDescent="0.25">
      <c r="A336" s="223"/>
      <c r="B336" s="223"/>
      <c r="C336" s="223"/>
      <c r="D336" s="223"/>
      <c r="E336" s="223"/>
      <c r="F336" s="276"/>
      <c r="G336" s="226"/>
      <c r="H336" s="223"/>
      <c r="I336" s="223"/>
      <c r="J336" s="223"/>
      <c r="K336" s="223"/>
      <c r="L336" s="223"/>
      <c r="M336" s="223"/>
      <c r="N336" s="223"/>
      <c r="O336" s="223"/>
      <c r="P336" s="223"/>
      <c r="Q336" s="223"/>
      <c r="R336" s="890"/>
      <c r="S336" s="890"/>
      <c r="T336" s="223"/>
      <c r="U336" s="223"/>
      <c r="V336" s="223"/>
      <c r="W336" s="223"/>
      <c r="X336" s="223"/>
      <c r="Y336" s="223"/>
      <c r="Z336" s="223"/>
      <c r="AA336" s="223"/>
      <c r="AB336" s="223"/>
      <c r="AC336" s="223"/>
    </row>
    <row r="337" spans="1:29" x14ac:dyDescent="0.25">
      <c r="A337" s="223"/>
      <c r="B337" s="223"/>
      <c r="C337" s="223"/>
      <c r="D337" s="223"/>
      <c r="E337" s="223"/>
      <c r="F337" s="276"/>
      <c r="G337" s="226"/>
      <c r="H337" s="223"/>
      <c r="I337" s="223"/>
      <c r="J337" s="223"/>
      <c r="K337" s="223"/>
      <c r="L337" s="223"/>
      <c r="M337" s="223"/>
      <c r="N337" s="223"/>
      <c r="O337" s="223"/>
      <c r="P337" s="223"/>
      <c r="Q337" s="223"/>
      <c r="R337" s="890"/>
      <c r="S337" s="890"/>
      <c r="T337" s="223"/>
      <c r="U337" s="223"/>
      <c r="V337" s="223"/>
      <c r="W337" s="223"/>
      <c r="X337" s="223"/>
      <c r="Y337" s="223"/>
      <c r="Z337" s="223"/>
      <c r="AA337" s="223"/>
      <c r="AB337" s="223"/>
      <c r="AC337" s="223"/>
    </row>
    <row r="338" spans="1:29" x14ac:dyDescent="0.25">
      <c r="A338" s="223"/>
      <c r="B338" s="223"/>
      <c r="C338" s="223"/>
      <c r="D338" s="223"/>
      <c r="E338" s="223"/>
      <c r="F338" s="276"/>
      <c r="G338" s="226"/>
      <c r="H338" s="223"/>
      <c r="I338" s="223"/>
      <c r="J338" s="223"/>
      <c r="K338" s="223"/>
      <c r="L338" s="223"/>
      <c r="M338" s="223"/>
      <c r="N338" s="223"/>
      <c r="O338" s="223"/>
      <c r="P338" s="223"/>
      <c r="Q338" s="223"/>
      <c r="R338" s="890"/>
      <c r="S338" s="890"/>
      <c r="T338" s="223"/>
      <c r="U338" s="223"/>
      <c r="V338" s="223"/>
      <c r="W338" s="223"/>
      <c r="X338" s="223"/>
      <c r="Y338" s="223"/>
      <c r="Z338" s="223"/>
      <c r="AA338" s="223"/>
      <c r="AB338" s="223"/>
      <c r="AC338" s="223"/>
    </row>
    <row r="339" spans="1:29" x14ac:dyDescent="0.25">
      <c r="A339" s="223"/>
      <c r="B339" s="223"/>
      <c r="C339" s="223"/>
      <c r="D339" s="223"/>
      <c r="E339" s="223"/>
      <c r="F339" s="276"/>
      <c r="G339" s="226"/>
      <c r="H339" s="223"/>
      <c r="I339" s="223"/>
      <c r="J339" s="223"/>
      <c r="K339" s="223"/>
      <c r="L339" s="223"/>
      <c r="M339" s="223"/>
      <c r="N339" s="223"/>
      <c r="O339" s="223"/>
      <c r="P339" s="223"/>
      <c r="Q339" s="223"/>
      <c r="R339" s="890"/>
      <c r="S339" s="890"/>
      <c r="T339" s="223"/>
      <c r="U339" s="223"/>
      <c r="V339" s="223"/>
      <c r="W339" s="223"/>
      <c r="X339" s="223"/>
      <c r="Y339" s="223"/>
      <c r="Z339" s="223"/>
      <c r="AA339" s="223"/>
      <c r="AB339" s="223"/>
      <c r="AC339" s="223"/>
    </row>
    <row r="340" spans="1:29" x14ac:dyDescent="0.25">
      <c r="A340" s="223"/>
      <c r="B340" s="223"/>
      <c r="C340" s="223"/>
      <c r="D340" s="223"/>
      <c r="E340" s="223"/>
      <c r="F340" s="276"/>
      <c r="G340" s="226"/>
      <c r="H340" s="223"/>
      <c r="I340" s="223"/>
      <c r="J340" s="223"/>
      <c r="K340" s="223"/>
      <c r="L340" s="223"/>
      <c r="M340" s="223"/>
      <c r="N340" s="223"/>
      <c r="O340" s="223"/>
      <c r="P340" s="223"/>
      <c r="Q340" s="223"/>
      <c r="R340" s="890"/>
      <c r="S340" s="890"/>
      <c r="T340" s="223"/>
      <c r="U340" s="223"/>
      <c r="V340" s="223"/>
      <c r="W340" s="223"/>
      <c r="X340" s="223"/>
      <c r="Y340" s="223"/>
      <c r="Z340" s="223"/>
      <c r="AA340" s="223"/>
      <c r="AB340" s="223"/>
      <c r="AC340" s="223"/>
    </row>
    <row r="341" spans="1:29" x14ac:dyDescent="0.25">
      <c r="A341" s="223"/>
      <c r="B341" s="223"/>
      <c r="C341" s="223"/>
      <c r="D341" s="223"/>
      <c r="E341" s="223"/>
      <c r="F341" s="276"/>
      <c r="G341" s="226"/>
      <c r="H341" s="223"/>
      <c r="I341" s="223"/>
      <c r="J341" s="223"/>
      <c r="K341" s="223"/>
      <c r="L341" s="223"/>
      <c r="M341" s="223"/>
      <c r="N341" s="223"/>
      <c r="O341" s="223"/>
      <c r="P341" s="223"/>
      <c r="Q341" s="223"/>
      <c r="R341" s="890"/>
      <c r="S341" s="890"/>
      <c r="T341" s="223"/>
      <c r="U341" s="223"/>
      <c r="V341" s="223"/>
      <c r="W341" s="223"/>
      <c r="X341" s="223"/>
      <c r="Y341" s="223"/>
      <c r="Z341" s="223"/>
      <c r="AA341" s="223"/>
      <c r="AB341" s="223"/>
      <c r="AC341" s="223"/>
    </row>
    <row r="342" spans="1:29" x14ac:dyDescent="0.25">
      <c r="A342" s="223"/>
      <c r="B342" s="223"/>
      <c r="C342" s="223"/>
      <c r="D342" s="223"/>
      <c r="E342" s="223"/>
      <c r="F342" s="276"/>
      <c r="G342" s="226"/>
      <c r="H342" s="223"/>
      <c r="I342" s="223"/>
      <c r="J342" s="223"/>
      <c r="K342" s="223"/>
      <c r="L342" s="223"/>
      <c r="M342" s="223"/>
      <c r="N342" s="223"/>
      <c r="O342" s="223"/>
      <c r="P342" s="223"/>
      <c r="Q342" s="223"/>
      <c r="R342" s="890"/>
      <c r="S342" s="890"/>
      <c r="T342" s="223"/>
      <c r="U342" s="223"/>
      <c r="V342" s="223"/>
      <c r="W342" s="223"/>
      <c r="X342" s="223"/>
      <c r="Y342" s="223"/>
      <c r="Z342" s="223"/>
      <c r="AA342" s="223"/>
      <c r="AB342" s="223"/>
      <c r="AC342" s="223"/>
    </row>
    <row r="343" spans="1:29" x14ac:dyDescent="0.25">
      <c r="A343" s="223"/>
      <c r="B343" s="223"/>
      <c r="C343" s="223"/>
      <c r="D343" s="223"/>
      <c r="E343" s="223"/>
      <c r="F343" s="276"/>
      <c r="G343" s="226"/>
      <c r="H343" s="223"/>
      <c r="I343" s="223"/>
      <c r="J343" s="223"/>
      <c r="K343" s="223"/>
      <c r="L343" s="223"/>
      <c r="M343" s="223"/>
      <c r="N343" s="223"/>
      <c r="O343" s="223"/>
      <c r="P343" s="223"/>
      <c r="Q343" s="223"/>
      <c r="R343" s="890"/>
      <c r="S343" s="890"/>
      <c r="T343" s="223"/>
      <c r="U343" s="223"/>
      <c r="V343" s="223"/>
      <c r="W343" s="223"/>
      <c r="X343" s="223"/>
      <c r="Y343" s="223"/>
      <c r="Z343" s="223"/>
      <c r="AA343" s="223"/>
      <c r="AB343" s="223"/>
      <c r="AC343" s="223"/>
    </row>
    <row r="344" spans="1:29" x14ac:dyDescent="0.25">
      <c r="A344" s="223"/>
      <c r="B344" s="223"/>
      <c r="C344" s="223"/>
      <c r="D344" s="223"/>
      <c r="E344" s="223"/>
      <c r="F344" s="276"/>
      <c r="G344" s="226"/>
      <c r="H344" s="223"/>
      <c r="I344" s="223"/>
      <c r="J344" s="223"/>
      <c r="K344" s="223"/>
      <c r="L344" s="223"/>
      <c r="M344" s="223"/>
      <c r="N344" s="223"/>
      <c r="O344" s="223"/>
      <c r="P344" s="223"/>
      <c r="Q344" s="223"/>
      <c r="R344" s="890"/>
      <c r="S344" s="890"/>
      <c r="T344" s="223"/>
      <c r="U344" s="223"/>
      <c r="V344" s="223"/>
      <c r="W344" s="223"/>
      <c r="X344" s="223"/>
      <c r="Y344" s="223"/>
      <c r="Z344" s="223"/>
      <c r="AA344" s="223"/>
      <c r="AB344" s="223"/>
      <c r="AC344" s="223"/>
    </row>
    <row r="345" spans="1:29" x14ac:dyDescent="0.25">
      <c r="A345" s="223"/>
      <c r="B345" s="223"/>
      <c r="C345" s="223"/>
      <c r="D345" s="223"/>
      <c r="E345" s="223"/>
      <c r="F345" s="276"/>
      <c r="G345" s="226"/>
      <c r="H345" s="223"/>
      <c r="I345" s="223"/>
      <c r="J345" s="223"/>
      <c r="K345" s="223"/>
      <c r="L345" s="223"/>
      <c r="M345" s="223"/>
      <c r="N345" s="223"/>
      <c r="O345" s="223"/>
      <c r="P345" s="223"/>
      <c r="Q345" s="223"/>
      <c r="R345" s="890"/>
      <c r="S345" s="890"/>
      <c r="T345" s="223"/>
      <c r="U345" s="223"/>
      <c r="V345" s="223"/>
      <c r="W345" s="223"/>
      <c r="X345" s="223"/>
      <c r="Y345" s="223"/>
      <c r="Z345" s="223"/>
      <c r="AA345" s="223"/>
      <c r="AB345" s="223"/>
      <c r="AC345" s="223"/>
    </row>
    <row r="346" spans="1:29" x14ac:dyDescent="0.25">
      <c r="A346" s="223"/>
      <c r="B346" s="223"/>
      <c r="C346" s="223"/>
      <c r="D346" s="223"/>
      <c r="E346" s="223"/>
      <c r="F346" s="276"/>
      <c r="G346" s="226"/>
      <c r="H346" s="223"/>
      <c r="I346" s="223"/>
      <c r="J346" s="223"/>
      <c r="K346" s="223"/>
      <c r="L346" s="223"/>
      <c r="M346" s="223"/>
      <c r="N346" s="223"/>
      <c r="O346" s="223"/>
      <c r="P346" s="223"/>
      <c r="Q346" s="223"/>
      <c r="R346" s="890"/>
      <c r="S346" s="890"/>
      <c r="T346" s="223"/>
      <c r="U346" s="223"/>
      <c r="V346" s="223"/>
      <c r="W346" s="223"/>
      <c r="X346" s="223"/>
      <c r="Y346" s="223"/>
      <c r="Z346" s="223"/>
      <c r="AA346" s="223"/>
      <c r="AB346" s="223"/>
      <c r="AC346" s="223"/>
    </row>
    <row r="347" spans="1:29" x14ac:dyDescent="0.25">
      <c r="A347" s="223"/>
      <c r="B347" s="223"/>
      <c r="C347" s="223"/>
      <c r="D347" s="223"/>
      <c r="E347" s="223"/>
      <c r="F347" s="276"/>
      <c r="G347" s="226"/>
      <c r="H347" s="223"/>
      <c r="I347" s="223"/>
      <c r="J347" s="223"/>
      <c r="K347" s="223"/>
      <c r="L347" s="223"/>
      <c r="M347" s="223"/>
      <c r="N347" s="223"/>
      <c r="O347" s="223"/>
      <c r="P347" s="223"/>
      <c r="Q347" s="223"/>
      <c r="R347" s="890"/>
      <c r="S347" s="890"/>
      <c r="T347" s="223"/>
      <c r="U347" s="223"/>
      <c r="V347" s="223"/>
      <c r="W347" s="223"/>
      <c r="X347" s="223"/>
      <c r="Y347" s="223"/>
      <c r="Z347" s="223"/>
      <c r="AA347" s="223"/>
      <c r="AB347" s="223"/>
      <c r="AC347" s="223"/>
    </row>
    <row r="348" spans="1:29" x14ac:dyDescent="0.25">
      <c r="A348" s="223"/>
      <c r="B348" s="223"/>
      <c r="C348" s="223"/>
      <c r="D348" s="223"/>
      <c r="E348" s="223"/>
      <c r="F348" s="276"/>
      <c r="G348" s="226"/>
      <c r="H348" s="223"/>
      <c r="I348" s="223"/>
      <c r="J348" s="223"/>
      <c r="K348" s="223"/>
      <c r="L348" s="223"/>
      <c r="M348" s="223"/>
      <c r="N348" s="223"/>
      <c r="O348" s="223"/>
      <c r="P348" s="223"/>
      <c r="Q348" s="223"/>
      <c r="R348" s="890"/>
      <c r="S348" s="890"/>
      <c r="T348" s="223"/>
      <c r="U348" s="223"/>
      <c r="V348" s="223"/>
      <c r="W348" s="223"/>
      <c r="X348" s="223"/>
      <c r="Y348" s="223"/>
      <c r="Z348" s="223"/>
      <c r="AA348" s="223"/>
      <c r="AB348" s="223"/>
      <c r="AC348" s="223"/>
    </row>
    <row r="349" spans="1:29" x14ac:dyDescent="0.25">
      <c r="A349" s="223"/>
      <c r="B349" s="223"/>
      <c r="C349" s="223"/>
      <c r="D349" s="223"/>
      <c r="E349" s="223"/>
      <c r="F349" s="276"/>
      <c r="G349" s="226"/>
      <c r="H349" s="223"/>
      <c r="I349" s="223"/>
      <c r="J349" s="223"/>
      <c r="K349" s="223"/>
      <c r="L349" s="223"/>
      <c r="M349" s="223"/>
      <c r="N349" s="223"/>
      <c r="O349" s="223"/>
      <c r="P349" s="223"/>
      <c r="Q349" s="223"/>
      <c r="R349" s="890"/>
      <c r="S349" s="890"/>
      <c r="T349" s="223"/>
      <c r="U349" s="223"/>
      <c r="V349" s="223"/>
      <c r="W349" s="223"/>
      <c r="X349" s="223"/>
      <c r="Y349" s="223"/>
      <c r="Z349" s="223"/>
      <c r="AA349" s="223"/>
      <c r="AB349" s="223"/>
      <c r="AC349" s="223"/>
    </row>
    <row r="350" spans="1:29" x14ac:dyDescent="0.25">
      <c r="A350" s="223"/>
      <c r="B350" s="223"/>
      <c r="C350" s="223"/>
      <c r="D350" s="223"/>
      <c r="E350" s="223"/>
      <c r="F350" s="276"/>
      <c r="G350" s="226"/>
      <c r="H350" s="223"/>
      <c r="I350" s="223"/>
      <c r="J350" s="223"/>
      <c r="K350" s="223"/>
      <c r="L350" s="223"/>
      <c r="M350" s="223"/>
      <c r="N350" s="223"/>
      <c r="O350" s="223"/>
      <c r="P350" s="223"/>
      <c r="Q350" s="223"/>
      <c r="R350" s="890"/>
      <c r="S350" s="890"/>
      <c r="T350" s="223"/>
      <c r="U350" s="223"/>
      <c r="V350" s="223"/>
      <c r="W350" s="223"/>
      <c r="X350" s="223"/>
      <c r="Y350" s="223"/>
      <c r="Z350" s="223"/>
      <c r="AA350" s="223"/>
      <c r="AB350" s="223"/>
      <c r="AC350" s="223"/>
    </row>
    <row r="351" spans="1:29" x14ac:dyDescent="0.25">
      <c r="A351" s="223"/>
      <c r="B351" s="223"/>
      <c r="C351" s="223"/>
      <c r="D351" s="223"/>
      <c r="E351" s="223"/>
      <c r="F351" s="276"/>
      <c r="G351" s="226"/>
      <c r="H351" s="223"/>
      <c r="I351" s="223"/>
      <c r="J351" s="223"/>
      <c r="K351" s="223"/>
      <c r="L351" s="223"/>
      <c r="M351" s="223"/>
      <c r="N351" s="223"/>
      <c r="O351" s="223"/>
      <c r="P351" s="223"/>
      <c r="Q351" s="223"/>
      <c r="R351" s="890"/>
      <c r="S351" s="890"/>
      <c r="T351" s="223"/>
      <c r="U351" s="223"/>
      <c r="V351" s="223"/>
      <c r="W351" s="223"/>
      <c r="X351" s="223"/>
      <c r="Y351" s="223"/>
      <c r="Z351" s="223"/>
      <c r="AA351" s="223"/>
      <c r="AB351" s="223"/>
      <c r="AC351" s="223"/>
    </row>
    <row r="352" spans="1:29" x14ac:dyDescent="0.25">
      <c r="A352" s="223"/>
      <c r="B352" s="223"/>
      <c r="C352" s="223"/>
      <c r="D352" s="223"/>
      <c r="E352" s="223"/>
      <c r="F352" s="276"/>
      <c r="G352" s="226"/>
      <c r="H352" s="223"/>
      <c r="I352" s="223"/>
      <c r="J352" s="223"/>
      <c r="K352" s="223"/>
      <c r="L352" s="223"/>
      <c r="M352" s="223"/>
      <c r="N352" s="223"/>
      <c r="O352" s="223"/>
      <c r="P352" s="223"/>
      <c r="Q352" s="223"/>
      <c r="R352" s="890"/>
      <c r="S352" s="890"/>
      <c r="T352" s="223"/>
      <c r="U352" s="223"/>
      <c r="V352" s="223"/>
      <c r="W352" s="223"/>
      <c r="X352" s="223"/>
      <c r="Y352" s="223"/>
      <c r="Z352" s="223"/>
      <c r="AA352" s="223"/>
      <c r="AB352" s="223"/>
      <c r="AC352" s="223"/>
    </row>
    <row r="353" spans="1:29" x14ac:dyDescent="0.25">
      <c r="A353" s="223"/>
      <c r="B353" s="223"/>
      <c r="C353" s="223"/>
      <c r="D353" s="223"/>
      <c r="E353" s="223"/>
      <c r="F353" s="276"/>
      <c r="G353" s="226"/>
      <c r="H353" s="223"/>
      <c r="I353" s="223"/>
      <c r="J353" s="223"/>
      <c r="K353" s="223"/>
      <c r="L353" s="223"/>
      <c r="M353" s="223"/>
      <c r="N353" s="223"/>
      <c r="O353" s="223"/>
      <c r="P353" s="223"/>
      <c r="Q353" s="223"/>
      <c r="R353" s="890"/>
      <c r="S353" s="890"/>
      <c r="T353" s="223"/>
      <c r="U353" s="223"/>
      <c r="V353" s="223"/>
      <c r="W353" s="223"/>
      <c r="X353" s="223"/>
      <c r="Y353" s="223"/>
      <c r="Z353" s="223"/>
      <c r="AA353" s="223"/>
      <c r="AB353" s="223"/>
      <c r="AC353" s="223"/>
    </row>
    <row r="354" spans="1:29" x14ac:dyDescent="0.25">
      <c r="A354" s="223"/>
      <c r="B354" s="223"/>
      <c r="C354" s="223"/>
      <c r="D354" s="223"/>
      <c r="E354" s="223"/>
      <c r="F354" s="276"/>
      <c r="G354" s="226"/>
      <c r="H354" s="223"/>
      <c r="I354" s="223"/>
      <c r="J354" s="223"/>
      <c r="K354" s="223"/>
      <c r="L354" s="223"/>
      <c r="M354" s="223"/>
      <c r="N354" s="223"/>
      <c r="O354" s="223"/>
      <c r="P354" s="223"/>
      <c r="Q354" s="223"/>
      <c r="R354" s="890"/>
      <c r="S354" s="890"/>
      <c r="T354" s="223"/>
      <c r="U354" s="223"/>
      <c r="V354" s="223"/>
      <c r="W354" s="223"/>
      <c r="X354" s="223"/>
      <c r="Y354" s="223"/>
      <c r="Z354" s="223"/>
      <c r="AA354" s="223"/>
      <c r="AB354" s="223"/>
      <c r="AC354" s="223"/>
    </row>
    <row r="355" spans="1:29" x14ac:dyDescent="0.25">
      <c r="A355" s="223"/>
      <c r="B355" s="223"/>
      <c r="C355" s="223"/>
      <c r="D355" s="223"/>
      <c r="E355" s="223"/>
      <c r="F355" s="276"/>
      <c r="G355" s="226"/>
      <c r="H355" s="223"/>
      <c r="I355" s="223"/>
      <c r="J355" s="223"/>
      <c r="K355" s="223"/>
      <c r="L355" s="223"/>
      <c r="M355" s="223"/>
      <c r="N355" s="223"/>
      <c r="O355" s="223"/>
      <c r="P355" s="223"/>
      <c r="Q355" s="223"/>
      <c r="R355" s="890"/>
      <c r="S355" s="890"/>
      <c r="T355" s="223"/>
      <c r="U355" s="223"/>
      <c r="V355" s="223"/>
      <c r="W355" s="223"/>
      <c r="X355" s="223"/>
      <c r="Y355" s="223"/>
      <c r="Z355" s="223"/>
      <c r="AA355" s="223"/>
      <c r="AB355" s="223"/>
      <c r="AC355" s="223"/>
    </row>
    <row r="356" spans="1:29" x14ac:dyDescent="0.25">
      <c r="A356" s="223"/>
      <c r="B356" s="223"/>
      <c r="C356" s="223"/>
      <c r="D356" s="223"/>
      <c r="E356" s="223"/>
      <c r="F356" s="276"/>
      <c r="G356" s="226"/>
      <c r="H356" s="223"/>
      <c r="I356" s="223"/>
      <c r="J356" s="223"/>
      <c r="K356" s="223"/>
      <c r="L356" s="223"/>
      <c r="M356" s="223"/>
      <c r="N356" s="223"/>
      <c r="O356" s="223"/>
      <c r="P356" s="223"/>
      <c r="Q356" s="223"/>
      <c r="R356" s="890"/>
      <c r="S356" s="890"/>
      <c r="T356" s="223"/>
      <c r="U356" s="223"/>
      <c r="V356" s="223"/>
      <c r="W356" s="223"/>
      <c r="X356" s="223"/>
      <c r="Y356" s="223"/>
      <c r="Z356" s="223"/>
      <c r="AA356" s="223"/>
      <c r="AB356" s="223"/>
      <c r="AC356" s="223"/>
    </row>
    <row r="357" spans="1:29" x14ac:dyDescent="0.25">
      <c r="A357" s="223"/>
      <c r="B357" s="223"/>
      <c r="C357" s="223"/>
      <c r="D357" s="223"/>
      <c r="E357" s="223"/>
      <c r="F357" s="276"/>
      <c r="G357" s="226"/>
      <c r="H357" s="223"/>
      <c r="I357" s="223"/>
      <c r="J357" s="223"/>
      <c r="K357" s="223"/>
      <c r="L357" s="223"/>
      <c r="M357" s="223"/>
      <c r="N357" s="223"/>
      <c r="O357" s="223"/>
      <c r="P357" s="223"/>
      <c r="Q357" s="223"/>
      <c r="R357" s="890"/>
      <c r="S357" s="890"/>
      <c r="T357" s="223"/>
      <c r="U357" s="223"/>
      <c r="V357" s="223"/>
      <c r="W357" s="223"/>
      <c r="X357" s="223"/>
      <c r="Y357" s="223"/>
      <c r="Z357" s="223"/>
      <c r="AA357" s="223"/>
      <c r="AB357" s="223"/>
      <c r="AC357" s="223"/>
    </row>
    <row r="358" spans="1:29" x14ac:dyDescent="0.25">
      <c r="A358" s="223"/>
      <c r="B358" s="223"/>
      <c r="C358" s="223"/>
      <c r="D358" s="223"/>
      <c r="E358" s="223"/>
      <c r="F358" s="276"/>
      <c r="G358" s="226"/>
      <c r="H358" s="223"/>
      <c r="I358" s="223"/>
      <c r="J358" s="223"/>
      <c r="K358" s="223"/>
      <c r="L358" s="223"/>
      <c r="M358" s="223"/>
      <c r="N358" s="223"/>
      <c r="O358" s="223"/>
      <c r="P358" s="223"/>
      <c r="Q358" s="223"/>
      <c r="R358" s="890"/>
      <c r="S358" s="890"/>
      <c r="T358" s="223"/>
      <c r="U358" s="223"/>
      <c r="V358" s="223"/>
      <c r="W358" s="223"/>
      <c r="X358" s="223"/>
      <c r="Y358" s="223"/>
      <c r="Z358" s="223"/>
      <c r="AA358" s="223"/>
      <c r="AB358" s="223"/>
      <c r="AC358" s="223"/>
    </row>
    <row r="359" spans="1:29" x14ac:dyDescent="0.25">
      <c r="A359" s="223"/>
      <c r="B359" s="223"/>
      <c r="C359" s="223"/>
      <c r="D359" s="223"/>
      <c r="E359" s="223"/>
      <c r="F359" s="276"/>
      <c r="G359" s="226"/>
      <c r="H359" s="223"/>
      <c r="I359" s="223"/>
      <c r="J359" s="223"/>
      <c r="K359" s="223"/>
      <c r="L359" s="223"/>
      <c r="M359" s="223"/>
      <c r="N359" s="223"/>
      <c r="O359" s="223"/>
      <c r="P359" s="223"/>
      <c r="Q359" s="223"/>
      <c r="R359" s="890"/>
      <c r="S359" s="890"/>
      <c r="T359" s="223"/>
      <c r="U359" s="223"/>
      <c r="V359" s="223"/>
      <c r="W359" s="223"/>
      <c r="X359" s="223"/>
      <c r="Y359" s="223"/>
      <c r="Z359" s="223"/>
      <c r="AA359" s="223"/>
      <c r="AB359" s="223"/>
      <c r="AC359" s="223"/>
    </row>
    <row r="360" spans="1:29" x14ac:dyDescent="0.25">
      <c r="A360" s="223"/>
      <c r="B360" s="223"/>
      <c r="C360" s="223"/>
      <c r="D360" s="223"/>
      <c r="E360" s="223"/>
      <c r="F360" s="276"/>
      <c r="G360" s="226"/>
      <c r="H360" s="223"/>
      <c r="I360" s="223"/>
      <c r="J360" s="223"/>
      <c r="K360" s="223"/>
      <c r="L360" s="223"/>
      <c r="M360" s="223"/>
      <c r="N360" s="223"/>
      <c r="O360" s="223"/>
      <c r="P360" s="223"/>
      <c r="Q360" s="223"/>
      <c r="R360" s="890"/>
      <c r="S360" s="890"/>
      <c r="T360" s="223"/>
      <c r="U360" s="223"/>
      <c r="V360" s="223"/>
      <c r="W360" s="223"/>
      <c r="X360" s="223"/>
      <c r="Y360" s="223"/>
      <c r="Z360" s="223"/>
      <c r="AA360" s="223"/>
      <c r="AB360" s="223"/>
      <c r="AC360" s="223"/>
    </row>
    <row r="361" spans="1:29" x14ac:dyDescent="0.25">
      <c r="A361" s="223"/>
      <c r="B361" s="223"/>
      <c r="C361" s="223"/>
      <c r="D361" s="223"/>
      <c r="E361" s="223"/>
      <c r="F361" s="276"/>
      <c r="G361" s="226"/>
      <c r="H361" s="223"/>
      <c r="I361" s="223"/>
      <c r="J361" s="223"/>
      <c r="K361" s="223"/>
      <c r="L361" s="223"/>
      <c r="M361" s="223"/>
      <c r="N361" s="223"/>
      <c r="O361" s="223"/>
      <c r="P361" s="223"/>
      <c r="Q361" s="223"/>
      <c r="R361" s="890"/>
      <c r="S361" s="890"/>
      <c r="T361" s="223"/>
      <c r="U361" s="223"/>
      <c r="V361" s="223"/>
      <c r="W361" s="223"/>
      <c r="X361" s="223"/>
      <c r="Y361" s="223"/>
      <c r="Z361" s="223"/>
      <c r="AA361" s="223"/>
      <c r="AB361" s="223"/>
      <c r="AC361" s="223"/>
    </row>
    <row r="362" spans="1:29" x14ac:dyDescent="0.25">
      <c r="A362" s="223"/>
      <c r="B362" s="223"/>
      <c r="C362" s="223"/>
      <c r="D362" s="223"/>
      <c r="E362" s="223"/>
      <c r="F362" s="276"/>
      <c r="G362" s="226"/>
      <c r="H362" s="223"/>
      <c r="I362" s="223"/>
      <c r="J362" s="223"/>
      <c r="K362" s="223"/>
      <c r="L362" s="223"/>
      <c r="M362" s="223"/>
      <c r="N362" s="223"/>
      <c r="O362" s="223"/>
      <c r="P362" s="223"/>
      <c r="Q362" s="223"/>
      <c r="R362" s="890"/>
      <c r="S362" s="890"/>
      <c r="T362" s="223"/>
      <c r="U362" s="223"/>
      <c r="V362" s="223"/>
      <c r="W362" s="223"/>
      <c r="X362" s="223"/>
      <c r="Y362" s="223"/>
      <c r="Z362" s="223"/>
      <c r="AA362" s="223"/>
      <c r="AB362" s="223"/>
      <c r="AC362" s="223"/>
    </row>
    <row r="363" spans="1:29" x14ac:dyDescent="0.25">
      <c r="A363" s="223"/>
      <c r="B363" s="223"/>
      <c r="C363" s="223"/>
      <c r="D363" s="223"/>
      <c r="E363" s="223"/>
      <c r="F363" s="276"/>
      <c r="G363" s="226"/>
      <c r="H363" s="223"/>
      <c r="I363" s="223"/>
      <c r="J363" s="223"/>
      <c r="K363" s="223"/>
      <c r="L363" s="223"/>
      <c r="M363" s="223"/>
      <c r="N363" s="223"/>
      <c r="O363" s="223"/>
      <c r="P363" s="223"/>
      <c r="Q363" s="223"/>
      <c r="R363" s="890"/>
      <c r="S363" s="890"/>
      <c r="T363" s="223"/>
      <c r="U363" s="223"/>
      <c r="V363" s="223"/>
      <c r="W363" s="223"/>
      <c r="X363" s="223"/>
      <c r="Y363" s="223"/>
      <c r="Z363" s="223"/>
      <c r="AA363" s="223"/>
      <c r="AB363" s="223"/>
      <c r="AC363" s="223"/>
    </row>
    <row r="364" spans="1:29" x14ac:dyDescent="0.25">
      <c r="A364" s="223"/>
      <c r="B364" s="223"/>
      <c r="C364" s="223"/>
      <c r="D364" s="223"/>
      <c r="E364" s="223"/>
      <c r="F364" s="276"/>
      <c r="G364" s="226"/>
      <c r="H364" s="223"/>
      <c r="I364" s="223"/>
      <c r="J364" s="223"/>
      <c r="K364" s="223"/>
      <c r="L364" s="223"/>
      <c r="M364" s="223"/>
      <c r="N364" s="223"/>
      <c r="O364" s="223"/>
      <c r="P364" s="223"/>
      <c r="Q364" s="223"/>
      <c r="R364" s="890"/>
      <c r="S364" s="890"/>
      <c r="T364" s="223"/>
      <c r="U364" s="223"/>
      <c r="V364" s="223"/>
      <c r="W364" s="223"/>
      <c r="X364" s="223"/>
      <c r="Y364" s="223"/>
      <c r="Z364" s="223"/>
      <c r="AA364" s="223"/>
      <c r="AB364" s="223"/>
      <c r="AC364" s="223"/>
    </row>
    <row r="365" spans="1:29" x14ac:dyDescent="0.25">
      <c r="A365" s="223"/>
      <c r="B365" s="223"/>
      <c r="C365" s="223"/>
      <c r="D365" s="223"/>
      <c r="E365" s="223"/>
      <c r="F365" s="276"/>
      <c r="G365" s="226"/>
      <c r="H365" s="223"/>
      <c r="I365" s="223"/>
      <c r="J365" s="223"/>
      <c r="K365" s="223"/>
      <c r="L365" s="223"/>
      <c r="M365" s="223"/>
      <c r="N365" s="223"/>
      <c r="O365" s="223"/>
      <c r="P365" s="223"/>
      <c r="Q365" s="223"/>
      <c r="R365" s="890"/>
      <c r="S365" s="890"/>
      <c r="T365" s="223"/>
      <c r="U365" s="223"/>
      <c r="V365" s="223"/>
      <c r="W365" s="223"/>
      <c r="X365" s="223"/>
      <c r="Y365" s="223"/>
      <c r="Z365" s="223"/>
      <c r="AA365" s="223"/>
      <c r="AB365" s="223"/>
      <c r="AC365" s="223"/>
    </row>
    <row r="366" spans="1:29" x14ac:dyDescent="0.25">
      <c r="A366" s="223"/>
      <c r="B366" s="223"/>
      <c r="C366" s="223"/>
      <c r="D366" s="223"/>
      <c r="E366" s="223"/>
      <c r="F366" s="276"/>
      <c r="G366" s="226"/>
      <c r="H366" s="223"/>
      <c r="I366" s="223"/>
      <c r="J366" s="223"/>
      <c r="K366" s="223"/>
      <c r="L366" s="223"/>
      <c r="M366" s="223"/>
      <c r="N366" s="223"/>
      <c r="O366" s="223"/>
      <c r="P366" s="223"/>
      <c r="Q366" s="223"/>
      <c r="R366" s="890"/>
      <c r="S366" s="890"/>
      <c r="T366" s="223"/>
      <c r="U366" s="223"/>
      <c r="V366" s="223"/>
      <c r="W366" s="223"/>
      <c r="X366" s="223"/>
      <c r="Y366" s="223"/>
      <c r="Z366" s="223"/>
      <c r="AA366" s="223"/>
      <c r="AB366" s="223"/>
      <c r="AC366" s="223"/>
    </row>
    <row r="367" spans="1:29" x14ac:dyDescent="0.25">
      <c r="A367" s="223"/>
      <c r="B367" s="223"/>
      <c r="C367" s="223"/>
      <c r="D367" s="223"/>
      <c r="E367" s="223"/>
      <c r="F367" s="276"/>
      <c r="G367" s="226"/>
      <c r="H367" s="223"/>
      <c r="I367" s="223"/>
      <c r="J367" s="223"/>
      <c r="K367" s="223"/>
      <c r="L367" s="223"/>
      <c r="M367" s="223"/>
      <c r="N367" s="223"/>
      <c r="O367" s="223"/>
      <c r="P367" s="223"/>
      <c r="Q367" s="223"/>
      <c r="R367" s="890"/>
      <c r="S367" s="890"/>
      <c r="T367" s="223"/>
      <c r="U367" s="223"/>
      <c r="V367" s="223"/>
      <c r="W367" s="223"/>
      <c r="X367" s="223"/>
      <c r="Y367" s="223"/>
      <c r="Z367" s="223"/>
      <c r="AA367" s="223"/>
      <c r="AB367" s="223"/>
      <c r="AC367" s="223"/>
    </row>
    <row r="368" spans="1:29" x14ac:dyDescent="0.25">
      <c r="A368" s="223"/>
      <c r="B368" s="223"/>
      <c r="C368" s="223"/>
      <c r="D368" s="223"/>
      <c r="E368" s="223"/>
      <c r="F368" s="276"/>
      <c r="G368" s="226"/>
      <c r="H368" s="223"/>
      <c r="I368" s="223"/>
      <c r="J368" s="223"/>
      <c r="K368" s="223"/>
      <c r="L368" s="223"/>
      <c r="M368" s="223"/>
      <c r="N368" s="223"/>
      <c r="O368" s="223"/>
      <c r="P368" s="223"/>
      <c r="Q368" s="223"/>
      <c r="R368" s="890"/>
      <c r="S368" s="890"/>
      <c r="T368" s="223"/>
      <c r="U368" s="223"/>
      <c r="V368" s="223"/>
      <c r="W368" s="223"/>
      <c r="X368" s="223"/>
      <c r="Y368" s="223"/>
      <c r="Z368" s="223"/>
      <c r="AA368" s="223"/>
      <c r="AB368" s="223"/>
      <c r="AC368" s="223"/>
    </row>
    <row r="369" spans="1:29" x14ac:dyDescent="0.25">
      <c r="A369" s="223"/>
      <c r="B369" s="223"/>
      <c r="C369" s="223"/>
      <c r="D369" s="223"/>
      <c r="E369" s="223"/>
      <c r="F369" s="276"/>
      <c r="G369" s="226"/>
      <c r="H369" s="223"/>
      <c r="I369" s="223"/>
      <c r="J369" s="223"/>
      <c r="K369" s="223"/>
      <c r="L369" s="223"/>
      <c r="M369" s="223"/>
      <c r="N369" s="223"/>
      <c r="O369" s="223"/>
      <c r="P369" s="223"/>
      <c r="Q369" s="223"/>
      <c r="R369" s="890"/>
      <c r="S369" s="890"/>
      <c r="T369" s="223"/>
      <c r="U369" s="223"/>
      <c r="V369" s="223"/>
      <c r="W369" s="223"/>
      <c r="X369" s="223"/>
      <c r="Y369" s="223"/>
      <c r="Z369" s="223"/>
      <c r="AA369" s="223"/>
      <c r="AB369" s="223"/>
      <c r="AC369" s="223"/>
    </row>
    <row r="370" spans="1:29" x14ac:dyDescent="0.25">
      <c r="A370" s="223"/>
      <c r="B370" s="223"/>
      <c r="C370" s="223"/>
      <c r="D370" s="223"/>
      <c r="E370" s="223"/>
      <c r="F370" s="276"/>
      <c r="G370" s="226"/>
      <c r="H370" s="223"/>
      <c r="I370" s="223"/>
      <c r="J370" s="223"/>
      <c r="K370" s="223"/>
      <c r="L370" s="223"/>
      <c r="M370" s="223"/>
      <c r="N370" s="223"/>
      <c r="O370" s="223"/>
      <c r="P370" s="223"/>
      <c r="Q370" s="223"/>
      <c r="R370" s="890"/>
      <c r="S370" s="890"/>
      <c r="T370" s="223"/>
      <c r="U370" s="223"/>
      <c r="V370" s="223"/>
      <c r="W370" s="223"/>
      <c r="X370" s="223"/>
      <c r="Y370" s="223"/>
      <c r="Z370" s="223"/>
      <c r="AA370" s="223"/>
      <c r="AB370" s="223"/>
      <c r="AC370" s="223"/>
    </row>
    <row r="371" spans="1:29" x14ac:dyDescent="0.25">
      <c r="A371" s="223"/>
      <c r="B371" s="223"/>
      <c r="C371" s="223"/>
      <c r="D371" s="223"/>
      <c r="E371" s="223"/>
      <c r="F371" s="276"/>
      <c r="G371" s="226"/>
      <c r="H371" s="223"/>
      <c r="I371" s="223"/>
      <c r="J371" s="223"/>
      <c r="K371" s="223"/>
      <c r="L371" s="223"/>
      <c r="M371" s="223"/>
      <c r="N371" s="223"/>
      <c r="O371" s="223"/>
      <c r="P371" s="223"/>
      <c r="Q371" s="223"/>
      <c r="R371" s="890"/>
      <c r="S371" s="890"/>
      <c r="T371" s="223"/>
      <c r="U371" s="223"/>
      <c r="V371" s="223"/>
      <c r="W371" s="223"/>
      <c r="X371" s="223"/>
      <c r="Y371" s="223"/>
      <c r="Z371" s="223"/>
      <c r="AA371" s="223"/>
      <c r="AB371" s="223"/>
      <c r="AC371" s="223"/>
    </row>
    <row r="372" spans="1:29" x14ac:dyDescent="0.25">
      <c r="A372" s="223"/>
      <c r="B372" s="223"/>
      <c r="C372" s="223"/>
      <c r="D372" s="223"/>
      <c r="E372" s="223"/>
      <c r="F372" s="276"/>
      <c r="G372" s="226"/>
      <c r="H372" s="223"/>
      <c r="I372" s="223"/>
      <c r="J372" s="223"/>
      <c r="K372" s="223"/>
      <c r="L372" s="223"/>
      <c r="M372" s="223"/>
      <c r="N372" s="223"/>
      <c r="O372" s="223"/>
      <c r="P372" s="223"/>
      <c r="Q372" s="223"/>
      <c r="R372" s="890"/>
      <c r="S372" s="890"/>
      <c r="T372" s="223"/>
      <c r="U372" s="223"/>
      <c r="V372" s="223"/>
      <c r="W372" s="223"/>
      <c r="X372" s="223"/>
      <c r="Y372" s="223"/>
      <c r="Z372" s="223"/>
      <c r="AA372" s="223"/>
      <c r="AB372" s="223"/>
      <c r="AC372" s="223"/>
    </row>
    <row r="373" spans="1:29" x14ac:dyDescent="0.25">
      <c r="A373" s="223"/>
      <c r="B373" s="223"/>
      <c r="C373" s="223"/>
      <c r="D373" s="223"/>
      <c r="E373" s="223"/>
      <c r="F373" s="276"/>
      <c r="G373" s="226"/>
      <c r="H373" s="223"/>
      <c r="I373" s="223"/>
      <c r="J373" s="223"/>
      <c r="K373" s="223"/>
      <c r="L373" s="223"/>
      <c r="M373" s="223"/>
      <c r="N373" s="223"/>
      <c r="O373" s="223"/>
      <c r="P373" s="223"/>
      <c r="Q373" s="223"/>
      <c r="R373" s="890"/>
      <c r="S373" s="890"/>
      <c r="T373" s="223"/>
      <c r="U373" s="223"/>
      <c r="V373" s="223"/>
      <c r="W373" s="223"/>
      <c r="X373" s="223"/>
      <c r="Y373" s="223"/>
      <c r="Z373" s="223"/>
      <c r="AA373" s="223"/>
      <c r="AB373" s="223"/>
      <c r="AC373" s="223"/>
    </row>
    <row r="374" spans="1:29" x14ac:dyDescent="0.25">
      <c r="A374" s="223"/>
      <c r="B374" s="223"/>
      <c r="C374" s="223"/>
      <c r="D374" s="223"/>
      <c r="E374" s="223"/>
      <c r="F374" s="276"/>
      <c r="G374" s="226"/>
      <c r="H374" s="223"/>
      <c r="I374" s="223"/>
      <c r="J374" s="223"/>
      <c r="K374" s="223"/>
      <c r="L374" s="223"/>
      <c r="M374" s="223"/>
      <c r="N374" s="223"/>
      <c r="O374" s="223"/>
      <c r="P374" s="223"/>
      <c r="Q374" s="223"/>
      <c r="R374" s="890"/>
      <c r="S374" s="890"/>
      <c r="T374" s="223"/>
      <c r="U374" s="223"/>
      <c r="V374" s="223"/>
      <c r="W374" s="223"/>
      <c r="X374" s="223"/>
      <c r="Y374" s="223"/>
      <c r="Z374" s="223"/>
      <c r="AA374" s="223"/>
      <c r="AB374" s="223"/>
      <c r="AC374" s="223"/>
    </row>
    <row r="375" spans="1:29" x14ac:dyDescent="0.25">
      <c r="A375" s="223"/>
      <c r="B375" s="223"/>
      <c r="C375" s="223"/>
      <c r="D375" s="223"/>
      <c r="E375" s="223"/>
      <c r="F375" s="276"/>
      <c r="G375" s="226"/>
      <c r="H375" s="223"/>
      <c r="I375" s="223"/>
      <c r="J375" s="223"/>
      <c r="K375" s="223"/>
      <c r="L375" s="223"/>
      <c r="M375" s="223"/>
      <c r="N375" s="223"/>
      <c r="O375" s="223"/>
      <c r="P375" s="223"/>
      <c r="Q375" s="223"/>
      <c r="R375" s="890"/>
      <c r="S375" s="890"/>
      <c r="T375" s="223"/>
      <c r="U375" s="223"/>
      <c r="V375" s="223"/>
      <c r="W375" s="223"/>
      <c r="X375" s="223"/>
      <c r="Y375" s="223"/>
      <c r="Z375" s="223"/>
      <c r="AA375" s="223"/>
      <c r="AB375" s="223"/>
      <c r="AC375" s="223"/>
    </row>
    <row r="376" spans="1:29" x14ac:dyDescent="0.25">
      <c r="A376" s="223"/>
      <c r="B376" s="223"/>
      <c r="C376" s="223"/>
      <c r="D376" s="223"/>
      <c r="E376" s="223"/>
      <c r="F376" s="276"/>
      <c r="G376" s="226"/>
      <c r="H376" s="223"/>
      <c r="I376" s="223"/>
      <c r="J376" s="223"/>
      <c r="K376" s="223"/>
      <c r="L376" s="223"/>
      <c r="M376" s="223"/>
      <c r="N376" s="223"/>
      <c r="O376" s="223"/>
      <c r="P376" s="223"/>
      <c r="Q376" s="223"/>
      <c r="R376" s="890"/>
      <c r="S376" s="890"/>
      <c r="T376" s="223"/>
      <c r="U376" s="223"/>
      <c r="V376" s="223"/>
      <c r="W376" s="223"/>
      <c r="X376" s="223"/>
      <c r="Y376" s="223"/>
      <c r="Z376" s="223"/>
      <c r="AA376" s="223"/>
      <c r="AB376" s="223"/>
      <c r="AC376" s="223"/>
    </row>
    <row r="377" spans="1:29" x14ac:dyDescent="0.25">
      <c r="A377" s="223"/>
      <c r="B377" s="223"/>
      <c r="C377" s="223"/>
      <c r="D377" s="223"/>
      <c r="E377" s="223"/>
      <c r="F377" s="276"/>
      <c r="G377" s="226"/>
      <c r="H377" s="223"/>
      <c r="I377" s="223"/>
      <c r="J377" s="223"/>
      <c r="K377" s="223"/>
      <c r="L377" s="223"/>
      <c r="M377" s="223"/>
      <c r="N377" s="223"/>
      <c r="O377" s="223"/>
      <c r="P377" s="223"/>
      <c r="Q377" s="223"/>
      <c r="R377" s="890"/>
      <c r="S377" s="890"/>
      <c r="T377" s="223"/>
      <c r="U377" s="223"/>
      <c r="V377" s="223"/>
      <c r="W377" s="223"/>
      <c r="X377" s="223"/>
      <c r="Y377" s="223"/>
      <c r="Z377" s="223"/>
      <c r="AA377" s="223"/>
      <c r="AB377" s="223"/>
      <c r="AC377" s="223"/>
    </row>
    <row r="378" spans="1:29" x14ac:dyDescent="0.25">
      <c r="A378" s="223"/>
      <c r="B378" s="223"/>
      <c r="C378" s="223"/>
      <c r="D378" s="223"/>
      <c r="E378" s="223"/>
      <c r="F378" s="276"/>
      <c r="G378" s="226"/>
      <c r="H378" s="223"/>
      <c r="I378" s="223"/>
      <c r="J378" s="223"/>
      <c r="K378" s="223"/>
      <c r="L378" s="223"/>
      <c r="M378" s="223"/>
      <c r="N378" s="223"/>
      <c r="O378" s="223"/>
      <c r="P378" s="223"/>
      <c r="Q378" s="223"/>
      <c r="R378" s="890"/>
      <c r="S378" s="890"/>
      <c r="T378" s="223"/>
      <c r="U378" s="223"/>
      <c r="V378" s="223"/>
      <c r="W378" s="223"/>
      <c r="X378" s="223"/>
      <c r="Y378" s="223"/>
      <c r="Z378" s="223"/>
      <c r="AA378" s="223"/>
      <c r="AB378" s="223"/>
      <c r="AC378" s="223"/>
    </row>
    <row r="379" spans="1:29" x14ac:dyDescent="0.25">
      <c r="A379" s="223"/>
      <c r="B379" s="223"/>
      <c r="C379" s="223"/>
      <c r="D379" s="223"/>
      <c r="E379" s="223"/>
      <c r="F379" s="276"/>
      <c r="G379" s="226"/>
      <c r="H379" s="223"/>
      <c r="I379" s="223"/>
      <c r="J379" s="223"/>
      <c r="K379" s="223"/>
      <c r="L379" s="223"/>
      <c r="M379" s="223"/>
      <c r="N379" s="223"/>
      <c r="O379" s="223"/>
      <c r="P379" s="223"/>
      <c r="Q379" s="223"/>
      <c r="R379" s="890"/>
      <c r="S379" s="890"/>
      <c r="T379" s="223"/>
      <c r="U379" s="223"/>
      <c r="V379" s="223"/>
      <c r="W379" s="223"/>
      <c r="X379" s="223"/>
      <c r="Y379" s="223"/>
      <c r="Z379" s="223"/>
      <c r="AA379" s="223"/>
      <c r="AB379" s="223"/>
      <c r="AC379" s="223"/>
    </row>
    <row r="380" spans="1:29" x14ac:dyDescent="0.25">
      <c r="A380" s="223"/>
      <c r="B380" s="223"/>
      <c r="C380" s="223"/>
      <c r="D380" s="223"/>
      <c r="E380" s="223"/>
      <c r="F380" s="276"/>
      <c r="G380" s="226"/>
      <c r="H380" s="223"/>
      <c r="I380" s="223"/>
      <c r="J380" s="223"/>
      <c r="K380" s="223"/>
      <c r="L380" s="223"/>
      <c r="M380" s="223"/>
      <c r="N380" s="223"/>
      <c r="O380" s="223"/>
      <c r="P380" s="223"/>
      <c r="Q380" s="223"/>
      <c r="R380" s="890"/>
      <c r="S380" s="890"/>
      <c r="T380" s="223"/>
      <c r="U380" s="223"/>
      <c r="V380" s="223"/>
      <c r="W380" s="223"/>
      <c r="X380" s="223"/>
      <c r="Y380" s="223"/>
      <c r="Z380" s="223"/>
      <c r="AA380" s="223"/>
      <c r="AB380" s="223"/>
      <c r="AC380" s="223"/>
    </row>
    <row r="381" spans="1:29" x14ac:dyDescent="0.25">
      <c r="A381" s="223"/>
      <c r="B381" s="223"/>
      <c r="C381" s="223"/>
      <c r="D381" s="223"/>
      <c r="E381" s="223"/>
      <c r="F381" s="276"/>
      <c r="G381" s="226"/>
      <c r="H381" s="223"/>
      <c r="I381" s="223"/>
      <c r="J381" s="223"/>
      <c r="K381" s="223"/>
      <c r="L381" s="223"/>
      <c r="M381" s="223"/>
      <c r="N381" s="223"/>
      <c r="O381" s="223"/>
      <c r="P381" s="223"/>
      <c r="Q381" s="223"/>
      <c r="R381" s="890"/>
      <c r="S381" s="890"/>
      <c r="T381" s="223"/>
      <c r="U381" s="223"/>
      <c r="V381" s="223"/>
      <c r="W381" s="223"/>
      <c r="X381" s="223"/>
      <c r="Y381" s="223"/>
      <c r="Z381" s="223"/>
      <c r="AA381" s="223"/>
      <c r="AB381" s="223"/>
      <c r="AC381" s="223"/>
    </row>
    <row r="382" spans="1:29" x14ac:dyDescent="0.25">
      <c r="A382" s="223"/>
      <c r="B382" s="223"/>
      <c r="C382" s="223"/>
      <c r="D382" s="223"/>
      <c r="E382" s="223"/>
      <c r="F382" s="276"/>
      <c r="G382" s="226"/>
      <c r="H382" s="223"/>
      <c r="I382" s="223"/>
      <c r="J382" s="223"/>
      <c r="K382" s="223"/>
      <c r="L382" s="223"/>
      <c r="M382" s="223"/>
      <c r="N382" s="223"/>
      <c r="O382" s="223"/>
      <c r="P382" s="223"/>
      <c r="Q382" s="223"/>
      <c r="R382" s="890"/>
      <c r="S382" s="890"/>
      <c r="T382" s="223"/>
      <c r="U382" s="223"/>
      <c r="V382" s="223"/>
      <c r="W382" s="223"/>
      <c r="X382" s="223"/>
      <c r="Y382" s="223"/>
      <c r="Z382" s="223"/>
      <c r="AA382" s="223"/>
      <c r="AB382" s="223"/>
      <c r="AC382" s="223"/>
    </row>
    <row r="383" spans="1:29" x14ac:dyDescent="0.25">
      <c r="A383" s="223"/>
      <c r="B383" s="223"/>
      <c r="C383" s="223"/>
      <c r="D383" s="223"/>
      <c r="E383" s="223"/>
      <c r="F383" s="276"/>
      <c r="G383" s="226"/>
      <c r="H383" s="223"/>
      <c r="I383" s="223"/>
      <c r="J383" s="223"/>
      <c r="K383" s="223"/>
      <c r="L383" s="223"/>
      <c r="M383" s="223"/>
      <c r="N383" s="223"/>
      <c r="O383" s="223"/>
      <c r="P383" s="223"/>
      <c r="Q383" s="223"/>
      <c r="R383" s="890"/>
      <c r="S383" s="890"/>
      <c r="T383" s="223"/>
      <c r="U383" s="223"/>
      <c r="V383" s="223"/>
      <c r="W383" s="223"/>
      <c r="X383" s="223"/>
      <c r="Y383" s="223"/>
      <c r="Z383" s="223"/>
      <c r="AA383" s="223"/>
      <c r="AB383" s="223"/>
      <c r="AC383" s="223"/>
    </row>
    <row r="384" spans="1:29" x14ac:dyDescent="0.25">
      <c r="A384" s="223"/>
      <c r="B384" s="223"/>
      <c r="C384" s="223"/>
      <c r="D384" s="223"/>
      <c r="E384" s="223"/>
      <c r="F384" s="276"/>
      <c r="G384" s="226"/>
      <c r="H384" s="223"/>
      <c r="I384" s="223"/>
      <c r="J384" s="223"/>
      <c r="K384" s="223"/>
      <c r="L384" s="223"/>
      <c r="M384" s="223"/>
      <c r="N384" s="223"/>
      <c r="O384" s="223"/>
      <c r="P384" s="223"/>
      <c r="Q384" s="223"/>
      <c r="R384" s="890"/>
      <c r="S384" s="890"/>
      <c r="T384" s="223"/>
      <c r="U384" s="223"/>
      <c r="V384" s="223"/>
      <c r="W384" s="223"/>
      <c r="X384" s="223"/>
      <c r="Y384" s="223"/>
      <c r="Z384" s="223"/>
      <c r="AA384" s="223"/>
      <c r="AB384" s="223"/>
      <c r="AC384" s="223"/>
    </row>
    <row r="385" spans="1:29" x14ac:dyDescent="0.25">
      <c r="A385" s="223"/>
      <c r="B385" s="223"/>
      <c r="C385" s="223"/>
      <c r="D385" s="223"/>
      <c r="E385" s="223"/>
      <c r="F385" s="276"/>
      <c r="G385" s="226"/>
      <c r="H385" s="223"/>
      <c r="I385" s="223"/>
      <c r="J385" s="223"/>
      <c r="K385" s="223"/>
      <c r="L385" s="223"/>
      <c r="M385" s="223"/>
      <c r="N385" s="223"/>
      <c r="O385" s="223"/>
      <c r="P385" s="223"/>
      <c r="Q385" s="223"/>
      <c r="R385" s="890"/>
      <c r="S385" s="890"/>
      <c r="T385" s="223"/>
      <c r="U385" s="223"/>
      <c r="V385" s="223"/>
      <c r="W385" s="223"/>
      <c r="X385" s="223"/>
      <c r="Y385" s="223"/>
      <c r="Z385" s="223"/>
      <c r="AA385" s="223"/>
      <c r="AB385" s="223"/>
      <c r="AC385" s="223"/>
    </row>
    <row r="386" spans="1:29" x14ac:dyDescent="0.25">
      <c r="A386" s="223"/>
      <c r="B386" s="223"/>
      <c r="C386" s="223"/>
      <c r="D386" s="223"/>
      <c r="E386" s="223"/>
      <c r="F386" s="276"/>
      <c r="G386" s="226"/>
      <c r="H386" s="223"/>
      <c r="I386" s="223"/>
      <c r="J386" s="223"/>
      <c r="K386" s="223"/>
      <c r="L386" s="223"/>
      <c r="M386" s="223"/>
      <c r="N386" s="223"/>
      <c r="O386" s="223"/>
      <c r="P386" s="223"/>
      <c r="Q386" s="223"/>
      <c r="R386" s="890"/>
      <c r="S386" s="890"/>
      <c r="T386" s="223"/>
      <c r="U386" s="223"/>
      <c r="V386" s="223"/>
      <c r="W386" s="223"/>
      <c r="X386" s="223"/>
      <c r="Y386" s="223"/>
      <c r="Z386" s="223"/>
      <c r="AA386" s="223"/>
      <c r="AB386" s="223"/>
      <c r="AC386" s="223"/>
    </row>
    <row r="387" spans="1:29" x14ac:dyDescent="0.25">
      <c r="A387" s="223"/>
      <c r="B387" s="223"/>
      <c r="C387" s="223"/>
      <c r="D387" s="223"/>
      <c r="E387" s="223"/>
      <c r="F387" s="276"/>
      <c r="G387" s="226"/>
      <c r="H387" s="223"/>
      <c r="I387" s="223"/>
      <c r="J387" s="223"/>
      <c r="K387" s="223"/>
      <c r="L387" s="223"/>
      <c r="M387" s="223"/>
      <c r="N387" s="223"/>
      <c r="O387" s="223"/>
      <c r="P387" s="223"/>
      <c r="Q387" s="223"/>
      <c r="R387" s="890"/>
      <c r="S387" s="890"/>
      <c r="T387" s="223"/>
      <c r="U387" s="223"/>
      <c r="V387" s="223"/>
      <c r="W387" s="223"/>
      <c r="X387" s="223"/>
      <c r="Y387" s="223"/>
      <c r="Z387" s="223"/>
      <c r="AA387" s="223"/>
      <c r="AB387" s="223"/>
      <c r="AC387" s="223"/>
    </row>
    <row r="388" spans="1:29" x14ac:dyDescent="0.25">
      <c r="A388" s="223"/>
      <c r="B388" s="223"/>
      <c r="C388" s="223"/>
      <c r="D388" s="223"/>
      <c r="E388" s="223"/>
      <c r="F388" s="276"/>
      <c r="G388" s="226"/>
      <c r="H388" s="223"/>
      <c r="I388" s="223"/>
      <c r="J388" s="223"/>
      <c r="K388" s="223"/>
      <c r="L388" s="223"/>
      <c r="M388" s="223"/>
      <c r="N388" s="223"/>
      <c r="O388" s="223"/>
      <c r="P388" s="223"/>
      <c r="Q388" s="223"/>
      <c r="R388" s="890"/>
      <c r="S388" s="890"/>
      <c r="T388" s="223"/>
      <c r="U388" s="223"/>
      <c r="V388" s="223"/>
      <c r="W388" s="223"/>
      <c r="X388" s="223"/>
      <c r="Y388" s="223"/>
      <c r="Z388" s="223"/>
      <c r="AA388" s="223"/>
      <c r="AB388" s="223"/>
      <c r="AC388" s="223"/>
    </row>
    <row r="389" spans="1:29" x14ac:dyDescent="0.25">
      <c r="A389" s="223"/>
      <c r="B389" s="223"/>
      <c r="C389" s="223"/>
      <c r="D389" s="223"/>
      <c r="E389" s="223"/>
      <c r="F389" s="276"/>
      <c r="G389" s="226"/>
      <c r="H389" s="223"/>
      <c r="I389" s="223"/>
      <c r="J389" s="223"/>
      <c r="K389" s="223"/>
      <c r="L389" s="223"/>
      <c r="M389" s="223"/>
      <c r="N389" s="223"/>
      <c r="O389" s="223"/>
      <c r="P389" s="223"/>
      <c r="Q389" s="223"/>
      <c r="R389" s="890"/>
      <c r="S389" s="890"/>
      <c r="T389" s="223"/>
      <c r="U389" s="223"/>
      <c r="V389" s="223"/>
      <c r="W389" s="223"/>
      <c r="X389" s="223"/>
      <c r="Y389" s="223"/>
      <c r="Z389" s="223"/>
      <c r="AA389" s="223"/>
      <c r="AB389" s="223"/>
      <c r="AC389" s="223"/>
    </row>
    <row r="390" spans="1:29" x14ac:dyDescent="0.25">
      <c r="A390" s="223"/>
      <c r="B390" s="223"/>
      <c r="C390" s="223"/>
      <c r="D390" s="223"/>
      <c r="E390" s="223"/>
      <c r="F390" s="276"/>
      <c r="G390" s="226"/>
      <c r="H390" s="223"/>
      <c r="I390" s="223"/>
      <c r="J390" s="223"/>
      <c r="K390" s="223"/>
      <c r="L390" s="223"/>
      <c r="M390" s="223"/>
      <c r="N390" s="223"/>
      <c r="O390" s="223"/>
      <c r="P390" s="223"/>
      <c r="Q390" s="223"/>
      <c r="R390" s="890"/>
      <c r="S390" s="890"/>
      <c r="T390" s="223"/>
      <c r="U390" s="223"/>
      <c r="V390" s="223"/>
      <c r="W390" s="223"/>
      <c r="X390" s="223"/>
      <c r="Y390" s="223"/>
      <c r="Z390" s="223"/>
      <c r="AA390" s="223"/>
      <c r="AB390" s="223"/>
      <c r="AC390" s="223"/>
    </row>
    <row r="391" spans="1:29" x14ac:dyDescent="0.25">
      <c r="A391" s="223"/>
      <c r="B391" s="223"/>
      <c r="C391" s="223"/>
      <c r="D391" s="223"/>
      <c r="E391" s="223"/>
      <c r="F391" s="276"/>
      <c r="G391" s="226"/>
      <c r="H391" s="223"/>
      <c r="I391" s="223"/>
      <c r="J391" s="223"/>
      <c r="K391" s="223"/>
      <c r="L391" s="223"/>
      <c r="M391" s="223"/>
      <c r="N391" s="223"/>
      <c r="O391" s="223"/>
      <c r="P391" s="223"/>
      <c r="Q391" s="223"/>
      <c r="R391" s="890"/>
      <c r="S391" s="890"/>
      <c r="T391" s="223"/>
      <c r="U391" s="223"/>
      <c r="V391" s="223"/>
      <c r="W391" s="223"/>
      <c r="X391" s="223"/>
      <c r="Y391" s="223"/>
      <c r="Z391" s="223"/>
      <c r="AA391" s="223"/>
      <c r="AB391" s="223"/>
      <c r="AC391" s="223"/>
    </row>
    <row r="392" spans="1:29" x14ac:dyDescent="0.25">
      <c r="A392" s="223"/>
      <c r="B392" s="223"/>
      <c r="C392" s="223"/>
      <c r="D392" s="223"/>
      <c r="E392" s="223"/>
      <c r="F392" s="276"/>
      <c r="G392" s="226"/>
      <c r="H392" s="223"/>
      <c r="I392" s="223"/>
      <c r="J392" s="223"/>
      <c r="K392" s="223"/>
      <c r="L392" s="223"/>
      <c r="M392" s="223"/>
      <c r="N392" s="223"/>
      <c r="O392" s="223"/>
      <c r="P392" s="223"/>
      <c r="Q392" s="223"/>
      <c r="R392" s="890"/>
      <c r="S392" s="890"/>
      <c r="T392" s="223"/>
      <c r="U392" s="223"/>
      <c r="V392" s="223"/>
      <c r="W392" s="223"/>
      <c r="X392" s="223"/>
      <c r="Y392" s="223"/>
      <c r="Z392" s="223"/>
      <c r="AA392" s="223"/>
      <c r="AB392" s="223"/>
      <c r="AC392" s="223"/>
    </row>
    <row r="393" spans="1:29" x14ac:dyDescent="0.25">
      <c r="A393" s="223"/>
      <c r="B393" s="223"/>
      <c r="C393" s="223"/>
      <c r="D393" s="223"/>
      <c r="E393" s="223"/>
      <c r="F393" s="276"/>
      <c r="G393" s="226"/>
      <c r="H393" s="223"/>
      <c r="I393" s="223"/>
      <c r="J393" s="223"/>
      <c r="K393" s="223"/>
      <c r="L393" s="223"/>
      <c r="M393" s="223"/>
      <c r="N393" s="223"/>
      <c r="O393" s="223"/>
      <c r="P393" s="223"/>
      <c r="Q393" s="223"/>
      <c r="R393" s="890"/>
      <c r="S393" s="890"/>
      <c r="T393" s="223"/>
      <c r="U393" s="223"/>
      <c r="V393" s="223"/>
      <c r="W393" s="223"/>
      <c r="X393" s="223"/>
      <c r="Y393" s="223"/>
      <c r="Z393" s="223"/>
      <c r="AA393" s="223"/>
      <c r="AB393" s="223"/>
      <c r="AC393" s="223"/>
    </row>
    <row r="394" spans="1:29" x14ac:dyDescent="0.25">
      <c r="A394" s="223"/>
      <c r="B394" s="223"/>
      <c r="C394" s="223"/>
      <c r="D394" s="223"/>
      <c r="E394" s="223"/>
      <c r="F394" s="276"/>
      <c r="G394" s="226"/>
      <c r="H394" s="223"/>
      <c r="I394" s="223"/>
      <c r="J394" s="223"/>
      <c r="K394" s="223"/>
      <c r="L394" s="223"/>
      <c r="M394" s="223"/>
      <c r="N394" s="223"/>
      <c r="O394" s="223"/>
      <c r="P394" s="223"/>
      <c r="Q394" s="223"/>
      <c r="R394" s="890"/>
      <c r="S394" s="890"/>
      <c r="T394" s="223"/>
      <c r="U394" s="223"/>
      <c r="V394" s="223"/>
      <c r="W394" s="223"/>
      <c r="X394" s="223"/>
      <c r="Y394" s="223"/>
      <c r="Z394" s="223"/>
      <c r="AA394" s="223"/>
      <c r="AB394" s="223"/>
      <c r="AC394" s="223"/>
    </row>
    <row r="395" spans="1:29" x14ac:dyDescent="0.25">
      <c r="A395" s="223"/>
      <c r="B395" s="223"/>
      <c r="C395" s="223"/>
      <c r="D395" s="223"/>
      <c r="E395" s="223"/>
      <c r="F395" s="276"/>
      <c r="G395" s="226"/>
      <c r="H395" s="223"/>
      <c r="I395" s="223"/>
      <c r="J395" s="223"/>
      <c r="K395" s="223"/>
      <c r="L395" s="223"/>
      <c r="M395" s="223"/>
      <c r="N395" s="223"/>
      <c r="O395" s="223"/>
      <c r="P395" s="223"/>
      <c r="Q395" s="223"/>
      <c r="R395" s="890"/>
      <c r="S395" s="890"/>
      <c r="T395" s="223"/>
      <c r="U395" s="223"/>
      <c r="V395" s="223"/>
      <c r="W395" s="223"/>
      <c r="X395" s="223"/>
      <c r="Y395" s="223"/>
      <c r="Z395" s="223"/>
      <c r="AA395" s="223"/>
      <c r="AB395" s="223"/>
      <c r="AC395" s="223"/>
    </row>
    <row r="396" spans="1:29" x14ac:dyDescent="0.25">
      <c r="A396" s="223"/>
      <c r="B396" s="223"/>
      <c r="C396" s="223"/>
      <c r="D396" s="223"/>
      <c r="E396" s="223"/>
      <c r="F396" s="276"/>
      <c r="G396" s="226"/>
      <c r="H396" s="223"/>
      <c r="I396" s="223"/>
      <c r="J396" s="223"/>
      <c r="K396" s="223"/>
      <c r="L396" s="223"/>
      <c r="M396" s="223"/>
      <c r="N396" s="223"/>
      <c r="O396" s="223"/>
      <c r="P396" s="223"/>
      <c r="Q396" s="223"/>
      <c r="R396" s="890"/>
      <c r="S396" s="890"/>
      <c r="T396" s="223"/>
      <c r="U396" s="223"/>
      <c r="V396" s="223"/>
      <c r="W396" s="223"/>
      <c r="X396" s="223"/>
      <c r="Y396" s="223"/>
      <c r="Z396" s="223"/>
      <c r="AA396" s="223"/>
      <c r="AB396" s="223"/>
      <c r="AC396" s="223"/>
    </row>
    <row r="397" spans="1:29" x14ac:dyDescent="0.25">
      <c r="A397" s="223"/>
      <c r="B397" s="223"/>
      <c r="C397" s="223"/>
      <c r="D397" s="223"/>
      <c r="E397" s="223"/>
      <c r="F397" s="276"/>
      <c r="G397" s="226"/>
      <c r="H397" s="223"/>
      <c r="I397" s="223"/>
      <c r="J397" s="223"/>
      <c r="K397" s="223"/>
      <c r="L397" s="223"/>
      <c r="M397" s="223"/>
      <c r="N397" s="223"/>
      <c r="O397" s="223"/>
      <c r="P397" s="223"/>
      <c r="Q397" s="223"/>
      <c r="R397" s="890"/>
      <c r="S397" s="890"/>
      <c r="T397" s="223"/>
      <c r="U397" s="223"/>
      <c r="V397" s="223"/>
      <c r="W397" s="223"/>
      <c r="X397" s="223"/>
      <c r="Y397" s="223"/>
      <c r="Z397" s="223"/>
      <c r="AA397" s="223"/>
      <c r="AB397" s="223"/>
      <c r="AC397" s="223"/>
    </row>
    <row r="398" spans="1:29" x14ac:dyDescent="0.25">
      <c r="A398" s="223"/>
      <c r="B398" s="223"/>
      <c r="C398" s="223"/>
      <c r="D398" s="223"/>
      <c r="E398" s="223"/>
      <c r="F398" s="276"/>
      <c r="G398" s="226"/>
      <c r="H398" s="223"/>
      <c r="I398" s="223"/>
      <c r="J398" s="223"/>
      <c r="K398" s="223"/>
      <c r="L398" s="223"/>
      <c r="M398" s="223"/>
      <c r="N398" s="223"/>
      <c r="O398" s="223"/>
      <c r="P398" s="223"/>
      <c r="Q398" s="223"/>
      <c r="R398" s="890"/>
      <c r="S398" s="890"/>
      <c r="T398" s="223"/>
      <c r="U398" s="223"/>
      <c r="V398" s="223"/>
      <c r="W398" s="223"/>
      <c r="X398" s="223"/>
      <c r="Y398" s="223"/>
      <c r="Z398" s="223"/>
      <c r="AA398" s="223"/>
      <c r="AB398" s="223"/>
      <c r="AC398" s="223"/>
    </row>
    <row r="399" spans="1:29" x14ac:dyDescent="0.25">
      <c r="A399" s="223"/>
      <c r="B399" s="223"/>
      <c r="C399" s="223"/>
      <c r="D399" s="223"/>
      <c r="E399" s="223"/>
      <c r="F399" s="276"/>
      <c r="G399" s="226"/>
      <c r="H399" s="223"/>
      <c r="I399" s="223"/>
      <c r="J399" s="223"/>
      <c r="K399" s="223"/>
      <c r="L399" s="223"/>
      <c r="M399" s="223"/>
      <c r="N399" s="223"/>
      <c r="O399" s="223"/>
      <c r="P399" s="223"/>
      <c r="Q399" s="223"/>
      <c r="R399" s="890"/>
      <c r="S399" s="890"/>
      <c r="T399" s="223"/>
      <c r="U399" s="223"/>
      <c r="V399" s="223"/>
      <c r="W399" s="223"/>
      <c r="X399" s="223"/>
      <c r="Y399" s="223"/>
      <c r="Z399" s="223"/>
      <c r="AA399" s="223"/>
      <c r="AB399" s="223"/>
      <c r="AC399" s="223"/>
    </row>
    <row r="400" spans="1:29" x14ac:dyDescent="0.25">
      <c r="A400" s="223"/>
      <c r="B400" s="223"/>
      <c r="C400" s="223"/>
      <c r="D400" s="223"/>
      <c r="E400" s="223"/>
      <c r="F400" s="276"/>
      <c r="G400" s="226"/>
      <c r="H400" s="223"/>
      <c r="I400" s="223"/>
      <c r="J400" s="223"/>
      <c r="K400" s="223"/>
      <c r="L400" s="223"/>
      <c r="M400" s="223"/>
      <c r="N400" s="223"/>
      <c r="O400" s="223"/>
      <c r="P400" s="223"/>
      <c r="Q400" s="223"/>
      <c r="R400" s="890"/>
      <c r="S400" s="890"/>
      <c r="T400" s="223"/>
      <c r="U400" s="223"/>
      <c r="V400" s="223"/>
      <c r="W400" s="223"/>
      <c r="X400" s="223"/>
      <c r="Y400" s="223"/>
      <c r="Z400" s="223"/>
      <c r="AA400" s="223"/>
      <c r="AB400" s="223"/>
      <c r="AC400" s="223"/>
    </row>
    <row r="401" spans="1:29" x14ac:dyDescent="0.25">
      <c r="A401" s="223"/>
      <c r="B401" s="223"/>
      <c r="C401" s="223"/>
      <c r="D401" s="223"/>
      <c r="E401" s="223"/>
      <c r="F401" s="276"/>
      <c r="G401" s="226"/>
      <c r="H401" s="223"/>
      <c r="I401" s="223"/>
      <c r="J401" s="223"/>
      <c r="K401" s="223"/>
      <c r="L401" s="223"/>
      <c r="M401" s="223"/>
      <c r="N401" s="223"/>
      <c r="O401" s="223"/>
      <c r="P401" s="223"/>
      <c r="Q401" s="223"/>
      <c r="R401" s="890"/>
      <c r="S401" s="890"/>
      <c r="T401" s="223"/>
      <c r="U401" s="223"/>
      <c r="V401" s="223"/>
      <c r="W401" s="223"/>
      <c r="X401" s="223"/>
      <c r="Y401" s="223"/>
      <c r="Z401" s="223"/>
      <c r="AA401" s="223"/>
      <c r="AB401" s="223"/>
      <c r="AC401" s="223"/>
    </row>
    <row r="402" spans="1:29" x14ac:dyDescent="0.25">
      <c r="A402" s="223"/>
      <c r="B402" s="223"/>
      <c r="C402" s="223"/>
      <c r="D402" s="223"/>
      <c r="E402" s="223"/>
      <c r="F402" s="276"/>
      <c r="G402" s="226"/>
      <c r="H402" s="223"/>
      <c r="I402" s="223"/>
      <c r="J402" s="223"/>
      <c r="K402" s="223"/>
      <c r="L402" s="223"/>
      <c r="M402" s="223"/>
      <c r="N402" s="223"/>
      <c r="O402" s="223"/>
      <c r="P402" s="223"/>
      <c r="Q402" s="223"/>
      <c r="R402" s="890"/>
      <c r="S402" s="890"/>
      <c r="T402" s="223"/>
      <c r="U402" s="223"/>
      <c r="V402" s="223"/>
      <c r="W402" s="223"/>
      <c r="X402" s="223"/>
      <c r="Y402" s="223"/>
      <c r="Z402" s="223"/>
      <c r="AA402" s="223"/>
      <c r="AB402" s="223"/>
      <c r="AC402" s="223"/>
    </row>
    <row r="403" spans="1:29" x14ac:dyDescent="0.25">
      <c r="A403" s="223"/>
      <c r="B403" s="223"/>
      <c r="C403" s="223"/>
      <c r="D403" s="223"/>
      <c r="E403" s="223"/>
      <c r="F403" s="276"/>
      <c r="G403" s="226"/>
      <c r="H403" s="223"/>
      <c r="I403" s="223"/>
      <c r="J403" s="223"/>
      <c r="K403" s="223"/>
      <c r="L403" s="223"/>
      <c r="M403" s="223"/>
      <c r="N403" s="223"/>
      <c r="O403" s="223"/>
      <c r="P403" s="223"/>
      <c r="Q403" s="223"/>
      <c r="R403" s="890"/>
      <c r="S403" s="890"/>
      <c r="T403" s="223"/>
      <c r="U403" s="223"/>
      <c r="V403" s="223"/>
      <c r="W403" s="223"/>
      <c r="X403" s="223"/>
      <c r="Y403" s="223"/>
      <c r="Z403" s="223"/>
      <c r="AA403" s="223"/>
      <c r="AB403" s="223"/>
      <c r="AC403" s="223"/>
    </row>
    <row r="404" spans="1:29" x14ac:dyDescent="0.25">
      <c r="A404" s="223"/>
      <c r="B404" s="223"/>
      <c r="C404" s="223"/>
      <c r="D404" s="223"/>
      <c r="E404" s="223"/>
      <c r="F404" s="276"/>
      <c r="G404" s="226"/>
      <c r="H404" s="223"/>
      <c r="I404" s="223"/>
      <c r="J404" s="223"/>
      <c r="K404" s="223"/>
      <c r="L404" s="223"/>
      <c r="M404" s="223"/>
      <c r="N404" s="223"/>
      <c r="O404" s="223"/>
      <c r="P404" s="223"/>
      <c r="Q404" s="223"/>
      <c r="R404" s="890"/>
      <c r="S404" s="890"/>
      <c r="T404" s="223"/>
      <c r="U404" s="223"/>
      <c r="V404" s="223"/>
      <c r="W404" s="223"/>
      <c r="X404" s="223"/>
      <c r="Y404" s="223"/>
      <c r="Z404" s="223"/>
      <c r="AA404" s="223"/>
      <c r="AB404" s="223"/>
      <c r="AC404" s="223"/>
    </row>
    <row r="405" spans="1:29" x14ac:dyDescent="0.25">
      <c r="A405" s="223"/>
      <c r="B405" s="223"/>
      <c r="C405" s="223"/>
      <c r="D405" s="223"/>
      <c r="E405" s="223"/>
      <c r="F405" s="276"/>
      <c r="G405" s="226"/>
      <c r="H405" s="223"/>
      <c r="I405" s="223"/>
      <c r="J405" s="223"/>
      <c r="K405" s="223"/>
      <c r="L405" s="223"/>
      <c r="M405" s="223"/>
      <c r="N405" s="223"/>
      <c r="O405" s="223"/>
      <c r="P405" s="223"/>
      <c r="Q405" s="223"/>
      <c r="R405" s="890"/>
      <c r="S405" s="890"/>
      <c r="T405" s="223"/>
      <c r="U405" s="223"/>
      <c r="V405" s="223"/>
      <c r="W405" s="223"/>
      <c r="X405" s="223"/>
      <c r="Y405" s="223"/>
      <c r="Z405" s="223"/>
      <c r="AA405" s="223"/>
      <c r="AB405" s="223"/>
      <c r="AC405" s="223"/>
    </row>
    <row r="406" spans="1:29" x14ac:dyDescent="0.25">
      <c r="A406" s="223"/>
      <c r="B406" s="223"/>
      <c r="C406" s="223"/>
      <c r="D406" s="223"/>
      <c r="E406" s="223"/>
      <c r="F406" s="276"/>
      <c r="G406" s="226"/>
      <c r="H406" s="223"/>
      <c r="I406" s="223"/>
      <c r="J406" s="223"/>
      <c r="K406" s="223"/>
      <c r="L406" s="223"/>
      <c r="M406" s="223"/>
      <c r="N406" s="223"/>
      <c r="O406" s="223"/>
      <c r="P406" s="223"/>
      <c r="Q406" s="223"/>
      <c r="R406" s="890"/>
      <c r="S406" s="890"/>
      <c r="T406" s="223"/>
      <c r="U406" s="223"/>
      <c r="V406" s="223"/>
      <c r="W406" s="223"/>
      <c r="X406" s="223"/>
      <c r="Y406" s="223"/>
      <c r="Z406" s="223"/>
      <c r="AA406" s="223"/>
      <c r="AB406" s="223"/>
      <c r="AC406" s="223"/>
    </row>
    <row r="407" spans="1:29" x14ac:dyDescent="0.25">
      <c r="A407" s="223"/>
      <c r="B407" s="223"/>
      <c r="C407" s="223"/>
      <c r="D407" s="223"/>
      <c r="E407" s="223"/>
      <c r="F407" s="276"/>
      <c r="G407" s="226"/>
      <c r="H407" s="223"/>
      <c r="I407" s="223"/>
      <c r="J407" s="223"/>
      <c r="K407" s="223"/>
      <c r="L407" s="223"/>
      <c r="M407" s="223"/>
      <c r="N407" s="223"/>
      <c r="O407" s="223"/>
      <c r="P407" s="223"/>
      <c r="Q407" s="223"/>
      <c r="R407" s="890"/>
      <c r="S407" s="890"/>
      <c r="T407" s="223"/>
      <c r="U407" s="223"/>
      <c r="V407" s="223"/>
      <c r="W407" s="223"/>
      <c r="X407" s="223"/>
      <c r="Y407" s="223"/>
      <c r="Z407" s="223"/>
      <c r="AA407" s="223"/>
      <c r="AB407" s="223"/>
      <c r="AC407" s="223"/>
    </row>
    <row r="408" spans="1:29" x14ac:dyDescent="0.25">
      <c r="A408" s="223"/>
      <c r="B408" s="223"/>
      <c r="C408" s="223"/>
      <c r="D408" s="223"/>
      <c r="E408" s="223"/>
      <c r="F408" s="276"/>
      <c r="G408" s="226"/>
      <c r="H408" s="223"/>
      <c r="I408" s="223"/>
      <c r="J408" s="223"/>
      <c r="K408" s="223"/>
      <c r="L408" s="223"/>
      <c r="M408" s="223"/>
      <c r="N408" s="223"/>
      <c r="O408" s="223"/>
      <c r="P408" s="223"/>
      <c r="Q408" s="223"/>
      <c r="R408" s="890"/>
      <c r="S408" s="890"/>
      <c r="T408" s="223"/>
      <c r="U408" s="223"/>
      <c r="V408" s="223"/>
      <c r="W408" s="223"/>
      <c r="X408" s="223"/>
      <c r="Y408" s="223"/>
      <c r="Z408" s="223"/>
      <c r="AA408" s="223"/>
      <c r="AB408" s="223"/>
      <c r="AC408" s="223"/>
    </row>
    <row r="409" spans="1:29" x14ac:dyDescent="0.25">
      <c r="A409" s="223"/>
      <c r="B409" s="223"/>
      <c r="C409" s="223"/>
      <c r="D409" s="223"/>
      <c r="E409" s="223"/>
      <c r="F409" s="276"/>
      <c r="G409" s="226"/>
      <c r="H409" s="223"/>
      <c r="I409" s="223"/>
      <c r="J409" s="223"/>
      <c r="K409" s="223"/>
      <c r="L409" s="223"/>
      <c r="M409" s="223"/>
      <c r="N409" s="223"/>
      <c r="O409" s="223"/>
      <c r="P409" s="223"/>
      <c r="Q409" s="223"/>
      <c r="R409" s="890"/>
      <c r="S409" s="890"/>
      <c r="T409" s="223"/>
      <c r="U409" s="223"/>
      <c r="V409" s="223"/>
      <c r="W409" s="223"/>
      <c r="X409" s="223"/>
      <c r="Y409" s="223"/>
      <c r="Z409" s="223"/>
      <c r="AA409" s="223"/>
      <c r="AB409" s="223"/>
      <c r="AC409" s="223"/>
    </row>
    <row r="410" spans="1:29" x14ac:dyDescent="0.25">
      <c r="A410" s="223"/>
      <c r="B410" s="223"/>
      <c r="C410" s="223"/>
      <c r="D410" s="223"/>
      <c r="E410" s="223"/>
      <c r="F410" s="276"/>
      <c r="G410" s="226"/>
      <c r="H410" s="223"/>
      <c r="I410" s="223"/>
      <c r="J410" s="223"/>
      <c r="K410" s="223"/>
      <c r="L410" s="223"/>
      <c r="M410" s="223"/>
      <c r="N410" s="223"/>
      <c r="O410" s="223"/>
      <c r="P410" s="223"/>
      <c r="Q410" s="223"/>
      <c r="R410" s="890"/>
      <c r="S410" s="890"/>
      <c r="T410" s="223"/>
      <c r="U410" s="223"/>
      <c r="V410" s="223"/>
      <c r="W410" s="223"/>
      <c r="X410" s="223"/>
      <c r="Y410" s="223"/>
      <c r="Z410" s="223"/>
      <c r="AA410" s="223"/>
      <c r="AB410" s="223"/>
      <c r="AC410" s="223"/>
    </row>
    <row r="411" spans="1:29" x14ac:dyDescent="0.25">
      <c r="A411" s="223"/>
      <c r="B411" s="223"/>
      <c r="C411" s="223"/>
      <c r="D411" s="223"/>
      <c r="E411" s="223"/>
      <c r="F411" s="276"/>
      <c r="G411" s="226"/>
      <c r="H411" s="223"/>
      <c r="I411" s="223"/>
      <c r="J411" s="223"/>
      <c r="K411" s="223"/>
      <c r="L411" s="223"/>
      <c r="M411" s="223"/>
      <c r="N411" s="223"/>
      <c r="O411" s="223"/>
      <c r="P411" s="223"/>
      <c r="Q411" s="223"/>
      <c r="R411" s="890"/>
      <c r="S411" s="890"/>
      <c r="T411" s="223"/>
      <c r="U411" s="223"/>
      <c r="V411" s="223"/>
      <c r="W411" s="223"/>
      <c r="X411" s="223"/>
      <c r="Y411" s="223"/>
      <c r="Z411" s="223"/>
      <c r="AA411" s="223"/>
      <c r="AB411" s="223"/>
      <c r="AC411" s="223"/>
    </row>
    <row r="412" spans="1:29" x14ac:dyDescent="0.25">
      <c r="A412" s="223"/>
      <c r="B412" s="223"/>
      <c r="C412" s="223"/>
      <c r="D412" s="223"/>
      <c r="E412" s="223"/>
      <c r="F412" s="276"/>
      <c r="G412" s="226"/>
      <c r="H412" s="223"/>
      <c r="I412" s="223"/>
      <c r="J412" s="223"/>
      <c r="K412" s="223"/>
      <c r="L412" s="223"/>
      <c r="M412" s="223"/>
      <c r="N412" s="223"/>
      <c r="O412" s="223"/>
      <c r="P412" s="223"/>
      <c r="Q412" s="223"/>
      <c r="R412" s="890"/>
      <c r="S412" s="890"/>
      <c r="T412" s="223"/>
      <c r="U412" s="223"/>
      <c r="V412" s="223"/>
      <c r="W412" s="223"/>
      <c r="X412" s="223"/>
      <c r="Y412" s="223"/>
      <c r="Z412" s="223"/>
      <c r="AA412" s="223"/>
      <c r="AB412" s="223"/>
      <c r="AC412" s="223"/>
    </row>
    <row r="413" spans="1:29" x14ac:dyDescent="0.25">
      <c r="A413" s="223"/>
      <c r="B413" s="223"/>
      <c r="C413" s="223"/>
      <c r="D413" s="223"/>
      <c r="E413" s="223"/>
      <c r="F413" s="276"/>
      <c r="G413" s="226"/>
      <c r="H413" s="223"/>
      <c r="I413" s="223"/>
      <c r="J413" s="223"/>
      <c r="K413" s="223"/>
      <c r="L413" s="223"/>
      <c r="M413" s="223"/>
      <c r="N413" s="223"/>
      <c r="O413" s="223"/>
      <c r="P413" s="223"/>
      <c r="Q413" s="223"/>
      <c r="R413" s="890"/>
      <c r="S413" s="890"/>
      <c r="T413" s="223"/>
      <c r="U413" s="223"/>
      <c r="V413" s="223"/>
      <c r="W413" s="223"/>
      <c r="X413" s="223"/>
      <c r="Y413" s="223"/>
      <c r="Z413" s="223"/>
      <c r="AA413" s="223"/>
      <c r="AB413" s="223"/>
      <c r="AC413" s="223"/>
    </row>
    <row r="414" spans="1:29" x14ac:dyDescent="0.25">
      <c r="A414" s="223"/>
      <c r="B414" s="223"/>
      <c r="C414" s="223"/>
      <c r="D414" s="223"/>
      <c r="E414" s="223"/>
      <c r="F414" s="276"/>
      <c r="G414" s="226"/>
      <c r="H414" s="223"/>
      <c r="I414" s="223"/>
      <c r="J414" s="223"/>
      <c r="K414" s="223"/>
      <c r="L414" s="223"/>
      <c r="M414" s="223"/>
      <c r="N414" s="223"/>
      <c r="O414" s="223"/>
      <c r="P414" s="223"/>
      <c r="Q414" s="223"/>
      <c r="R414" s="890"/>
      <c r="S414" s="890"/>
      <c r="T414" s="223"/>
      <c r="U414" s="223"/>
      <c r="V414" s="223"/>
      <c r="W414" s="223"/>
      <c r="X414" s="223"/>
      <c r="Y414" s="223"/>
      <c r="Z414" s="223"/>
      <c r="AA414" s="223"/>
      <c r="AB414" s="223"/>
      <c r="AC414" s="223"/>
    </row>
    <row r="415" spans="1:29" x14ac:dyDescent="0.25">
      <c r="A415" s="223"/>
      <c r="B415" s="223"/>
      <c r="C415" s="223"/>
      <c r="D415" s="223"/>
      <c r="E415" s="223"/>
      <c r="F415" s="276"/>
      <c r="G415" s="226"/>
      <c r="H415" s="223"/>
      <c r="I415" s="223"/>
      <c r="J415" s="223"/>
      <c r="K415" s="223"/>
      <c r="L415" s="223"/>
      <c r="M415" s="223"/>
      <c r="N415" s="223"/>
      <c r="O415" s="223"/>
      <c r="P415" s="223"/>
      <c r="Q415" s="223"/>
      <c r="R415" s="890"/>
      <c r="S415" s="890"/>
      <c r="T415" s="223"/>
      <c r="U415" s="223"/>
      <c r="V415" s="223"/>
      <c r="W415" s="223"/>
      <c r="X415" s="223"/>
      <c r="Y415" s="223"/>
      <c r="Z415" s="223"/>
      <c r="AA415" s="223"/>
      <c r="AB415" s="223"/>
      <c r="AC415" s="223"/>
    </row>
    <row r="416" spans="1:29" x14ac:dyDescent="0.25">
      <c r="A416" s="223"/>
      <c r="B416" s="223"/>
      <c r="C416" s="223"/>
      <c r="D416" s="223"/>
      <c r="E416" s="223"/>
      <c r="F416" s="276"/>
      <c r="G416" s="226"/>
      <c r="H416" s="223"/>
      <c r="I416" s="223"/>
      <c r="J416" s="223"/>
      <c r="K416" s="223"/>
      <c r="L416" s="223"/>
      <c r="M416" s="223"/>
      <c r="N416" s="223"/>
      <c r="O416" s="223"/>
      <c r="P416" s="223"/>
      <c r="Q416" s="223"/>
      <c r="R416" s="890"/>
      <c r="S416" s="890"/>
      <c r="T416" s="223"/>
      <c r="U416" s="223"/>
      <c r="V416" s="223"/>
      <c r="W416" s="223"/>
      <c r="X416" s="223"/>
      <c r="Y416" s="223"/>
      <c r="Z416" s="223"/>
      <c r="AA416" s="223"/>
      <c r="AB416" s="223"/>
      <c r="AC416" s="223"/>
    </row>
    <row r="417" spans="1:29" x14ac:dyDescent="0.25">
      <c r="A417" s="223"/>
      <c r="B417" s="223"/>
      <c r="C417" s="223"/>
      <c r="D417" s="223"/>
      <c r="E417" s="223"/>
      <c r="F417" s="276"/>
      <c r="G417" s="226"/>
      <c r="H417" s="223"/>
      <c r="I417" s="223"/>
      <c r="J417" s="223"/>
      <c r="K417" s="223"/>
      <c r="L417" s="223"/>
      <c r="M417" s="223"/>
      <c r="N417" s="223"/>
      <c r="O417" s="223"/>
      <c r="P417" s="223"/>
      <c r="Q417" s="223"/>
      <c r="R417" s="890"/>
      <c r="S417" s="890"/>
      <c r="T417" s="223"/>
      <c r="U417" s="223"/>
      <c r="V417" s="223"/>
      <c r="W417" s="223"/>
      <c r="X417" s="223"/>
      <c r="Y417" s="223"/>
      <c r="Z417" s="223"/>
      <c r="AA417" s="223"/>
      <c r="AB417" s="223"/>
      <c r="AC417" s="223"/>
    </row>
    <row r="418" spans="1:29" x14ac:dyDescent="0.25">
      <c r="A418" s="223"/>
      <c r="B418" s="223"/>
      <c r="C418" s="223"/>
      <c r="D418" s="223"/>
      <c r="E418" s="223"/>
      <c r="F418" s="276"/>
      <c r="G418" s="226"/>
      <c r="H418" s="223"/>
      <c r="I418" s="223"/>
      <c r="J418" s="223"/>
      <c r="K418" s="223"/>
      <c r="L418" s="223"/>
      <c r="M418" s="223"/>
      <c r="N418" s="223"/>
      <c r="O418" s="223"/>
      <c r="P418" s="223"/>
      <c r="Q418" s="223"/>
      <c r="R418" s="890"/>
      <c r="S418" s="890"/>
      <c r="T418" s="223"/>
      <c r="U418" s="223"/>
      <c r="V418" s="223"/>
      <c r="W418" s="223"/>
      <c r="X418" s="223"/>
      <c r="Y418" s="223"/>
      <c r="Z418" s="223"/>
      <c r="AA418" s="223"/>
      <c r="AB418" s="223"/>
      <c r="AC418" s="223"/>
    </row>
    <row r="419" spans="1:29" x14ac:dyDescent="0.25">
      <c r="A419" s="223"/>
      <c r="B419" s="223"/>
      <c r="C419" s="223"/>
      <c r="D419" s="223"/>
      <c r="E419" s="223"/>
      <c r="F419" s="276"/>
      <c r="G419" s="226"/>
      <c r="H419" s="223"/>
      <c r="I419" s="223"/>
      <c r="J419" s="223"/>
      <c r="K419" s="223"/>
      <c r="L419" s="223"/>
      <c r="M419" s="223"/>
      <c r="N419" s="223"/>
      <c r="O419" s="223"/>
      <c r="P419" s="223"/>
      <c r="Q419" s="223"/>
      <c r="R419" s="890"/>
      <c r="S419" s="890"/>
      <c r="T419" s="223"/>
      <c r="U419" s="223"/>
      <c r="V419" s="223"/>
      <c r="W419" s="223"/>
      <c r="X419" s="223"/>
      <c r="Y419" s="223"/>
      <c r="Z419" s="223"/>
      <c r="AA419" s="223"/>
      <c r="AB419" s="223"/>
      <c r="AC419" s="223"/>
    </row>
    <row r="420" spans="1:29" x14ac:dyDescent="0.25">
      <c r="A420" s="223"/>
      <c r="B420" s="223"/>
      <c r="C420" s="223"/>
      <c r="D420" s="223"/>
      <c r="E420" s="223"/>
      <c r="F420" s="276"/>
      <c r="G420" s="226"/>
      <c r="H420" s="223"/>
      <c r="I420" s="223"/>
      <c r="J420" s="223"/>
      <c r="K420" s="223"/>
      <c r="L420" s="223"/>
      <c r="M420" s="223"/>
      <c r="N420" s="223"/>
      <c r="O420" s="223"/>
      <c r="P420" s="223"/>
      <c r="Q420" s="223"/>
      <c r="R420" s="890"/>
      <c r="S420" s="890"/>
      <c r="T420" s="223"/>
      <c r="U420" s="223"/>
      <c r="V420" s="223"/>
      <c r="W420" s="223"/>
      <c r="X420" s="223"/>
      <c r="Y420" s="223"/>
      <c r="Z420" s="223"/>
      <c r="AA420" s="223"/>
      <c r="AB420" s="223"/>
      <c r="AC420" s="223"/>
    </row>
    <row r="421" spans="1:29" x14ac:dyDescent="0.25">
      <c r="A421" s="223"/>
      <c r="B421" s="223"/>
      <c r="C421" s="223"/>
      <c r="D421" s="223"/>
      <c r="E421" s="223"/>
      <c r="F421" s="276"/>
      <c r="G421" s="226"/>
      <c r="H421" s="223"/>
      <c r="I421" s="223"/>
      <c r="J421" s="223"/>
      <c r="K421" s="223"/>
      <c r="L421" s="223"/>
      <c r="M421" s="223"/>
      <c r="N421" s="223"/>
      <c r="O421" s="223"/>
      <c r="P421" s="223"/>
      <c r="Q421" s="223"/>
      <c r="R421" s="890"/>
      <c r="S421" s="890"/>
      <c r="T421" s="223"/>
      <c r="U421" s="223"/>
      <c r="V421" s="223"/>
      <c r="W421" s="223"/>
      <c r="X421" s="223"/>
      <c r="Y421" s="223"/>
      <c r="Z421" s="223"/>
      <c r="AA421" s="223"/>
      <c r="AB421" s="223"/>
      <c r="AC421" s="223"/>
    </row>
    <row r="422" spans="1:29" x14ac:dyDescent="0.25">
      <c r="A422" s="223"/>
      <c r="B422" s="223"/>
      <c r="C422" s="223"/>
      <c r="D422" s="223"/>
      <c r="E422" s="223"/>
      <c r="F422" s="276"/>
      <c r="G422" s="226"/>
      <c r="H422" s="223"/>
      <c r="I422" s="223"/>
      <c r="J422" s="223"/>
      <c r="K422" s="223"/>
      <c r="L422" s="223"/>
      <c r="M422" s="223"/>
      <c r="N422" s="223"/>
      <c r="O422" s="223"/>
      <c r="P422" s="223"/>
      <c r="Q422" s="223"/>
      <c r="R422" s="890"/>
      <c r="S422" s="890"/>
      <c r="T422" s="223"/>
      <c r="U422" s="223"/>
      <c r="V422" s="223"/>
      <c r="W422" s="223"/>
      <c r="X422" s="223"/>
      <c r="Y422" s="223"/>
      <c r="Z422" s="223"/>
      <c r="AA422" s="223"/>
      <c r="AB422" s="223"/>
      <c r="AC422" s="223"/>
    </row>
    <row r="423" spans="1:29" x14ac:dyDescent="0.25">
      <c r="A423" s="223"/>
      <c r="B423" s="223"/>
      <c r="C423" s="223"/>
      <c r="D423" s="223"/>
      <c r="E423" s="223"/>
      <c r="F423" s="276"/>
      <c r="G423" s="226"/>
      <c r="H423" s="223"/>
      <c r="I423" s="223"/>
      <c r="J423" s="223"/>
      <c r="K423" s="223"/>
      <c r="L423" s="223"/>
      <c r="M423" s="223"/>
      <c r="N423" s="223"/>
      <c r="O423" s="223"/>
      <c r="P423" s="223"/>
      <c r="Q423" s="223"/>
      <c r="R423" s="890"/>
      <c r="S423" s="890"/>
      <c r="T423" s="223"/>
      <c r="U423" s="223"/>
      <c r="V423" s="223"/>
      <c r="W423" s="223"/>
      <c r="X423" s="223"/>
      <c r="Y423" s="223"/>
      <c r="Z423" s="223"/>
      <c r="AA423" s="223"/>
      <c r="AB423" s="223"/>
      <c r="AC423" s="223"/>
    </row>
    <row r="424" spans="1:29" x14ac:dyDescent="0.25">
      <c r="A424" s="223"/>
      <c r="B424" s="223"/>
      <c r="C424" s="223"/>
      <c r="D424" s="223"/>
      <c r="E424" s="223"/>
      <c r="F424" s="276"/>
      <c r="G424" s="226"/>
      <c r="H424" s="223"/>
      <c r="I424" s="223"/>
      <c r="J424" s="223"/>
      <c r="K424" s="223"/>
      <c r="L424" s="223"/>
      <c r="M424" s="223"/>
      <c r="N424" s="223"/>
      <c r="O424" s="223"/>
      <c r="P424" s="223"/>
      <c r="Q424" s="223"/>
      <c r="R424" s="890"/>
      <c r="S424" s="890"/>
      <c r="T424" s="223"/>
      <c r="U424" s="223"/>
      <c r="V424" s="223"/>
      <c r="W424" s="223"/>
      <c r="X424" s="223"/>
      <c r="Y424" s="223"/>
      <c r="Z424" s="223"/>
      <c r="AA424" s="223"/>
      <c r="AB424" s="223"/>
      <c r="AC424" s="223"/>
    </row>
    <row r="425" spans="1:29" x14ac:dyDescent="0.25">
      <c r="A425" s="223"/>
      <c r="B425" s="223"/>
      <c r="C425" s="223"/>
      <c r="D425" s="223"/>
      <c r="E425" s="223"/>
      <c r="F425" s="276"/>
      <c r="G425" s="226"/>
      <c r="H425" s="223"/>
      <c r="I425" s="223"/>
      <c r="J425" s="223"/>
      <c r="K425" s="223"/>
      <c r="L425" s="223"/>
      <c r="M425" s="223"/>
      <c r="N425" s="223"/>
      <c r="O425" s="223"/>
      <c r="P425" s="223"/>
      <c r="Q425" s="223"/>
      <c r="R425" s="890"/>
      <c r="S425" s="890"/>
      <c r="T425" s="223"/>
      <c r="U425" s="223"/>
      <c r="V425" s="223"/>
      <c r="W425" s="223"/>
      <c r="X425" s="223"/>
      <c r="Y425" s="223"/>
      <c r="Z425" s="223"/>
      <c r="AA425" s="223"/>
      <c r="AB425" s="223"/>
      <c r="AC425" s="223"/>
    </row>
    <row r="426" spans="1:29" x14ac:dyDescent="0.25">
      <c r="A426" s="223"/>
      <c r="B426" s="223"/>
      <c r="C426" s="223"/>
      <c r="D426" s="223"/>
      <c r="E426" s="223"/>
      <c r="F426" s="276"/>
      <c r="G426" s="226"/>
      <c r="H426" s="223"/>
      <c r="I426" s="223"/>
      <c r="J426" s="223"/>
      <c r="K426" s="223"/>
      <c r="L426" s="223"/>
      <c r="M426" s="223"/>
      <c r="N426" s="223"/>
      <c r="O426" s="223"/>
      <c r="P426" s="223"/>
      <c r="Q426" s="223"/>
      <c r="R426" s="890"/>
      <c r="S426" s="890"/>
      <c r="T426" s="223"/>
      <c r="U426" s="223"/>
      <c r="V426" s="223"/>
      <c r="W426" s="223"/>
      <c r="X426" s="223"/>
      <c r="Y426" s="223"/>
      <c r="Z426" s="223"/>
      <c r="AA426" s="223"/>
      <c r="AB426" s="223"/>
      <c r="AC426" s="223"/>
    </row>
    <row r="427" spans="1:29" x14ac:dyDescent="0.25">
      <c r="A427" s="223"/>
      <c r="B427" s="223"/>
      <c r="C427" s="223"/>
      <c r="D427" s="223"/>
      <c r="E427" s="223"/>
      <c r="F427" s="276"/>
      <c r="G427" s="226"/>
      <c r="H427" s="223"/>
      <c r="I427" s="223"/>
      <c r="J427" s="223"/>
      <c r="K427" s="223"/>
      <c r="L427" s="223"/>
      <c r="M427" s="223"/>
      <c r="N427" s="223"/>
      <c r="O427" s="223"/>
      <c r="P427" s="223"/>
      <c r="Q427" s="223"/>
      <c r="R427" s="890"/>
      <c r="S427" s="890"/>
      <c r="T427" s="223"/>
      <c r="U427" s="223"/>
      <c r="V427" s="223"/>
      <c r="W427" s="223"/>
      <c r="X427" s="223"/>
      <c r="Y427" s="223"/>
      <c r="Z427" s="223"/>
      <c r="AA427" s="223"/>
      <c r="AB427" s="223"/>
      <c r="AC427" s="223"/>
    </row>
    <row r="428" spans="1:29" x14ac:dyDescent="0.25">
      <c r="A428" s="223"/>
      <c r="B428" s="223"/>
      <c r="C428" s="223"/>
      <c r="D428" s="223"/>
      <c r="E428" s="223"/>
      <c r="F428" s="276"/>
      <c r="G428" s="226"/>
      <c r="H428" s="223"/>
      <c r="I428" s="223"/>
      <c r="J428" s="223"/>
      <c r="K428" s="223"/>
      <c r="L428" s="223"/>
      <c r="M428" s="223"/>
      <c r="N428" s="223"/>
      <c r="O428" s="223"/>
      <c r="P428" s="223"/>
      <c r="Q428" s="223"/>
      <c r="R428" s="890"/>
      <c r="S428" s="890"/>
      <c r="T428" s="223"/>
      <c r="U428" s="223"/>
      <c r="V428" s="223"/>
      <c r="W428" s="223"/>
      <c r="X428" s="223"/>
      <c r="Y428" s="223"/>
      <c r="Z428" s="223"/>
      <c r="AA428" s="223"/>
      <c r="AB428" s="223"/>
      <c r="AC428" s="223"/>
    </row>
    <row r="429" spans="1:29" x14ac:dyDescent="0.25">
      <c r="A429" s="223"/>
      <c r="B429" s="223"/>
      <c r="C429" s="223"/>
      <c r="D429" s="223"/>
      <c r="E429" s="223"/>
      <c r="F429" s="276"/>
      <c r="G429" s="226"/>
      <c r="H429" s="223"/>
      <c r="I429" s="223"/>
      <c r="J429" s="223"/>
      <c r="K429" s="223"/>
      <c r="L429" s="223"/>
      <c r="M429" s="223"/>
      <c r="N429" s="223"/>
      <c r="O429" s="223"/>
      <c r="P429" s="223"/>
      <c r="Q429" s="223"/>
      <c r="R429" s="890"/>
      <c r="S429" s="890"/>
      <c r="T429" s="223"/>
      <c r="U429" s="223"/>
      <c r="V429" s="223"/>
      <c r="W429" s="223"/>
      <c r="X429" s="223"/>
      <c r="Y429" s="223"/>
      <c r="Z429" s="223"/>
      <c r="AA429" s="223"/>
      <c r="AB429" s="223"/>
      <c r="AC429" s="223"/>
    </row>
    <row r="430" spans="1:29" x14ac:dyDescent="0.25">
      <c r="A430" s="223"/>
      <c r="B430" s="223"/>
      <c r="C430" s="223"/>
      <c r="D430" s="223"/>
      <c r="E430" s="223"/>
      <c r="F430" s="276"/>
      <c r="G430" s="226"/>
      <c r="H430" s="223"/>
      <c r="I430" s="223"/>
      <c r="J430" s="223"/>
      <c r="K430" s="223"/>
      <c r="L430" s="223"/>
      <c r="M430" s="223"/>
      <c r="N430" s="223"/>
      <c r="O430" s="223"/>
      <c r="P430" s="223"/>
      <c r="Q430" s="223"/>
      <c r="R430" s="890"/>
      <c r="S430" s="890"/>
      <c r="T430" s="223"/>
      <c r="U430" s="223"/>
      <c r="V430" s="223"/>
      <c r="W430" s="223"/>
      <c r="X430" s="223"/>
      <c r="Y430" s="223"/>
      <c r="Z430" s="223"/>
      <c r="AA430" s="223"/>
      <c r="AB430" s="223"/>
      <c r="AC430" s="223"/>
    </row>
    <row r="431" spans="1:29" x14ac:dyDescent="0.25">
      <c r="A431" s="223"/>
      <c r="B431" s="223"/>
      <c r="C431" s="223"/>
      <c r="D431" s="223"/>
      <c r="E431" s="223"/>
      <c r="F431" s="276"/>
      <c r="G431" s="226"/>
      <c r="H431" s="223"/>
      <c r="I431" s="223"/>
      <c r="J431" s="223"/>
      <c r="K431" s="223"/>
      <c r="L431" s="223"/>
      <c r="M431" s="223"/>
      <c r="N431" s="223"/>
      <c r="O431" s="223"/>
      <c r="P431" s="223"/>
      <c r="Q431" s="223"/>
      <c r="R431" s="890"/>
      <c r="S431" s="890"/>
      <c r="T431" s="223"/>
      <c r="U431" s="223"/>
      <c r="V431" s="223"/>
      <c r="W431" s="223"/>
      <c r="X431" s="223"/>
      <c r="Y431" s="223"/>
      <c r="Z431" s="223"/>
      <c r="AA431" s="223"/>
      <c r="AB431" s="223"/>
      <c r="AC431" s="223"/>
    </row>
    <row r="432" spans="1:29" x14ac:dyDescent="0.25">
      <c r="A432" s="223"/>
      <c r="B432" s="223"/>
      <c r="C432" s="223"/>
      <c r="D432" s="223"/>
      <c r="E432" s="223"/>
      <c r="F432" s="276"/>
      <c r="G432" s="226"/>
      <c r="H432" s="223"/>
      <c r="I432" s="223"/>
      <c r="J432" s="223"/>
      <c r="K432" s="223"/>
      <c r="L432" s="223"/>
      <c r="M432" s="223"/>
      <c r="N432" s="223"/>
      <c r="O432" s="223"/>
      <c r="P432" s="223"/>
      <c r="Q432" s="223"/>
      <c r="R432" s="890"/>
      <c r="S432" s="890"/>
      <c r="T432" s="223"/>
      <c r="U432" s="223"/>
      <c r="V432" s="223"/>
      <c r="W432" s="223"/>
      <c r="X432" s="223"/>
      <c r="Y432" s="223"/>
      <c r="Z432" s="223"/>
      <c r="AA432" s="223"/>
      <c r="AB432" s="223"/>
      <c r="AC432" s="223"/>
    </row>
    <row r="433" spans="1:29" x14ac:dyDescent="0.25">
      <c r="A433" s="223"/>
      <c r="B433" s="223"/>
      <c r="C433" s="223"/>
      <c r="D433" s="223"/>
      <c r="E433" s="223"/>
      <c r="F433" s="276"/>
      <c r="G433" s="226"/>
      <c r="H433" s="223"/>
      <c r="I433" s="223"/>
      <c r="J433" s="223"/>
      <c r="K433" s="223"/>
      <c r="L433" s="223"/>
      <c r="M433" s="223"/>
      <c r="N433" s="223"/>
      <c r="O433" s="223"/>
      <c r="P433" s="223"/>
      <c r="Q433" s="223"/>
      <c r="R433" s="890"/>
      <c r="S433" s="890"/>
      <c r="T433" s="223"/>
      <c r="U433" s="223"/>
      <c r="V433" s="223"/>
      <c r="W433" s="223"/>
      <c r="X433" s="223"/>
      <c r="Y433" s="223"/>
      <c r="Z433" s="223"/>
      <c r="AA433" s="223"/>
      <c r="AB433" s="223"/>
      <c r="AC433" s="223"/>
    </row>
    <row r="434" spans="1:29" x14ac:dyDescent="0.25">
      <c r="A434" s="223"/>
      <c r="B434" s="223"/>
      <c r="C434" s="223"/>
      <c r="D434" s="223"/>
      <c r="E434" s="223"/>
      <c r="F434" s="276"/>
      <c r="G434" s="226"/>
      <c r="H434" s="223"/>
      <c r="I434" s="223"/>
      <c r="J434" s="223"/>
      <c r="K434" s="223"/>
      <c r="L434" s="223"/>
      <c r="M434" s="223"/>
      <c r="N434" s="223"/>
      <c r="O434" s="223"/>
      <c r="P434" s="223"/>
      <c r="Q434" s="223"/>
      <c r="R434" s="890"/>
      <c r="S434" s="890"/>
      <c r="T434" s="223"/>
      <c r="U434" s="223"/>
      <c r="V434" s="223"/>
      <c r="W434" s="223"/>
      <c r="X434" s="223"/>
      <c r="Y434" s="223"/>
      <c r="Z434" s="223"/>
      <c r="AA434" s="223"/>
      <c r="AB434" s="223"/>
      <c r="AC434" s="223"/>
    </row>
    <row r="435" spans="1:29" x14ac:dyDescent="0.25">
      <c r="A435" s="223"/>
      <c r="B435" s="223"/>
      <c r="C435" s="223"/>
      <c r="D435" s="223"/>
      <c r="E435" s="223"/>
      <c r="F435" s="276"/>
      <c r="G435" s="226"/>
      <c r="H435" s="223"/>
      <c r="I435" s="223"/>
      <c r="J435" s="223"/>
      <c r="K435" s="223"/>
      <c r="L435" s="223"/>
      <c r="M435" s="223"/>
      <c r="N435" s="223"/>
      <c r="O435" s="223"/>
      <c r="P435" s="223"/>
      <c r="Q435" s="223"/>
      <c r="R435" s="890"/>
      <c r="S435" s="890"/>
      <c r="T435" s="223"/>
      <c r="U435" s="223"/>
      <c r="V435" s="223"/>
      <c r="W435" s="223"/>
      <c r="X435" s="223"/>
      <c r="Y435" s="223"/>
      <c r="Z435" s="223"/>
      <c r="AA435" s="223"/>
      <c r="AB435" s="223"/>
      <c r="AC435" s="223"/>
    </row>
    <row r="436" spans="1:29" x14ac:dyDescent="0.25">
      <c r="A436" s="223"/>
      <c r="B436" s="223"/>
      <c r="C436" s="223"/>
      <c r="D436" s="223"/>
      <c r="E436" s="223"/>
      <c r="F436" s="276"/>
      <c r="G436" s="226"/>
      <c r="H436" s="223"/>
      <c r="I436" s="223"/>
      <c r="J436" s="223"/>
      <c r="K436" s="223"/>
      <c r="L436" s="223"/>
      <c r="M436" s="223"/>
      <c r="N436" s="223"/>
      <c r="O436" s="223"/>
      <c r="P436" s="223"/>
      <c r="Q436" s="223"/>
      <c r="R436" s="890"/>
      <c r="S436" s="890"/>
      <c r="T436" s="223"/>
      <c r="U436" s="223"/>
      <c r="V436" s="223"/>
      <c r="W436" s="223"/>
      <c r="X436" s="223"/>
      <c r="Y436" s="223"/>
      <c r="Z436" s="223"/>
      <c r="AA436" s="223"/>
      <c r="AB436" s="223"/>
      <c r="AC436" s="223"/>
    </row>
    <row r="437" spans="1:29" x14ac:dyDescent="0.25">
      <c r="A437" s="223"/>
      <c r="B437" s="223"/>
      <c r="C437" s="223"/>
      <c r="D437" s="223"/>
      <c r="E437" s="223"/>
      <c r="F437" s="276"/>
      <c r="G437" s="226"/>
      <c r="H437" s="223"/>
      <c r="I437" s="223"/>
      <c r="J437" s="223"/>
      <c r="K437" s="223"/>
      <c r="L437" s="223"/>
      <c r="M437" s="223"/>
      <c r="N437" s="223"/>
      <c r="O437" s="223"/>
      <c r="P437" s="223"/>
      <c r="Q437" s="223"/>
      <c r="R437" s="890"/>
      <c r="S437" s="890"/>
      <c r="T437" s="223"/>
      <c r="U437" s="223"/>
      <c r="V437" s="223"/>
      <c r="W437" s="223"/>
      <c r="X437" s="223"/>
      <c r="Y437" s="223"/>
      <c r="Z437" s="223"/>
      <c r="AA437" s="223"/>
      <c r="AB437" s="223"/>
      <c r="AC437" s="223"/>
    </row>
    <row r="438" spans="1:29" x14ac:dyDescent="0.25">
      <c r="A438" s="223"/>
      <c r="B438" s="223"/>
      <c r="C438" s="223"/>
      <c r="D438" s="223"/>
      <c r="E438" s="223"/>
      <c r="F438" s="276"/>
      <c r="G438" s="226"/>
      <c r="H438" s="223"/>
      <c r="I438" s="223"/>
      <c r="J438" s="223"/>
      <c r="K438" s="223"/>
      <c r="L438" s="223"/>
      <c r="M438" s="223"/>
      <c r="N438" s="223"/>
      <c r="O438" s="223"/>
      <c r="P438" s="223"/>
      <c r="Q438" s="223"/>
      <c r="R438" s="890"/>
      <c r="S438" s="890"/>
      <c r="T438" s="223"/>
      <c r="U438" s="223"/>
      <c r="V438" s="223"/>
      <c r="W438" s="223"/>
      <c r="X438" s="223"/>
      <c r="Y438" s="223"/>
      <c r="Z438" s="223"/>
      <c r="AA438" s="223"/>
      <c r="AB438" s="223"/>
      <c r="AC438" s="223"/>
    </row>
    <row r="439" spans="1:29" x14ac:dyDescent="0.25">
      <c r="A439" s="223"/>
      <c r="B439" s="223"/>
      <c r="C439" s="223"/>
      <c r="D439" s="223"/>
      <c r="E439" s="223"/>
      <c r="F439" s="276"/>
      <c r="G439" s="226"/>
      <c r="H439" s="223"/>
      <c r="I439" s="223"/>
      <c r="J439" s="223"/>
      <c r="K439" s="223"/>
      <c r="L439" s="223"/>
      <c r="M439" s="223"/>
      <c r="N439" s="223"/>
      <c r="O439" s="223"/>
      <c r="P439" s="223"/>
      <c r="Q439" s="223"/>
      <c r="R439" s="890"/>
      <c r="S439" s="890"/>
      <c r="T439" s="223"/>
      <c r="U439" s="223"/>
      <c r="V439" s="223"/>
      <c r="W439" s="223"/>
      <c r="X439" s="223"/>
      <c r="Y439" s="223"/>
      <c r="Z439" s="223"/>
      <c r="AA439" s="223"/>
      <c r="AB439" s="223"/>
      <c r="AC439" s="223"/>
    </row>
    <row r="440" spans="1:29" x14ac:dyDescent="0.25">
      <c r="A440" s="223"/>
      <c r="B440" s="223"/>
      <c r="C440" s="223"/>
      <c r="D440" s="223"/>
      <c r="E440" s="223"/>
      <c r="F440" s="276"/>
      <c r="G440" s="226"/>
      <c r="H440" s="223"/>
      <c r="I440" s="223"/>
      <c r="J440" s="223"/>
      <c r="K440" s="223"/>
      <c r="L440" s="223"/>
      <c r="M440" s="223"/>
      <c r="N440" s="223"/>
      <c r="O440" s="223"/>
      <c r="P440" s="223"/>
      <c r="Q440" s="223"/>
      <c r="R440" s="890"/>
      <c r="S440" s="890"/>
      <c r="T440" s="223"/>
      <c r="U440" s="223"/>
      <c r="V440" s="223"/>
      <c r="W440" s="223"/>
      <c r="X440" s="223"/>
      <c r="Y440" s="223"/>
      <c r="Z440" s="223"/>
      <c r="AA440" s="223"/>
      <c r="AB440" s="223"/>
      <c r="AC440" s="223"/>
    </row>
    <row r="441" spans="1:29" x14ac:dyDescent="0.25">
      <c r="A441" s="223"/>
      <c r="B441" s="223"/>
      <c r="C441" s="223"/>
      <c r="D441" s="223"/>
      <c r="E441" s="223"/>
      <c r="F441" s="276"/>
      <c r="G441" s="226"/>
      <c r="H441" s="223"/>
      <c r="I441" s="223"/>
      <c r="J441" s="223"/>
      <c r="K441" s="223"/>
      <c r="L441" s="223"/>
      <c r="M441" s="223"/>
      <c r="N441" s="223"/>
      <c r="O441" s="223"/>
      <c r="P441" s="223"/>
      <c r="Q441" s="223"/>
      <c r="R441" s="890"/>
      <c r="S441" s="890"/>
      <c r="T441" s="223"/>
      <c r="U441" s="223"/>
      <c r="V441" s="223"/>
      <c r="W441" s="223"/>
      <c r="X441" s="223"/>
      <c r="Y441" s="223"/>
      <c r="Z441" s="223"/>
      <c r="AA441" s="223"/>
      <c r="AB441" s="223"/>
      <c r="AC441" s="223"/>
    </row>
    <row r="442" spans="1:29" x14ac:dyDescent="0.25">
      <c r="A442" s="223"/>
      <c r="B442" s="223"/>
      <c r="C442" s="223"/>
      <c r="D442" s="223"/>
      <c r="E442" s="223"/>
      <c r="F442" s="276"/>
      <c r="G442" s="226"/>
      <c r="H442" s="223"/>
      <c r="I442" s="223"/>
      <c r="J442" s="223"/>
      <c r="K442" s="223"/>
      <c r="L442" s="223"/>
      <c r="M442" s="223"/>
      <c r="N442" s="223"/>
      <c r="O442" s="223"/>
      <c r="P442" s="223"/>
      <c r="Q442" s="223"/>
      <c r="R442" s="890"/>
      <c r="S442" s="890"/>
      <c r="T442" s="223"/>
      <c r="U442" s="223"/>
      <c r="V442" s="223"/>
      <c r="W442" s="223"/>
      <c r="X442" s="223"/>
      <c r="Y442" s="223"/>
      <c r="Z442" s="223"/>
      <c r="AA442" s="223"/>
      <c r="AB442" s="223"/>
      <c r="AC442" s="223"/>
    </row>
    <row r="443" spans="1:29" x14ac:dyDescent="0.25">
      <c r="A443" s="223"/>
      <c r="B443" s="223"/>
      <c r="C443" s="223"/>
      <c r="D443" s="223"/>
      <c r="E443" s="223"/>
      <c r="F443" s="276"/>
      <c r="G443" s="226"/>
      <c r="H443" s="223"/>
      <c r="I443" s="223"/>
      <c r="J443" s="223"/>
      <c r="K443" s="223"/>
      <c r="L443" s="223"/>
      <c r="M443" s="223"/>
      <c r="N443" s="223"/>
      <c r="O443" s="223"/>
      <c r="P443" s="223"/>
      <c r="Q443" s="223"/>
      <c r="R443" s="890"/>
      <c r="S443" s="890"/>
      <c r="T443" s="223"/>
      <c r="U443" s="223"/>
      <c r="V443" s="223"/>
      <c r="W443" s="223"/>
      <c r="X443" s="223"/>
      <c r="Y443" s="223"/>
      <c r="Z443" s="223"/>
      <c r="AA443" s="223"/>
      <c r="AB443" s="223"/>
      <c r="AC443" s="223"/>
    </row>
    <row r="444" spans="1:29" x14ac:dyDescent="0.25">
      <c r="A444" s="223"/>
      <c r="B444" s="223"/>
      <c r="C444" s="223"/>
      <c r="D444" s="223"/>
      <c r="E444" s="223"/>
      <c r="F444" s="276"/>
      <c r="G444" s="226"/>
      <c r="H444" s="223"/>
      <c r="I444" s="223"/>
      <c r="J444" s="223"/>
      <c r="K444" s="223"/>
      <c r="L444" s="223"/>
      <c r="M444" s="223"/>
      <c r="N444" s="223"/>
      <c r="O444" s="223"/>
      <c r="P444" s="223"/>
      <c r="Q444" s="223"/>
      <c r="R444" s="890"/>
      <c r="S444" s="890"/>
      <c r="T444" s="223"/>
      <c r="U444" s="223"/>
      <c r="V444" s="223"/>
      <c r="W444" s="223"/>
      <c r="X444" s="223"/>
      <c r="Y444" s="223"/>
      <c r="Z444" s="223"/>
      <c r="AA444" s="223"/>
      <c r="AB444" s="223"/>
      <c r="AC444" s="223"/>
    </row>
    <row r="445" spans="1:29" x14ac:dyDescent="0.25">
      <c r="A445" s="223"/>
      <c r="B445" s="223"/>
      <c r="C445" s="223"/>
      <c r="D445" s="223"/>
      <c r="E445" s="223"/>
      <c r="F445" s="276"/>
      <c r="G445" s="226"/>
      <c r="H445" s="223"/>
      <c r="I445" s="223"/>
      <c r="J445" s="223"/>
      <c r="K445" s="223"/>
      <c r="L445" s="223"/>
      <c r="M445" s="223"/>
      <c r="N445" s="223"/>
      <c r="O445" s="223"/>
      <c r="P445" s="223"/>
      <c r="Q445" s="223"/>
      <c r="R445" s="890"/>
      <c r="S445" s="890"/>
      <c r="T445" s="223"/>
      <c r="U445" s="223"/>
      <c r="V445" s="223"/>
      <c r="W445" s="223"/>
      <c r="X445" s="223"/>
      <c r="Y445" s="223"/>
      <c r="Z445" s="223"/>
      <c r="AA445" s="223"/>
      <c r="AB445" s="223"/>
      <c r="AC445" s="223"/>
    </row>
    <row r="446" spans="1:29" x14ac:dyDescent="0.25">
      <c r="A446" s="223"/>
      <c r="B446" s="223"/>
      <c r="C446" s="223"/>
      <c r="D446" s="223"/>
      <c r="E446" s="223"/>
      <c r="F446" s="276"/>
      <c r="G446" s="226"/>
      <c r="H446" s="223"/>
      <c r="I446" s="223"/>
      <c r="J446" s="223"/>
      <c r="K446" s="223"/>
      <c r="L446" s="223"/>
      <c r="M446" s="223"/>
      <c r="N446" s="223"/>
      <c r="O446" s="223"/>
      <c r="P446" s="223"/>
      <c r="Q446" s="223"/>
      <c r="R446" s="890"/>
      <c r="S446" s="890"/>
      <c r="T446" s="223"/>
      <c r="U446" s="223"/>
      <c r="V446" s="223"/>
      <c r="W446" s="223"/>
      <c r="X446" s="223"/>
      <c r="Y446" s="223"/>
      <c r="Z446" s="223"/>
      <c r="AA446" s="223"/>
      <c r="AB446" s="223"/>
      <c r="AC446" s="223"/>
    </row>
    <row r="447" spans="1:29" x14ac:dyDescent="0.25">
      <c r="A447" s="223"/>
      <c r="B447" s="223"/>
      <c r="C447" s="223"/>
      <c r="D447" s="223"/>
      <c r="E447" s="223"/>
      <c r="F447" s="276"/>
      <c r="G447" s="226"/>
      <c r="H447" s="223"/>
      <c r="I447" s="223"/>
      <c r="J447" s="223"/>
      <c r="K447" s="223"/>
      <c r="L447" s="223"/>
      <c r="M447" s="223"/>
      <c r="N447" s="223"/>
      <c r="O447" s="223"/>
      <c r="P447" s="223"/>
      <c r="Q447" s="223"/>
      <c r="R447" s="890"/>
      <c r="S447" s="890"/>
      <c r="T447" s="223"/>
      <c r="U447" s="223"/>
      <c r="V447" s="223"/>
      <c r="W447" s="223"/>
      <c r="X447" s="223"/>
      <c r="Y447" s="223"/>
      <c r="Z447" s="223"/>
      <c r="AA447" s="223"/>
      <c r="AB447" s="223"/>
      <c r="AC447" s="223"/>
    </row>
    <row r="448" spans="1:29" x14ac:dyDescent="0.25">
      <c r="A448" s="223"/>
      <c r="B448" s="223"/>
      <c r="C448" s="223"/>
      <c r="D448" s="223"/>
      <c r="E448" s="223"/>
      <c r="F448" s="276"/>
      <c r="G448" s="226"/>
      <c r="H448" s="223"/>
      <c r="I448" s="223"/>
      <c r="J448" s="223"/>
      <c r="K448" s="223"/>
      <c r="L448" s="223"/>
      <c r="M448" s="223"/>
      <c r="N448" s="223"/>
      <c r="O448" s="223"/>
      <c r="P448" s="223"/>
      <c r="Q448" s="223"/>
      <c r="R448" s="890"/>
      <c r="S448" s="890"/>
      <c r="T448" s="223"/>
      <c r="U448" s="223"/>
      <c r="V448" s="223"/>
      <c r="W448" s="223"/>
      <c r="X448" s="223"/>
      <c r="Y448" s="223"/>
      <c r="Z448" s="223"/>
      <c r="AA448" s="223"/>
      <c r="AB448" s="223"/>
      <c r="AC448" s="223"/>
    </row>
    <row r="449" spans="1:29" x14ac:dyDescent="0.25">
      <c r="A449" s="223"/>
      <c r="B449" s="223"/>
      <c r="C449" s="223"/>
      <c r="D449" s="223"/>
      <c r="E449" s="223"/>
      <c r="F449" s="276"/>
      <c r="G449" s="226"/>
      <c r="H449" s="223"/>
      <c r="I449" s="223"/>
      <c r="J449" s="223"/>
      <c r="K449" s="223"/>
      <c r="L449" s="223"/>
      <c r="M449" s="223"/>
      <c r="N449" s="223"/>
      <c r="O449" s="223"/>
      <c r="P449" s="223"/>
      <c r="Q449" s="223"/>
      <c r="R449" s="890"/>
      <c r="S449" s="890"/>
      <c r="T449" s="223"/>
      <c r="U449" s="223"/>
      <c r="V449" s="223"/>
      <c r="W449" s="223"/>
      <c r="X449" s="223"/>
      <c r="Y449" s="223"/>
      <c r="Z449" s="223"/>
      <c r="AA449" s="223"/>
      <c r="AB449" s="223"/>
      <c r="AC449" s="223"/>
    </row>
    <row r="450" spans="1:29" x14ac:dyDescent="0.25">
      <c r="A450" s="223"/>
      <c r="B450" s="223"/>
      <c r="C450" s="223"/>
      <c r="D450" s="223"/>
      <c r="E450" s="223"/>
      <c r="F450" s="276"/>
      <c r="G450" s="226"/>
      <c r="H450" s="223"/>
      <c r="I450" s="223"/>
      <c r="J450" s="223"/>
      <c r="K450" s="223"/>
      <c r="L450" s="223"/>
      <c r="M450" s="223"/>
      <c r="N450" s="223"/>
      <c r="O450" s="223"/>
      <c r="P450" s="223"/>
      <c r="Q450" s="223"/>
      <c r="R450" s="890"/>
      <c r="S450" s="890"/>
      <c r="T450" s="223"/>
      <c r="U450" s="223"/>
      <c r="V450" s="223"/>
      <c r="W450" s="223"/>
      <c r="X450" s="223"/>
      <c r="Y450" s="223"/>
      <c r="Z450" s="223"/>
      <c r="AA450" s="223"/>
      <c r="AB450" s="223"/>
      <c r="AC450" s="223"/>
    </row>
    <row r="451" spans="1:29" x14ac:dyDescent="0.25">
      <c r="A451" s="223"/>
      <c r="B451" s="223"/>
      <c r="C451" s="223"/>
      <c r="D451" s="223"/>
      <c r="E451" s="223"/>
      <c r="F451" s="276"/>
      <c r="G451" s="226"/>
      <c r="H451" s="223"/>
      <c r="I451" s="223"/>
      <c r="J451" s="223"/>
      <c r="K451" s="223"/>
      <c r="L451" s="223"/>
      <c r="M451" s="223"/>
      <c r="N451" s="223"/>
      <c r="O451" s="223"/>
      <c r="P451" s="223"/>
      <c r="Q451" s="223"/>
      <c r="R451" s="890"/>
      <c r="S451" s="890"/>
      <c r="T451" s="223"/>
      <c r="U451" s="223"/>
      <c r="V451" s="223"/>
      <c r="W451" s="223"/>
      <c r="X451" s="223"/>
      <c r="Y451" s="223"/>
      <c r="Z451" s="223"/>
      <c r="AA451" s="223"/>
      <c r="AB451" s="223"/>
      <c r="AC451" s="223"/>
    </row>
    <row r="452" spans="1:29" x14ac:dyDescent="0.25">
      <c r="A452" s="223"/>
      <c r="B452" s="223"/>
      <c r="C452" s="223"/>
      <c r="D452" s="223"/>
      <c r="E452" s="223"/>
      <c r="F452" s="276"/>
      <c r="G452" s="226"/>
      <c r="H452" s="223"/>
      <c r="I452" s="223"/>
      <c r="J452" s="223"/>
      <c r="K452" s="223"/>
      <c r="L452" s="223"/>
      <c r="M452" s="223"/>
      <c r="N452" s="223"/>
      <c r="O452" s="223"/>
      <c r="P452" s="223"/>
      <c r="Q452" s="223"/>
      <c r="R452" s="890"/>
      <c r="S452" s="890"/>
      <c r="T452" s="223"/>
      <c r="U452" s="223"/>
      <c r="V452" s="223"/>
      <c r="W452" s="223"/>
      <c r="X452" s="223"/>
      <c r="Y452" s="223"/>
      <c r="Z452" s="223"/>
      <c r="AA452" s="223"/>
      <c r="AB452" s="223"/>
      <c r="AC452" s="223"/>
    </row>
    <row r="453" spans="1:29" x14ac:dyDescent="0.25">
      <c r="A453" s="223"/>
      <c r="B453" s="223"/>
      <c r="C453" s="223"/>
      <c r="D453" s="223"/>
      <c r="E453" s="223"/>
      <c r="F453" s="276"/>
      <c r="G453" s="226"/>
      <c r="H453" s="223"/>
      <c r="I453" s="223"/>
      <c r="J453" s="223"/>
      <c r="K453" s="223"/>
      <c r="L453" s="223"/>
      <c r="M453" s="223"/>
      <c r="N453" s="223"/>
      <c r="O453" s="223"/>
      <c r="P453" s="223"/>
      <c r="Q453" s="223"/>
      <c r="R453" s="890"/>
      <c r="S453" s="890"/>
      <c r="T453" s="223"/>
      <c r="U453" s="223"/>
      <c r="V453" s="223"/>
      <c r="W453" s="223"/>
      <c r="X453" s="223"/>
      <c r="Y453" s="223"/>
      <c r="Z453" s="223"/>
      <c r="AA453" s="223"/>
      <c r="AB453" s="223"/>
      <c r="AC453" s="223"/>
    </row>
    <row r="454" spans="1:29" x14ac:dyDescent="0.25">
      <c r="A454" s="223"/>
      <c r="B454" s="223"/>
      <c r="C454" s="223"/>
      <c r="D454" s="223"/>
      <c r="E454" s="223"/>
      <c r="F454" s="276"/>
      <c r="G454" s="226"/>
      <c r="H454" s="223"/>
      <c r="I454" s="223"/>
      <c r="J454" s="223"/>
      <c r="K454" s="223"/>
      <c r="L454" s="223"/>
      <c r="M454" s="223"/>
      <c r="N454" s="223"/>
      <c r="O454" s="223"/>
      <c r="P454" s="223"/>
      <c r="Q454" s="223"/>
      <c r="R454" s="890"/>
      <c r="S454" s="890"/>
      <c r="T454" s="223"/>
      <c r="U454" s="223"/>
      <c r="V454" s="223"/>
      <c r="W454" s="223"/>
      <c r="X454" s="223"/>
      <c r="Y454" s="223"/>
      <c r="Z454" s="223"/>
      <c r="AA454" s="223"/>
      <c r="AB454" s="223"/>
      <c r="AC454" s="223"/>
    </row>
    <row r="455" spans="1:29" x14ac:dyDescent="0.25">
      <c r="A455" s="223"/>
      <c r="B455" s="223"/>
      <c r="C455" s="223"/>
      <c r="D455" s="223"/>
      <c r="E455" s="223"/>
      <c r="F455" s="276"/>
      <c r="G455" s="226"/>
      <c r="H455" s="223"/>
      <c r="I455" s="223"/>
      <c r="J455" s="223"/>
      <c r="K455" s="223"/>
      <c r="L455" s="223"/>
      <c r="M455" s="223"/>
      <c r="N455" s="223"/>
      <c r="O455" s="223"/>
      <c r="P455" s="223"/>
      <c r="Q455" s="223"/>
      <c r="R455" s="890"/>
      <c r="S455" s="890"/>
      <c r="T455" s="223"/>
      <c r="U455" s="223"/>
      <c r="V455" s="223"/>
      <c r="W455" s="223"/>
      <c r="X455" s="223"/>
      <c r="Y455" s="223"/>
      <c r="Z455" s="223"/>
      <c r="AA455" s="223"/>
      <c r="AB455" s="223"/>
      <c r="AC455" s="223"/>
    </row>
    <row r="456" spans="1:29" x14ac:dyDescent="0.25">
      <c r="A456" s="223"/>
      <c r="B456" s="223"/>
      <c r="C456" s="223"/>
      <c r="D456" s="223"/>
      <c r="E456" s="223"/>
      <c r="F456" s="276"/>
      <c r="G456" s="226"/>
      <c r="H456" s="223"/>
      <c r="I456" s="223"/>
      <c r="J456" s="223"/>
      <c r="K456" s="223"/>
      <c r="L456" s="223"/>
      <c r="M456" s="223"/>
      <c r="N456" s="223"/>
      <c r="O456" s="223"/>
      <c r="P456" s="223"/>
      <c r="Q456" s="223"/>
      <c r="R456" s="890"/>
      <c r="S456" s="890"/>
      <c r="T456" s="223"/>
      <c r="U456" s="223"/>
      <c r="V456" s="223"/>
      <c r="W456" s="223"/>
      <c r="X456" s="223"/>
      <c r="Y456" s="223"/>
      <c r="Z456" s="223"/>
      <c r="AA456" s="223"/>
      <c r="AB456" s="223"/>
      <c r="AC456" s="223"/>
    </row>
    <row r="457" spans="1:29" x14ac:dyDescent="0.25">
      <c r="A457" s="223"/>
      <c r="B457" s="223"/>
      <c r="C457" s="223"/>
      <c r="D457" s="223"/>
      <c r="E457" s="223"/>
      <c r="F457" s="276"/>
      <c r="G457" s="226"/>
      <c r="H457" s="223"/>
      <c r="I457" s="223"/>
      <c r="J457" s="223"/>
      <c r="K457" s="223"/>
      <c r="L457" s="223"/>
      <c r="M457" s="223"/>
      <c r="N457" s="223"/>
      <c r="O457" s="223"/>
      <c r="P457" s="223"/>
      <c r="Q457" s="223"/>
      <c r="R457" s="890"/>
      <c r="S457" s="890"/>
      <c r="T457" s="223"/>
      <c r="U457" s="223"/>
      <c r="V457" s="223"/>
      <c r="W457" s="223"/>
      <c r="X457" s="223"/>
      <c r="Y457" s="223"/>
      <c r="Z457" s="223"/>
      <c r="AA457" s="223"/>
      <c r="AB457" s="223"/>
      <c r="AC457" s="223"/>
    </row>
    <row r="458" spans="1:29" x14ac:dyDescent="0.25">
      <c r="A458" s="223"/>
      <c r="B458" s="223"/>
      <c r="C458" s="223"/>
      <c r="D458" s="223"/>
      <c r="E458" s="223"/>
      <c r="F458" s="276"/>
      <c r="G458" s="226"/>
      <c r="H458" s="223"/>
      <c r="I458" s="223"/>
      <c r="J458" s="223"/>
      <c r="K458" s="223"/>
      <c r="L458" s="223"/>
      <c r="M458" s="223"/>
      <c r="N458" s="223"/>
      <c r="O458" s="223"/>
      <c r="P458" s="223"/>
      <c r="Q458" s="223"/>
      <c r="R458" s="890"/>
      <c r="S458" s="890"/>
      <c r="T458" s="223"/>
      <c r="U458" s="223"/>
      <c r="V458" s="223"/>
      <c r="W458" s="223"/>
      <c r="X458" s="223"/>
      <c r="Y458" s="223"/>
      <c r="Z458" s="223"/>
      <c r="AA458" s="223"/>
      <c r="AB458" s="223"/>
      <c r="AC458" s="223"/>
    </row>
    <row r="459" spans="1:29" x14ac:dyDescent="0.25">
      <c r="A459" s="223"/>
      <c r="B459" s="223"/>
      <c r="C459" s="223"/>
      <c r="D459" s="223"/>
      <c r="E459" s="223"/>
      <c r="F459" s="276"/>
      <c r="G459" s="226"/>
      <c r="H459" s="223"/>
      <c r="I459" s="223"/>
      <c r="J459" s="223"/>
      <c r="K459" s="223"/>
      <c r="L459" s="223"/>
      <c r="M459" s="223"/>
      <c r="N459" s="223"/>
      <c r="O459" s="223"/>
      <c r="P459" s="223"/>
      <c r="Q459" s="223"/>
      <c r="R459" s="890"/>
      <c r="S459" s="890"/>
      <c r="T459" s="223"/>
      <c r="U459" s="223"/>
      <c r="V459" s="223"/>
      <c r="W459" s="223"/>
      <c r="X459" s="223"/>
      <c r="Y459" s="223"/>
      <c r="Z459" s="223"/>
      <c r="AA459" s="223"/>
      <c r="AB459" s="223"/>
      <c r="AC459" s="223"/>
    </row>
    <row r="460" spans="1:29" x14ac:dyDescent="0.25">
      <c r="A460" s="223"/>
      <c r="B460" s="223"/>
      <c r="C460" s="223"/>
      <c r="D460" s="223"/>
      <c r="E460" s="223"/>
      <c r="F460" s="276"/>
      <c r="G460" s="226"/>
      <c r="H460" s="223"/>
      <c r="I460" s="223"/>
      <c r="J460" s="223"/>
      <c r="K460" s="223"/>
      <c r="L460" s="223"/>
      <c r="M460" s="223"/>
      <c r="N460" s="223"/>
      <c r="O460" s="223"/>
      <c r="P460" s="223"/>
      <c r="Q460" s="223"/>
      <c r="R460" s="890"/>
      <c r="S460" s="890"/>
      <c r="T460" s="223"/>
      <c r="U460" s="223"/>
      <c r="V460" s="223"/>
      <c r="W460" s="223"/>
      <c r="X460" s="223"/>
      <c r="Y460" s="223"/>
      <c r="Z460" s="223"/>
      <c r="AA460" s="223"/>
      <c r="AB460" s="223"/>
      <c r="AC460" s="223"/>
    </row>
    <row r="461" spans="1:29" x14ac:dyDescent="0.25">
      <c r="A461" s="223"/>
      <c r="B461" s="223"/>
      <c r="C461" s="223"/>
      <c r="D461" s="223"/>
      <c r="E461" s="223"/>
      <c r="F461" s="276"/>
      <c r="G461" s="226"/>
      <c r="H461" s="223"/>
      <c r="I461" s="223"/>
      <c r="J461" s="223"/>
      <c r="K461" s="223"/>
      <c r="L461" s="223"/>
      <c r="M461" s="223"/>
      <c r="N461" s="223"/>
      <c r="O461" s="223"/>
      <c r="P461" s="223"/>
      <c r="Q461" s="223"/>
      <c r="R461" s="890"/>
      <c r="S461" s="890"/>
      <c r="T461" s="223"/>
      <c r="U461" s="223"/>
      <c r="V461" s="223"/>
      <c r="W461" s="223"/>
      <c r="X461" s="223"/>
      <c r="Y461" s="223"/>
      <c r="Z461" s="223"/>
      <c r="AA461" s="223"/>
      <c r="AB461" s="223"/>
      <c r="AC461" s="223"/>
    </row>
    <row r="462" spans="1:29" x14ac:dyDescent="0.25">
      <c r="A462" s="223"/>
      <c r="B462" s="223"/>
      <c r="C462" s="223"/>
      <c r="D462" s="223"/>
      <c r="E462" s="223"/>
      <c r="F462" s="276"/>
      <c r="G462" s="226"/>
      <c r="H462" s="223"/>
      <c r="I462" s="223"/>
      <c r="J462" s="223"/>
      <c r="K462" s="223"/>
      <c r="L462" s="223"/>
      <c r="M462" s="223"/>
      <c r="N462" s="223"/>
      <c r="O462" s="223"/>
      <c r="P462" s="223"/>
      <c r="Q462" s="223"/>
      <c r="R462" s="890"/>
      <c r="S462" s="890"/>
      <c r="T462" s="223"/>
      <c r="U462" s="223"/>
      <c r="V462" s="223"/>
      <c r="W462" s="223"/>
      <c r="X462" s="223"/>
      <c r="Y462" s="223"/>
      <c r="Z462" s="223"/>
      <c r="AA462" s="223"/>
      <c r="AB462" s="223"/>
      <c r="AC462" s="223"/>
    </row>
    <row r="463" spans="1:29" x14ac:dyDescent="0.25">
      <c r="A463" s="223"/>
      <c r="B463" s="223"/>
      <c r="C463" s="223"/>
      <c r="D463" s="223"/>
      <c r="E463" s="223"/>
      <c r="F463" s="276"/>
      <c r="G463" s="226"/>
      <c r="H463" s="223"/>
      <c r="I463" s="223"/>
      <c r="J463" s="223"/>
      <c r="K463" s="223"/>
      <c r="L463" s="223"/>
      <c r="M463" s="223"/>
      <c r="N463" s="223"/>
      <c r="O463" s="223"/>
      <c r="P463" s="223"/>
      <c r="Q463" s="223"/>
      <c r="R463" s="890"/>
      <c r="S463" s="890"/>
      <c r="T463" s="223"/>
      <c r="U463" s="223"/>
      <c r="V463" s="223"/>
      <c r="W463" s="223"/>
      <c r="X463" s="223"/>
      <c r="Y463" s="223"/>
      <c r="Z463" s="223"/>
      <c r="AA463" s="223"/>
      <c r="AB463" s="223"/>
      <c r="AC463" s="223"/>
    </row>
    <row r="464" spans="1:29" x14ac:dyDescent="0.25">
      <c r="A464" s="223"/>
      <c r="B464" s="223"/>
      <c r="C464" s="223"/>
      <c r="D464" s="223"/>
      <c r="E464" s="223"/>
      <c r="F464" s="276"/>
      <c r="G464" s="226"/>
      <c r="H464" s="223"/>
      <c r="I464" s="223"/>
      <c r="J464" s="223"/>
      <c r="K464" s="223"/>
      <c r="L464" s="223"/>
      <c r="M464" s="223"/>
      <c r="N464" s="223"/>
      <c r="O464" s="223"/>
      <c r="P464" s="223"/>
      <c r="Q464" s="223"/>
      <c r="R464" s="890"/>
      <c r="S464" s="890"/>
      <c r="T464" s="223"/>
      <c r="U464" s="223"/>
      <c r="V464" s="223"/>
      <c r="W464" s="223"/>
      <c r="X464" s="223"/>
      <c r="Y464" s="223"/>
      <c r="Z464" s="223"/>
      <c r="AA464" s="223"/>
      <c r="AB464" s="223"/>
      <c r="AC464" s="223"/>
    </row>
    <row r="465" spans="1:29" x14ac:dyDescent="0.25">
      <c r="A465" s="223"/>
      <c r="B465" s="223"/>
      <c r="C465" s="223"/>
      <c r="D465" s="223"/>
      <c r="E465" s="223"/>
      <c r="F465" s="276"/>
      <c r="G465" s="226"/>
      <c r="H465" s="223"/>
      <c r="I465" s="223"/>
      <c r="J465" s="223"/>
      <c r="K465" s="223"/>
      <c r="L465" s="223"/>
      <c r="M465" s="223"/>
      <c r="N465" s="223"/>
      <c r="O465" s="223"/>
      <c r="P465" s="223"/>
      <c r="Q465" s="223"/>
      <c r="R465" s="890"/>
      <c r="S465" s="890"/>
      <c r="T465" s="223"/>
      <c r="U465" s="223"/>
      <c r="V465" s="223"/>
      <c r="W465" s="223"/>
      <c r="X465" s="223"/>
      <c r="Y465" s="223"/>
      <c r="Z465" s="223"/>
      <c r="AA465" s="223"/>
      <c r="AB465" s="223"/>
      <c r="AC465" s="223"/>
    </row>
    <row r="466" spans="1:29" x14ac:dyDescent="0.25">
      <c r="A466" s="223"/>
      <c r="B466" s="223"/>
      <c r="C466" s="223"/>
      <c r="D466" s="223"/>
      <c r="E466" s="223"/>
      <c r="F466" s="276"/>
      <c r="G466" s="226"/>
      <c r="H466" s="223"/>
      <c r="I466" s="223"/>
      <c r="J466" s="223"/>
      <c r="K466" s="223"/>
      <c r="L466" s="223"/>
      <c r="M466" s="223"/>
      <c r="N466" s="223"/>
      <c r="O466" s="223"/>
      <c r="P466" s="223"/>
      <c r="Q466" s="223"/>
      <c r="R466" s="890"/>
      <c r="S466" s="890"/>
      <c r="T466" s="223"/>
      <c r="U466" s="223"/>
      <c r="V466" s="223"/>
      <c r="W466" s="223"/>
      <c r="X466" s="223"/>
      <c r="Y466" s="223"/>
      <c r="Z466" s="223"/>
      <c r="AA466" s="223"/>
      <c r="AB466" s="223"/>
      <c r="AC466" s="223"/>
    </row>
    <row r="467" spans="1:29" x14ac:dyDescent="0.25">
      <c r="A467" s="223"/>
      <c r="B467" s="223"/>
      <c r="C467" s="223"/>
      <c r="D467" s="223"/>
      <c r="E467" s="223"/>
      <c r="F467" s="276"/>
      <c r="G467" s="226"/>
      <c r="H467" s="223"/>
      <c r="I467" s="223"/>
      <c r="J467" s="223"/>
      <c r="K467" s="223"/>
      <c r="L467" s="223"/>
      <c r="M467" s="223"/>
      <c r="N467" s="223"/>
      <c r="O467" s="223"/>
      <c r="P467" s="223"/>
      <c r="Q467" s="223"/>
      <c r="R467" s="890"/>
      <c r="S467" s="890"/>
      <c r="T467" s="223"/>
      <c r="U467" s="223"/>
      <c r="V467" s="223"/>
      <c r="W467" s="223"/>
      <c r="X467" s="223"/>
      <c r="Y467" s="223"/>
      <c r="Z467" s="223"/>
      <c r="AA467" s="223"/>
      <c r="AB467" s="223"/>
      <c r="AC467" s="223"/>
    </row>
    <row r="468" spans="1:29" x14ac:dyDescent="0.25">
      <c r="A468" s="223"/>
      <c r="B468" s="223"/>
      <c r="C468" s="223"/>
      <c r="D468" s="223"/>
      <c r="E468" s="223"/>
      <c r="F468" s="276"/>
      <c r="G468" s="226"/>
      <c r="H468" s="223"/>
      <c r="I468" s="223"/>
      <c r="J468" s="223"/>
      <c r="K468" s="223"/>
      <c r="L468" s="223"/>
      <c r="M468" s="223"/>
      <c r="N468" s="223"/>
      <c r="O468" s="223"/>
      <c r="P468" s="223"/>
      <c r="Q468" s="223"/>
      <c r="R468" s="890"/>
      <c r="S468" s="890"/>
      <c r="T468" s="223"/>
      <c r="U468" s="223"/>
      <c r="V468" s="223"/>
      <c r="W468" s="223"/>
      <c r="X468" s="223"/>
      <c r="Y468" s="223"/>
      <c r="Z468" s="223"/>
      <c r="AA468" s="223"/>
      <c r="AB468" s="223"/>
      <c r="AC468" s="223"/>
    </row>
    <row r="469" spans="1:29" x14ac:dyDescent="0.25">
      <c r="A469" s="223"/>
      <c r="B469" s="223"/>
      <c r="C469" s="223"/>
      <c r="D469" s="223"/>
      <c r="E469" s="223"/>
      <c r="F469" s="276"/>
      <c r="G469" s="226"/>
      <c r="H469" s="223"/>
      <c r="I469" s="223"/>
      <c r="J469" s="223"/>
      <c r="K469" s="223"/>
      <c r="L469" s="223"/>
      <c r="M469" s="223"/>
      <c r="N469" s="223"/>
      <c r="O469" s="223"/>
      <c r="P469" s="223"/>
      <c r="Q469" s="223"/>
      <c r="R469" s="890"/>
      <c r="S469" s="890"/>
      <c r="T469" s="223"/>
      <c r="U469" s="223"/>
      <c r="V469" s="223"/>
      <c r="W469" s="223"/>
      <c r="X469" s="223"/>
      <c r="Y469" s="223"/>
      <c r="Z469" s="223"/>
      <c r="AA469" s="223"/>
      <c r="AB469" s="223"/>
      <c r="AC469" s="223"/>
    </row>
    <row r="470" spans="1:29" x14ac:dyDescent="0.25">
      <c r="A470" s="223"/>
      <c r="B470" s="223"/>
      <c r="C470" s="223"/>
      <c r="D470" s="223"/>
      <c r="E470" s="223"/>
      <c r="F470" s="276"/>
      <c r="G470" s="226"/>
      <c r="H470" s="223"/>
      <c r="I470" s="223"/>
      <c r="J470" s="223"/>
      <c r="K470" s="223"/>
      <c r="L470" s="223"/>
      <c r="M470" s="223"/>
      <c r="N470" s="223"/>
      <c r="O470" s="223"/>
      <c r="P470" s="223"/>
      <c r="Q470" s="223"/>
      <c r="R470" s="890"/>
      <c r="S470" s="890"/>
      <c r="T470" s="223"/>
      <c r="U470" s="223"/>
      <c r="V470" s="223"/>
      <c r="W470" s="223"/>
      <c r="X470" s="223"/>
      <c r="Y470" s="223"/>
      <c r="Z470" s="223"/>
      <c r="AA470" s="223"/>
      <c r="AB470" s="223"/>
      <c r="AC470" s="223"/>
    </row>
    <row r="471" spans="1:29" x14ac:dyDescent="0.25">
      <c r="A471" s="223"/>
      <c r="B471" s="223"/>
      <c r="C471" s="223"/>
      <c r="D471" s="223"/>
      <c r="E471" s="223"/>
      <c r="F471" s="276"/>
      <c r="G471" s="226"/>
      <c r="H471" s="223"/>
      <c r="I471" s="223"/>
      <c r="J471" s="223"/>
      <c r="K471" s="223"/>
      <c r="L471" s="223"/>
      <c r="M471" s="223"/>
      <c r="N471" s="223"/>
      <c r="O471" s="223"/>
      <c r="P471" s="223"/>
      <c r="Q471" s="223"/>
      <c r="R471" s="890"/>
      <c r="S471" s="890"/>
      <c r="T471" s="223"/>
      <c r="U471" s="223"/>
      <c r="V471" s="223"/>
      <c r="W471" s="223"/>
      <c r="X471" s="223"/>
      <c r="Y471" s="223"/>
      <c r="Z471" s="223"/>
      <c r="AA471" s="223"/>
      <c r="AB471" s="223"/>
      <c r="AC471" s="223"/>
    </row>
    <row r="472" spans="1:29" x14ac:dyDescent="0.25">
      <c r="A472" s="223"/>
      <c r="B472" s="223"/>
      <c r="C472" s="223"/>
      <c r="D472" s="223"/>
      <c r="E472" s="223"/>
      <c r="F472" s="276"/>
      <c r="G472" s="226"/>
      <c r="H472" s="223"/>
      <c r="I472" s="223"/>
      <c r="J472" s="223"/>
      <c r="K472" s="223"/>
      <c r="L472" s="223"/>
      <c r="M472" s="223"/>
      <c r="N472" s="223"/>
      <c r="O472" s="223"/>
      <c r="P472" s="223"/>
      <c r="Q472" s="223"/>
      <c r="R472" s="890"/>
      <c r="S472" s="890"/>
      <c r="T472" s="223"/>
      <c r="U472" s="223"/>
      <c r="V472" s="223"/>
      <c r="W472" s="223"/>
      <c r="X472" s="223"/>
      <c r="Y472" s="223"/>
      <c r="Z472" s="223"/>
      <c r="AA472" s="223"/>
      <c r="AB472" s="223"/>
      <c r="AC472" s="223"/>
    </row>
    <row r="473" spans="1:29" x14ac:dyDescent="0.25">
      <c r="A473" s="223"/>
      <c r="B473" s="223"/>
      <c r="C473" s="223"/>
      <c r="D473" s="223"/>
      <c r="E473" s="223"/>
      <c r="F473" s="276"/>
      <c r="G473" s="226"/>
      <c r="H473" s="223"/>
      <c r="I473" s="223"/>
      <c r="J473" s="223"/>
      <c r="K473" s="223"/>
      <c r="L473" s="223"/>
      <c r="M473" s="223"/>
      <c r="N473" s="223"/>
      <c r="O473" s="223"/>
      <c r="P473" s="223"/>
      <c r="Q473" s="223"/>
      <c r="R473" s="890"/>
      <c r="S473" s="890"/>
      <c r="T473" s="223"/>
      <c r="U473" s="223"/>
      <c r="V473" s="223"/>
      <c r="W473" s="223"/>
      <c r="X473" s="223"/>
      <c r="Y473" s="223"/>
      <c r="Z473" s="223"/>
      <c r="AA473" s="223"/>
      <c r="AB473" s="223"/>
      <c r="AC473" s="223"/>
    </row>
    <row r="474" spans="1:29" x14ac:dyDescent="0.25">
      <c r="A474" s="223"/>
      <c r="B474" s="223"/>
      <c r="C474" s="223"/>
      <c r="D474" s="223"/>
      <c r="E474" s="223"/>
      <c r="F474" s="276"/>
      <c r="G474" s="226"/>
      <c r="H474" s="223"/>
      <c r="I474" s="223"/>
      <c r="J474" s="223"/>
      <c r="K474" s="223"/>
      <c r="L474" s="223"/>
      <c r="M474" s="223"/>
      <c r="N474" s="223"/>
      <c r="O474" s="223"/>
      <c r="P474" s="223"/>
      <c r="Q474" s="223"/>
      <c r="R474" s="890"/>
      <c r="S474" s="890"/>
      <c r="T474" s="223"/>
      <c r="U474" s="223"/>
      <c r="V474" s="223"/>
      <c r="W474" s="223"/>
      <c r="X474" s="223"/>
      <c r="Y474" s="223"/>
      <c r="Z474" s="223"/>
      <c r="AA474" s="223"/>
      <c r="AB474" s="223"/>
      <c r="AC474" s="223"/>
    </row>
    <row r="475" spans="1:29" x14ac:dyDescent="0.25">
      <c r="A475" s="223"/>
      <c r="B475" s="223"/>
      <c r="C475" s="223"/>
      <c r="D475" s="223"/>
      <c r="E475" s="223"/>
      <c r="F475" s="276"/>
      <c r="G475" s="226"/>
      <c r="H475" s="223"/>
      <c r="I475" s="223"/>
      <c r="J475" s="223"/>
      <c r="K475" s="223"/>
      <c r="L475" s="223"/>
      <c r="M475" s="223"/>
      <c r="N475" s="223"/>
      <c r="O475" s="223"/>
      <c r="P475" s="223"/>
      <c r="Q475" s="223"/>
      <c r="R475" s="890"/>
      <c r="S475" s="890"/>
      <c r="T475" s="223"/>
      <c r="U475" s="223"/>
      <c r="V475" s="223"/>
      <c r="W475" s="223"/>
      <c r="X475" s="223"/>
      <c r="Y475" s="223"/>
      <c r="Z475" s="223"/>
      <c r="AA475" s="223"/>
      <c r="AB475" s="223"/>
      <c r="AC475" s="223"/>
    </row>
    <row r="476" spans="1:29" x14ac:dyDescent="0.25">
      <c r="A476" s="223"/>
      <c r="B476" s="223"/>
      <c r="C476" s="223"/>
      <c r="D476" s="223"/>
      <c r="E476" s="223"/>
      <c r="F476" s="276"/>
      <c r="G476" s="226"/>
      <c r="H476" s="223"/>
      <c r="I476" s="223"/>
      <c r="J476" s="223"/>
      <c r="K476" s="223"/>
      <c r="L476" s="223"/>
      <c r="M476" s="223"/>
      <c r="N476" s="223"/>
      <c r="O476" s="223"/>
      <c r="P476" s="223"/>
      <c r="Q476" s="223"/>
      <c r="R476" s="890"/>
      <c r="S476" s="890"/>
      <c r="T476" s="223"/>
      <c r="U476" s="223"/>
      <c r="V476" s="223"/>
      <c r="W476" s="223"/>
      <c r="X476" s="223"/>
      <c r="Y476" s="223"/>
      <c r="Z476" s="223"/>
      <c r="AA476" s="223"/>
      <c r="AB476" s="223"/>
      <c r="AC476" s="223"/>
    </row>
    <row r="477" spans="1:29" x14ac:dyDescent="0.25">
      <c r="A477" s="223"/>
      <c r="B477" s="223"/>
      <c r="C477" s="223"/>
      <c r="D477" s="223"/>
      <c r="E477" s="223"/>
      <c r="F477" s="276"/>
      <c r="G477" s="226"/>
      <c r="H477" s="223"/>
      <c r="I477" s="223"/>
      <c r="J477" s="223"/>
      <c r="K477" s="223"/>
      <c r="L477" s="223"/>
      <c r="M477" s="223"/>
      <c r="N477" s="223"/>
      <c r="O477" s="223"/>
      <c r="P477" s="223"/>
      <c r="Q477" s="223"/>
      <c r="R477" s="890"/>
      <c r="S477" s="890"/>
      <c r="T477" s="223"/>
      <c r="U477" s="223"/>
      <c r="V477" s="223"/>
      <c r="W477" s="223"/>
      <c r="X477" s="223"/>
      <c r="Y477" s="223"/>
      <c r="Z477" s="223"/>
      <c r="AA477" s="223"/>
      <c r="AB477" s="223"/>
      <c r="AC477" s="223"/>
    </row>
    <row r="478" spans="1:29" x14ac:dyDescent="0.25">
      <c r="A478" s="223"/>
      <c r="B478" s="223"/>
      <c r="C478" s="223"/>
      <c r="D478" s="223"/>
      <c r="E478" s="223"/>
      <c r="F478" s="276"/>
      <c r="G478" s="226"/>
      <c r="H478" s="223"/>
      <c r="I478" s="223"/>
      <c r="J478" s="223"/>
      <c r="K478" s="223"/>
      <c r="L478" s="223"/>
      <c r="M478" s="223"/>
      <c r="N478" s="223"/>
      <c r="O478" s="223"/>
      <c r="P478" s="223"/>
      <c r="Q478" s="223"/>
      <c r="R478" s="890"/>
      <c r="S478" s="890"/>
      <c r="T478" s="223"/>
      <c r="U478" s="223"/>
      <c r="V478" s="223"/>
      <c r="W478" s="223"/>
      <c r="X478" s="223"/>
      <c r="Y478" s="223"/>
      <c r="Z478" s="223"/>
      <c r="AA478" s="223"/>
      <c r="AB478" s="223"/>
      <c r="AC478" s="223"/>
    </row>
    <row r="479" spans="1:29" x14ac:dyDescent="0.25">
      <c r="A479" s="223"/>
      <c r="B479" s="223"/>
      <c r="C479" s="223"/>
      <c r="D479" s="223"/>
      <c r="E479" s="223"/>
      <c r="F479" s="276"/>
      <c r="G479" s="226"/>
      <c r="H479" s="223"/>
      <c r="I479" s="223"/>
      <c r="J479" s="223"/>
      <c r="K479" s="223"/>
      <c r="L479" s="223"/>
      <c r="M479" s="223"/>
      <c r="N479" s="223"/>
      <c r="O479" s="223"/>
      <c r="P479" s="223"/>
      <c r="Q479" s="223"/>
      <c r="R479" s="890"/>
      <c r="S479" s="890"/>
      <c r="T479" s="223"/>
      <c r="U479" s="223"/>
      <c r="V479" s="223"/>
      <c r="W479" s="223"/>
      <c r="X479" s="223"/>
      <c r="Y479" s="223"/>
      <c r="Z479" s="223"/>
      <c r="AA479" s="223"/>
      <c r="AB479" s="223"/>
      <c r="AC479" s="223"/>
    </row>
    <row r="480" spans="1:29" x14ac:dyDescent="0.25">
      <c r="A480" s="223"/>
      <c r="B480" s="223"/>
      <c r="C480" s="223"/>
      <c r="D480" s="223"/>
      <c r="E480" s="223"/>
      <c r="F480" s="276"/>
      <c r="G480" s="226"/>
      <c r="H480" s="223"/>
      <c r="I480" s="223"/>
      <c r="J480" s="223"/>
      <c r="K480" s="223"/>
      <c r="L480" s="223"/>
      <c r="M480" s="223"/>
      <c r="N480" s="223"/>
      <c r="O480" s="223"/>
      <c r="P480" s="223"/>
      <c r="Q480" s="223"/>
      <c r="R480" s="890"/>
      <c r="S480" s="890"/>
      <c r="T480" s="223"/>
      <c r="U480" s="223"/>
      <c r="V480" s="223"/>
      <c r="W480" s="223"/>
      <c r="X480" s="223"/>
      <c r="Y480" s="223"/>
      <c r="Z480" s="223"/>
      <c r="AA480" s="223"/>
      <c r="AB480" s="223"/>
      <c r="AC480" s="223"/>
    </row>
    <row r="481" spans="1:29" x14ac:dyDescent="0.25">
      <c r="A481" s="223"/>
      <c r="B481" s="223"/>
      <c r="C481" s="223"/>
      <c r="D481" s="223"/>
      <c r="E481" s="223"/>
      <c r="F481" s="276"/>
      <c r="G481" s="226"/>
      <c r="H481" s="223"/>
      <c r="I481" s="223"/>
      <c r="J481" s="223"/>
      <c r="K481" s="223"/>
      <c r="L481" s="223"/>
      <c r="M481" s="223"/>
      <c r="N481" s="223"/>
      <c r="O481" s="223"/>
      <c r="P481" s="223"/>
      <c r="Q481" s="223"/>
      <c r="R481" s="890"/>
      <c r="S481" s="890"/>
      <c r="T481" s="223"/>
      <c r="U481" s="223"/>
      <c r="V481" s="223"/>
      <c r="W481" s="223"/>
      <c r="X481" s="223"/>
      <c r="Y481" s="223"/>
      <c r="Z481" s="223"/>
      <c r="AA481" s="223"/>
      <c r="AB481" s="223"/>
      <c r="AC481" s="223"/>
    </row>
    <row r="482" spans="1:29" x14ac:dyDescent="0.25">
      <c r="A482" s="223"/>
      <c r="B482" s="223"/>
      <c r="C482" s="223"/>
      <c r="D482" s="223"/>
      <c r="E482" s="223"/>
      <c r="F482" s="276"/>
      <c r="G482" s="226"/>
      <c r="H482" s="223"/>
      <c r="I482" s="223"/>
      <c r="J482" s="223"/>
      <c r="K482" s="223"/>
      <c r="L482" s="223"/>
      <c r="M482" s="223"/>
      <c r="N482" s="223"/>
      <c r="O482" s="223"/>
      <c r="P482" s="223"/>
      <c r="Q482" s="223"/>
      <c r="R482" s="890"/>
      <c r="S482" s="890"/>
      <c r="T482" s="223"/>
      <c r="U482" s="223"/>
      <c r="V482" s="223"/>
      <c r="W482" s="223"/>
      <c r="X482" s="223"/>
      <c r="Y482" s="223"/>
      <c r="Z482" s="223"/>
      <c r="AA482" s="223"/>
      <c r="AB482" s="223"/>
      <c r="AC482" s="223"/>
    </row>
    <row r="483" spans="1:29" x14ac:dyDescent="0.25">
      <c r="A483" s="223"/>
      <c r="B483" s="223"/>
      <c r="C483" s="223"/>
      <c r="D483" s="223"/>
      <c r="E483" s="223"/>
      <c r="F483" s="276"/>
      <c r="G483" s="226"/>
      <c r="H483" s="223"/>
      <c r="I483" s="223"/>
      <c r="J483" s="223"/>
      <c r="K483" s="223"/>
      <c r="L483" s="223"/>
      <c r="M483" s="223"/>
      <c r="N483" s="223"/>
      <c r="O483" s="223"/>
      <c r="P483" s="223"/>
      <c r="Q483" s="223"/>
      <c r="R483" s="890"/>
      <c r="S483" s="890"/>
      <c r="T483" s="223"/>
      <c r="U483" s="223"/>
      <c r="V483" s="223"/>
      <c r="W483" s="223"/>
      <c r="X483" s="223"/>
      <c r="Y483" s="223"/>
      <c r="Z483" s="223"/>
      <c r="AA483" s="223"/>
      <c r="AB483" s="223"/>
      <c r="AC483" s="223"/>
    </row>
    <row r="484" spans="1:29" x14ac:dyDescent="0.25">
      <c r="A484" s="223"/>
      <c r="B484" s="223"/>
      <c r="C484" s="223"/>
      <c r="D484" s="223"/>
      <c r="E484" s="223"/>
      <c r="F484" s="276"/>
      <c r="G484" s="226"/>
      <c r="H484" s="223"/>
      <c r="I484" s="223"/>
      <c r="J484" s="223"/>
      <c r="K484" s="223"/>
      <c r="L484" s="223"/>
      <c r="M484" s="223"/>
      <c r="N484" s="223"/>
      <c r="O484" s="223"/>
      <c r="P484" s="223"/>
      <c r="Q484" s="223"/>
      <c r="R484" s="890"/>
      <c r="S484" s="890"/>
      <c r="T484" s="223"/>
      <c r="U484" s="223"/>
      <c r="V484" s="223"/>
      <c r="W484" s="223"/>
      <c r="X484" s="223"/>
      <c r="Y484" s="223"/>
      <c r="Z484" s="223"/>
      <c r="AA484" s="223"/>
      <c r="AB484" s="223"/>
      <c r="AC484" s="223"/>
    </row>
    <row r="485" spans="1:29" x14ac:dyDescent="0.25">
      <c r="A485" s="223"/>
      <c r="B485" s="223"/>
      <c r="C485" s="223"/>
      <c r="D485" s="223"/>
      <c r="E485" s="223"/>
      <c r="F485" s="276"/>
      <c r="G485" s="226"/>
      <c r="H485" s="223"/>
      <c r="I485" s="223"/>
      <c r="J485" s="223"/>
      <c r="K485" s="223"/>
      <c r="L485" s="223"/>
      <c r="M485" s="223"/>
      <c r="N485" s="223"/>
      <c r="O485" s="223"/>
      <c r="P485" s="223"/>
      <c r="Q485" s="223"/>
      <c r="R485" s="890"/>
      <c r="S485" s="890"/>
      <c r="T485" s="223"/>
      <c r="U485" s="223"/>
      <c r="V485" s="223"/>
      <c r="W485" s="223"/>
      <c r="X485" s="223"/>
      <c r="Y485" s="223"/>
      <c r="Z485" s="223"/>
      <c r="AA485" s="223"/>
      <c r="AB485" s="223"/>
      <c r="AC485" s="223"/>
    </row>
    <row r="486" spans="1:29" x14ac:dyDescent="0.25">
      <c r="A486" s="223"/>
      <c r="B486" s="223"/>
      <c r="C486" s="223"/>
      <c r="D486" s="223"/>
      <c r="E486" s="223"/>
      <c r="F486" s="276"/>
      <c r="G486" s="226"/>
      <c r="H486" s="223"/>
      <c r="I486" s="223"/>
      <c r="J486" s="223"/>
      <c r="K486" s="223"/>
      <c r="L486" s="223"/>
      <c r="M486" s="223"/>
      <c r="N486" s="223"/>
      <c r="O486" s="223"/>
      <c r="P486" s="223"/>
      <c r="Q486" s="223"/>
      <c r="R486" s="890"/>
      <c r="S486" s="890"/>
      <c r="T486" s="223"/>
      <c r="U486" s="223"/>
      <c r="V486" s="223"/>
      <c r="W486" s="223"/>
      <c r="X486" s="223"/>
      <c r="Y486" s="223"/>
      <c r="Z486" s="223"/>
      <c r="AA486" s="223"/>
      <c r="AB486" s="223"/>
      <c r="AC486" s="223"/>
    </row>
    <row r="487" spans="1:29" x14ac:dyDescent="0.25">
      <c r="A487" s="223"/>
      <c r="B487" s="223"/>
      <c r="C487" s="223"/>
      <c r="D487" s="223"/>
      <c r="E487" s="223"/>
      <c r="F487" s="276"/>
      <c r="G487" s="226"/>
      <c r="H487" s="223"/>
      <c r="I487" s="223"/>
      <c r="J487" s="223"/>
      <c r="K487" s="223"/>
      <c r="L487" s="223"/>
      <c r="M487" s="223"/>
      <c r="N487" s="223"/>
      <c r="O487" s="223"/>
      <c r="P487" s="223"/>
      <c r="Q487" s="223"/>
      <c r="R487" s="890"/>
      <c r="S487" s="890"/>
      <c r="T487" s="223"/>
      <c r="U487" s="223"/>
      <c r="V487" s="223"/>
      <c r="W487" s="223"/>
      <c r="X487" s="223"/>
      <c r="Y487" s="223"/>
      <c r="Z487" s="223"/>
      <c r="AA487" s="223"/>
      <c r="AB487" s="223"/>
      <c r="AC487" s="223"/>
    </row>
    <row r="488" spans="1:29" x14ac:dyDescent="0.25">
      <c r="A488" s="223"/>
      <c r="B488" s="223"/>
      <c r="C488" s="223"/>
      <c r="D488" s="223"/>
      <c r="E488" s="223"/>
      <c r="F488" s="276"/>
      <c r="G488" s="226"/>
      <c r="H488" s="223"/>
      <c r="I488" s="223"/>
      <c r="J488" s="223"/>
      <c r="K488" s="223"/>
      <c r="L488" s="223"/>
      <c r="M488" s="223"/>
      <c r="N488" s="223"/>
      <c r="O488" s="223"/>
      <c r="P488" s="223"/>
      <c r="Q488" s="223"/>
      <c r="R488" s="890"/>
      <c r="S488" s="890"/>
      <c r="T488" s="223"/>
      <c r="U488" s="223"/>
      <c r="V488" s="223"/>
      <c r="W488" s="223"/>
      <c r="X488" s="223"/>
      <c r="Y488" s="223"/>
      <c r="Z488" s="223"/>
      <c r="AA488" s="223"/>
      <c r="AB488" s="223"/>
      <c r="AC488" s="223"/>
    </row>
    <row r="489" spans="1:29" x14ac:dyDescent="0.25">
      <c r="A489" s="223"/>
      <c r="B489" s="223"/>
      <c r="C489" s="223"/>
      <c r="D489" s="223"/>
      <c r="E489" s="223"/>
      <c r="F489" s="276"/>
      <c r="G489" s="226"/>
      <c r="H489" s="223"/>
      <c r="I489" s="223"/>
      <c r="J489" s="223"/>
      <c r="K489" s="223"/>
      <c r="L489" s="223"/>
      <c r="M489" s="223"/>
      <c r="N489" s="223"/>
      <c r="O489" s="223"/>
      <c r="P489" s="223"/>
      <c r="Q489" s="223"/>
      <c r="R489" s="890"/>
      <c r="S489" s="890"/>
      <c r="T489" s="223"/>
      <c r="U489" s="223"/>
      <c r="V489" s="223"/>
      <c r="W489" s="223"/>
      <c r="X489" s="223"/>
      <c r="Y489" s="223"/>
      <c r="Z489" s="223"/>
      <c r="AA489" s="223"/>
      <c r="AB489" s="223"/>
      <c r="AC489" s="223"/>
    </row>
    <row r="490" spans="1:29" x14ac:dyDescent="0.25">
      <c r="A490" s="223"/>
      <c r="B490" s="223"/>
      <c r="C490" s="223"/>
      <c r="D490" s="223"/>
      <c r="E490" s="223"/>
      <c r="F490" s="276"/>
      <c r="G490" s="226"/>
      <c r="H490" s="223"/>
      <c r="I490" s="223"/>
      <c r="J490" s="223"/>
      <c r="K490" s="223"/>
      <c r="L490" s="223"/>
      <c r="M490" s="223"/>
      <c r="N490" s="223"/>
      <c r="O490" s="223"/>
      <c r="P490" s="223"/>
      <c r="Q490" s="223"/>
      <c r="R490" s="890"/>
      <c r="S490" s="890"/>
      <c r="T490" s="223"/>
      <c r="U490" s="223"/>
      <c r="V490" s="223"/>
      <c r="W490" s="223"/>
      <c r="X490" s="223"/>
      <c r="Y490" s="223"/>
      <c r="Z490" s="223"/>
      <c r="AA490" s="223"/>
      <c r="AB490" s="223"/>
      <c r="AC490" s="223"/>
    </row>
    <row r="491" spans="1:29" x14ac:dyDescent="0.25">
      <c r="A491" s="223"/>
      <c r="B491" s="223"/>
      <c r="C491" s="223"/>
      <c r="D491" s="223"/>
      <c r="E491" s="223"/>
      <c r="F491" s="276"/>
      <c r="G491" s="226"/>
      <c r="H491" s="223"/>
      <c r="I491" s="223"/>
      <c r="J491" s="223"/>
      <c r="K491" s="223"/>
      <c r="L491" s="223"/>
      <c r="M491" s="223"/>
      <c r="N491" s="223"/>
      <c r="O491" s="223"/>
      <c r="P491" s="223"/>
      <c r="Q491" s="223"/>
      <c r="R491" s="890"/>
      <c r="S491" s="890"/>
      <c r="T491" s="223"/>
      <c r="U491" s="223"/>
      <c r="V491" s="223"/>
      <c r="W491" s="223"/>
      <c r="X491" s="223"/>
      <c r="Y491" s="223"/>
      <c r="Z491" s="223"/>
      <c r="AA491" s="223"/>
      <c r="AB491" s="223"/>
      <c r="AC491" s="223"/>
    </row>
    <row r="492" spans="1:29" x14ac:dyDescent="0.25">
      <c r="A492" s="223"/>
      <c r="B492" s="223"/>
      <c r="C492" s="223"/>
      <c r="D492" s="223"/>
      <c r="E492" s="223"/>
      <c r="F492" s="276"/>
      <c r="G492" s="226"/>
      <c r="H492" s="223"/>
      <c r="I492" s="223"/>
      <c r="J492" s="223"/>
      <c r="K492" s="223"/>
      <c r="L492" s="223"/>
      <c r="M492" s="223"/>
      <c r="N492" s="223"/>
      <c r="O492" s="223"/>
      <c r="P492" s="223"/>
      <c r="Q492" s="223"/>
      <c r="R492" s="890"/>
      <c r="S492" s="890"/>
      <c r="T492" s="223"/>
      <c r="U492" s="223"/>
      <c r="V492" s="223"/>
      <c r="W492" s="223"/>
      <c r="X492" s="223"/>
      <c r="Y492" s="223"/>
      <c r="Z492" s="223"/>
      <c r="AA492" s="223"/>
      <c r="AB492" s="223"/>
      <c r="AC492" s="223"/>
    </row>
    <row r="493" spans="1:29" x14ac:dyDescent="0.25">
      <c r="A493" s="223"/>
      <c r="B493" s="223"/>
      <c r="C493" s="223"/>
      <c r="D493" s="223"/>
      <c r="E493" s="223"/>
      <c r="F493" s="276"/>
      <c r="G493" s="226"/>
      <c r="H493" s="223"/>
      <c r="I493" s="223"/>
      <c r="J493" s="223"/>
      <c r="K493" s="223"/>
      <c r="L493" s="223"/>
      <c r="M493" s="223"/>
      <c r="N493" s="223"/>
      <c r="O493" s="223"/>
      <c r="P493" s="223"/>
      <c r="Q493" s="223"/>
      <c r="R493" s="890"/>
      <c r="S493" s="890"/>
      <c r="T493" s="223"/>
      <c r="U493" s="223"/>
      <c r="V493" s="223"/>
      <c r="W493" s="223"/>
      <c r="X493" s="223"/>
      <c r="Y493" s="223"/>
      <c r="Z493" s="223"/>
      <c r="AA493" s="223"/>
      <c r="AB493" s="223"/>
      <c r="AC493" s="223"/>
    </row>
    <row r="494" spans="1:29" x14ac:dyDescent="0.25">
      <c r="A494" s="223"/>
      <c r="B494" s="223"/>
      <c r="C494" s="223"/>
      <c r="D494" s="223"/>
      <c r="E494" s="223"/>
      <c r="F494" s="276"/>
      <c r="G494" s="226"/>
      <c r="H494" s="223"/>
      <c r="I494" s="223"/>
      <c r="J494" s="223"/>
      <c r="K494" s="223"/>
      <c r="L494" s="223"/>
      <c r="M494" s="223"/>
      <c r="N494" s="223"/>
      <c r="O494" s="223"/>
      <c r="P494" s="223"/>
      <c r="Q494" s="223"/>
      <c r="R494" s="890"/>
      <c r="S494" s="890"/>
      <c r="T494" s="223"/>
      <c r="U494" s="223"/>
      <c r="V494" s="223"/>
      <c r="W494" s="223"/>
      <c r="X494" s="223"/>
      <c r="Y494" s="223"/>
      <c r="Z494" s="223"/>
      <c r="AA494" s="223"/>
      <c r="AB494" s="223"/>
      <c r="AC494" s="223"/>
    </row>
    <row r="495" spans="1:29" x14ac:dyDescent="0.25">
      <c r="A495" s="223"/>
      <c r="B495" s="223"/>
      <c r="C495" s="223"/>
      <c r="D495" s="223"/>
      <c r="E495" s="223"/>
      <c r="F495" s="276"/>
      <c r="G495" s="226"/>
      <c r="H495" s="223"/>
      <c r="I495" s="223"/>
      <c r="J495" s="223"/>
      <c r="K495" s="223"/>
      <c r="L495" s="223"/>
      <c r="M495" s="223"/>
      <c r="N495" s="223"/>
      <c r="O495" s="223"/>
      <c r="P495" s="223"/>
      <c r="Q495" s="223"/>
      <c r="R495" s="890"/>
      <c r="S495" s="890"/>
      <c r="T495" s="223"/>
      <c r="U495" s="223"/>
      <c r="V495" s="223"/>
      <c r="W495" s="223"/>
      <c r="X495" s="223"/>
      <c r="Y495" s="223"/>
      <c r="Z495" s="223"/>
      <c r="AA495" s="223"/>
      <c r="AB495" s="223"/>
      <c r="AC495" s="223"/>
    </row>
    <row r="496" spans="1:29" x14ac:dyDescent="0.25">
      <c r="A496" s="223"/>
      <c r="B496" s="223"/>
      <c r="C496" s="223"/>
      <c r="D496" s="223"/>
      <c r="E496" s="223"/>
      <c r="F496" s="276"/>
      <c r="G496" s="226"/>
      <c r="H496" s="223"/>
      <c r="I496" s="223"/>
      <c r="J496" s="223"/>
      <c r="K496" s="223"/>
      <c r="L496" s="223"/>
      <c r="M496" s="223"/>
      <c r="N496" s="223"/>
      <c r="O496" s="223"/>
      <c r="P496" s="223"/>
      <c r="Q496" s="223"/>
      <c r="R496" s="890"/>
      <c r="S496" s="890"/>
      <c r="T496" s="223"/>
      <c r="U496" s="223"/>
      <c r="V496" s="223"/>
      <c r="W496" s="223"/>
      <c r="X496" s="223"/>
      <c r="Y496" s="223"/>
      <c r="Z496" s="223"/>
      <c r="AA496" s="223"/>
      <c r="AB496" s="223"/>
      <c r="AC496" s="223"/>
    </row>
    <row r="497" spans="1:29" x14ac:dyDescent="0.25">
      <c r="A497" s="223"/>
      <c r="B497" s="223"/>
      <c r="C497" s="223"/>
      <c r="D497" s="223"/>
      <c r="E497" s="223"/>
      <c r="F497" s="276"/>
      <c r="G497" s="226"/>
      <c r="H497" s="223"/>
      <c r="I497" s="223"/>
      <c r="J497" s="223"/>
      <c r="K497" s="223"/>
      <c r="L497" s="223"/>
      <c r="M497" s="223"/>
      <c r="N497" s="223"/>
      <c r="O497" s="223"/>
      <c r="P497" s="223"/>
      <c r="Q497" s="223"/>
      <c r="R497" s="890"/>
      <c r="S497" s="890"/>
      <c r="T497" s="223"/>
      <c r="U497" s="223"/>
      <c r="V497" s="223"/>
      <c r="W497" s="223"/>
      <c r="X497" s="223"/>
      <c r="Y497" s="223"/>
      <c r="Z497" s="223"/>
      <c r="AA497" s="223"/>
      <c r="AB497" s="223"/>
      <c r="AC497" s="223"/>
    </row>
    <row r="498" spans="1:29" x14ac:dyDescent="0.25">
      <c r="A498" s="223"/>
      <c r="B498" s="223"/>
      <c r="C498" s="223"/>
      <c r="D498" s="223"/>
      <c r="E498" s="223"/>
      <c r="F498" s="276"/>
      <c r="G498" s="226"/>
      <c r="H498" s="223"/>
      <c r="I498" s="223"/>
      <c r="J498" s="223"/>
      <c r="K498" s="223"/>
      <c r="L498" s="223"/>
      <c r="M498" s="223"/>
      <c r="N498" s="223"/>
      <c r="O498" s="223"/>
      <c r="P498" s="223"/>
      <c r="Q498" s="223"/>
      <c r="R498" s="890"/>
      <c r="S498" s="890"/>
      <c r="T498" s="223"/>
      <c r="U498" s="223"/>
      <c r="V498" s="223"/>
      <c r="W498" s="223"/>
      <c r="X498" s="223"/>
      <c r="Y498" s="223"/>
      <c r="Z498" s="223"/>
      <c r="AA498" s="223"/>
      <c r="AB498" s="223"/>
      <c r="AC498" s="223"/>
    </row>
    <row r="499" spans="1:29" x14ac:dyDescent="0.25">
      <c r="A499" s="223"/>
      <c r="B499" s="223"/>
      <c r="C499" s="223"/>
      <c r="D499" s="223"/>
      <c r="E499" s="223"/>
      <c r="F499" s="276"/>
      <c r="G499" s="226"/>
      <c r="H499" s="223"/>
      <c r="I499" s="223"/>
      <c r="J499" s="223"/>
      <c r="K499" s="223"/>
      <c r="L499" s="223"/>
      <c r="M499" s="223"/>
      <c r="N499" s="223"/>
      <c r="O499" s="223"/>
      <c r="P499" s="223"/>
      <c r="Q499" s="223"/>
      <c r="R499" s="890"/>
      <c r="S499" s="890"/>
      <c r="T499" s="223"/>
      <c r="U499" s="223"/>
      <c r="V499" s="223"/>
      <c r="W499" s="223"/>
      <c r="X499" s="223"/>
      <c r="Y499" s="223"/>
      <c r="Z499" s="223"/>
      <c r="AA499" s="223"/>
      <c r="AB499" s="223"/>
      <c r="AC499" s="223"/>
    </row>
    <row r="500" spans="1:29" x14ac:dyDescent="0.25">
      <c r="A500" s="223"/>
      <c r="B500" s="223"/>
      <c r="C500" s="223"/>
      <c r="D500" s="223"/>
      <c r="E500" s="223"/>
      <c r="F500" s="276"/>
      <c r="G500" s="226"/>
      <c r="H500" s="223"/>
      <c r="I500" s="223"/>
      <c r="J500" s="223"/>
      <c r="K500" s="223"/>
      <c r="L500" s="223"/>
      <c r="M500" s="223"/>
      <c r="N500" s="223"/>
      <c r="O500" s="223"/>
      <c r="P500" s="223"/>
      <c r="Q500" s="223"/>
      <c r="R500" s="890"/>
      <c r="S500" s="890"/>
      <c r="T500" s="223"/>
      <c r="U500" s="223"/>
      <c r="V500" s="223"/>
      <c r="W500" s="223"/>
      <c r="X500" s="223"/>
      <c r="Y500" s="223"/>
      <c r="Z500" s="223"/>
      <c r="AA500" s="223"/>
      <c r="AB500" s="223"/>
      <c r="AC500" s="223"/>
    </row>
    <row r="501" spans="1:29" x14ac:dyDescent="0.25">
      <c r="A501" s="223"/>
      <c r="B501" s="223"/>
      <c r="C501" s="223"/>
      <c r="D501" s="223"/>
      <c r="E501" s="223"/>
      <c r="F501" s="276"/>
      <c r="G501" s="226"/>
      <c r="H501" s="223"/>
      <c r="I501" s="223"/>
      <c r="J501" s="223"/>
      <c r="K501" s="223"/>
      <c r="L501" s="223"/>
      <c r="M501" s="223"/>
      <c r="N501" s="223"/>
      <c r="O501" s="223"/>
      <c r="P501" s="223"/>
      <c r="Q501" s="223"/>
      <c r="R501" s="890"/>
      <c r="S501" s="890"/>
      <c r="T501" s="223"/>
      <c r="U501" s="223"/>
      <c r="V501" s="223"/>
      <c r="W501" s="223"/>
      <c r="X501" s="223"/>
      <c r="Y501" s="223"/>
      <c r="Z501" s="223"/>
      <c r="AA501" s="223"/>
      <c r="AB501" s="223"/>
      <c r="AC501" s="223"/>
    </row>
    <row r="502" spans="1:29" x14ac:dyDescent="0.25">
      <c r="A502" s="223"/>
      <c r="B502" s="223"/>
      <c r="C502" s="223"/>
      <c r="D502" s="223"/>
      <c r="E502" s="223"/>
      <c r="F502" s="276"/>
      <c r="G502" s="226"/>
      <c r="H502" s="223"/>
      <c r="I502" s="223"/>
      <c r="J502" s="223"/>
      <c r="K502" s="223"/>
      <c r="L502" s="223"/>
      <c r="M502" s="223"/>
      <c r="N502" s="223"/>
      <c r="O502" s="223"/>
      <c r="P502" s="223"/>
      <c r="Q502" s="223"/>
      <c r="R502" s="890"/>
      <c r="S502" s="890"/>
      <c r="T502" s="223"/>
      <c r="U502" s="223"/>
      <c r="V502" s="223"/>
      <c r="W502" s="223"/>
      <c r="X502" s="223"/>
      <c r="Y502" s="223"/>
      <c r="Z502" s="223"/>
      <c r="AA502" s="223"/>
      <c r="AB502" s="223"/>
      <c r="AC502" s="223"/>
    </row>
    <row r="503" spans="1:29" x14ac:dyDescent="0.25">
      <c r="A503" s="223"/>
      <c r="B503" s="223"/>
      <c r="C503" s="223"/>
      <c r="D503" s="223"/>
      <c r="E503" s="223"/>
      <c r="F503" s="276"/>
      <c r="G503" s="226"/>
      <c r="H503" s="223"/>
      <c r="I503" s="223"/>
      <c r="J503" s="223"/>
      <c r="K503" s="223"/>
      <c r="L503" s="223"/>
      <c r="M503" s="223"/>
      <c r="N503" s="223"/>
      <c r="O503" s="223"/>
      <c r="P503" s="223"/>
      <c r="Q503" s="223"/>
      <c r="R503" s="890"/>
      <c r="S503" s="890"/>
      <c r="T503" s="223"/>
      <c r="U503" s="223"/>
      <c r="V503" s="223"/>
      <c r="W503" s="223"/>
      <c r="X503" s="223"/>
      <c r="Y503" s="223"/>
      <c r="Z503" s="223"/>
      <c r="AA503" s="223"/>
      <c r="AB503" s="223"/>
      <c r="AC503" s="223"/>
    </row>
    <row r="504" spans="1:29" x14ac:dyDescent="0.25">
      <c r="A504" s="223"/>
      <c r="B504" s="223"/>
      <c r="C504" s="223"/>
      <c r="D504" s="223"/>
      <c r="E504" s="223"/>
      <c r="F504" s="276"/>
      <c r="G504" s="226"/>
      <c r="H504" s="223"/>
      <c r="I504" s="223"/>
      <c r="J504" s="223"/>
      <c r="K504" s="223"/>
      <c r="L504" s="223"/>
      <c r="M504" s="223"/>
      <c r="N504" s="223"/>
      <c r="O504" s="223"/>
      <c r="P504" s="223"/>
      <c r="Q504" s="223"/>
      <c r="R504" s="890"/>
      <c r="S504" s="890"/>
      <c r="T504" s="223"/>
      <c r="U504" s="223"/>
      <c r="V504" s="223"/>
      <c r="W504" s="223"/>
      <c r="X504" s="223"/>
      <c r="Y504" s="223"/>
      <c r="Z504" s="223"/>
      <c r="AA504" s="223"/>
      <c r="AB504" s="223"/>
      <c r="AC504" s="223"/>
    </row>
    <row r="505" spans="1:29" x14ac:dyDescent="0.25">
      <c r="A505" s="223"/>
      <c r="B505" s="223"/>
      <c r="C505" s="223"/>
      <c r="D505" s="223"/>
      <c r="E505" s="223"/>
      <c r="F505" s="276"/>
      <c r="G505" s="226"/>
      <c r="H505" s="223"/>
      <c r="I505" s="223"/>
      <c r="J505" s="223"/>
      <c r="K505" s="223"/>
      <c r="L505" s="223"/>
      <c r="M505" s="223"/>
      <c r="N505" s="223"/>
      <c r="O505" s="223"/>
      <c r="P505" s="223"/>
      <c r="Q505" s="223"/>
      <c r="R505" s="890"/>
      <c r="S505" s="890"/>
      <c r="T505" s="223"/>
      <c r="U505" s="223"/>
      <c r="V505" s="223"/>
      <c r="W505" s="223"/>
      <c r="X505" s="223"/>
      <c r="Y505" s="223"/>
      <c r="Z505" s="223"/>
      <c r="AA505" s="223"/>
      <c r="AB505" s="223"/>
      <c r="AC505" s="223"/>
    </row>
    <row r="506" spans="1:29" x14ac:dyDescent="0.25">
      <c r="A506" s="223"/>
      <c r="B506" s="223"/>
      <c r="C506" s="223"/>
      <c r="D506" s="223"/>
      <c r="E506" s="223"/>
      <c r="F506" s="276"/>
      <c r="G506" s="226"/>
      <c r="H506" s="223"/>
      <c r="I506" s="223"/>
      <c r="J506" s="223"/>
      <c r="K506" s="223"/>
      <c r="L506" s="223"/>
      <c r="M506" s="223"/>
      <c r="N506" s="223"/>
      <c r="O506" s="223"/>
      <c r="P506" s="223"/>
      <c r="Q506" s="223"/>
      <c r="R506" s="890"/>
      <c r="S506" s="890"/>
      <c r="T506" s="223"/>
      <c r="U506" s="223"/>
      <c r="V506" s="223"/>
      <c r="W506" s="223"/>
      <c r="X506" s="223"/>
      <c r="Y506" s="223"/>
      <c r="Z506" s="223"/>
      <c r="AA506" s="223"/>
      <c r="AB506" s="223"/>
      <c r="AC506" s="223"/>
    </row>
    <row r="507" spans="1:29" x14ac:dyDescent="0.25">
      <c r="A507" s="223"/>
      <c r="B507" s="223"/>
      <c r="C507" s="223"/>
      <c r="D507" s="223"/>
      <c r="E507" s="223"/>
      <c r="F507" s="276"/>
      <c r="G507" s="226"/>
      <c r="H507" s="223"/>
      <c r="I507" s="223"/>
      <c r="J507" s="223"/>
      <c r="K507" s="223"/>
      <c r="L507" s="223"/>
      <c r="M507" s="223"/>
      <c r="N507" s="223"/>
      <c r="O507" s="223"/>
      <c r="P507" s="223"/>
      <c r="Q507" s="223"/>
      <c r="R507" s="890"/>
      <c r="S507" s="890"/>
      <c r="T507" s="223"/>
      <c r="U507" s="223"/>
      <c r="V507" s="223"/>
      <c r="W507" s="223"/>
      <c r="X507" s="223"/>
      <c r="Y507" s="223"/>
      <c r="Z507" s="223"/>
      <c r="AA507" s="223"/>
      <c r="AB507" s="223"/>
      <c r="AC507" s="223"/>
    </row>
    <row r="508" spans="1:29" x14ac:dyDescent="0.25">
      <c r="A508" s="223"/>
      <c r="B508" s="223"/>
      <c r="C508" s="223"/>
      <c r="D508" s="223"/>
      <c r="E508" s="223"/>
      <c r="F508" s="276"/>
      <c r="G508" s="226"/>
      <c r="H508" s="223"/>
      <c r="I508" s="223"/>
      <c r="J508" s="223"/>
      <c r="K508" s="223"/>
      <c r="L508" s="223"/>
      <c r="M508" s="223"/>
      <c r="N508" s="223"/>
      <c r="O508" s="223"/>
      <c r="P508" s="223"/>
      <c r="Q508" s="223"/>
      <c r="R508" s="890"/>
      <c r="S508" s="890"/>
      <c r="T508" s="223"/>
      <c r="U508" s="223"/>
      <c r="V508" s="223"/>
      <c r="W508" s="223"/>
      <c r="X508" s="223"/>
      <c r="Y508" s="223"/>
      <c r="Z508" s="223"/>
      <c r="AA508" s="223"/>
      <c r="AB508" s="223"/>
      <c r="AC508" s="223"/>
    </row>
    <row r="509" spans="1:29" x14ac:dyDescent="0.25">
      <c r="A509" s="223"/>
      <c r="B509" s="223"/>
      <c r="C509" s="223"/>
      <c r="D509" s="223"/>
      <c r="E509" s="223"/>
      <c r="F509" s="276"/>
      <c r="G509" s="226"/>
      <c r="H509" s="223"/>
      <c r="I509" s="223"/>
      <c r="J509" s="223"/>
      <c r="K509" s="223"/>
      <c r="L509" s="223"/>
      <c r="M509" s="223"/>
      <c r="N509" s="223"/>
      <c r="O509" s="223"/>
      <c r="P509" s="223"/>
      <c r="Q509" s="223"/>
      <c r="R509" s="890"/>
      <c r="S509" s="890"/>
      <c r="T509" s="223"/>
      <c r="U509" s="223"/>
      <c r="V509" s="223"/>
      <c r="W509" s="223"/>
      <c r="X509" s="223"/>
      <c r="Y509" s="223"/>
      <c r="Z509" s="223"/>
      <c r="AA509" s="223"/>
      <c r="AB509" s="223"/>
      <c r="AC509" s="223"/>
    </row>
    <row r="510" spans="1:29" x14ac:dyDescent="0.25">
      <c r="A510" s="223"/>
      <c r="B510" s="223"/>
      <c r="C510" s="223"/>
      <c r="D510" s="223"/>
      <c r="E510" s="223"/>
      <c r="F510" s="276"/>
      <c r="G510" s="226"/>
      <c r="H510" s="223"/>
      <c r="I510" s="223"/>
      <c r="J510" s="223"/>
      <c r="K510" s="223"/>
      <c r="L510" s="223"/>
      <c r="M510" s="223"/>
      <c r="N510" s="223"/>
      <c r="O510" s="223"/>
      <c r="P510" s="223"/>
      <c r="Q510" s="223"/>
      <c r="R510" s="890"/>
      <c r="S510" s="890"/>
      <c r="T510" s="223"/>
      <c r="U510" s="223"/>
      <c r="V510" s="223"/>
      <c r="W510" s="223"/>
      <c r="X510" s="223"/>
      <c r="Y510" s="223"/>
      <c r="Z510" s="223"/>
      <c r="AA510" s="223"/>
      <c r="AB510" s="223"/>
      <c r="AC510" s="223"/>
    </row>
    <row r="511" spans="1:29" x14ac:dyDescent="0.25">
      <c r="A511" s="223"/>
      <c r="B511" s="223"/>
      <c r="C511" s="223"/>
      <c r="D511" s="223"/>
      <c r="E511" s="223"/>
      <c r="F511" s="276"/>
      <c r="G511" s="226"/>
      <c r="H511" s="223"/>
      <c r="I511" s="223"/>
      <c r="J511" s="223"/>
      <c r="K511" s="223"/>
      <c r="L511" s="223"/>
      <c r="M511" s="223"/>
      <c r="N511" s="223"/>
      <c r="O511" s="223"/>
      <c r="P511" s="223"/>
      <c r="Q511" s="223"/>
      <c r="R511" s="890"/>
      <c r="S511" s="890"/>
      <c r="T511" s="223"/>
      <c r="U511" s="223"/>
      <c r="V511" s="223"/>
      <c r="W511" s="223"/>
      <c r="X511" s="223"/>
      <c r="Y511" s="223"/>
      <c r="Z511" s="223"/>
      <c r="AA511" s="223"/>
      <c r="AB511" s="223"/>
      <c r="AC511" s="223"/>
    </row>
    <row r="512" spans="1:29" x14ac:dyDescent="0.25">
      <c r="A512" s="223"/>
      <c r="B512" s="223"/>
      <c r="C512" s="223"/>
      <c r="D512" s="223"/>
      <c r="E512" s="223"/>
      <c r="F512" s="276"/>
      <c r="G512" s="226"/>
      <c r="H512" s="223"/>
      <c r="I512" s="223"/>
      <c r="J512" s="223"/>
      <c r="K512" s="223"/>
      <c r="L512" s="223"/>
      <c r="M512" s="223"/>
      <c r="N512" s="223"/>
      <c r="O512" s="223"/>
      <c r="P512" s="223"/>
      <c r="Q512" s="223"/>
      <c r="R512" s="890"/>
      <c r="S512" s="890"/>
      <c r="T512" s="223"/>
      <c r="U512" s="223"/>
      <c r="V512" s="223"/>
      <c r="W512" s="223"/>
      <c r="X512" s="223"/>
      <c r="Y512" s="223"/>
      <c r="Z512" s="223"/>
      <c r="AA512" s="223"/>
      <c r="AB512" s="223"/>
      <c r="AC512" s="223"/>
    </row>
    <row r="513" spans="1:29" x14ac:dyDescent="0.25">
      <c r="A513" s="223"/>
      <c r="B513" s="223"/>
      <c r="C513" s="223"/>
      <c r="D513" s="223"/>
      <c r="E513" s="223"/>
      <c r="F513" s="276"/>
      <c r="G513" s="226"/>
      <c r="H513" s="223"/>
      <c r="I513" s="223"/>
      <c r="J513" s="223"/>
      <c r="K513" s="223"/>
      <c r="L513" s="223"/>
      <c r="M513" s="223"/>
      <c r="N513" s="223"/>
      <c r="O513" s="223"/>
      <c r="P513" s="223"/>
      <c r="Q513" s="223"/>
      <c r="R513" s="890"/>
      <c r="S513" s="890"/>
      <c r="T513" s="223"/>
      <c r="U513" s="223"/>
      <c r="V513" s="223"/>
      <c r="W513" s="223"/>
      <c r="X513" s="223"/>
      <c r="Y513" s="223"/>
      <c r="Z513" s="223"/>
      <c r="AA513" s="223"/>
      <c r="AB513" s="223"/>
      <c r="AC513" s="223"/>
    </row>
    <row r="514" spans="1:29" x14ac:dyDescent="0.25">
      <c r="A514" s="223"/>
      <c r="B514" s="223"/>
      <c r="C514" s="223"/>
      <c r="D514" s="223"/>
      <c r="E514" s="223"/>
      <c r="F514" s="276"/>
      <c r="G514" s="226"/>
      <c r="H514" s="223"/>
      <c r="I514" s="223"/>
      <c r="J514" s="223"/>
      <c r="K514" s="223"/>
      <c r="L514" s="223"/>
      <c r="M514" s="223"/>
      <c r="N514" s="223"/>
      <c r="O514" s="223"/>
      <c r="P514" s="223"/>
      <c r="Q514" s="223"/>
      <c r="R514" s="890"/>
      <c r="S514" s="890"/>
      <c r="T514" s="223"/>
      <c r="U514" s="223"/>
      <c r="V514" s="223"/>
      <c r="W514" s="223"/>
      <c r="X514" s="223"/>
      <c r="Y514" s="223"/>
      <c r="Z514" s="223"/>
      <c r="AA514" s="223"/>
      <c r="AB514" s="223"/>
      <c r="AC514" s="223"/>
    </row>
    <row r="515" spans="1:29" x14ac:dyDescent="0.25">
      <c r="A515" s="223"/>
      <c r="B515" s="223"/>
      <c r="C515" s="223"/>
      <c r="D515" s="223"/>
      <c r="E515" s="223"/>
      <c r="F515" s="276"/>
      <c r="G515" s="226"/>
      <c r="H515" s="223"/>
      <c r="I515" s="223"/>
      <c r="J515" s="223"/>
      <c r="K515" s="223"/>
      <c r="L515" s="223"/>
      <c r="M515" s="223"/>
      <c r="N515" s="223"/>
      <c r="O515" s="223"/>
      <c r="P515" s="223"/>
      <c r="Q515" s="223"/>
      <c r="R515" s="890"/>
      <c r="S515" s="890"/>
      <c r="T515" s="223"/>
      <c r="U515" s="223"/>
      <c r="V515" s="223"/>
      <c r="W515" s="223"/>
      <c r="X515" s="223"/>
      <c r="Y515" s="223"/>
      <c r="Z515" s="223"/>
      <c r="AA515" s="223"/>
      <c r="AB515" s="223"/>
      <c r="AC515" s="223"/>
    </row>
    <row r="516" spans="1:29" x14ac:dyDescent="0.25">
      <c r="A516" s="223"/>
      <c r="B516" s="223"/>
      <c r="C516" s="223"/>
      <c r="D516" s="223"/>
      <c r="E516" s="223"/>
      <c r="F516" s="276"/>
      <c r="G516" s="226"/>
      <c r="H516" s="223"/>
      <c r="I516" s="223"/>
      <c r="J516" s="223"/>
      <c r="K516" s="223"/>
      <c r="L516" s="223"/>
      <c r="M516" s="223"/>
      <c r="N516" s="223"/>
      <c r="O516" s="223"/>
      <c r="P516" s="223"/>
      <c r="Q516" s="223"/>
      <c r="R516" s="890"/>
      <c r="S516" s="890"/>
      <c r="T516" s="223"/>
      <c r="U516" s="223"/>
      <c r="V516" s="223"/>
      <c r="W516" s="223"/>
      <c r="X516" s="223"/>
      <c r="Y516" s="223"/>
      <c r="Z516" s="223"/>
      <c r="AA516" s="223"/>
      <c r="AB516" s="223"/>
      <c r="AC516" s="223"/>
    </row>
    <row r="517" spans="1:29" x14ac:dyDescent="0.25">
      <c r="A517" s="223"/>
      <c r="B517" s="223"/>
      <c r="C517" s="223"/>
      <c r="D517" s="223"/>
      <c r="E517" s="223"/>
      <c r="F517" s="276"/>
      <c r="G517" s="226"/>
      <c r="H517" s="223"/>
      <c r="I517" s="223"/>
      <c r="J517" s="223"/>
      <c r="K517" s="223"/>
      <c r="L517" s="223"/>
      <c r="M517" s="223"/>
      <c r="N517" s="223"/>
      <c r="O517" s="223"/>
      <c r="P517" s="223"/>
      <c r="Q517" s="223"/>
      <c r="R517" s="890"/>
      <c r="S517" s="890"/>
      <c r="T517" s="223"/>
      <c r="U517" s="223"/>
      <c r="V517" s="223"/>
      <c r="W517" s="223"/>
      <c r="X517" s="223"/>
      <c r="Y517" s="223"/>
      <c r="Z517" s="223"/>
      <c r="AA517" s="223"/>
      <c r="AB517" s="223"/>
      <c r="AC517" s="223"/>
    </row>
    <row r="518" spans="1:29" x14ac:dyDescent="0.25">
      <c r="A518" s="223"/>
      <c r="B518" s="223"/>
      <c r="C518" s="223"/>
      <c r="D518" s="223"/>
      <c r="E518" s="223"/>
      <c r="F518" s="276"/>
      <c r="G518" s="226"/>
      <c r="H518" s="223"/>
      <c r="I518" s="223"/>
      <c r="J518" s="223"/>
      <c r="K518" s="223"/>
      <c r="L518" s="223"/>
      <c r="M518" s="223"/>
      <c r="N518" s="223"/>
      <c r="O518" s="223"/>
      <c r="P518" s="223"/>
      <c r="Q518" s="223"/>
      <c r="R518" s="890"/>
      <c r="S518" s="890"/>
      <c r="T518" s="223"/>
      <c r="U518" s="223"/>
      <c r="V518" s="223"/>
      <c r="W518" s="223"/>
      <c r="X518" s="223"/>
      <c r="Y518" s="223"/>
      <c r="Z518" s="223"/>
      <c r="AA518" s="223"/>
      <c r="AB518" s="223"/>
      <c r="AC518" s="223"/>
    </row>
    <row r="519" spans="1:29" x14ac:dyDescent="0.25">
      <c r="A519" s="223"/>
      <c r="B519" s="223"/>
      <c r="C519" s="223"/>
      <c r="D519" s="223"/>
      <c r="E519" s="223"/>
      <c r="F519" s="276"/>
      <c r="G519" s="226"/>
      <c r="H519" s="223"/>
      <c r="I519" s="223"/>
      <c r="J519" s="223"/>
      <c r="K519" s="223"/>
      <c r="L519" s="223"/>
      <c r="M519" s="223"/>
      <c r="N519" s="223"/>
      <c r="O519" s="223"/>
      <c r="P519" s="223"/>
      <c r="Q519" s="223"/>
      <c r="R519" s="890"/>
      <c r="S519" s="890"/>
      <c r="T519" s="223"/>
      <c r="U519" s="223"/>
      <c r="V519" s="223"/>
      <c r="W519" s="223"/>
      <c r="X519" s="223"/>
      <c r="Y519" s="223"/>
      <c r="Z519" s="223"/>
      <c r="AA519" s="223"/>
      <c r="AB519" s="223"/>
      <c r="AC519" s="223"/>
    </row>
    <row r="520" spans="1:29" x14ac:dyDescent="0.25">
      <c r="A520" s="223"/>
      <c r="B520" s="223"/>
      <c r="C520" s="223"/>
      <c r="D520" s="223"/>
      <c r="E520" s="223"/>
      <c r="F520" s="276"/>
      <c r="G520" s="226"/>
      <c r="H520" s="223"/>
      <c r="I520" s="223"/>
      <c r="J520" s="223"/>
      <c r="K520" s="223"/>
      <c r="L520" s="223"/>
      <c r="M520" s="223"/>
      <c r="N520" s="223"/>
      <c r="O520" s="223"/>
      <c r="P520" s="223"/>
      <c r="Q520" s="223"/>
      <c r="R520" s="890"/>
      <c r="S520" s="890"/>
      <c r="T520" s="223"/>
      <c r="U520" s="223"/>
      <c r="V520" s="223"/>
      <c r="W520" s="223"/>
      <c r="X520" s="223"/>
      <c r="Y520" s="223"/>
      <c r="Z520" s="223"/>
      <c r="AA520" s="223"/>
      <c r="AB520" s="223"/>
      <c r="AC520" s="223"/>
    </row>
    <row r="521" spans="1:29" x14ac:dyDescent="0.25">
      <c r="A521" s="223"/>
      <c r="B521" s="223"/>
      <c r="C521" s="223"/>
      <c r="D521" s="223"/>
      <c r="E521" s="223"/>
      <c r="F521" s="276"/>
      <c r="G521" s="226"/>
      <c r="H521" s="223"/>
      <c r="I521" s="223"/>
      <c r="J521" s="223"/>
      <c r="K521" s="223"/>
      <c r="L521" s="223"/>
      <c r="M521" s="223"/>
      <c r="N521" s="223"/>
      <c r="O521" s="223"/>
      <c r="P521" s="223"/>
      <c r="Q521" s="223"/>
      <c r="R521" s="890"/>
      <c r="S521" s="890"/>
      <c r="T521" s="223"/>
      <c r="U521" s="223"/>
      <c r="V521" s="223"/>
      <c r="W521" s="223"/>
      <c r="X521" s="223"/>
      <c r="Y521" s="223"/>
      <c r="Z521" s="223"/>
      <c r="AA521" s="223"/>
      <c r="AB521" s="223"/>
      <c r="AC521" s="223"/>
    </row>
    <row r="522" spans="1:29" x14ac:dyDescent="0.25">
      <c r="A522" s="223"/>
      <c r="B522" s="223"/>
      <c r="C522" s="223"/>
      <c r="D522" s="223"/>
      <c r="E522" s="223"/>
      <c r="F522" s="276"/>
      <c r="G522" s="226"/>
      <c r="H522" s="223"/>
      <c r="I522" s="223"/>
      <c r="J522" s="223"/>
      <c r="K522" s="223"/>
      <c r="L522" s="223"/>
      <c r="M522" s="223"/>
      <c r="N522" s="223"/>
      <c r="O522" s="223"/>
      <c r="P522" s="223"/>
      <c r="Q522" s="223"/>
      <c r="R522" s="890"/>
      <c r="S522" s="890"/>
      <c r="T522" s="223"/>
      <c r="U522" s="223"/>
      <c r="V522" s="223"/>
      <c r="W522" s="223"/>
      <c r="X522" s="223"/>
      <c r="Y522" s="223"/>
      <c r="Z522" s="223"/>
      <c r="AA522" s="223"/>
      <c r="AB522" s="223"/>
      <c r="AC522" s="223"/>
    </row>
    <row r="523" spans="1:29" x14ac:dyDescent="0.25">
      <c r="A523" s="223"/>
      <c r="B523" s="223"/>
      <c r="C523" s="223"/>
      <c r="D523" s="223"/>
      <c r="E523" s="223"/>
      <c r="F523" s="276"/>
      <c r="G523" s="226"/>
      <c r="H523" s="223"/>
      <c r="I523" s="223"/>
      <c r="J523" s="223"/>
      <c r="K523" s="223"/>
      <c r="L523" s="223"/>
      <c r="M523" s="223"/>
      <c r="N523" s="223"/>
      <c r="O523" s="223"/>
      <c r="P523" s="223"/>
      <c r="Q523" s="223"/>
      <c r="R523" s="890"/>
      <c r="S523" s="890"/>
      <c r="T523" s="223"/>
      <c r="U523" s="223"/>
      <c r="V523" s="223"/>
      <c r="W523" s="223"/>
      <c r="X523" s="223"/>
      <c r="Y523" s="223"/>
      <c r="Z523" s="223"/>
      <c r="AA523" s="223"/>
      <c r="AB523" s="223"/>
      <c r="AC523" s="223"/>
    </row>
    <row r="524" spans="1:29" x14ac:dyDescent="0.25">
      <c r="A524" s="223"/>
      <c r="B524" s="223"/>
      <c r="C524" s="223"/>
      <c r="D524" s="223"/>
      <c r="E524" s="223"/>
      <c r="F524" s="276"/>
      <c r="G524" s="226"/>
      <c r="H524" s="223"/>
      <c r="I524" s="223"/>
      <c r="J524" s="223"/>
      <c r="K524" s="223"/>
      <c r="L524" s="223"/>
      <c r="M524" s="223"/>
      <c r="N524" s="223"/>
      <c r="O524" s="223"/>
      <c r="P524" s="223"/>
      <c r="Q524" s="223"/>
      <c r="R524" s="890"/>
      <c r="S524" s="890"/>
      <c r="T524" s="223"/>
      <c r="U524" s="223"/>
      <c r="V524" s="223"/>
      <c r="W524" s="223"/>
      <c r="X524" s="223"/>
      <c r="Y524" s="223"/>
      <c r="Z524" s="223"/>
      <c r="AA524" s="223"/>
      <c r="AB524" s="223"/>
      <c r="AC524" s="223"/>
    </row>
    <row r="525" spans="1:29" x14ac:dyDescent="0.25">
      <c r="A525" s="223"/>
      <c r="B525" s="223"/>
      <c r="C525" s="223"/>
      <c r="D525" s="223"/>
      <c r="E525" s="223"/>
      <c r="F525" s="276"/>
      <c r="G525" s="226"/>
      <c r="H525" s="223"/>
      <c r="I525" s="223"/>
      <c r="J525" s="223"/>
      <c r="K525" s="223"/>
      <c r="L525" s="223"/>
      <c r="M525" s="223"/>
      <c r="N525" s="223"/>
      <c r="O525" s="223"/>
      <c r="P525" s="223"/>
      <c r="Q525" s="223"/>
      <c r="R525" s="890"/>
      <c r="S525" s="890"/>
      <c r="T525" s="223"/>
      <c r="U525" s="223"/>
      <c r="V525" s="223"/>
      <c r="W525" s="223"/>
      <c r="X525" s="223"/>
      <c r="Y525" s="223"/>
      <c r="Z525" s="223"/>
      <c r="AA525" s="223"/>
      <c r="AB525" s="223"/>
      <c r="AC525" s="223"/>
    </row>
    <row r="526" spans="1:29" x14ac:dyDescent="0.25">
      <c r="A526" s="223"/>
      <c r="B526" s="223"/>
      <c r="C526" s="223"/>
      <c r="D526" s="223"/>
      <c r="E526" s="223"/>
      <c r="F526" s="276"/>
      <c r="G526" s="226"/>
      <c r="H526" s="223"/>
      <c r="I526" s="223"/>
      <c r="J526" s="223"/>
      <c r="K526" s="223"/>
      <c r="L526" s="223"/>
      <c r="M526" s="223"/>
      <c r="N526" s="223"/>
      <c r="O526" s="223"/>
      <c r="P526" s="223"/>
      <c r="Q526" s="223"/>
      <c r="R526" s="890"/>
      <c r="S526" s="890"/>
      <c r="T526" s="223"/>
      <c r="U526" s="223"/>
      <c r="V526" s="223"/>
      <c r="W526" s="223"/>
      <c r="X526" s="223"/>
      <c r="Y526" s="223"/>
      <c r="Z526" s="223"/>
      <c r="AA526" s="223"/>
      <c r="AB526" s="223"/>
      <c r="AC526" s="223"/>
    </row>
    <row r="527" spans="1:29" x14ac:dyDescent="0.25">
      <c r="A527" s="223"/>
      <c r="B527" s="223"/>
      <c r="C527" s="223"/>
      <c r="D527" s="223"/>
      <c r="E527" s="223"/>
      <c r="F527" s="276"/>
      <c r="G527" s="226"/>
      <c r="H527" s="223"/>
      <c r="I527" s="223"/>
      <c r="J527" s="223"/>
      <c r="K527" s="223"/>
      <c r="L527" s="223"/>
      <c r="M527" s="223"/>
      <c r="N527" s="223"/>
      <c r="O527" s="223"/>
      <c r="P527" s="223"/>
      <c r="Q527" s="223"/>
      <c r="R527" s="890"/>
      <c r="S527" s="890"/>
      <c r="T527" s="223"/>
      <c r="U527" s="223"/>
      <c r="V527" s="223"/>
      <c r="W527" s="223"/>
      <c r="X527" s="223"/>
      <c r="Y527" s="223"/>
      <c r="Z527" s="223"/>
      <c r="AA527" s="223"/>
      <c r="AB527" s="223"/>
      <c r="AC527" s="223"/>
    </row>
    <row r="528" spans="1:29" x14ac:dyDescent="0.25">
      <c r="A528" s="223"/>
      <c r="B528" s="223"/>
      <c r="C528" s="223"/>
      <c r="D528" s="223"/>
      <c r="E528" s="223"/>
      <c r="F528" s="276"/>
      <c r="G528" s="226"/>
      <c r="H528" s="223"/>
      <c r="I528" s="223"/>
      <c r="J528" s="223"/>
      <c r="K528" s="223"/>
      <c r="L528" s="223"/>
      <c r="M528" s="223"/>
      <c r="N528" s="223"/>
      <c r="O528" s="223"/>
      <c r="P528" s="223"/>
      <c r="Q528" s="223"/>
      <c r="R528" s="890"/>
      <c r="S528" s="890"/>
      <c r="T528" s="223"/>
      <c r="U528" s="223"/>
      <c r="V528" s="223"/>
      <c r="W528" s="223"/>
      <c r="X528" s="223"/>
      <c r="Y528" s="223"/>
      <c r="Z528" s="223"/>
      <c r="AA528" s="223"/>
      <c r="AB528" s="223"/>
      <c r="AC528" s="223"/>
    </row>
    <row r="529" spans="1:29" x14ac:dyDescent="0.25">
      <c r="A529" s="223"/>
      <c r="B529" s="223"/>
      <c r="C529" s="223"/>
      <c r="D529" s="223"/>
      <c r="E529" s="223"/>
      <c r="F529" s="276"/>
      <c r="G529" s="226"/>
      <c r="H529" s="223"/>
      <c r="I529" s="223"/>
      <c r="J529" s="223"/>
      <c r="K529" s="223"/>
      <c r="L529" s="223"/>
      <c r="M529" s="223"/>
      <c r="N529" s="223"/>
      <c r="O529" s="223"/>
      <c r="P529" s="223"/>
      <c r="Q529" s="223"/>
      <c r="R529" s="890"/>
      <c r="S529" s="890"/>
      <c r="T529" s="223"/>
      <c r="U529" s="223"/>
      <c r="V529" s="223"/>
      <c r="W529" s="223"/>
      <c r="X529" s="223"/>
      <c r="Y529" s="223"/>
      <c r="Z529" s="223"/>
      <c r="AA529" s="223"/>
      <c r="AB529" s="223"/>
      <c r="AC529" s="223"/>
    </row>
    <row r="530" spans="1:29" x14ac:dyDescent="0.25">
      <c r="A530" s="223"/>
      <c r="B530" s="223"/>
      <c r="C530" s="223"/>
      <c r="D530" s="223"/>
      <c r="E530" s="223"/>
      <c r="F530" s="276"/>
      <c r="G530" s="226"/>
      <c r="H530" s="223"/>
      <c r="I530" s="223"/>
      <c r="J530" s="223"/>
      <c r="K530" s="223"/>
      <c r="L530" s="223"/>
      <c r="M530" s="223"/>
      <c r="N530" s="223"/>
      <c r="O530" s="223"/>
      <c r="P530" s="223"/>
      <c r="Q530" s="223"/>
      <c r="R530" s="890"/>
      <c r="S530" s="890"/>
      <c r="T530" s="223"/>
      <c r="U530" s="223"/>
      <c r="V530" s="223"/>
      <c r="W530" s="223"/>
      <c r="X530" s="223"/>
      <c r="Y530" s="223"/>
      <c r="Z530" s="223"/>
      <c r="AA530" s="223"/>
      <c r="AB530" s="223"/>
      <c r="AC530" s="223"/>
    </row>
    <row r="531" spans="1:29" x14ac:dyDescent="0.25">
      <c r="A531" s="223"/>
      <c r="B531" s="223"/>
      <c r="C531" s="223"/>
      <c r="D531" s="223"/>
      <c r="E531" s="223"/>
      <c r="F531" s="276"/>
      <c r="G531" s="226"/>
      <c r="H531" s="223"/>
      <c r="I531" s="223"/>
      <c r="J531" s="223"/>
      <c r="K531" s="223"/>
      <c r="L531" s="223"/>
      <c r="M531" s="223"/>
      <c r="N531" s="223"/>
      <c r="O531" s="223"/>
      <c r="P531" s="223"/>
      <c r="Q531" s="223"/>
      <c r="R531" s="890"/>
      <c r="S531" s="890"/>
      <c r="T531" s="223"/>
      <c r="U531" s="223"/>
      <c r="V531" s="223"/>
      <c r="W531" s="223"/>
      <c r="X531" s="223"/>
      <c r="Y531" s="223"/>
      <c r="Z531" s="223"/>
      <c r="AA531" s="223"/>
      <c r="AB531" s="223"/>
      <c r="AC531" s="223"/>
    </row>
    <row r="532" spans="1:29" x14ac:dyDescent="0.25">
      <c r="A532" s="223"/>
      <c r="B532" s="223"/>
      <c r="C532" s="223"/>
      <c r="D532" s="223"/>
      <c r="E532" s="223"/>
      <c r="F532" s="276"/>
      <c r="G532" s="226"/>
      <c r="H532" s="223"/>
      <c r="I532" s="223"/>
      <c r="J532" s="223"/>
      <c r="K532" s="223"/>
      <c r="L532" s="223"/>
      <c r="M532" s="223"/>
      <c r="N532" s="223"/>
      <c r="O532" s="223"/>
      <c r="P532" s="223"/>
      <c r="Q532" s="223"/>
      <c r="R532" s="890"/>
      <c r="S532" s="890"/>
      <c r="T532" s="223"/>
      <c r="U532" s="223"/>
      <c r="V532" s="223"/>
      <c r="W532" s="223"/>
      <c r="X532" s="223"/>
      <c r="Y532" s="223"/>
      <c r="Z532" s="223"/>
      <c r="AA532" s="223"/>
      <c r="AB532" s="223"/>
      <c r="AC532" s="223"/>
    </row>
    <row r="533" spans="1:29" x14ac:dyDescent="0.25">
      <c r="A533" s="223"/>
      <c r="B533" s="223"/>
      <c r="C533" s="223"/>
      <c r="D533" s="223"/>
      <c r="E533" s="223"/>
      <c r="F533" s="276"/>
      <c r="G533" s="226"/>
      <c r="H533" s="223"/>
      <c r="I533" s="223"/>
      <c r="J533" s="223"/>
      <c r="K533" s="223"/>
      <c r="L533" s="223"/>
      <c r="M533" s="223"/>
      <c r="N533" s="223"/>
      <c r="O533" s="223"/>
      <c r="P533" s="223"/>
      <c r="Q533" s="223"/>
      <c r="R533" s="890"/>
      <c r="S533" s="890"/>
      <c r="T533" s="223"/>
      <c r="U533" s="223"/>
      <c r="V533" s="223"/>
      <c r="W533" s="223"/>
      <c r="X533" s="223"/>
      <c r="Y533" s="223"/>
      <c r="Z533" s="223"/>
      <c r="AA533" s="223"/>
      <c r="AB533" s="223"/>
      <c r="AC533" s="223"/>
    </row>
    <row r="534" spans="1:29" x14ac:dyDescent="0.25">
      <c r="A534" s="223"/>
      <c r="B534" s="223"/>
      <c r="C534" s="223"/>
      <c r="D534" s="223"/>
      <c r="E534" s="223"/>
      <c r="F534" s="276"/>
      <c r="G534" s="226"/>
      <c r="H534" s="223"/>
      <c r="I534" s="223"/>
      <c r="J534" s="223"/>
      <c r="K534" s="223"/>
      <c r="L534" s="223"/>
      <c r="M534" s="223"/>
      <c r="N534" s="223"/>
      <c r="O534" s="223"/>
      <c r="P534" s="223"/>
      <c r="Q534" s="223"/>
      <c r="R534" s="890"/>
      <c r="S534" s="890"/>
      <c r="T534" s="223"/>
      <c r="U534" s="223"/>
      <c r="V534" s="223"/>
      <c r="W534" s="223"/>
      <c r="X534" s="223"/>
      <c r="Y534" s="223"/>
      <c r="Z534" s="223"/>
      <c r="AA534" s="223"/>
      <c r="AB534" s="223"/>
      <c r="AC534" s="223"/>
    </row>
    <row r="535" spans="1:29" x14ac:dyDescent="0.25">
      <c r="A535" s="223"/>
      <c r="B535" s="223"/>
      <c r="C535" s="223"/>
      <c r="D535" s="223"/>
      <c r="E535" s="223"/>
      <c r="F535" s="276"/>
      <c r="G535" s="226"/>
      <c r="H535" s="223"/>
      <c r="I535" s="223"/>
      <c r="J535" s="223"/>
      <c r="K535" s="223"/>
      <c r="L535" s="223"/>
      <c r="M535" s="223"/>
      <c r="N535" s="223"/>
      <c r="O535" s="223"/>
      <c r="P535" s="223"/>
      <c r="Q535" s="223"/>
      <c r="R535" s="890"/>
      <c r="S535" s="890"/>
      <c r="T535" s="223"/>
      <c r="U535" s="223"/>
      <c r="V535" s="223"/>
      <c r="W535" s="223"/>
      <c r="X535" s="223"/>
      <c r="Y535" s="223"/>
      <c r="Z535" s="223"/>
      <c r="AA535" s="223"/>
      <c r="AB535" s="223"/>
      <c r="AC535" s="223"/>
    </row>
    <row r="536" spans="1:29" x14ac:dyDescent="0.25">
      <c r="A536" s="223"/>
      <c r="B536" s="223"/>
      <c r="C536" s="223"/>
      <c r="D536" s="223"/>
      <c r="E536" s="223"/>
      <c r="F536" s="276"/>
      <c r="G536" s="226"/>
      <c r="H536" s="223"/>
      <c r="I536" s="223"/>
      <c r="J536" s="223"/>
      <c r="K536" s="223"/>
      <c r="L536" s="223"/>
      <c r="M536" s="223"/>
      <c r="N536" s="223"/>
      <c r="O536" s="223"/>
      <c r="P536" s="223"/>
      <c r="Q536" s="223"/>
      <c r="R536" s="890"/>
      <c r="S536" s="890"/>
      <c r="T536" s="223"/>
      <c r="U536" s="223"/>
      <c r="V536" s="223"/>
      <c r="W536" s="223"/>
      <c r="X536" s="223"/>
      <c r="Y536" s="223"/>
      <c r="Z536" s="223"/>
      <c r="AA536" s="223"/>
      <c r="AB536" s="223"/>
      <c r="AC536" s="223"/>
    </row>
    <row r="537" spans="1:29" x14ac:dyDescent="0.25">
      <c r="A537" s="223"/>
      <c r="B537" s="223"/>
      <c r="C537" s="223"/>
      <c r="D537" s="223"/>
      <c r="E537" s="223"/>
      <c r="F537" s="276"/>
      <c r="G537" s="226"/>
      <c r="H537" s="223"/>
      <c r="I537" s="223"/>
      <c r="J537" s="223"/>
      <c r="K537" s="223"/>
      <c r="L537" s="223"/>
      <c r="M537" s="223"/>
      <c r="N537" s="223"/>
      <c r="O537" s="223"/>
      <c r="P537" s="223"/>
      <c r="Q537" s="223"/>
      <c r="R537" s="890"/>
      <c r="S537" s="890"/>
      <c r="T537" s="223"/>
      <c r="U537" s="223"/>
      <c r="V537" s="223"/>
      <c r="W537" s="223"/>
      <c r="X537" s="223"/>
      <c r="Y537" s="223"/>
      <c r="Z537" s="223"/>
      <c r="AA537" s="223"/>
      <c r="AB537" s="223"/>
      <c r="AC537" s="223"/>
    </row>
    <row r="538" spans="1:29" x14ac:dyDescent="0.25">
      <c r="A538" s="223"/>
      <c r="B538" s="223"/>
      <c r="C538" s="223"/>
      <c r="D538" s="223"/>
      <c r="E538" s="223"/>
      <c r="F538" s="276"/>
      <c r="G538" s="226"/>
      <c r="H538" s="223"/>
      <c r="I538" s="223"/>
      <c r="J538" s="223"/>
      <c r="K538" s="223"/>
      <c r="L538" s="223"/>
      <c r="M538" s="223"/>
      <c r="N538" s="223"/>
      <c r="O538" s="223"/>
      <c r="P538" s="223"/>
      <c r="Q538" s="223"/>
      <c r="R538" s="890"/>
      <c r="S538" s="890"/>
      <c r="T538" s="223"/>
      <c r="U538" s="223"/>
      <c r="V538" s="223"/>
      <c r="W538" s="223"/>
      <c r="X538" s="223"/>
      <c r="Y538" s="223"/>
      <c r="Z538" s="223"/>
      <c r="AA538" s="223"/>
      <c r="AB538" s="223"/>
      <c r="AC538" s="223"/>
    </row>
    <row r="539" spans="1:29" x14ac:dyDescent="0.25">
      <c r="A539" s="223"/>
      <c r="B539" s="223"/>
      <c r="C539" s="223"/>
      <c r="D539" s="223"/>
      <c r="E539" s="223"/>
      <c r="F539" s="276"/>
      <c r="G539" s="226"/>
      <c r="H539" s="223"/>
      <c r="I539" s="223"/>
      <c r="J539" s="223"/>
      <c r="K539" s="223"/>
      <c r="L539" s="223"/>
      <c r="M539" s="223"/>
      <c r="N539" s="223"/>
      <c r="O539" s="223"/>
      <c r="P539" s="223"/>
      <c r="Q539" s="223"/>
      <c r="R539" s="890"/>
      <c r="S539" s="890"/>
      <c r="T539" s="223"/>
      <c r="U539" s="223"/>
      <c r="V539" s="223"/>
      <c r="W539" s="223"/>
      <c r="X539" s="223"/>
      <c r="Y539" s="223"/>
      <c r="Z539" s="223"/>
      <c r="AA539" s="223"/>
      <c r="AB539" s="223"/>
      <c r="AC539" s="223"/>
    </row>
    <row r="540" spans="1:29" x14ac:dyDescent="0.25">
      <c r="A540" s="223"/>
      <c r="B540" s="223"/>
      <c r="C540" s="223"/>
      <c r="D540" s="223"/>
      <c r="E540" s="223"/>
      <c r="F540" s="276"/>
      <c r="G540" s="226"/>
      <c r="H540" s="223"/>
      <c r="I540" s="223"/>
      <c r="J540" s="223"/>
      <c r="K540" s="223"/>
      <c r="L540" s="223"/>
      <c r="M540" s="223"/>
      <c r="N540" s="223"/>
      <c r="O540" s="223"/>
      <c r="P540" s="223"/>
      <c r="Q540" s="223"/>
      <c r="R540" s="890"/>
      <c r="S540" s="890"/>
      <c r="T540" s="223"/>
      <c r="U540" s="223"/>
      <c r="V540" s="223"/>
      <c r="W540" s="223"/>
      <c r="X540" s="223"/>
      <c r="Y540" s="223"/>
      <c r="Z540" s="223"/>
      <c r="AA540" s="223"/>
      <c r="AB540" s="223"/>
      <c r="AC540" s="223"/>
    </row>
    <row r="541" spans="1:29" x14ac:dyDescent="0.25">
      <c r="A541" s="223"/>
      <c r="B541" s="223"/>
      <c r="C541" s="223"/>
      <c r="D541" s="223"/>
      <c r="E541" s="223"/>
      <c r="F541" s="276"/>
      <c r="G541" s="226"/>
      <c r="H541" s="223"/>
      <c r="I541" s="223"/>
      <c r="J541" s="223"/>
      <c r="K541" s="223"/>
      <c r="L541" s="223"/>
      <c r="M541" s="223"/>
      <c r="N541" s="223"/>
      <c r="O541" s="223"/>
      <c r="P541" s="223"/>
      <c r="Q541" s="223"/>
      <c r="R541" s="890"/>
      <c r="S541" s="890"/>
      <c r="T541" s="223"/>
      <c r="U541" s="223"/>
      <c r="V541" s="223"/>
      <c r="W541" s="223"/>
      <c r="X541" s="223"/>
      <c r="Y541" s="223"/>
      <c r="Z541" s="223"/>
      <c r="AA541" s="223"/>
      <c r="AB541" s="223"/>
      <c r="AC541" s="223"/>
    </row>
    <row r="542" spans="1:29" x14ac:dyDescent="0.25">
      <c r="A542" s="223"/>
      <c r="B542" s="223"/>
      <c r="C542" s="223"/>
      <c r="D542" s="223"/>
      <c r="E542" s="223"/>
      <c r="F542" s="276"/>
      <c r="G542" s="226"/>
      <c r="H542" s="223"/>
      <c r="I542" s="223"/>
      <c r="J542" s="223"/>
      <c r="K542" s="223"/>
      <c r="L542" s="223"/>
      <c r="M542" s="223"/>
      <c r="N542" s="223"/>
      <c r="O542" s="223"/>
      <c r="P542" s="223"/>
      <c r="Q542" s="223"/>
      <c r="R542" s="890"/>
      <c r="S542" s="890"/>
      <c r="T542" s="223"/>
      <c r="U542" s="223"/>
      <c r="V542" s="223"/>
      <c r="W542" s="223"/>
      <c r="X542" s="223"/>
      <c r="Y542" s="223"/>
      <c r="Z542" s="223"/>
      <c r="AA542" s="223"/>
      <c r="AB542" s="223"/>
      <c r="AC542" s="223"/>
    </row>
    <row r="543" spans="1:29" x14ac:dyDescent="0.25">
      <c r="A543" s="223"/>
      <c r="B543" s="223"/>
      <c r="C543" s="223"/>
      <c r="D543" s="223"/>
      <c r="E543" s="223"/>
      <c r="F543" s="276"/>
      <c r="G543" s="226"/>
      <c r="H543" s="223"/>
      <c r="I543" s="223"/>
      <c r="J543" s="223"/>
      <c r="K543" s="223"/>
      <c r="L543" s="223"/>
      <c r="M543" s="223"/>
      <c r="N543" s="223"/>
      <c r="O543" s="223"/>
      <c r="P543" s="223"/>
      <c r="Q543" s="223"/>
      <c r="R543" s="890"/>
      <c r="S543" s="890"/>
      <c r="T543" s="223"/>
      <c r="U543" s="223"/>
      <c r="V543" s="223"/>
      <c r="W543" s="223"/>
      <c r="X543" s="223"/>
      <c r="Y543" s="223"/>
      <c r="Z543" s="223"/>
      <c r="AA543" s="223"/>
      <c r="AB543" s="223"/>
      <c r="AC543" s="223"/>
    </row>
    <row r="544" spans="1:29" x14ac:dyDescent="0.25">
      <c r="A544" s="223"/>
      <c r="B544" s="223"/>
      <c r="C544" s="223"/>
      <c r="D544" s="223"/>
      <c r="E544" s="223"/>
      <c r="F544" s="276"/>
      <c r="G544" s="226"/>
      <c r="H544" s="223"/>
      <c r="I544" s="223"/>
      <c r="J544" s="223"/>
      <c r="K544" s="223"/>
      <c r="L544" s="223"/>
      <c r="M544" s="223"/>
      <c r="N544" s="223"/>
      <c r="O544" s="223"/>
      <c r="P544" s="223"/>
      <c r="Q544" s="223"/>
      <c r="R544" s="890"/>
      <c r="S544" s="890"/>
      <c r="T544" s="223"/>
      <c r="U544" s="223"/>
      <c r="V544" s="223"/>
      <c r="W544" s="223"/>
      <c r="X544" s="223"/>
      <c r="Y544" s="223"/>
      <c r="Z544" s="223"/>
      <c r="AA544" s="223"/>
      <c r="AB544" s="223"/>
      <c r="AC544" s="223"/>
    </row>
    <row r="545" spans="1:29" x14ac:dyDescent="0.25">
      <c r="A545" s="223"/>
      <c r="B545" s="223"/>
      <c r="C545" s="223"/>
      <c r="D545" s="223"/>
      <c r="E545" s="223"/>
      <c r="F545" s="276"/>
      <c r="G545" s="226"/>
      <c r="H545" s="223"/>
      <c r="I545" s="223"/>
      <c r="J545" s="223"/>
      <c r="K545" s="223"/>
      <c r="L545" s="223"/>
      <c r="M545" s="223"/>
      <c r="N545" s="223"/>
      <c r="O545" s="223"/>
      <c r="P545" s="223"/>
      <c r="Q545" s="223"/>
      <c r="R545" s="890"/>
      <c r="S545" s="890"/>
      <c r="T545" s="223"/>
      <c r="U545" s="223"/>
      <c r="V545" s="223"/>
      <c r="W545" s="223"/>
      <c r="X545" s="223"/>
      <c r="Y545" s="223"/>
      <c r="Z545" s="223"/>
      <c r="AA545" s="223"/>
      <c r="AB545" s="223"/>
      <c r="AC545" s="223"/>
    </row>
    <row r="546" spans="1:29" x14ac:dyDescent="0.25">
      <c r="A546" s="223"/>
      <c r="B546" s="223"/>
      <c r="C546" s="223"/>
      <c r="D546" s="223"/>
      <c r="E546" s="223"/>
      <c r="F546" s="276"/>
      <c r="G546" s="226"/>
      <c r="H546" s="223"/>
      <c r="I546" s="223"/>
      <c r="J546" s="223"/>
      <c r="K546" s="223"/>
      <c r="L546" s="223"/>
      <c r="M546" s="223"/>
      <c r="N546" s="223"/>
      <c r="O546" s="223"/>
      <c r="P546" s="223"/>
      <c r="Q546" s="223"/>
      <c r="R546" s="890"/>
      <c r="S546" s="890"/>
      <c r="T546" s="223"/>
      <c r="U546" s="223"/>
      <c r="V546" s="223"/>
      <c r="W546" s="223"/>
      <c r="X546" s="223"/>
      <c r="Y546" s="223"/>
      <c r="Z546" s="223"/>
      <c r="AA546" s="223"/>
      <c r="AB546" s="223"/>
      <c r="AC546" s="223"/>
    </row>
    <row r="547" spans="1:29" x14ac:dyDescent="0.25">
      <c r="A547" s="223"/>
      <c r="B547" s="223"/>
      <c r="C547" s="223"/>
      <c r="D547" s="223"/>
      <c r="E547" s="223"/>
      <c r="F547" s="276"/>
      <c r="G547" s="226"/>
      <c r="H547" s="223"/>
      <c r="I547" s="223"/>
      <c r="J547" s="223"/>
      <c r="K547" s="223"/>
      <c r="L547" s="223"/>
      <c r="M547" s="223"/>
      <c r="N547" s="223"/>
      <c r="O547" s="223"/>
      <c r="P547" s="223"/>
      <c r="Q547" s="223"/>
      <c r="R547" s="890"/>
      <c r="S547" s="890"/>
      <c r="T547" s="223"/>
      <c r="U547" s="223"/>
      <c r="V547" s="223"/>
      <c r="W547" s="223"/>
      <c r="X547" s="223"/>
      <c r="Y547" s="223"/>
      <c r="Z547" s="223"/>
      <c r="AA547" s="223"/>
      <c r="AB547" s="223"/>
      <c r="AC547" s="223"/>
    </row>
    <row r="548" spans="1:29" x14ac:dyDescent="0.25">
      <c r="A548" s="223"/>
      <c r="B548" s="223"/>
      <c r="C548" s="223"/>
      <c r="D548" s="223"/>
      <c r="E548" s="223"/>
      <c r="F548" s="276"/>
      <c r="G548" s="226"/>
      <c r="H548" s="223"/>
      <c r="I548" s="223"/>
      <c r="J548" s="223"/>
      <c r="K548" s="223"/>
      <c r="L548" s="223"/>
      <c r="M548" s="223"/>
      <c r="N548" s="223"/>
      <c r="O548" s="223"/>
      <c r="P548" s="223"/>
      <c r="Q548" s="223"/>
      <c r="R548" s="890"/>
      <c r="S548" s="890"/>
      <c r="T548" s="223"/>
      <c r="U548" s="223"/>
      <c r="V548" s="223"/>
      <c r="W548" s="223"/>
      <c r="X548" s="223"/>
      <c r="Y548" s="223"/>
      <c r="Z548" s="223"/>
      <c r="AA548" s="223"/>
      <c r="AB548" s="223"/>
      <c r="AC548" s="223"/>
    </row>
    <row r="549" spans="1:29" x14ac:dyDescent="0.25">
      <c r="A549" s="223"/>
      <c r="B549" s="223"/>
      <c r="C549" s="223"/>
      <c r="D549" s="223"/>
      <c r="E549" s="223"/>
      <c r="F549" s="276"/>
      <c r="G549" s="226"/>
      <c r="H549" s="223"/>
      <c r="I549" s="223"/>
      <c r="J549" s="223"/>
      <c r="K549" s="223"/>
      <c r="L549" s="223"/>
      <c r="M549" s="223"/>
      <c r="N549" s="223"/>
      <c r="O549" s="223"/>
      <c r="P549" s="223"/>
      <c r="Q549" s="223"/>
      <c r="R549" s="890"/>
      <c r="S549" s="890"/>
      <c r="T549" s="223"/>
      <c r="U549" s="223"/>
      <c r="V549" s="223"/>
      <c r="W549" s="223"/>
      <c r="X549" s="223"/>
      <c r="Y549" s="223"/>
      <c r="Z549" s="223"/>
      <c r="AA549" s="223"/>
      <c r="AB549" s="223"/>
      <c r="AC549" s="223"/>
    </row>
    <row r="550" spans="1:29" x14ac:dyDescent="0.25">
      <c r="A550" s="223"/>
      <c r="B550" s="223"/>
      <c r="C550" s="223"/>
      <c r="D550" s="223"/>
      <c r="E550" s="223"/>
      <c r="F550" s="276"/>
      <c r="G550" s="226"/>
      <c r="H550" s="223"/>
      <c r="I550" s="223"/>
      <c r="J550" s="223"/>
      <c r="K550" s="223"/>
      <c r="L550" s="223"/>
      <c r="M550" s="223"/>
      <c r="N550" s="223"/>
      <c r="O550" s="223"/>
      <c r="P550" s="223"/>
      <c r="Q550" s="223"/>
      <c r="R550" s="890"/>
      <c r="S550" s="890"/>
      <c r="T550" s="223"/>
      <c r="U550" s="223"/>
      <c r="V550" s="223"/>
      <c r="W550" s="223"/>
      <c r="X550" s="223"/>
      <c r="Y550" s="223"/>
      <c r="Z550" s="223"/>
      <c r="AA550" s="223"/>
      <c r="AB550" s="223"/>
      <c r="AC550" s="223"/>
    </row>
    <row r="551" spans="1:29" x14ac:dyDescent="0.25">
      <c r="A551" s="223"/>
      <c r="B551" s="223"/>
      <c r="C551" s="223"/>
      <c r="D551" s="223"/>
      <c r="E551" s="223"/>
      <c r="F551" s="276"/>
      <c r="G551" s="226"/>
      <c r="H551" s="223"/>
      <c r="I551" s="223"/>
      <c r="J551" s="223"/>
      <c r="K551" s="223"/>
      <c r="L551" s="223"/>
      <c r="M551" s="223"/>
      <c r="N551" s="223"/>
      <c r="O551" s="223"/>
      <c r="P551" s="223"/>
      <c r="Q551" s="223"/>
      <c r="R551" s="890"/>
      <c r="S551" s="890"/>
      <c r="T551" s="223"/>
      <c r="U551" s="223"/>
      <c r="V551" s="223"/>
      <c r="W551" s="223"/>
      <c r="X551" s="223"/>
      <c r="Y551" s="223"/>
      <c r="Z551" s="223"/>
      <c r="AA551" s="223"/>
      <c r="AB551" s="223"/>
      <c r="AC551" s="223"/>
    </row>
    <row r="552" spans="1:29" x14ac:dyDescent="0.25">
      <c r="A552" s="223"/>
      <c r="B552" s="223"/>
      <c r="C552" s="223"/>
      <c r="D552" s="223"/>
      <c r="E552" s="223"/>
      <c r="F552" s="276"/>
      <c r="G552" s="226"/>
      <c r="H552" s="223"/>
      <c r="I552" s="223"/>
      <c r="J552" s="223"/>
      <c r="K552" s="223"/>
      <c r="L552" s="223"/>
      <c r="M552" s="223"/>
      <c r="N552" s="223"/>
      <c r="O552" s="223"/>
      <c r="P552" s="223"/>
      <c r="Q552" s="223"/>
      <c r="R552" s="890"/>
      <c r="S552" s="890"/>
      <c r="T552" s="223"/>
      <c r="U552" s="223"/>
      <c r="V552" s="223"/>
      <c r="W552" s="223"/>
      <c r="X552" s="223"/>
      <c r="Y552" s="223"/>
      <c r="Z552" s="223"/>
      <c r="AA552" s="223"/>
      <c r="AB552" s="223"/>
      <c r="AC552" s="223"/>
    </row>
    <row r="553" spans="1:29" x14ac:dyDescent="0.25">
      <c r="A553" s="223"/>
      <c r="B553" s="223"/>
      <c r="C553" s="223"/>
      <c r="D553" s="223"/>
      <c r="E553" s="223"/>
      <c r="F553" s="276"/>
      <c r="G553" s="226"/>
      <c r="H553" s="223"/>
      <c r="I553" s="223"/>
      <c r="J553" s="223"/>
      <c r="K553" s="223"/>
      <c r="L553" s="223"/>
      <c r="M553" s="223"/>
      <c r="N553" s="223"/>
      <c r="O553" s="223"/>
      <c r="P553" s="223"/>
      <c r="Q553" s="223"/>
      <c r="R553" s="890"/>
      <c r="S553" s="890"/>
      <c r="T553" s="223"/>
      <c r="U553" s="223"/>
      <c r="V553" s="223"/>
      <c r="W553" s="223"/>
      <c r="X553" s="223"/>
      <c r="Y553" s="223"/>
      <c r="Z553" s="223"/>
      <c r="AA553" s="223"/>
      <c r="AB553" s="223"/>
      <c r="AC553" s="223"/>
    </row>
    <row r="554" spans="1:29" x14ac:dyDescent="0.25">
      <c r="A554" s="223"/>
      <c r="B554" s="223"/>
      <c r="C554" s="223"/>
      <c r="D554" s="223"/>
      <c r="E554" s="223"/>
      <c r="F554" s="276"/>
      <c r="G554" s="226"/>
      <c r="H554" s="223"/>
      <c r="I554" s="223"/>
      <c r="J554" s="223"/>
      <c r="K554" s="223"/>
      <c r="L554" s="223"/>
      <c r="M554" s="223"/>
      <c r="N554" s="223"/>
      <c r="O554" s="223"/>
      <c r="P554" s="223"/>
      <c r="Q554" s="223"/>
      <c r="R554" s="890"/>
      <c r="S554" s="890"/>
      <c r="T554" s="223"/>
      <c r="U554" s="223"/>
      <c r="V554" s="223"/>
      <c r="W554" s="223"/>
      <c r="X554" s="223"/>
      <c r="Y554" s="223"/>
      <c r="Z554" s="223"/>
      <c r="AA554" s="223"/>
      <c r="AB554" s="223"/>
      <c r="AC554" s="223"/>
    </row>
    <row r="555" spans="1:29" x14ac:dyDescent="0.25">
      <c r="A555" s="223"/>
      <c r="B555" s="223"/>
      <c r="C555" s="223"/>
      <c r="D555" s="223"/>
      <c r="E555" s="223"/>
      <c r="F555" s="276"/>
      <c r="G555" s="226"/>
      <c r="H555" s="223"/>
      <c r="I555" s="223"/>
      <c r="J555" s="223"/>
      <c r="K555" s="223"/>
      <c r="L555" s="223"/>
      <c r="M555" s="223"/>
      <c r="N555" s="223"/>
      <c r="O555" s="223"/>
      <c r="P555" s="223"/>
      <c r="Q555" s="223"/>
      <c r="R555" s="890"/>
      <c r="S555" s="890"/>
      <c r="T555" s="223"/>
      <c r="U555" s="223"/>
      <c r="V555" s="223"/>
      <c r="W555" s="223"/>
      <c r="X555" s="223"/>
      <c r="Y555" s="223"/>
      <c r="Z555" s="223"/>
      <c r="AA555" s="223"/>
      <c r="AB555" s="223"/>
      <c r="AC555" s="223"/>
    </row>
    <row r="556" spans="1:29" x14ac:dyDescent="0.25">
      <c r="A556" s="223"/>
      <c r="B556" s="223"/>
      <c r="C556" s="223"/>
      <c r="D556" s="223"/>
      <c r="E556" s="223"/>
      <c r="F556" s="276"/>
      <c r="G556" s="226"/>
      <c r="H556" s="223"/>
      <c r="I556" s="223"/>
      <c r="J556" s="223"/>
      <c r="K556" s="223"/>
      <c r="L556" s="223"/>
      <c r="M556" s="223"/>
      <c r="N556" s="223"/>
      <c r="O556" s="223"/>
      <c r="P556" s="223"/>
      <c r="Q556" s="223"/>
      <c r="R556" s="890"/>
      <c r="S556" s="890"/>
      <c r="T556" s="223"/>
      <c r="U556" s="223"/>
      <c r="V556" s="223"/>
      <c r="W556" s="223"/>
      <c r="X556" s="223"/>
      <c r="Y556" s="223"/>
      <c r="Z556" s="223"/>
      <c r="AA556" s="223"/>
      <c r="AB556" s="223"/>
      <c r="AC556" s="223"/>
    </row>
    <row r="557" spans="1:29" x14ac:dyDescent="0.25">
      <c r="A557" s="223"/>
      <c r="B557" s="223"/>
      <c r="C557" s="223"/>
      <c r="D557" s="223"/>
      <c r="E557" s="223"/>
      <c r="F557" s="276"/>
      <c r="G557" s="226"/>
      <c r="H557" s="223"/>
      <c r="I557" s="223"/>
      <c r="J557" s="223"/>
      <c r="K557" s="223"/>
      <c r="L557" s="223"/>
      <c r="M557" s="223"/>
      <c r="N557" s="223"/>
      <c r="O557" s="223"/>
      <c r="P557" s="223"/>
      <c r="Q557" s="223"/>
      <c r="R557" s="890"/>
      <c r="S557" s="890"/>
      <c r="T557" s="223"/>
      <c r="U557" s="223"/>
      <c r="V557" s="223"/>
      <c r="W557" s="223"/>
      <c r="X557" s="223"/>
      <c r="Y557" s="223"/>
      <c r="Z557" s="223"/>
      <c r="AA557" s="223"/>
      <c r="AB557" s="223"/>
      <c r="AC557" s="223"/>
    </row>
    <row r="558" spans="1:29" x14ac:dyDescent="0.25">
      <c r="A558" s="223"/>
      <c r="B558" s="223"/>
      <c r="C558" s="223"/>
      <c r="D558" s="223"/>
      <c r="E558" s="223"/>
      <c r="F558" s="276"/>
      <c r="G558" s="226"/>
      <c r="H558" s="223"/>
      <c r="I558" s="223"/>
      <c r="J558" s="223"/>
      <c r="K558" s="223"/>
      <c r="L558" s="223"/>
      <c r="M558" s="223"/>
      <c r="N558" s="223"/>
      <c r="O558" s="223"/>
      <c r="P558" s="223"/>
      <c r="Q558" s="223"/>
      <c r="R558" s="890"/>
      <c r="S558" s="890"/>
      <c r="T558" s="223"/>
      <c r="U558" s="223"/>
      <c r="V558" s="223"/>
      <c r="W558" s="223"/>
      <c r="X558" s="223"/>
      <c r="Y558" s="223"/>
      <c r="Z558" s="223"/>
      <c r="AA558" s="223"/>
      <c r="AB558" s="223"/>
      <c r="AC558" s="223"/>
    </row>
    <row r="559" spans="1:29" x14ac:dyDescent="0.25">
      <c r="A559" s="223"/>
      <c r="B559" s="223"/>
      <c r="C559" s="223"/>
      <c r="D559" s="223"/>
      <c r="E559" s="223"/>
      <c r="F559" s="276"/>
      <c r="G559" s="226"/>
      <c r="H559" s="223"/>
      <c r="I559" s="223"/>
      <c r="J559" s="223"/>
      <c r="K559" s="223"/>
      <c r="L559" s="223"/>
      <c r="M559" s="223"/>
      <c r="N559" s="223"/>
      <c r="O559" s="223"/>
      <c r="P559" s="223"/>
      <c r="Q559" s="223"/>
      <c r="R559" s="890"/>
      <c r="S559" s="890"/>
      <c r="T559" s="223"/>
      <c r="U559" s="223"/>
      <c r="V559" s="223"/>
      <c r="W559" s="223"/>
      <c r="X559" s="223"/>
      <c r="Y559" s="223"/>
      <c r="Z559" s="223"/>
      <c r="AA559" s="223"/>
      <c r="AB559" s="223"/>
      <c r="AC559" s="223"/>
    </row>
    <row r="560" spans="1:29" x14ac:dyDescent="0.25">
      <c r="A560" s="223"/>
      <c r="B560" s="223"/>
      <c r="C560" s="223"/>
      <c r="D560" s="223"/>
      <c r="E560" s="223"/>
      <c r="F560" s="276"/>
      <c r="G560" s="226"/>
      <c r="H560" s="223"/>
      <c r="I560" s="223"/>
      <c r="J560" s="223"/>
      <c r="K560" s="223"/>
      <c r="L560" s="223"/>
      <c r="M560" s="223"/>
      <c r="N560" s="223"/>
      <c r="O560" s="223"/>
      <c r="P560" s="223"/>
      <c r="Q560" s="223"/>
      <c r="R560" s="890"/>
      <c r="S560" s="890"/>
      <c r="T560" s="223"/>
      <c r="U560" s="223"/>
      <c r="V560" s="223"/>
      <c r="W560" s="223"/>
      <c r="X560" s="223"/>
      <c r="Y560" s="223"/>
      <c r="Z560" s="223"/>
      <c r="AA560" s="223"/>
      <c r="AB560" s="223"/>
      <c r="AC560" s="223"/>
    </row>
    <row r="561" spans="1:29" x14ac:dyDescent="0.25">
      <c r="A561" s="223"/>
      <c r="B561" s="223"/>
      <c r="C561" s="223"/>
      <c r="D561" s="223"/>
      <c r="E561" s="223"/>
      <c r="F561" s="276"/>
      <c r="G561" s="226"/>
      <c r="H561" s="223"/>
      <c r="I561" s="223"/>
      <c r="J561" s="223"/>
      <c r="K561" s="223"/>
      <c r="L561" s="223"/>
      <c r="M561" s="223"/>
      <c r="N561" s="223"/>
      <c r="O561" s="223"/>
      <c r="P561" s="223"/>
      <c r="Q561" s="223"/>
      <c r="R561" s="890"/>
      <c r="S561" s="890"/>
      <c r="T561" s="223"/>
      <c r="U561" s="223"/>
      <c r="V561" s="223"/>
      <c r="W561" s="223"/>
      <c r="X561" s="223"/>
      <c r="Y561" s="223"/>
      <c r="Z561" s="223"/>
      <c r="AA561" s="223"/>
      <c r="AB561" s="223"/>
      <c r="AC561" s="223"/>
    </row>
    <row r="562" spans="1:29" x14ac:dyDescent="0.25">
      <c r="A562" s="223"/>
      <c r="B562" s="223"/>
      <c r="C562" s="223"/>
      <c r="D562" s="223"/>
      <c r="E562" s="223"/>
      <c r="F562" s="276"/>
      <c r="G562" s="226"/>
      <c r="H562" s="223"/>
      <c r="I562" s="223"/>
      <c r="J562" s="223"/>
      <c r="K562" s="223"/>
      <c r="L562" s="223"/>
      <c r="M562" s="223"/>
      <c r="N562" s="223"/>
      <c r="O562" s="223"/>
      <c r="P562" s="223"/>
      <c r="Q562" s="223"/>
      <c r="R562" s="890"/>
      <c r="S562" s="890"/>
      <c r="T562" s="223"/>
      <c r="U562" s="223"/>
      <c r="V562" s="223"/>
      <c r="W562" s="223"/>
      <c r="X562" s="223"/>
      <c r="Y562" s="223"/>
      <c r="Z562" s="223"/>
      <c r="AA562" s="223"/>
      <c r="AB562" s="223"/>
      <c r="AC562" s="223"/>
    </row>
    <row r="563" spans="1:29" x14ac:dyDescent="0.25">
      <c r="A563" s="223"/>
      <c r="B563" s="223"/>
      <c r="C563" s="223"/>
      <c r="D563" s="223"/>
      <c r="E563" s="223"/>
      <c r="F563" s="276"/>
      <c r="G563" s="226"/>
      <c r="H563" s="223"/>
      <c r="I563" s="223"/>
      <c r="J563" s="223"/>
      <c r="K563" s="223"/>
      <c r="L563" s="223"/>
      <c r="M563" s="223"/>
      <c r="N563" s="223"/>
      <c r="O563" s="223"/>
      <c r="P563" s="223"/>
      <c r="Q563" s="223"/>
      <c r="R563" s="890"/>
      <c r="S563" s="890"/>
      <c r="T563" s="223"/>
      <c r="U563" s="223"/>
      <c r="V563" s="223"/>
      <c r="W563" s="223"/>
      <c r="X563" s="223"/>
      <c r="Y563" s="223"/>
      <c r="Z563" s="223"/>
      <c r="AA563" s="223"/>
      <c r="AB563" s="223"/>
      <c r="AC563" s="223"/>
    </row>
    <row r="564" spans="1:29" x14ac:dyDescent="0.25">
      <c r="A564" s="223"/>
      <c r="B564" s="223"/>
      <c r="C564" s="223"/>
      <c r="D564" s="223"/>
      <c r="E564" s="223"/>
      <c r="F564" s="276"/>
      <c r="G564" s="226"/>
      <c r="H564" s="223"/>
      <c r="I564" s="223"/>
      <c r="J564" s="223"/>
      <c r="K564" s="223"/>
      <c r="L564" s="223"/>
      <c r="M564" s="223"/>
      <c r="N564" s="223"/>
      <c r="O564" s="223"/>
      <c r="P564" s="223"/>
      <c r="Q564" s="223"/>
      <c r="R564" s="890"/>
      <c r="S564" s="890"/>
      <c r="T564" s="223"/>
      <c r="U564" s="223"/>
      <c r="V564" s="223"/>
      <c r="W564" s="223"/>
      <c r="X564" s="223"/>
      <c r="Y564" s="223"/>
      <c r="Z564" s="223"/>
      <c r="AA564" s="223"/>
      <c r="AB564" s="223"/>
      <c r="AC564" s="223"/>
    </row>
    <row r="565" spans="1:29" x14ac:dyDescent="0.25">
      <c r="A565" s="223"/>
      <c r="B565" s="223"/>
      <c r="C565" s="223"/>
      <c r="D565" s="223"/>
      <c r="E565" s="223"/>
      <c r="F565" s="276"/>
      <c r="G565" s="226"/>
      <c r="H565" s="223"/>
      <c r="I565" s="223"/>
      <c r="J565" s="223"/>
      <c r="K565" s="223"/>
      <c r="L565" s="223"/>
      <c r="M565" s="223"/>
      <c r="N565" s="223"/>
      <c r="O565" s="223"/>
      <c r="P565" s="223"/>
      <c r="Q565" s="223"/>
      <c r="R565" s="890"/>
      <c r="S565" s="890"/>
      <c r="T565" s="223"/>
      <c r="U565" s="223"/>
      <c r="V565" s="223"/>
      <c r="W565" s="223"/>
      <c r="X565" s="223"/>
      <c r="Y565" s="223"/>
      <c r="Z565" s="223"/>
      <c r="AA565" s="223"/>
      <c r="AB565" s="223"/>
      <c r="AC565" s="223"/>
    </row>
    <row r="566" spans="1:29" x14ac:dyDescent="0.25">
      <c r="A566" s="223"/>
      <c r="B566" s="223"/>
      <c r="C566" s="223"/>
      <c r="D566" s="223"/>
      <c r="E566" s="223"/>
      <c r="F566" s="276"/>
      <c r="G566" s="226"/>
      <c r="H566" s="223"/>
      <c r="I566" s="223"/>
      <c r="J566" s="223"/>
      <c r="K566" s="223"/>
      <c r="L566" s="223"/>
      <c r="M566" s="223"/>
      <c r="N566" s="223"/>
      <c r="O566" s="223"/>
      <c r="P566" s="223"/>
      <c r="Q566" s="223"/>
      <c r="R566" s="890"/>
      <c r="S566" s="890"/>
      <c r="T566" s="223"/>
      <c r="U566" s="223"/>
      <c r="V566" s="223"/>
      <c r="W566" s="223"/>
      <c r="X566" s="223"/>
      <c r="Y566" s="223"/>
      <c r="Z566" s="223"/>
      <c r="AA566" s="223"/>
      <c r="AB566" s="223"/>
      <c r="AC566" s="223"/>
    </row>
    <row r="567" spans="1:29" x14ac:dyDescent="0.25">
      <c r="A567" s="223"/>
      <c r="B567" s="223"/>
      <c r="C567" s="223"/>
      <c r="D567" s="223"/>
      <c r="E567" s="223"/>
      <c r="F567" s="276"/>
      <c r="G567" s="226"/>
      <c r="H567" s="223"/>
      <c r="I567" s="223"/>
      <c r="J567" s="223"/>
      <c r="K567" s="223"/>
      <c r="L567" s="223"/>
      <c r="M567" s="223"/>
      <c r="N567" s="223"/>
      <c r="O567" s="223"/>
      <c r="P567" s="223"/>
      <c r="Q567" s="223"/>
      <c r="R567" s="890"/>
      <c r="S567" s="890"/>
      <c r="T567" s="223"/>
      <c r="U567" s="223"/>
      <c r="V567" s="223"/>
      <c r="W567" s="223"/>
      <c r="X567" s="223"/>
      <c r="Y567" s="223"/>
      <c r="Z567" s="223"/>
      <c r="AA567" s="223"/>
      <c r="AB567" s="223"/>
      <c r="AC567" s="223"/>
    </row>
    <row r="568" spans="1:29" x14ac:dyDescent="0.25">
      <c r="A568" s="223"/>
      <c r="B568" s="223"/>
      <c r="C568" s="223"/>
      <c r="D568" s="223"/>
      <c r="E568" s="223"/>
      <c r="F568" s="276"/>
      <c r="G568" s="226"/>
      <c r="H568" s="223"/>
      <c r="I568" s="223"/>
      <c r="J568" s="223"/>
      <c r="K568" s="223"/>
      <c r="L568" s="223"/>
      <c r="M568" s="223"/>
      <c r="N568" s="223"/>
      <c r="O568" s="223"/>
      <c r="P568" s="223"/>
      <c r="Q568" s="223"/>
      <c r="R568" s="890"/>
      <c r="S568" s="890"/>
      <c r="T568" s="223"/>
      <c r="U568" s="223"/>
      <c r="V568" s="223"/>
      <c r="W568" s="223"/>
      <c r="X568" s="223"/>
      <c r="Y568" s="223"/>
      <c r="Z568" s="223"/>
      <c r="AA568" s="223"/>
      <c r="AB568" s="223"/>
      <c r="AC568" s="223"/>
    </row>
    <row r="569" spans="1:29" x14ac:dyDescent="0.25">
      <c r="A569" s="223"/>
      <c r="B569" s="223"/>
      <c r="C569" s="223"/>
      <c r="D569" s="223"/>
      <c r="E569" s="223"/>
      <c r="F569" s="276"/>
      <c r="G569" s="226"/>
      <c r="H569" s="223"/>
      <c r="I569" s="223"/>
      <c r="J569" s="223"/>
      <c r="K569" s="223"/>
      <c r="L569" s="223"/>
      <c r="M569" s="223"/>
      <c r="N569" s="223"/>
      <c r="O569" s="223"/>
      <c r="P569" s="223"/>
      <c r="Q569" s="223"/>
      <c r="R569" s="890"/>
      <c r="S569" s="890"/>
      <c r="T569" s="223"/>
      <c r="U569" s="223"/>
      <c r="V569" s="223"/>
      <c r="W569" s="223"/>
      <c r="X569" s="223"/>
      <c r="Y569" s="223"/>
      <c r="Z569" s="223"/>
      <c r="AA569" s="223"/>
      <c r="AB569" s="223"/>
      <c r="AC569" s="223"/>
    </row>
    <row r="570" spans="1:29" x14ac:dyDescent="0.25">
      <c r="A570" s="223"/>
      <c r="B570" s="223"/>
      <c r="C570" s="223"/>
      <c r="D570" s="223"/>
      <c r="E570" s="223"/>
      <c r="F570" s="276"/>
      <c r="G570" s="226"/>
      <c r="H570" s="223"/>
      <c r="I570" s="223"/>
      <c r="J570" s="223"/>
      <c r="K570" s="223"/>
      <c r="L570" s="223"/>
      <c r="M570" s="223"/>
      <c r="N570" s="223"/>
      <c r="O570" s="223"/>
      <c r="P570" s="223"/>
      <c r="Q570" s="223"/>
      <c r="R570" s="890"/>
      <c r="S570" s="890"/>
      <c r="T570" s="223"/>
      <c r="U570" s="223"/>
      <c r="V570" s="223"/>
      <c r="W570" s="223"/>
      <c r="X570" s="223"/>
      <c r="Y570" s="223"/>
      <c r="Z570" s="223"/>
      <c r="AA570" s="223"/>
      <c r="AB570" s="223"/>
      <c r="AC570" s="223"/>
    </row>
    <row r="571" spans="1:29" x14ac:dyDescent="0.25">
      <c r="A571" s="223"/>
      <c r="B571" s="223"/>
      <c r="C571" s="223"/>
      <c r="D571" s="223"/>
      <c r="E571" s="223"/>
      <c r="F571" s="276"/>
      <c r="G571" s="226"/>
      <c r="H571" s="223"/>
      <c r="I571" s="223"/>
      <c r="J571" s="223"/>
      <c r="K571" s="223"/>
      <c r="L571" s="223"/>
      <c r="M571" s="223"/>
      <c r="N571" s="223"/>
      <c r="O571" s="223"/>
      <c r="P571" s="223"/>
      <c r="Q571" s="223"/>
      <c r="R571" s="890"/>
      <c r="S571" s="890"/>
      <c r="T571" s="223"/>
      <c r="U571" s="223"/>
      <c r="V571" s="223"/>
      <c r="W571" s="223"/>
      <c r="X571" s="223"/>
      <c r="Y571" s="223"/>
      <c r="Z571" s="223"/>
      <c r="AA571" s="223"/>
      <c r="AB571" s="223"/>
      <c r="AC571" s="223"/>
    </row>
    <row r="572" spans="1:29" x14ac:dyDescent="0.25">
      <c r="A572" s="223"/>
      <c r="B572" s="223"/>
      <c r="C572" s="223"/>
      <c r="D572" s="223"/>
      <c r="E572" s="223"/>
      <c r="F572" s="276"/>
      <c r="G572" s="226"/>
      <c r="H572" s="223"/>
      <c r="I572" s="223"/>
      <c r="J572" s="223"/>
      <c r="K572" s="223"/>
      <c r="L572" s="223"/>
      <c r="M572" s="223"/>
      <c r="N572" s="223"/>
      <c r="O572" s="223"/>
      <c r="P572" s="223"/>
      <c r="Q572" s="223"/>
      <c r="R572" s="890"/>
      <c r="S572" s="890"/>
      <c r="T572" s="223"/>
      <c r="U572" s="223"/>
      <c r="V572" s="223"/>
      <c r="W572" s="223"/>
      <c r="X572" s="223"/>
      <c r="Y572" s="223"/>
      <c r="Z572" s="223"/>
      <c r="AA572" s="223"/>
      <c r="AB572" s="223"/>
      <c r="AC572" s="223"/>
    </row>
    <row r="573" spans="1:29" x14ac:dyDescent="0.25">
      <c r="A573" s="223"/>
      <c r="B573" s="223"/>
      <c r="C573" s="223"/>
      <c r="D573" s="223"/>
      <c r="E573" s="223"/>
      <c r="F573" s="276"/>
      <c r="G573" s="226"/>
      <c r="H573" s="223"/>
      <c r="I573" s="223"/>
      <c r="J573" s="223"/>
      <c r="K573" s="223"/>
      <c r="L573" s="223"/>
      <c r="M573" s="223"/>
      <c r="N573" s="223"/>
      <c r="O573" s="223"/>
      <c r="P573" s="223"/>
      <c r="Q573" s="223"/>
      <c r="R573" s="890"/>
      <c r="S573" s="890"/>
      <c r="T573" s="223"/>
      <c r="U573" s="223"/>
      <c r="V573" s="223"/>
      <c r="W573" s="223"/>
      <c r="X573" s="223"/>
      <c r="Y573" s="223"/>
      <c r="Z573" s="223"/>
      <c r="AA573" s="223"/>
      <c r="AB573" s="223"/>
      <c r="AC573" s="223"/>
    </row>
    <row r="574" spans="1:29" x14ac:dyDescent="0.25">
      <c r="A574" s="223"/>
      <c r="B574" s="223"/>
      <c r="C574" s="223"/>
      <c r="D574" s="223"/>
      <c r="E574" s="223"/>
      <c r="F574" s="276"/>
      <c r="G574" s="226"/>
      <c r="H574" s="223"/>
      <c r="I574" s="223"/>
      <c r="J574" s="223"/>
      <c r="K574" s="223"/>
      <c r="L574" s="223"/>
      <c r="M574" s="223"/>
      <c r="N574" s="223"/>
      <c r="O574" s="223"/>
      <c r="P574" s="223"/>
      <c r="Q574" s="223"/>
      <c r="R574" s="890"/>
      <c r="S574" s="890"/>
      <c r="T574" s="223"/>
      <c r="U574" s="223"/>
      <c r="V574" s="223"/>
      <c r="W574" s="223"/>
      <c r="X574" s="223"/>
      <c r="Y574" s="223"/>
      <c r="Z574" s="223"/>
      <c r="AA574" s="223"/>
      <c r="AB574" s="223"/>
      <c r="AC574" s="223"/>
    </row>
    <row r="575" spans="1:29" x14ac:dyDescent="0.25">
      <c r="A575" s="223"/>
      <c r="B575" s="223"/>
      <c r="C575" s="223"/>
      <c r="D575" s="223"/>
      <c r="E575" s="223"/>
      <c r="F575" s="276"/>
      <c r="G575" s="226"/>
      <c r="H575" s="223"/>
      <c r="I575" s="223"/>
      <c r="J575" s="223"/>
      <c r="K575" s="223"/>
      <c r="L575" s="223"/>
      <c r="M575" s="223"/>
      <c r="N575" s="223"/>
      <c r="O575" s="223"/>
      <c r="P575" s="223"/>
      <c r="Q575" s="223"/>
      <c r="R575" s="890"/>
      <c r="S575" s="890"/>
      <c r="T575" s="223"/>
      <c r="U575" s="223"/>
      <c r="V575" s="223"/>
      <c r="W575" s="223"/>
      <c r="X575" s="223"/>
      <c r="Y575" s="223"/>
      <c r="Z575" s="223"/>
      <c r="AA575" s="223"/>
      <c r="AB575" s="223"/>
      <c r="AC575" s="223"/>
    </row>
    <row r="576" spans="1:29" x14ac:dyDescent="0.25">
      <c r="A576" s="223"/>
      <c r="B576" s="223"/>
      <c r="C576" s="223"/>
      <c r="D576" s="223"/>
      <c r="E576" s="223"/>
      <c r="F576" s="276"/>
      <c r="G576" s="226"/>
      <c r="H576" s="223"/>
      <c r="I576" s="223"/>
      <c r="J576" s="223"/>
      <c r="K576" s="223"/>
      <c r="L576" s="223"/>
      <c r="M576" s="223"/>
      <c r="N576" s="223"/>
      <c r="O576" s="223"/>
      <c r="P576" s="223"/>
      <c r="Q576" s="223"/>
      <c r="R576" s="890"/>
      <c r="S576" s="890"/>
      <c r="T576" s="223"/>
      <c r="U576" s="223"/>
      <c r="V576" s="223"/>
      <c r="W576" s="223"/>
      <c r="X576" s="223"/>
      <c r="Y576" s="223"/>
      <c r="Z576" s="223"/>
      <c r="AA576" s="223"/>
      <c r="AB576" s="223"/>
      <c r="AC576" s="223"/>
    </row>
    <row r="577" spans="1:29" x14ac:dyDescent="0.25">
      <c r="A577" s="223"/>
      <c r="B577" s="223"/>
      <c r="C577" s="223"/>
      <c r="D577" s="223"/>
      <c r="E577" s="223"/>
      <c r="F577" s="276"/>
      <c r="G577" s="226"/>
      <c r="H577" s="223"/>
      <c r="I577" s="223"/>
      <c r="J577" s="223"/>
      <c r="K577" s="223"/>
      <c r="L577" s="223"/>
      <c r="M577" s="223"/>
      <c r="N577" s="223"/>
      <c r="O577" s="223"/>
      <c r="P577" s="223"/>
      <c r="Q577" s="223"/>
      <c r="R577" s="890"/>
      <c r="S577" s="890"/>
      <c r="T577" s="223"/>
      <c r="U577" s="223"/>
      <c r="V577" s="223"/>
      <c r="W577" s="223"/>
      <c r="X577" s="223"/>
      <c r="Y577" s="223"/>
      <c r="Z577" s="223"/>
      <c r="AA577" s="223"/>
      <c r="AB577" s="223"/>
      <c r="AC577" s="223"/>
    </row>
    <row r="578" spans="1:29" x14ac:dyDescent="0.25">
      <c r="A578" s="223"/>
      <c r="B578" s="223"/>
      <c r="C578" s="223"/>
      <c r="D578" s="223"/>
      <c r="E578" s="223"/>
      <c r="F578" s="276"/>
      <c r="G578" s="226"/>
      <c r="H578" s="223"/>
      <c r="I578" s="223"/>
      <c r="J578" s="223"/>
      <c r="K578" s="223"/>
      <c r="L578" s="223"/>
      <c r="M578" s="223"/>
      <c r="N578" s="223"/>
      <c r="O578" s="223"/>
      <c r="P578" s="223"/>
      <c r="Q578" s="223"/>
      <c r="R578" s="890"/>
      <c r="S578" s="890"/>
      <c r="T578" s="223"/>
      <c r="U578" s="223"/>
      <c r="V578" s="223"/>
      <c r="W578" s="223"/>
      <c r="X578" s="223"/>
      <c r="Y578" s="223"/>
      <c r="Z578" s="223"/>
      <c r="AA578" s="223"/>
      <c r="AB578" s="223"/>
      <c r="AC578" s="223"/>
    </row>
    <row r="579" spans="1:29" x14ac:dyDescent="0.25">
      <c r="A579" s="223"/>
      <c r="B579" s="223"/>
      <c r="C579" s="223"/>
      <c r="D579" s="223"/>
      <c r="E579" s="223"/>
      <c r="F579" s="276"/>
      <c r="G579" s="226"/>
      <c r="H579" s="223"/>
      <c r="I579" s="223"/>
      <c r="J579" s="223"/>
      <c r="K579" s="223"/>
      <c r="L579" s="223"/>
      <c r="M579" s="223"/>
      <c r="N579" s="223"/>
      <c r="O579" s="223"/>
      <c r="P579" s="223"/>
      <c r="Q579" s="223"/>
      <c r="R579" s="890"/>
      <c r="S579" s="890"/>
      <c r="T579" s="223"/>
      <c r="U579" s="223"/>
      <c r="V579" s="223"/>
      <c r="W579" s="223"/>
      <c r="X579" s="223"/>
      <c r="Y579" s="223"/>
      <c r="Z579" s="223"/>
      <c r="AA579" s="223"/>
      <c r="AB579" s="223"/>
      <c r="AC579" s="223"/>
    </row>
    <row r="580" spans="1:29" x14ac:dyDescent="0.25">
      <c r="A580" s="223"/>
      <c r="B580" s="223"/>
      <c r="C580" s="223"/>
      <c r="D580" s="223"/>
      <c r="E580" s="223"/>
      <c r="F580" s="276"/>
      <c r="G580" s="226"/>
      <c r="H580" s="223"/>
      <c r="I580" s="223"/>
      <c r="J580" s="223"/>
      <c r="K580" s="223"/>
      <c r="L580" s="223"/>
      <c r="M580" s="223"/>
      <c r="N580" s="223"/>
      <c r="O580" s="223"/>
      <c r="P580" s="223"/>
      <c r="Q580" s="223"/>
      <c r="R580" s="890"/>
      <c r="S580" s="890"/>
      <c r="T580" s="223"/>
      <c r="U580" s="223"/>
      <c r="V580" s="223"/>
      <c r="W580" s="223"/>
      <c r="X580" s="223"/>
      <c r="Y580" s="223"/>
      <c r="Z580" s="223"/>
      <c r="AA580" s="223"/>
      <c r="AB580" s="223"/>
      <c r="AC580" s="223"/>
    </row>
    <row r="581" spans="1:29" x14ac:dyDescent="0.25">
      <c r="A581" s="223"/>
      <c r="B581" s="223"/>
      <c r="C581" s="223"/>
      <c r="D581" s="223"/>
      <c r="E581" s="223"/>
      <c r="F581" s="276"/>
      <c r="G581" s="226"/>
      <c r="H581" s="223"/>
      <c r="I581" s="223"/>
      <c r="J581" s="223"/>
      <c r="K581" s="223"/>
      <c r="L581" s="223"/>
      <c r="M581" s="223"/>
      <c r="N581" s="223"/>
      <c r="O581" s="223"/>
      <c r="P581" s="223"/>
      <c r="Q581" s="223"/>
      <c r="R581" s="890"/>
      <c r="S581" s="890"/>
      <c r="T581" s="223"/>
      <c r="U581" s="223"/>
      <c r="V581" s="223"/>
      <c r="W581" s="223"/>
      <c r="X581" s="223"/>
      <c r="Y581" s="223"/>
      <c r="Z581" s="223"/>
      <c r="AA581" s="223"/>
      <c r="AB581" s="223"/>
      <c r="AC581" s="223"/>
    </row>
    <row r="582" spans="1:29" x14ac:dyDescent="0.25">
      <c r="A582" s="223"/>
      <c r="B582" s="223"/>
      <c r="C582" s="223"/>
      <c r="D582" s="223"/>
      <c r="E582" s="223"/>
      <c r="F582" s="276"/>
      <c r="G582" s="226"/>
      <c r="H582" s="223"/>
      <c r="I582" s="223"/>
      <c r="J582" s="223"/>
      <c r="K582" s="223"/>
      <c r="L582" s="223"/>
      <c r="M582" s="223"/>
      <c r="N582" s="223"/>
      <c r="O582" s="223"/>
      <c r="P582" s="223"/>
      <c r="Q582" s="223"/>
      <c r="R582" s="890"/>
      <c r="S582" s="890"/>
      <c r="T582" s="223"/>
      <c r="U582" s="223"/>
      <c r="V582" s="223"/>
      <c r="W582" s="223"/>
      <c r="X582" s="223"/>
      <c r="Y582" s="223"/>
      <c r="Z582" s="223"/>
      <c r="AA582" s="223"/>
      <c r="AB582" s="223"/>
      <c r="AC582" s="223"/>
    </row>
    <row r="583" spans="1:29" x14ac:dyDescent="0.25">
      <c r="A583" s="223"/>
      <c r="B583" s="223"/>
      <c r="C583" s="223"/>
      <c r="D583" s="223"/>
      <c r="E583" s="223"/>
      <c r="F583" s="276"/>
      <c r="G583" s="226"/>
      <c r="H583" s="223"/>
      <c r="I583" s="223"/>
      <c r="J583" s="223"/>
      <c r="K583" s="223"/>
      <c r="L583" s="223"/>
      <c r="M583" s="223"/>
      <c r="N583" s="223"/>
      <c r="O583" s="223"/>
      <c r="P583" s="223"/>
      <c r="Q583" s="223"/>
      <c r="R583" s="890"/>
      <c r="S583" s="890"/>
      <c r="T583" s="223"/>
      <c r="U583" s="223"/>
      <c r="V583" s="223"/>
      <c r="W583" s="223"/>
      <c r="X583" s="223"/>
      <c r="Y583" s="223"/>
      <c r="Z583" s="223"/>
      <c r="AA583" s="223"/>
      <c r="AB583" s="223"/>
      <c r="AC583" s="223"/>
    </row>
    <row r="584" spans="1:29" x14ac:dyDescent="0.25">
      <c r="A584" s="223"/>
      <c r="B584" s="223"/>
      <c r="C584" s="223"/>
      <c r="D584" s="223"/>
      <c r="E584" s="223"/>
      <c r="F584" s="276"/>
      <c r="G584" s="226"/>
      <c r="H584" s="223"/>
      <c r="I584" s="223"/>
      <c r="J584" s="223"/>
      <c r="K584" s="223"/>
      <c r="L584" s="223"/>
      <c r="M584" s="223"/>
      <c r="N584" s="223"/>
      <c r="O584" s="223"/>
      <c r="P584" s="223"/>
      <c r="Q584" s="223"/>
      <c r="R584" s="890"/>
      <c r="S584" s="890"/>
      <c r="T584" s="223"/>
      <c r="U584" s="223"/>
      <c r="V584" s="223"/>
      <c r="W584" s="223"/>
      <c r="X584" s="223"/>
      <c r="Y584" s="223"/>
      <c r="Z584" s="223"/>
      <c r="AA584" s="223"/>
      <c r="AB584" s="223"/>
      <c r="AC584" s="223"/>
    </row>
    <row r="585" spans="1:29" x14ac:dyDescent="0.25">
      <c r="A585" s="223"/>
      <c r="B585" s="223"/>
      <c r="C585" s="223"/>
      <c r="D585" s="223"/>
      <c r="E585" s="223"/>
      <c r="F585" s="276"/>
      <c r="G585" s="226"/>
      <c r="H585" s="223"/>
      <c r="I585" s="223"/>
      <c r="J585" s="223"/>
      <c r="K585" s="223"/>
      <c r="L585" s="223"/>
      <c r="M585" s="223"/>
      <c r="N585" s="223"/>
      <c r="O585" s="223"/>
      <c r="P585" s="223"/>
      <c r="Q585" s="223"/>
      <c r="R585" s="890"/>
      <c r="S585" s="890"/>
      <c r="T585" s="223"/>
      <c r="U585" s="223"/>
      <c r="V585" s="223"/>
      <c r="W585" s="223"/>
      <c r="X585" s="223"/>
      <c r="Y585" s="223"/>
      <c r="Z585" s="223"/>
      <c r="AA585" s="223"/>
      <c r="AB585" s="223"/>
      <c r="AC585" s="223"/>
    </row>
    <row r="586" spans="1:29" x14ac:dyDescent="0.25">
      <c r="A586" s="223"/>
      <c r="B586" s="223"/>
      <c r="C586" s="223"/>
      <c r="D586" s="223"/>
      <c r="E586" s="223"/>
      <c r="F586" s="276"/>
      <c r="G586" s="226"/>
      <c r="H586" s="223"/>
      <c r="I586" s="223"/>
      <c r="J586" s="223"/>
      <c r="K586" s="223"/>
      <c r="L586" s="223"/>
      <c r="M586" s="223"/>
      <c r="N586" s="223"/>
      <c r="O586" s="223"/>
      <c r="P586" s="223"/>
      <c r="Q586" s="223"/>
      <c r="R586" s="890"/>
      <c r="S586" s="890"/>
      <c r="T586" s="223"/>
      <c r="U586" s="223"/>
      <c r="V586" s="223"/>
      <c r="W586" s="223"/>
      <c r="X586" s="223"/>
      <c r="Y586" s="223"/>
      <c r="Z586" s="223"/>
      <c r="AA586" s="223"/>
      <c r="AB586" s="223"/>
      <c r="AC586" s="223"/>
    </row>
    <row r="587" spans="1:29" x14ac:dyDescent="0.25">
      <c r="A587" s="223"/>
      <c r="B587" s="223"/>
      <c r="C587" s="223"/>
      <c r="D587" s="223"/>
      <c r="E587" s="223"/>
      <c r="F587" s="276"/>
      <c r="G587" s="226"/>
      <c r="H587" s="223"/>
      <c r="I587" s="223"/>
      <c r="J587" s="223"/>
      <c r="K587" s="223"/>
      <c r="L587" s="223"/>
      <c r="M587" s="223"/>
      <c r="N587" s="223"/>
      <c r="O587" s="223"/>
      <c r="P587" s="223"/>
      <c r="Q587" s="223"/>
      <c r="R587" s="890"/>
      <c r="S587" s="890"/>
      <c r="T587" s="223"/>
      <c r="U587" s="223"/>
      <c r="V587" s="223"/>
      <c r="W587" s="223"/>
      <c r="X587" s="223"/>
      <c r="Y587" s="223"/>
      <c r="Z587" s="223"/>
      <c r="AA587" s="223"/>
      <c r="AB587" s="223"/>
      <c r="AC587" s="223"/>
    </row>
    <row r="588" spans="1:29" x14ac:dyDescent="0.25">
      <c r="A588" s="223"/>
      <c r="B588" s="223"/>
      <c r="C588" s="223"/>
      <c r="D588" s="223"/>
      <c r="E588" s="223"/>
      <c r="F588" s="276"/>
      <c r="G588" s="226"/>
      <c r="H588" s="223"/>
      <c r="I588" s="223"/>
      <c r="J588" s="223"/>
      <c r="K588" s="223"/>
      <c r="L588" s="223"/>
      <c r="M588" s="223"/>
      <c r="N588" s="223"/>
      <c r="O588" s="223"/>
      <c r="P588" s="223"/>
      <c r="Q588" s="223"/>
      <c r="R588" s="890"/>
      <c r="S588" s="890"/>
      <c r="T588" s="223"/>
      <c r="U588" s="223"/>
      <c r="V588" s="223"/>
      <c r="W588" s="223"/>
      <c r="X588" s="223"/>
      <c r="Y588" s="223"/>
      <c r="Z588" s="223"/>
      <c r="AA588" s="223"/>
      <c r="AB588" s="223"/>
      <c r="AC588" s="223"/>
    </row>
    <row r="589" spans="1:29" x14ac:dyDescent="0.25">
      <c r="A589" s="223"/>
      <c r="B589" s="223"/>
      <c r="C589" s="223"/>
      <c r="D589" s="223"/>
      <c r="E589" s="223"/>
      <c r="F589" s="276"/>
      <c r="G589" s="226"/>
      <c r="H589" s="223"/>
      <c r="I589" s="223"/>
      <c r="J589" s="223"/>
      <c r="K589" s="223"/>
      <c r="L589" s="223"/>
      <c r="M589" s="223"/>
      <c r="N589" s="223"/>
      <c r="O589" s="223"/>
      <c r="P589" s="223"/>
      <c r="Q589" s="223"/>
      <c r="R589" s="890"/>
      <c r="S589" s="890"/>
      <c r="T589" s="223"/>
      <c r="U589" s="223"/>
      <c r="V589" s="223"/>
      <c r="W589" s="223"/>
      <c r="X589" s="223"/>
      <c r="Y589" s="223"/>
      <c r="Z589" s="223"/>
      <c r="AA589" s="223"/>
      <c r="AB589" s="223"/>
      <c r="AC589" s="223"/>
    </row>
    <row r="590" spans="1:29" x14ac:dyDescent="0.25">
      <c r="A590" s="223"/>
      <c r="B590" s="223"/>
      <c r="C590" s="223"/>
      <c r="D590" s="223"/>
      <c r="E590" s="223"/>
      <c r="F590" s="276"/>
      <c r="G590" s="226"/>
      <c r="H590" s="223"/>
      <c r="I590" s="223"/>
      <c r="J590" s="223"/>
      <c r="K590" s="223"/>
      <c r="L590" s="223"/>
      <c r="M590" s="223"/>
      <c r="N590" s="223"/>
      <c r="O590" s="223"/>
      <c r="P590" s="223"/>
      <c r="Q590" s="223"/>
      <c r="R590" s="890"/>
      <c r="S590" s="890"/>
      <c r="T590" s="223"/>
      <c r="U590" s="223"/>
      <c r="V590" s="223"/>
      <c r="W590" s="223"/>
      <c r="X590" s="223"/>
      <c r="Y590" s="223"/>
      <c r="Z590" s="223"/>
      <c r="AA590" s="223"/>
      <c r="AB590" s="223"/>
      <c r="AC590" s="223"/>
    </row>
    <row r="591" spans="1:29" x14ac:dyDescent="0.25">
      <c r="A591" s="223"/>
      <c r="B591" s="223"/>
      <c r="C591" s="223"/>
      <c r="D591" s="223"/>
      <c r="E591" s="223"/>
      <c r="F591" s="276"/>
      <c r="G591" s="226"/>
      <c r="H591" s="223"/>
      <c r="I591" s="223"/>
      <c r="J591" s="223"/>
      <c r="K591" s="223"/>
      <c r="L591" s="223"/>
      <c r="M591" s="223"/>
      <c r="N591" s="223"/>
      <c r="O591" s="223"/>
      <c r="P591" s="223"/>
      <c r="Q591" s="223"/>
      <c r="R591" s="890"/>
      <c r="S591" s="890"/>
      <c r="T591" s="223"/>
      <c r="U591" s="223"/>
      <c r="V591" s="223"/>
      <c r="W591" s="223"/>
      <c r="X591" s="223"/>
      <c r="Y591" s="223"/>
      <c r="Z591" s="223"/>
      <c r="AA591" s="223"/>
      <c r="AB591" s="223"/>
      <c r="AC591" s="223"/>
    </row>
    <row r="592" spans="1:29" x14ac:dyDescent="0.25">
      <c r="A592" s="223"/>
      <c r="B592" s="223"/>
      <c r="C592" s="223"/>
      <c r="D592" s="223"/>
      <c r="E592" s="223"/>
      <c r="F592" s="276"/>
      <c r="G592" s="226"/>
      <c r="H592" s="223"/>
      <c r="I592" s="223"/>
      <c r="J592" s="223"/>
      <c r="K592" s="223"/>
      <c r="L592" s="223"/>
      <c r="M592" s="223"/>
      <c r="N592" s="223"/>
      <c r="O592" s="223"/>
      <c r="P592" s="223"/>
      <c r="Q592" s="223"/>
      <c r="R592" s="890"/>
      <c r="S592" s="890"/>
      <c r="T592" s="223"/>
      <c r="U592" s="223"/>
      <c r="V592" s="223"/>
      <c r="W592" s="223"/>
      <c r="X592" s="223"/>
      <c r="Y592" s="223"/>
      <c r="Z592" s="223"/>
      <c r="AA592" s="223"/>
      <c r="AB592" s="223"/>
      <c r="AC592" s="223"/>
    </row>
    <row r="593" spans="1:29" x14ac:dyDescent="0.25">
      <c r="A593" s="223"/>
      <c r="B593" s="223"/>
      <c r="C593" s="223"/>
      <c r="D593" s="223"/>
      <c r="E593" s="223"/>
      <c r="F593" s="276"/>
      <c r="G593" s="226"/>
      <c r="H593" s="223"/>
      <c r="I593" s="223"/>
      <c r="J593" s="223"/>
      <c r="K593" s="223"/>
      <c r="L593" s="223"/>
      <c r="M593" s="223"/>
      <c r="N593" s="223"/>
      <c r="O593" s="223"/>
      <c r="P593" s="223"/>
      <c r="Q593" s="223"/>
      <c r="R593" s="890"/>
      <c r="S593" s="890"/>
      <c r="T593" s="223"/>
      <c r="U593" s="223"/>
      <c r="V593" s="223"/>
      <c r="W593" s="223"/>
      <c r="X593" s="223"/>
      <c r="Y593" s="223"/>
      <c r="Z593" s="223"/>
      <c r="AA593" s="223"/>
      <c r="AB593" s="223"/>
      <c r="AC593" s="223"/>
    </row>
    <row r="594" spans="1:29" x14ac:dyDescent="0.25">
      <c r="A594" s="223"/>
      <c r="B594" s="223"/>
      <c r="C594" s="223"/>
      <c r="D594" s="223"/>
      <c r="E594" s="223"/>
      <c r="F594" s="276"/>
      <c r="G594" s="226"/>
      <c r="H594" s="223"/>
      <c r="I594" s="223"/>
      <c r="J594" s="223"/>
      <c r="K594" s="223"/>
      <c r="L594" s="223"/>
      <c r="M594" s="223"/>
      <c r="N594" s="223"/>
      <c r="O594" s="223"/>
      <c r="P594" s="223"/>
      <c r="Q594" s="223"/>
      <c r="R594" s="890"/>
      <c r="S594" s="890"/>
      <c r="T594" s="223"/>
      <c r="U594" s="223"/>
      <c r="V594" s="223"/>
      <c r="W594" s="223"/>
      <c r="X594" s="223"/>
      <c r="Y594" s="223"/>
      <c r="Z594" s="223"/>
      <c r="AA594" s="223"/>
      <c r="AB594" s="223"/>
      <c r="AC594" s="223"/>
    </row>
    <row r="595" spans="1:29" x14ac:dyDescent="0.25">
      <c r="A595" s="223"/>
      <c r="B595" s="223"/>
      <c r="C595" s="223"/>
      <c r="D595" s="223"/>
      <c r="E595" s="223"/>
      <c r="F595" s="276"/>
      <c r="G595" s="226"/>
      <c r="H595" s="223"/>
      <c r="I595" s="223"/>
      <c r="J595" s="223"/>
      <c r="K595" s="223"/>
      <c r="L595" s="223"/>
      <c r="M595" s="223"/>
      <c r="N595" s="223"/>
      <c r="O595" s="223"/>
      <c r="P595" s="223"/>
      <c r="Q595" s="223"/>
      <c r="R595" s="890"/>
      <c r="S595" s="890"/>
      <c r="T595" s="223"/>
      <c r="U595" s="223"/>
      <c r="V595" s="223"/>
      <c r="W595" s="223"/>
      <c r="X595" s="223"/>
      <c r="Y595" s="223"/>
      <c r="Z595" s="223"/>
      <c r="AA595" s="223"/>
      <c r="AB595" s="223"/>
      <c r="AC595" s="223"/>
    </row>
    <row r="596" spans="1:29" x14ac:dyDescent="0.25">
      <c r="A596" s="223"/>
      <c r="B596" s="223"/>
      <c r="C596" s="223"/>
      <c r="D596" s="223"/>
      <c r="E596" s="223"/>
      <c r="F596" s="276"/>
      <c r="G596" s="226"/>
      <c r="H596" s="223"/>
      <c r="I596" s="223"/>
      <c r="J596" s="223"/>
      <c r="K596" s="223"/>
      <c r="L596" s="223"/>
      <c r="M596" s="223"/>
      <c r="N596" s="223"/>
      <c r="O596" s="223"/>
      <c r="P596" s="223"/>
      <c r="Q596" s="223"/>
      <c r="R596" s="890"/>
      <c r="S596" s="890"/>
      <c r="T596" s="223"/>
      <c r="U596" s="223"/>
      <c r="V596" s="223"/>
      <c r="W596" s="223"/>
      <c r="X596" s="223"/>
      <c r="Y596" s="223"/>
      <c r="Z596" s="223"/>
      <c r="AA596" s="223"/>
      <c r="AB596" s="223"/>
      <c r="AC596" s="223"/>
    </row>
    <row r="597" spans="1:29" x14ac:dyDescent="0.25">
      <c r="A597" s="223"/>
      <c r="B597" s="223"/>
      <c r="C597" s="223"/>
      <c r="D597" s="223"/>
      <c r="E597" s="223"/>
      <c r="F597" s="276"/>
      <c r="G597" s="226"/>
      <c r="H597" s="223"/>
      <c r="I597" s="223"/>
      <c r="J597" s="223"/>
      <c r="K597" s="223"/>
      <c r="L597" s="223"/>
      <c r="M597" s="223"/>
      <c r="N597" s="223"/>
      <c r="O597" s="223"/>
      <c r="P597" s="223"/>
      <c r="Q597" s="223"/>
      <c r="R597" s="890"/>
      <c r="S597" s="890"/>
      <c r="T597" s="223"/>
      <c r="U597" s="223"/>
      <c r="V597" s="223"/>
      <c r="W597" s="223"/>
      <c r="X597" s="223"/>
      <c r="Y597" s="223"/>
      <c r="Z597" s="223"/>
      <c r="AA597" s="223"/>
      <c r="AB597" s="223"/>
      <c r="AC597" s="223"/>
    </row>
    <row r="598" spans="1:29" x14ac:dyDescent="0.25">
      <c r="A598" s="223"/>
      <c r="B598" s="223"/>
      <c r="C598" s="223"/>
      <c r="D598" s="223"/>
      <c r="E598" s="223"/>
      <c r="F598" s="276"/>
      <c r="G598" s="226"/>
      <c r="H598" s="223"/>
      <c r="I598" s="223"/>
      <c r="J598" s="223"/>
      <c r="K598" s="223"/>
      <c r="L598" s="223"/>
      <c r="M598" s="223"/>
      <c r="N598" s="223"/>
      <c r="O598" s="223"/>
      <c r="P598" s="223"/>
      <c r="Q598" s="223"/>
      <c r="R598" s="890"/>
      <c r="S598" s="890"/>
      <c r="T598" s="223"/>
      <c r="U598" s="223"/>
      <c r="V598" s="223"/>
      <c r="W598" s="223"/>
      <c r="X598" s="223"/>
      <c r="Y598" s="223"/>
      <c r="Z598" s="223"/>
      <c r="AA598" s="223"/>
      <c r="AB598" s="223"/>
      <c r="AC598" s="223"/>
    </row>
    <row r="599" spans="1:29" x14ac:dyDescent="0.25">
      <c r="A599" s="223"/>
      <c r="B599" s="223"/>
      <c r="C599" s="223"/>
      <c r="D599" s="223"/>
      <c r="E599" s="223"/>
      <c r="F599" s="276"/>
      <c r="G599" s="226"/>
      <c r="H599" s="223"/>
      <c r="I599" s="223"/>
      <c r="J599" s="223"/>
      <c r="K599" s="223"/>
      <c r="L599" s="223"/>
      <c r="M599" s="223"/>
      <c r="N599" s="223"/>
      <c r="O599" s="223"/>
      <c r="P599" s="223"/>
      <c r="Q599" s="223"/>
      <c r="R599" s="890"/>
      <c r="S599" s="890"/>
      <c r="T599" s="223"/>
      <c r="U599" s="223"/>
      <c r="V599" s="223"/>
      <c r="W599" s="223"/>
      <c r="X599" s="223"/>
      <c r="Y599" s="223"/>
      <c r="Z599" s="223"/>
      <c r="AA599" s="223"/>
      <c r="AB599" s="223"/>
      <c r="AC599" s="223"/>
    </row>
    <row r="600" spans="1:29" x14ac:dyDescent="0.25">
      <c r="A600" s="223"/>
      <c r="B600" s="223"/>
      <c r="C600" s="223"/>
      <c r="D600" s="223"/>
      <c r="E600" s="223"/>
      <c r="F600" s="276"/>
      <c r="G600" s="226"/>
      <c r="H600" s="223"/>
      <c r="I600" s="223"/>
      <c r="J600" s="223"/>
      <c r="K600" s="223"/>
      <c r="L600" s="223"/>
      <c r="M600" s="223"/>
      <c r="N600" s="223"/>
      <c r="O600" s="223"/>
      <c r="P600" s="223"/>
      <c r="Q600" s="223"/>
      <c r="R600" s="890"/>
      <c r="S600" s="890"/>
      <c r="T600" s="223"/>
      <c r="U600" s="223"/>
      <c r="V600" s="223"/>
      <c r="W600" s="223"/>
      <c r="X600" s="223"/>
      <c r="Y600" s="223"/>
      <c r="Z600" s="223"/>
      <c r="AA600" s="223"/>
      <c r="AB600" s="223"/>
      <c r="AC600" s="223"/>
    </row>
    <row r="601" spans="1:29" x14ac:dyDescent="0.25">
      <c r="A601" s="223"/>
      <c r="B601" s="223"/>
      <c r="C601" s="223"/>
      <c r="D601" s="223"/>
      <c r="E601" s="223"/>
      <c r="F601" s="276"/>
      <c r="G601" s="226"/>
      <c r="H601" s="223"/>
      <c r="I601" s="223"/>
      <c r="J601" s="223"/>
      <c r="K601" s="223"/>
      <c r="L601" s="223"/>
      <c r="M601" s="223"/>
      <c r="N601" s="223"/>
      <c r="O601" s="223"/>
      <c r="P601" s="223"/>
      <c r="Q601" s="223"/>
      <c r="R601" s="890"/>
      <c r="S601" s="890"/>
      <c r="T601" s="223"/>
      <c r="U601" s="223"/>
      <c r="V601" s="223"/>
      <c r="W601" s="223"/>
      <c r="X601" s="223"/>
      <c r="Y601" s="223"/>
      <c r="Z601" s="223"/>
      <c r="AA601" s="223"/>
      <c r="AB601" s="223"/>
      <c r="AC601" s="223"/>
    </row>
    <row r="602" spans="1:29" x14ac:dyDescent="0.25">
      <c r="A602" s="223"/>
      <c r="B602" s="223"/>
      <c r="C602" s="223"/>
      <c r="D602" s="223"/>
      <c r="E602" s="223"/>
      <c r="F602" s="276"/>
      <c r="G602" s="226"/>
      <c r="H602" s="223"/>
      <c r="I602" s="223"/>
      <c r="J602" s="223"/>
      <c r="K602" s="223"/>
      <c r="L602" s="223"/>
      <c r="M602" s="223"/>
      <c r="N602" s="223"/>
      <c r="O602" s="223"/>
      <c r="P602" s="223"/>
      <c r="Q602" s="223"/>
      <c r="R602" s="890"/>
      <c r="S602" s="890"/>
      <c r="T602" s="223"/>
      <c r="U602" s="223"/>
      <c r="V602" s="223"/>
      <c r="W602" s="223"/>
      <c r="X602" s="223"/>
      <c r="Y602" s="223"/>
      <c r="Z602" s="223"/>
      <c r="AA602" s="223"/>
      <c r="AB602" s="223"/>
      <c r="AC602" s="223"/>
    </row>
    <row r="603" spans="1:29" x14ac:dyDescent="0.25">
      <c r="A603" s="223"/>
      <c r="B603" s="223"/>
      <c r="C603" s="223"/>
      <c r="D603" s="223"/>
      <c r="E603" s="223"/>
      <c r="F603" s="276"/>
      <c r="G603" s="226"/>
      <c r="H603" s="223"/>
      <c r="I603" s="223"/>
      <c r="J603" s="223"/>
      <c r="K603" s="223"/>
      <c r="L603" s="223"/>
      <c r="M603" s="223"/>
      <c r="N603" s="223"/>
      <c r="O603" s="223"/>
      <c r="P603" s="223"/>
      <c r="Q603" s="223"/>
      <c r="R603" s="890"/>
      <c r="S603" s="890"/>
      <c r="T603" s="223"/>
      <c r="U603" s="223"/>
      <c r="V603" s="223"/>
      <c r="W603" s="223"/>
      <c r="X603" s="223"/>
      <c r="Y603" s="223"/>
      <c r="Z603" s="223"/>
      <c r="AA603" s="223"/>
      <c r="AB603" s="223"/>
      <c r="AC603" s="223"/>
    </row>
    <row r="604" spans="1:29" x14ac:dyDescent="0.25">
      <c r="A604" s="223"/>
      <c r="B604" s="223"/>
      <c r="C604" s="223"/>
      <c r="D604" s="223"/>
      <c r="E604" s="223"/>
      <c r="F604" s="276"/>
      <c r="G604" s="226"/>
      <c r="H604" s="223"/>
      <c r="I604" s="223"/>
      <c r="J604" s="223"/>
      <c r="K604" s="223"/>
      <c r="L604" s="223"/>
      <c r="M604" s="223"/>
      <c r="N604" s="223"/>
      <c r="O604" s="223"/>
      <c r="P604" s="223"/>
      <c r="Q604" s="223"/>
      <c r="R604" s="890"/>
      <c r="S604" s="890"/>
      <c r="T604" s="223"/>
      <c r="U604" s="223"/>
      <c r="V604" s="223"/>
      <c r="W604" s="223"/>
      <c r="X604" s="223"/>
      <c r="Y604" s="223"/>
      <c r="Z604" s="223"/>
      <c r="AA604" s="223"/>
      <c r="AB604" s="223"/>
      <c r="AC604" s="223"/>
    </row>
    <row r="605" spans="1:29" x14ac:dyDescent="0.25">
      <c r="A605" s="223"/>
      <c r="B605" s="223"/>
      <c r="C605" s="223"/>
      <c r="D605" s="223"/>
      <c r="E605" s="223"/>
      <c r="F605" s="276"/>
      <c r="G605" s="226"/>
      <c r="H605" s="223"/>
      <c r="I605" s="223"/>
      <c r="J605" s="223"/>
      <c r="K605" s="223"/>
      <c r="L605" s="223"/>
      <c r="M605" s="223"/>
      <c r="N605" s="223"/>
      <c r="O605" s="223"/>
      <c r="P605" s="223"/>
      <c r="Q605" s="223"/>
      <c r="R605" s="890"/>
      <c r="S605" s="890"/>
      <c r="T605" s="223"/>
      <c r="U605" s="223"/>
      <c r="V605" s="223"/>
      <c r="W605" s="223"/>
      <c r="X605" s="223"/>
      <c r="Y605" s="223"/>
      <c r="Z605" s="223"/>
      <c r="AA605" s="223"/>
      <c r="AB605" s="223"/>
      <c r="AC605" s="223"/>
    </row>
    <row r="606" spans="1:29" x14ac:dyDescent="0.25">
      <c r="A606" s="223"/>
      <c r="B606" s="223"/>
      <c r="C606" s="223"/>
      <c r="D606" s="223"/>
      <c r="E606" s="223"/>
      <c r="F606" s="276"/>
      <c r="G606" s="226"/>
      <c r="H606" s="223"/>
      <c r="I606" s="223"/>
      <c r="J606" s="223"/>
      <c r="K606" s="223"/>
      <c r="L606" s="223"/>
      <c r="M606" s="223"/>
      <c r="N606" s="223"/>
      <c r="O606" s="223"/>
      <c r="P606" s="223"/>
      <c r="Q606" s="223"/>
      <c r="R606" s="890"/>
      <c r="S606" s="890"/>
      <c r="T606" s="223"/>
      <c r="U606" s="223"/>
      <c r="V606" s="223"/>
      <c r="W606" s="223"/>
      <c r="X606" s="223"/>
      <c r="Y606" s="223"/>
      <c r="Z606" s="223"/>
      <c r="AA606" s="223"/>
      <c r="AB606" s="223"/>
      <c r="AC606" s="223"/>
    </row>
    <row r="607" spans="1:29" x14ac:dyDescent="0.25">
      <c r="A607" s="223"/>
      <c r="B607" s="223"/>
      <c r="C607" s="223"/>
      <c r="D607" s="223"/>
      <c r="E607" s="223"/>
      <c r="F607" s="276"/>
      <c r="G607" s="226"/>
      <c r="H607" s="223"/>
      <c r="I607" s="223"/>
      <c r="J607" s="223"/>
      <c r="K607" s="223"/>
      <c r="L607" s="223"/>
      <c r="M607" s="223"/>
      <c r="N607" s="223"/>
      <c r="O607" s="223"/>
      <c r="P607" s="223"/>
      <c r="Q607" s="223"/>
      <c r="R607" s="890"/>
      <c r="S607" s="890"/>
      <c r="T607" s="223"/>
      <c r="U607" s="223"/>
      <c r="V607" s="223"/>
      <c r="W607" s="223"/>
      <c r="X607" s="223"/>
      <c r="Y607" s="223"/>
      <c r="Z607" s="223"/>
      <c r="AA607" s="223"/>
      <c r="AB607" s="223"/>
      <c r="AC607" s="223"/>
    </row>
    <row r="608" spans="1:29" x14ac:dyDescent="0.25">
      <c r="A608" s="223"/>
      <c r="B608" s="223"/>
      <c r="C608" s="223"/>
      <c r="D608" s="223"/>
      <c r="E608" s="223"/>
      <c r="F608" s="276"/>
      <c r="G608" s="226"/>
      <c r="H608" s="223"/>
      <c r="I608" s="223"/>
      <c r="J608" s="223"/>
      <c r="K608" s="223"/>
      <c r="L608" s="223"/>
      <c r="M608" s="223"/>
      <c r="N608" s="223"/>
      <c r="O608" s="223"/>
      <c r="P608" s="223"/>
      <c r="Q608" s="223"/>
      <c r="R608" s="890"/>
      <c r="S608" s="890"/>
      <c r="T608" s="223"/>
      <c r="U608" s="223"/>
      <c r="V608" s="223"/>
      <c r="W608" s="223"/>
      <c r="X608" s="223"/>
      <c r="Y608" s="223"/>
      <c r="Z608" s="223"/>
      <c r="AA608" s="223"/>
      <c r="AB608" s="223"/>
      <c r="AC608" s="223"/>
    </row>
    <row r="609" spans="1:29" x14ac:dyDescent="0.25">
      <c r="A609" s="223"/>
      <c r="B609" s="223"/>
      <c r="C609" s="223"/>
      <c r="D609" s="223"/>
      <c r="E609" s="223"/>
      <c r="F609" s="276"/>
      <c r="G609" s="226"/>
      <c r="H609" s="223"/>
      <c r="I609" s="223"/>
      <c r="J609" s="223"/>
      <c r="K609" s="223"/>
      <c r="L609" s="223"/>
      <c r="M609" s="223"/>
      <c r="N609" s="223"/>
      <c r="O609" s="223"/>
      <c r="P609" s="223"/>
      <c r="Q609" s="223"/>
      <c r="R609" s="890"/>
      <c r="S609" s="890"/>
      <c r="T609" s="223"/>
      <c r="U609" s="223"/>
      <c r="V609" s="223"/>
      <c r="W609" s="223"/>
      <c r="X609" s="223"/>
      <c r="Y609" s="223"/>
      <c r="Z609" s="223"/>
      <c r="AA609" s="223"/>
      <c r="AB609" s="223"/>
      <c r="AC609" s="223"/>
    </row>
    <row r="610" spans="1:29" x14ac:dyDescent="0.25">
      <c r="A610" s="223"/>
      <c r="B610" s="223"/>
      <c r="C610" s="223"/>
      <c r="D610" s="223"/>
      <c r="E610" s="223"/>
      <c r="F610" s="276"/>
      <c r="G610" s="226"/>
      <c r="H610" s="223"/>
      <c r="I610" s="223"/>
      <c r="J610" s="223"/>
      <c r="K610" s="223"/>
      <c r="L610" s="223"/>
      <c r="M610" s="223"/>
      <c r="N610" s="223"/>
      <c r="O610" s="223"/>
      <c r="P610" s="223"/>
      <c r="Q610" s="223"/>
      <c r="R610" s="890"/>
      <c r="S610" s="890"/>
      <c r="T610" s="223"/>
      <c r="U610" s="223"/>
      <c r="V610" s="223"/>
      <c r="W610" s="223"/>
      <c r="X610" s="223"/>
      <c r="Y610" s="223"/>
      <c r="Z610" s="223"/>
      <c r="AA610" s="223"/>
      <c r="AB610" s="223"/>
      <c r="AC610" s="223"/>
    </row>
    <row r="611" spans="1:29" x14ac:dyDescent="0.25">
      <c r="A611" s="223"/>
      <c r="B611" s="223"/>
      <c r="C611" s="223"/>
      <c r="D611" s="223"/>
      <c r="E611" s="223"/>
      <c r="F611" s="276"/>
      <c r="G611" s="226"/>
      <c r="H611" s="223"/>
      <c r="I611" s="223"/>
      <c r="J611" s="223"/>
      <c r="K611" s="223"/>
      <c r="L611" s="223"/>
      <c r="M611" s="223"/>
      <c r="N611" s="223"/>
      <c r="O611" s="223"/>
      <c r="P611" s="223"/>
      <c r="Q611" s="223"/>
      <c r="R611" s="890"/>
      <c r="S611" s="890"/>
      <c r="T611" s="223"/>
      <c r="U611" s="223"/>
      <c r="V611" s="223"/>
      <c r="W611" s="223"/>
      <c r="X611" s="223"/>
      <c r="Y611" s="223"/>
      <c r="Z611" s="223"/>
      <c r="AA611" s="223"/>
      <c r="AB611" s="223"/>
      <c r="AC611" s="223"/>
    </row>
    <row r="612" spans="1:29" x14ac:dyDescent="0.25">
      <c r="A612" s="223"/>
      <c r="B612" s="223"/>
      <c r="C612" s="223"/>
      <c r="D612" s="223"/>
      <c r="E612" s="223"/>
      <c r="F612" s="276"/>
      <c r="G612" s="226"/>
      <c r="H612" s="223"/>
      <c r="I612" s="223"/>
      <c r="J612" s="223"/>
      <c r="K612" s="223"/>
      <c r="L612" s="223"/>
      <c r="M612" s="223"/>
      <c r="N612" s="223"/>
      <c r="O612" s="223"/>
      <c r="P612" s="223"/>
      <c r="Q612" s="223"/>
      <c r="R612" s="890"/>
      <c r="S612" s="890"/>
      <c r="T612" s="223"/>
      <c r="U612" s="223"/>
      <c r="V612" s="223"/>
      <c r="W612" s="223"/>
      <c r="X612" s="223"/>
      <c r="Y612" s="223"/>
      <c r="Z612" s="223"/>
      <c r="AA612" s="223"/>
      <c r="AB612" s="223"/>
      <c r="AC612" s="223"/>
    </row>
    <row r="613" spans="1:29" x14ac:dyDescent="0.25">
      <c r="A613" s="223"/>
      <c r="B613" s="223"/>
      <c r="C613" s="223"/>
      <c r="D613" s="223"/>
      <c r="E613" s="223"/>
      <c r="F613" s="276"/>
      <c r="G613" s="226"/>
      <c r="H613" s="223"/>
      <c r="I613" s="223"/>
      <c r="J613" s="223"/>
      <c r="K613" s="223"/>
      <c r="L613" s="223"/>
      <c r="M613" s="223"/>
      <c r="N613" s="223"/>
      <c r="O613" s="223"/>
      <c r="P613" s="223"/>
      <c r="Q613" s="223"/>
      <c r="R613" s="890"/>
      <c r="S613" s="890"/>
      <c r="T613" s="223"/>
      <c r="U613" s="223"/>
      <c r="V613" s="223"/>
      <c r="W613" s="223"/>
      <c r="X613" s="223"/>
      <c r="Y613" s="223"/>
      <c r="Z613" s="223"/>
      <c r="AA613" s="223"/>
      <c r="AB613" s="223"/>
      <c r="AC613" s="223"/>
    </row>
    <row r="614" spans="1:29" x14ac:dyDescent="0.25">
      <c r="A614" s="223"/>
      <c r="B614" s="223"/>
      <c r="C614" s="223"/>
      <c r="D614" s="223"/>
      <c r="E614" s="223"/>
      <c r="F614" s="276"/>
      <c r="G614" s="226"/>
      <c r="H614" s="223"/>
      <c r="I614" s="223"/>
      <c r="J614" s="223"/>
      <c r="K614" s="223"/>
      <c r="L614" s="223"/>
      <c r="M614" s="223"/>
      <c r="N614" s="223"/>
      <c r="O614" s="223"/>
      <c r="P614" s="223"/>
      <c r="Q614" s="223"/>
      <c r="R614" s="890"/>
      <c r="S614" s="890"/>
      <c r="T614" s="223"/>
      <c r="U614" s="223"/>
      <c r="V614" s="223"/>
      <c r="W614" s="223"/>
      <c r="X614" s="223"/>
      <c r="Y614" s="223"/>
      <c r="Z614" s="223"/>
      <c r="AA614" s="223"/>
      <c r="AB614" s="223"/>
      <c r="AC614" s="223"/>
    </row>
    <row r="615" spans="1:29" x14ac:dyDescent="0.25">
      <c r="A615" s="223"/>
      <c r="B615" s="223"/>
      <c r="C615" s="223"/>
      <c r="D615" s="223"/>
      <c r="E615" s="223"/>
      <c r="F615" s="276"/>
      <c r="G615" s="226"/>
      <c r="H615" s="223"/>
      <c r="I615" s="223"/>
      <c r="J615" s="223"/>
      <c r="K615" s="223"/>
      <c r="L615" s="223"/>
      <c r="M615" s="223"/>
      <c r="N615" s="223"/>
      <c r="O615" s="223"/>
      <c r="P615" s="223"/>
      <c r="Q615" s="223"/>
      <c r="R615" s="890"/>
      <c r="S615" s="890"/>
      <c r="T615" s="223"/>
      <c r="U615" s="223"/>
      <c r="V615" s="223"/>
      <c r="W615" s="223"/>
      <c r="X615" s="223"/>
      <c r="Y615" s="223"/>
      <c r="Z615" s="223"/>
      <c r="AA615" s="223"/>
      <c r="AB615" s="223"/>
      <c r="AC615" s="223"/>
    </row>
    <row r="616" spans="1:29" x14ac:dyDescent="0.25">
      <c r="A616" s="223"/>
      <c r="B616" s="223"/>
      <c r="C616" s="223"/>
      <c r="D616" s="223"/>
      <c r="E616" s="223"/>
      <c r="F616" s="276"/>
      <c r="G616" s="226"/>
      <c r="H616" s="223"/>
      <c r="I616" s="223"/>
      <c r="J616" s="223"/>
      <c r="K616" s="223"/>
      <c r="L616" s="223"/>
      <c r="M616" s="223"/>
      <c r="N616" s="223"/>
      <c r="O616" s="223"/>
      <c r="P616" s="223"/>
      <c r="Q616" s="223"/>
      <c r="R616" s="890"/>
      <c r="S616" s="890"/>
      <c r="T616" s="223"/>
      <c r="U616" s="223"/>
      <c r="V616" s="223"/>
      <c r="W616" s="223"/>
      <c r="X616" s="223"/>
      <c r="Y616" s="223"/>
      <c r="Z616" s="223"/>
      <c r="AA616" s="223"/>
      <c r="AB616" s="223"/>
      <c r="AC616" s="223"/>
    </row>
    <row r="617" spans="1:29" x14ac:dyDescent="0.25">
      <c r="A617" s="223"/>
      <c r="B617" s="223"/>
      <c r="C617" s="223"/>
      <c r="D617" s="223"/>
      <c r="E617" s="223"/>
      <c r="F617" s="276"/>
      <c r="G617" s="226"/>
      <c r="H617" s="223"/>
      <c r="I617" s="223"/>
      <c r="J617" s="223"/>
      <c r="K617" s="223"/>
      <c r="L617" s="223"/>
      <c r="M617" s="223"/>
      <c r="N617" s="223"/>
      <c r="O617" s="223"/>
      <c r="P617" s="223"/>
      <c r="Q617" s="223"/>
      <c r="R617" s="890"/>
      <c r="S617" s="890"/>
      <c r="T617" s="223"/>
      <c r="U617" s="223"/>
      <c r="V617" s="223"/>
      <c r="W617" s="223"/>
      <c r="X617" s="223"/>
      <c r="Y617" s="223"/>
      <c r="Z617" s="223"/>
      <c r="AA617" s="223"/>
      <c r="AB617" s="223"/>
      <c r="AC617" s="223"/>
    </row>
    <row r="618" spans="1:29" x14ac:dyDescent="0.25">
      <c r="A618" s="223"/>
      <c r="B618" s="223"/>
      <c r="C618" s="223"/>
      <c r="D618" s="223"/>
      <c r="E618" s="223"/>
      <c r="F618" s="276"/>
      <c r="G618" s="226"/>
      <c r="H618" s="223"/>
      <c r="I618" s="223"/>
      <c r="J618" s="223"/>
      <c r="K618" s="223"/>
      <c r="L618" s="223"/>
      <c r="M618" s="223"/>
      <c r="N618" s="223"/>
      <c r="O618" s="223"/>
      <c r="P618" s="223"/>
      <c r="Q618" s="223"/>
      <c r="R618" s="890"/>
      <c r="S618" s="890"/>
      <c r="T618" s="223"/>
      <c r="U618" s="223"/>
      <c r="V618" s="223"/>
      <c r="W618" s="223"/>
      <c r="X618" s="223"/>
      <c r="Y618" s="223"/>
      <c r="Z618" s="223"/>
      <c r="AA618" s="223"/>
      <c r="AB618" s="223"/>
      <c r="AC618" s="223"/>
    </row>
    <row r="619" spans="1:29" x14ac:dyDescent="0.25">
      <c r="A619" s="223"/>
      <c r="B619" s="223"/>
      <c r="C619" s="223"/>
      <c r="D619" s="223"/>
      <c r="E619" s="223"/>
      <c r="F619" s="276"/>
      <c r="G619" s="226"/>
      <c r="H619" s="223"/>
      <c r="I619" s="223"/>
      <c r="J619" s="223"/>
      <c r="K619" s="223"/>
      <c r="L619" s="223"/>
      <c r="M619" s="223"/>
      <c r="N619" s="223"/>
      <c r="O619" s="223"/>
      <c r="P619" s="223"/>
      <c r="Q619" s="223"/>
      <c r="R619" s="890"/>
      <c r="S619" s="890"/>
      <c r="T619" s="223"/>
      <c r="U619" s="223"/>
      <c r="V619" s="223"/>
      <c r="W619" s="223"/>
      <c r="X619" s="223"/>
      <c r="Y619" s="223"/>
      <c r="Z619" s="223"/>
      <c r="AA619" s="223"/>
      <c r="AB619" s="223"/>
      <c r="AC619" s="223"/>
    </row>
    <row r="620" spans="1:29" x14ac:dyDescent="0.25">
      <c r="A620" s="223"/>
      <c r="B620" s="223"/>
      <c r="C620" s="223"/>
      <c r="D620" s="223"/>
      <c r="E620" s="223"/>
      <c r="F620" s="276"/>
      <c r="G620" s="226"/>
      <c r="H620" s="223"/>
      <c r="I620" s="223"/>
      <c r="J620" s="223"/>
      <c r="K620" s="223"/>
      <c r="L620" s="223"/>
      <c r="M620" s="223"/>
      <c r="N620" s="223"/>
      <c r="O620" s="223"/>
      <c r="P620" s="223"/>
      <c r="Q620" s="223"/>
      <c r="R620" s="890"/>
      <c r="S620" s="890"/>
      <c r="T620" s="223"/>
      <c r="U620" s="223"/>
      <c r="V620" s="223"/>
      <c r="W620" s="223"/>
      <c r="X620" s="223"/>
      <c r="Y620" s="223"/>
      <c r="Z620" s="223"/>
      <c r="AA620" s="223"/>
      <c r="AB620" s="223"/>
      <c r="AC620" s="223"/>
    </row>
    <row r="621" spans="1:29" x14ac:dyDescent="0.25">
      <c r="A621" s="223"/>
      <c r="B621" s="223"/>
      <c r="C621" s="223"/>
      <c r="D621" s="223"/>
      <c r="E621" s="223"/>
      <c r="F621" s="276"/>
      <c r="G621" s="226"/>
      <c r="H621" s="223"/>
      <c r="I621" s="223"/>
      <c r="J621" s="223"/>
      <c r="K621" s="223"/>
      <c r="L621" s="223"/>
      <c r="M621" s="223"/>
      <c r="N621" s="223"/>
      <c r="O621" s="223"/>
      <c r="P621" s="223"/>
      <c r="Q621" s="223"/>
      <c r="R621" s="890"/>
      <c r="S621" s="890"/>
      <c r="T621" s="223"/>
      <c r="U621" s="223"/>
      <c r="V621" s="223"/>
      <c r="W621" s="223"/>
      <c r="X621" s="223"/>
      <c r="Y621" s="223"/>
      <c r="Z621" s="223"/>
      <c r="AA621" s="223"/>
      <c r="AB621" s="223"/>
      <c r="AC621" s="223"/>
    </row>
    <row r="622" spans="1:29" x14ac:dyDescent="0.25">
      <c r="A622" s="223"/>
      <c r="B622" s="223"/>
      <c r="C622" s="223"/>
      <c r="D622" s="223"/>
      <c r="E622" s="223"/>
      <c r="F622" s="276"/>
      <c r="G622" s="226"/>
      <c r="H622" s="223"/>
      <c r="I622" s="223"/>
      <c r="J622" s="223"/>
      <c r="K622" s="223"/>
      <c r="L622" s="223"/>
      <c r="M622" s="223"/>
      <c r="N622" s="223"/>
      <c r="O622" s="223"/>
      <c r="P622" s="223"/>
      <c r="Q622" s="223"/>
      <c r="R622" s="890"/>
      <c r="S622" s="890"/>
      <c r="T622" s="223"/>
      <c r="U622" s="223"/>
      <c r="V622" s="223"/>
      <c r="W622" s="223"/>
      <c r="X622" s="223"/>
      <c r="Y622" s="223"/>
      <c r="Z622" s="223"/>
      <c r="AA622" s="223"/>
      <c r="AB622" s="223"/>
      <c r="AC622" s="223"/>
    </row>
    <row r="623" spans="1:29" x14ac:dyDescent="0.25">
      <c r="A623" s="223"/>
      <c r="B623" s="223"/>
      <c r="C623" s="223"/>
      <c r="D623" s="223"/>
      <c r="E623" s="223"/>
      <c r="F623" s="276"/>
      <c r="G623" s="226"/>
      <c r="H623" s="223"/>
      <c r="I623" s="223"/>
      <c r="J623" s="223"/>
      <c r="K623" s="223"/>
      <c r="L623" s="223"/>
      <c r="M623" s="223"/>
      <c r="N623" s="223"/>
      <c r="O623" s="223"/>
      <c r="P623" s="223"/>
      <c r="Q623" s="223"/>
      <c r="R623" s="890"/>
      <c r="S623" s="890"/>
      <c r="T623" s="223"/>
      <c r="U623" s="223"/>
      <c r="V623" s="223"/>
      <c r="W623" s="223"/>
      <c r="X623" s="223"/>
      <c r="Y623" s="223"/>
      <c r="Z623" s="223"/>
      <c r="AA623" s="223"/>
      <c r="AB623" s="223"/>
      <c r="AC623" s="223"/>
    </row>
    <row r="624" spans="1:29" x14ac:dyDescent="0.25">
      <c r="A624" s="223"/>
      <c r="B624" s="223"/>
      <c r="C624" s="223"/>
      <c r="D624" s="223"/>
      <c r="E624" s="223"/>
      <c r="F624" s="276"/>
      <c r="G624" s="226"/>
      <c r="H624" s="223"/>
      <c r="I624" s="223"/>
      <c r="J624" s="223"/>
      <c r="K624" s="223"/>
      <c r="L624" s="223"/>
      <c r="M624" s="223"/>
      <c r="N624" s="223"/>
      <c r="O624" s="223"/>
      <c r="P624" s="223"/>
      <c r="Q624" s="223"/>
      <c r="R624" s="890"/>
      <c r="S624" s="890"/>
      <c r="T624" s="223"/>
      <c r="U624" s="223"/>
      <c r="V624" s="223"/>
      <c r="W624" s="223"/>
      <c r="X624" s="223"/>
      <c r="Y624" s="223"/>
      <c r="Z624" s="223"/>
      <c r="AA624" s="223"/>
      <c r="AB624" s="223"/>
      <c r="AC624" s="223"/>
    </row>
    <row r="625" spans="1:29" x14ac:dyDescent="0.25">
      <c r="A625" s="223"/>
      <c r="B625" s="223"/>
      <c r="C625" s="223"/>
      <c r="D625" s="223"/>
      <c r="E625" s="223"/>
      <c r="F625" s="276"/>
      <c r="G625" s="226"/>
      <c r="H625" s="223"/>
      <c r="I625" s="223"/>
      <c r="J625" s="223"/>
      <c r="K625" s="223"/>
      <c r="L625" s="223"/>
      <c r="M625" s="223"/>
      <c r="N625" s="223"/>
      <c r="O625" s="223"/>
      <c r="P625" s="223"/>
      <c r="Q625" s="223"/>
      <c r="R625" s="890"/>
      <c r="S625" s="890"/>
      <c r="T625" s="223"/>
      <c r="U625" s="223"/>
      <c r="V625" s="223"/>
      <c r="W625" s="223"/>
      <c r="X625" s="223"/>
      <c r="Y625" s="223"/>
      <c r="Z625" s="223"/>
      <c r="AA625" s="223"/>
      <c r="AB625" s="223"/>
      <c r="AC625" s="223"/>
    </row>
    <row r="626" spans="1:29" x14ac:dyDescent="0.25">
      <c r="A626" s="223"/>
      <c r="B626" s="223"/>
      <c r="C626" s="223"/>
      <c r="D626" s="223"/>
      <c r="E626" s="223"/>
      <c r="F626" s="276"/>
      <c r="G626" s="226"/>
      <c r="H626" s="223"/>
      <c r="I626" s="223"/>
      <c r="J626" s="223"/>
      <c r="K626" s="223"/>
      <c r="L626" s="223"/>
      <c r="M626" s="223"/>
      <c r="N626" s="223"/>
      <c r="O626" s="223"/>
      <c r="P626" s="223"/>
      <c r="Q626" s="223"/>
      <c r="R626" s="890"/>
      <c r="S626" s="890"/>
      <c r="T626" s="223"/>
      <c r="U626" s="223"/>
      <c r="V626" s="223"/>
      <c r="W626" s="223"/>
      <c r="X626" s="223"/>
      <c r="Y626" s="223"/>
      <c r="Z626" s="223"/>
      <c r="AA626" s="223"/>
      <c r="AB626" s="223"/>
      <c r="AC626" s="223"/>
    </row>
    <row r="627" spans="1:29" x14ac:dyDescent="0.25">
      <c r="A627" s="223"/>
      <c r="B627" s="223"/>
      <c r="C627" s="223"/>
      <c r="D627" s="223"/>
      <c r="E627" s="223"/>
      <c r="F627" s="276"/>
      <c r="G627" s="226"/>
      <c r="H627" s="223"/>
      <c r="I627" s="223"/>
      <c r="J627" s="223"/>
      <c r="K627" s="223"/>
      <c r="L627" s="223"/>
      <c r="M627" s="223"/>
      <c r="N627" s="223"/>
      <c r="O627" s="223"/>
      <c r="P627" s="223"/>
      <c r="Q627" s="223"/>
      <c r="R627" s="890"/>
      <c r="S627" s="890"/>
      <c r="T627" s="223"/>
      <c r="U627" s="223"/>
      <c r="V627" s="223"/>
      <c r="W627" s="223"/>
      <c r="X627" s="223"/>
      <c r="Y627" s="223"/>
      <c r="Z627" s="223"/>
      <c r="AA627" s="223"/>
      <c r="AB627" s="223"/>
      <c r="AC627" s="223"/>
    </row>
    <row r="628" spans="1:29" x14ac:dyDescent="0.25">
      <c r="A628" s="223"/>
      <c r="B628" s="223"/>
      <c r="C628" s="223"/>
      <c r="D628" s="223"/>
      <c r="E628" s="223"/>
      <c r="F628" s="276"/>
      <c r="G628" s="226"/>
      <c r="H628" s="223"/>
      <c r="I628" s="223"/>
      <c r="J628" s="223"/>
      <c r="K628" s="223"/>
      <c r="L628" s="223"/>
      <c r="M628" s="223"/>
      <c r="N628" s="223"/>
      <c r="O628" s="223"/>
      <c r="P628" s="223"/>
      <c r="Q628" s="223"/>
      <c r="R628" s="890"/>
      <c r="S628" s="890"/>
      <c r="T628" s="223"/>
      <c r="U628" s="223"/>
      <c r="V628" s="223"/>
      <c r="W628" s="223"/>
      <c r="X628" s="223"/>
      <c r="Y628" s="223"/>
      <c r="Z628" s="223"/>
      <c r="AA628" s="223"/>
      <c r="AB628" s="223"/>
      <c r="AC628" s="223"/>
    </row>
    <row r="629" spans="1:29" x14ac:dyDescent="0.25">
      <c r="A629" s="223"/>
      <c r="B629" s="223"/>
      <c r="C629" s="223"/>
      <c r="D629" s="223"/>
      <c r="E629" s="223"/>
      <c r="F629" s="276"/>
      <c r="G629" s="226"/>
      <c r="H629" s="223"/>
      <c r="I629" s="223"/>
      <c r="J629" s="223"/>
      <c r="K629" s="223"/>
      <c r="L629" s="223"/>
      <c r="M629" s="223"/>
      <c r="N629" s="223"/>
      <c r="O629" s="223"/>
      <c r="P629" s="223"/>
      <c r="Q629" s="223"/>
      <c r="R629" s="890"/>
      <c r="S629" s="890"/>
      <c r="T629" s="223"/>
      <c r="U629" s="223"/>
      <c r="V629" s="223"/>
      <c r="W629" s="223"/>
      <c r="X629" s="223"/>
      <c r="Y629" s="223"/>
      <c r="Z629" s="223"/>
      <c r="AA629" s="223"/>
      <c r="AB629" s="223"/>
      <c r="AC629" s="223"/>
    </row>
    <row r="630" spans="1:29" x14ac:dyDescent="0.25">
      <c r="A630" s="223"/>
      <c r="B630" s="223"/>
      <c r="C630" s="223"/>
      <c r="D630" s="223"/>
      <c r="E630" s="223"/>
      <c r="F630" s="276"/>
      <c r="G630" s="226"/>
      <c r="H630" s="223"/>
      <c r="I630" s="223"/>
      <c r="J630" s="223"/>
      <c r="K630" s="223"/>
      <c r="L630" s="223"/>
      <c r="M630" s="223"/>
      <c r="N630" s="223"/>
      <c r="O630" s="223"/>
      <c r="P630" s="223"/>
      <c r="Q630" s="223"/>
      <c r="R630" s="890"/>
      <c r="S630" s="890"/>
      <c r="T630" s="223"/>
      <c r="U630" s="223"/>
      <c r="V630" s="223"/>
      <c r="W630" s="223"/>
      <c r="X630" s="223"/>
      <c r="Y630" s="223"/>
      <c r="Z630" s="223"/>
      <c r="AA630" s="223"/>
      <c r="AB630" s="223"/>
      <c r="AC630" s="223"/>
    </row>
    <row r="631" spans="1:29" x14ac:dyDescent="0.25">
      <c r="A631" s="223"/>
      <c r="B631" s="223"/>
      <c r="C631" s="223"/>
      <c r="D631" s="223"/>
      <c r="E631" s="223"/>
      <c r="F631" s="276"/>
      <c r="G631" s="226"/>
      <c r="H631" s="223"/>
      <c r="I631" s="223"/>
      <c r="J631" s="223"/>
      <c r="K631" s="223"/>
      <c r="L631" s="223"/>
      <c r="M631" s="223"/>
      <c r="N631" s="223"/>
      <c r="O631" s="223"/>
      <c r="P631" s="223"/>
      <c r="Q631" s="223"/>
      <c r="R631" s="890"/>
      <c r="S631" s="890"/>
      <c r="T631" s="223"/>
      <c r="U631" s="223"/>
      <c r="V631" s="223"/>
      <c r="W631" s="223"/>
      <c r="X631" s="223"/>
      <c r="Y631" s="223"/>
      <c r="Z631" s="223"/>
      <c r="AA631" s="223"/>
      <c r="AB631" s="223"/>
      <c r="AC631" s="223"/>
    </row>
    <row r="632" spans="1:29" x14ac:dyDescent="0.25">
      <c r="A632" s="223"/>
      <c r="B632" s="223"/>
      <c r="C632" s="223"/>
      <c r="D632" s="223"/>
      <c r="E632" s="223"/>
      <c r="F632" s="276"/>
      <c r="G632" s="226"/>
      <c r="H632" s="223"/>
      <c r="I632" s="223"/>
      <c r="J632" s="223"/>
      <c r="K632" s="223"/>
      <c r="L632" s="223"/>
      <c r="M632" s="223"/>
      <c r="N632" s="223"/>
      <c r="O632" s="223"/>
      <c r="P632" s="223"/>
      <c r="Q632" s="223"/>
      <c r="R632" s="890"/>
      <c r="S632" s="890"/>
      <c r="T632" s="223"/>
      <c r="U632" s="223"/>
      <c r="V632" s="223"/>
      <c r="W632" s="223"/>
      <c r="X632" s="223"/>
      <c r="Y632" s="223"/>
      <c r="Z632" s="223"/>
      <c r="AA632" s="223"/>
      <c r="AB632" s="223"/>
      <c r="AC632" s="223"/>
    </row>
    <row r="633" spans="1:29" x14ac:dyDescent="0.25">
      <c r="A633" s="223"/>
      <c r="B633" s="223"/>
      <c r="C633" s="223"/>
      <c r="D633" s="223"/>
      <c r="E633" s="223"/>
      <c r="F633" s="276"/>
      <c r="G633" s="226"/>
      <c r="H633" s="223"/>
      <c r="I633" s="223"/>
      <c r="J633" s="223"/>
      <c r="K633" s="223"/>
      <c r="L633" s="223"/>
      <c r="M633" s="223"/>
      <c r="N633" s="223"/>
      <c r="O633" s="223"/>
      <c r="P633" s="223"/>
      <c r="Q633" s="223"/>
      <c r="R633" s="890"/>
      <c r="S633" s="890"/>
      <c r="T633" s="223"/>
      <c r="U633" s="223"/>
      <c r="V633" s="223"/>
      <c r="W633" s="223"/>
      <c r="X633" s="223"/>
      <c r="Y633" s="223"/>
      <c r="Z633" s="223"/>
      <c r="AA633" s="223"/>
      <c r="AB633" s="223"/>
      <c r="AC633" s="223"/>
    </row>
    <row r="634" spans="1:29" x14ac:dyDescent="0.25">
      <c r="A634" s="223"/>
      <c r="B634" s="223"/>
      <c r="C634" s="223"/>
      <c r="D634" s="223"/>
      <c r="E634" s="223"/>
      <c r="F634" s="276"/>
      <c r="G634" s="226"/>
      <c r="H634" s="223"/>
      <c r="I634" s="223"/>
      <c r="J634" s="223"/>
      <c r="K634" s="223"/>
      <c r="L634" s="223"/>
      <c r="M634" s="223"/>
      <c r="N634" s="223"/>
      <c r="O634" s="223"/>
      <c r="P634" s="223"/>
      <c r="Q634" s="223"/>
      <c r="R634" s="890"/>
      <c r="S634" s="890"/>
      <c r="T634" s="223"/>
      <c r="U634" s="223"/>
      <c r="V634" s="223"/>
      <c r="W634" s="223"/>
      <c r="X634" s="223"/>
      <c r="Y634" s="223"/>
      <c r="Z634" s="223"/>
      <c r="AA634" s="223"/>
      <c r="AB634" s="223"/>
      <c r="AC634" s="223"/>
    </row>
    <row r="635" spans="1:29" x14ac:dyDescent="0.25">
      <c r="A635" s="223"/>
      <c r="B635" s="223"/>
      <c r="C635" s="223"/>
      <c r="D635" s="223"/>
      <c r="E635" s="223"/>
      <c r="F635" s="276"/>
      <c r="G635" s="226"/>
      <c r="H635" s="223"/>
      <c r="I635" s="223"/>
      <c r="J635" s="223"/>
      <c r="K635" s="223"/>
      <c r="L635" s="223"/>
      <c r="M635" s="223"/>
      <c r="N635" s="223"/>
      <c r="O635" s="223"/>
      <c r="P635" s="223"/>
      <c r="Q635" s="223"/>
      <c r="R635" s="890"/>
      <c r="S635" s="890"/>
      <c r="T635" s="223"/>
      <c r="U635" s="223"/>
      <c r="V635" s="223"/>
      <c r="W635" s="223"/>
      <c r="X635" s="223"/>
      <c r="Y635" s="223"/>
      <c r="Z635" s="223"/>
      <c r="AA635" s="223"/>
      <c r="AB635" s="223"/>
      <c r="AC635" s="223"/>
    </row>
    <row r="636" spans="1:29" x14ac:dyDescent="0.25">
      <c r="A636" s="223"/>
      <c r="B636" s="223"/>
      <c r="C636" s="223"/>
      <c r="D636" s="223"/>
      <c r="E636" s="223"/>
      <c r="F636" s="276"/>
      <c r="G636" s="226"/>
      <c r="H636" s="223"/>
      <c r="I636" s="223"/>
      <c r="J636" s="223"/>
      <c r="K636" s="223"/>
      <c r="L636" s="223"/>
      <c r="M636" s="223"/>
      <c r="N636" s="223"/>
      <c r="O636" s="223"/>
      <c r="P636" s="223"/>
      <c r="Q636" s="223"/>
      <c r="R636" s="890"/>
      <c r="S636" s="890"/>
      <c r="T636" s="223"/>
      <c r="U636" s="223"/>
      <c r="V636" s="223"/>
      <c r="W636" s="223"/>
      <c r="X636" s="223"/>
      <c r="Y636" s="223"/>
      <c r="Z636" s="223"/>
      <c r="AA636" s="223"/>
      <c r="AB636" s="223"/>
      <c r="AC636" s="223"/>
    </row>
    <row r="637" spans="1:29" x14ac:dyDescent="0.25">
      <c r="A637" s="223"/>
      <c r="B637" s="223"/>
      <c r="C637" s="223"/>
      <c r="D637" s="223"/>
      <c r="E637" s="223"/>
      <c r="F637" s="276"/>
      <c r="G637" s="226"/>
      <c r="H637" s="223"/>
      <c r="I637" s="223"/>
      <c r="J637" s="223"/>
      <c r="K637" s="223"/>
      <c r="L637" s="223"/>
      <c r="M637" s="223"/>
      <c r="N637" s="223"/>
      <c r="O637" s="223"/>
      <c r="P637" s="223"/>
      <c r="Q637" s="223"/>
      <c r="R637" s="890"/>
      <c r="S637" s="890"/>
      <c r="T637" s="223"/>
      <c r="U637" s="223"/>
      <c r="V637" s="223"/>
      <c r="W637" s="223"/>
      <c r="X637" s="223"/>
      <c r="Y637" s="223"/>
      <c r="Z637" s="223"/>
      <c r="AA637" s="223"/>
      <c r="AB637" s="223"/>
      <c r="AC637" s="223"/>
    </row>
    <row r="638" spans="1:29" x14ac:dyDescent="0.25">
      <c r="A638" s="223"/>
      <c r="B638" s="223"/>
      <c r="C638" s="223"/>
      <c r="D638" s="223"/>
      <c r="E638" s="223"/>
      <c r="F638" s="276"/>
      <c r="G638" s="226"/>
      <c r="H638" s="223"/>
      <c r="I638" s="223"/>
      <c r="J638" s="223"/>
      <c r="K638" s="223"/>
      <c r="L638" s="223"/>
      <c r="M638" s="223"/>
      <c r="N638" s="223"/>
      <c r="O638" s="223"/>
      <c r="P638" s="223"/>
      <c r="Q638" s="223"/>
      <c r="R638" s="890"/>
      <c r="S638" s="890"/>
      <c r="T638" s="223"/>
      <c r="U638" s="223"/>
      <c r="V638" s="223"/>
      <c r="W638" s="223"/>
      <c r="X638" s="223"/>
      <c r="Y638" s="223"/>
      <c r="Z638" s="223"/>
      <c r="AA638" s="223"/>
      <c r="AB638" s="223"/>
      <c r="AC638" s="223"/>
    </row>
    <row r="639" spans="1:29" x14ac:dyDescent="0.25">
      <c r="A639" s="223"/>
      <c r="B639" s="223"/>
      <c r="C639" s="223"/>
      <c r="D639" s="223"/>
      <c r="E639" s="223"/>
      <c r="F639" s="276"/>
      <c r="G639" s="226"/>
      <c r="H639" s="223"/>
      <c r="I639" s="223"/>
      <c r="J639" s="223"/>
      <c r="K639" s="223"/>
      <c r="L639" s="223"/>
      <c r="M639" s="223"/>
      <c r="N639" s="223"/>
      <c r="O639" s="223"/>
      <c r="P639" s="223"/>
      <c r="Q639" s="223"/>
      <c r="R639" s="890"/>
      <c r="S639" s="890"/>
      <c r="T639" s="223"/>
      <c r="U639" s="223"/>
      <c r="V639" s="223"/>
      <c r="W639" s="223"/>
      <c r="X639" s="223"/>
      <c r="Y639" s="223"/>
      <c r="Z639" s="223"/>
      <c r="AA639" s="223"/>
      <c r="AB639" s="223"/>
      <c r="AC639" s="223"/>
    </row>
    <row r="640" spans="1:29" x14ac:dyDescent="0.25">
      <c r="A640" s="223"/>
      <c r="B640" s="223"/>
      <c r="C640" s="223"/>
      <c r="D640" s="223"/>
      <c r="E640" s="223"/>
      <c r="F640" s="276"/>
      <c r="G640" s="226"/>
      <c r="H640" s="223"/>
      <c r="I640" s="223"/>
      <c r="J640" s="223"/>
      <c r="K640" s="223"/>
      <c r="L640" s="223"/>
      <c r="M640" s="223"/>
      <c r="N640" s="223"/>
      <c r="O640" s="223"/>
      <c r="P640" s="223"/>
      <c r="Q640" s="223"/>
      <c r="R640" s="890"/>
      <c r="S640" s="890"/>
      <c r="T640" s="223"/>
      <c r="U640" s="223"/>
      <c r="V640" s="223"/>
      <c r="W640" s="223"/>
      <c r="X640" s="223"/>
      <c r="Y640" s="223"/>
      <c r="Z640" s="223"/>
      <c r="AA640" s="223"/>
      <c r="AB640" s="223"/>
      <c r="AC640" s="223"/>
    </row>
    <row r="641" spans="1:29" x14ac:dyDescent="0.25">
      <c r="A641" s="223"/>
      <c r="B641" s="223"/>
      <c r="C641" s="223"/>
      <c r="D641" s="223"/>
      <c r="E641" s="223"/>
      <c r="F641" s="276"/>
      <c r="G641" s="226"/>
      <c r="H641" s="223"/>
      <c r="I641" s="223"/>
      <c r="J641" s="223"/>
      <c r="K641" s="223"/>
      <c r="L641" s="223"/>
      <c r="M641" s="223"/>
      <c r="N641" s="223"/>
      <c r="O641" s="223"/>
      <c r="P641" s="223"/>
      <c r="Q641" s="223"/>
      <c r="R641" s="890"/>
      <c r="S641" s="890"/>
      <c r="T641" s="223"/>
      <c r="U641" s="223"/>
      <c r="V641" s="223"/>
      <c r="W641" s="223"/>
      <c r="X641" s="223"/>
      <c r="Y641" s="223"/>
      <c r="Z641" s="223"/>
      <c r="AA641" s="223"/>
      <c r="AB641" s="223"/>
      <c r="AC641" s="223"/>
    </row>
    <row r="642" spans="1:29" x14ac:dyDescent="0.25">
      <c r="A642" s="223"/>
      <c r="B642" s="223"/>
      <c r="C642" s="223"/>
      <c r="D642" s="223"/>
      <c r="E642" s="223"/>
      <c r="F642" s="276"/>
      <c r="G642" s="226"/>
      <c r="H642" s="223"/>
      <c r="I642" s="223"/>
      <c r="J642" s="223"/>
      <c r="K642" s="223"/>
      <c r="L642" s="223"/>
      <c r="M642" s="223"/>
      <c r="N642" s="223"/>
      <c r="O642" s="223"/>
      <c r="P642" s="223"/>
      <c r="Q642" s="223"/>
      <c r="R642" s="890"/>
      <c r="S642" s="890"/>
      <c r="T642" s="223"/>
      <c r="U642" s="223"/>
      <c r="V642" s="223"/>
      <c r="W642" s="223"/>
      <c r="X642" s="223"/>
      <c r="Y642" s="223"/>
      <c r="Z642" s="223"/>
      <c r="AA642" s="223"/>
      <c r="AB642" s="223"/>
      <c r="AC642" s="223"/>
    </row>
    <row r="643" spans="1:29" x14ac:dyDescent="0.25">
      <c r="A643" s="223"/>
      <c r="B643" s="223"/>
      <c r="C643" s="223"/>
      <c r="D643" s="223"/>
      <c r="E643" s="223"/>
      <c r="F643" s="276"/>
      <c r="G643" s="226"/>
      <c r="H643" s="223"/>
      <c r="I643" s="223"/>
      <c r="J643" s="223"/>
      <c r="K643" s="223"/>
      <c r="L643" s="223"/>
      <c r="M643" s="223"/>
      <c r="N643" s="223"/>
      <c r="O643" s="223"/>
      <c r="P643" s="223"/>
      <c r="Q643" s="223"/>
      <c r="R643" s="890"/>
      <c r="S643" s="890"/>
      <c r="T643" s="223"/>
      <c r="U643" s="223"/>
      <c r="V643" s="223"/>
      <c r="W643" s="223"/>
      <c r="X643" s="223"/>
      <c r="Y643" s="223"/>
      <c r="Z643" s="223"/>
      <c r="AA643" s="223"/>
      <c r="AB643" s="223"/>
      <c r="AC643" s="223"/>
    </row>
    <row r="644" spans="1:29" x14ac:dyDescent="0.25">
      <c r="A644" s="223"/>
      <c r="B644" s="223"/>
      <c r="C644" s="223"/>
      <c r="D644" s="223"/>
      <c r="E644" s="223"/>
      <c r="F644" s="276"/>
      <c r="G644" s="226"/>
      <c r="H644" s="223"/>
      <c r="I644" s="223"/>
      <c r="J644" s="223"/>
      <c r="K644" s="223"/>
      <c r="L644" s="223"/>
      <c r="M644" s="223"/>
      <c r="N644" s="223"/>
      <c r="O644" s="223"/>
      <c r="P644" s="223"/>
      <c r="Q644" s="223"/>
      <c r="R644" s="890"/>
      <c r="S644" s="890"/>
      <c r="T644" s="223"/>
      <c r="U644" s="223"/>
      <c r="V644" s="223"/>
      <c r="W644" s="223"/>
      <c r="X644" s="223"/>
      <c r="Y644" s="223"/>
      <c r="Z644" s="223"/>
      <c r="AA644" s="223"/>
      <c r="AB644" s="223"/>
      <c r="AC644" s="223"/>
    </row>
    <row r="645" spans="1:29" x14ac:dyDescent="0.25">
      <c r="A645" s="223"/>
      <c r="B645" s="223"/>
      <c r="C645" s="223"/>
      <c r="D645" s="223"/>
      <c r="E645" s="223"/>
      <c r="F645" s="276"/>
      <c r="G645" s="226"/>
      <c r="H645" s="223"/>
      <c r="I645" s="223"/>
      <c r="J645" s="223"/>
      <c r="K645" s="223"/>
      <c r="L645" s="223"/>
      <c r="M645" s="223"/>
      <c r="N645" s="223"/>
      <c r="O645" s="223"/>
      <c r="P645" s="223"/>
      <c r="Q645" s="223"/>
      <c r="R645" s="890"/>
      <c r="S645" s="890"/>
      <c r="T645" s="223"/>
      <c r="U645" s="223"/>
      <c r="V645" s="223"/>
      <c r="W645" s="223"/>
      <c r="X645" s="223"/>
      <c r="Y645" s="223"/>
      <c r="Z645" s="223"/>
      <c r="AA645" s="223"/>
      <c r="AB645" s="223"/>
      <c r="AC645" s="223"/>
    </row>
    <row r="646" spans="1:29" x14ac:dyDescent="0.25">
      <c r="A646" s="223"/>
      <c r="B646" s="223"/>
      <c r="C646" s="223"/>
      <c r="D646" s="223"/>
      <c r="E646" s="223"/>
      <c r="F646" s="276"/>
      <c r="G646" s="226"/>
      <c r="H646" s="223"/>
      <c r="I646" s="223"/>
      <c r="J646" s="223"/>
      <c r="K646" s="223"/>
      <c r="L646" s="223"/>
      <c r="M646" s="223"/>
      <c r="N646" s="223"/>
      <c r="O646" s="223"/>
      <c r="P646" s="223"/>
      <c r="Q646" s="223"/>
      <c r="R646" s="890"/>
      <c r="S646" s="890"/>
      <c r="T646" s="223"/>
      <c r="U646" s="223"/>
      <c r="V646" s="223"/>
      <c r="W646" s="223"/>
      <c r="X646" s="223"/>
      <c r="Y646" s="223"/>
      <c r="Z646" s="223"/>
      <c r="AA646" s="223"/>
      <c r="AB646" s="223"/>
      <c r="AC646" s="223"/>
    </row>
    <row r="647" spans="1:29" x14ac:dyDescent="0.25">
      <c r="A647" s="223"/>
      <c r="B647" s="223"/>
      <c r="C647" s="223"/>
      <c r="D647" s="223"/>
      <c r="E647" s="223"/>
      <c r="F647" s="276"/>
      <c r="G647" s="226"/>
      <c r="H647" s="223"/>
      <c r="I647" s="223"/>
      <c r="J647" s="223"/>
      <c r="K647" s="223"/>
      <c r="L647" s="223"/>
      <c r="M647" s="223"/>
      <c r="N647" s="223"/>
      <c r="O647" s="223"/>
      <c r="P647" s="223"/>
      <c r="Q647" s="223"/>
      <c r="R647" s="890"/>
      <c r="S647" s="890"/>
      <c r="T647" s="223"/>
      <c r="U647" s="223"/>
      <c r="V647" s="223"/>
      <c r="W647" s="223"/>
      <c r="X647" s="223"/>
      <c r="Y647" s="223"/>
      <c r="Z647" s="223"/>
      <c r="AA647" s="223"/>
      <c r="AB647" s="223"/>
      <c r="AC647" s="223"/>
    </row>
    <row r="648" spans="1:29" x14ac:dyDescent="0.25">
      <c r="A648" s="223"/>
      <c r="B648" s="223"/>
      <c r="C648" s="223"/>
      <c r="D648" s="223"/>
      <c r="E648" s="223"/>
      <c r="F648" s="276"/>
      <c r="G648" s="226"/>
      <c r="H648" s="223"/>
      <c r="I648" s="223"/>
      <c r="J648" s="223"/>
      <c r="K648" s="223"/>
      <c r="L648" s="223"/>
      <c r="M648" s="223"/>
      <c r="N648" s="223"/>
      <c r="O648" s="223"/>
      <c r="P648" s="223"/>
      <c r="Q648" s="223"/>
      <c r="R648" s="890"/>
      <c r="S648" s="890"/>
      <c r="T648" s="223"/>
      <c r="U648" s="223"/>
      <c r="V648" s="223"/>
      <c r="W648" s="223"/>
      <c r="X648" s="223"/>
      <c r="Y648" s="223"/>
      <c r="Z648" s="223"/>
      <c r="AA648" s="223"/>
      <c r="AB648" s="223"/>
      <c r="AC648" s="223"/>
    </row>
    <row r="649" spans="1:29" x14ac:dyDescent="0.25">
      <c r="A649" s="223"/>
      <c r="B649" s="223"/>
      <c r="C649" s="223"/>
      <c r="D649" s="223"/>
      <c r="E649" s="223"/>
      <c r="F649" s="276"/>
      <c r="G649" s="226"/>
      <c r="H649" s="223"/>
      <c r="I649" s="223"/>
      <c r="J649" s="223"/>
      <c r="K649" s="223"/>
      <c r="L649" s="223"/>
      <c r="M649" s="223"/>
      <c r="N649" s="223"/>
      <c r="O649" s="223"/>
      <c r="P649" s="223"/>
      <c r="Q649" s="223"/>
      <c r="R649" s="890"/>
      <c r="S649" s="890"/>
      <c r="T649" s="223"/>
      <c r="U649" s="223"/>
      <c r="V649" s="223"/>
      <c r="W649" s="223"/>
      <c r="X649" s="223"/>
      <c r="Y649" s="223"/>
      <c r="Z649" s="223"/>
      <c r="AA649" s="223"/>
      <c r="AB649" s="223"/>
      <c r="AC649" s="223"/>
    </row>
    <row r="650" spans="1:29" x14ac:dyDescent="0.25">
      <c r="A650" s="223"/>
      <c r="B650" s="223"/>
      <c r="C650" s="223"/>
      <c r="D650" s="223"/>
      <c r="E650" s="223"/>
      <c r="F650" s="276"/>
      <c r="G650" s="226"/>
      <c r="H650" s="223"/>
      <c r="I650" s="223"/>
      <c r="J650" s="223"/>
      <c r="K650" s="223"/>
      <c r="L650" s="223"/>
      <c r="M650" s="223"/>
      <c r="N650" s="223"/>
      <c r="O650" s="223"/>
      <c r="P650" s="223"/>
      <c r="Q650" s="223"/>
      <c r="R650" s="890"/>
      <c r="S650" s="890"/>
      <c r="T650" s="223"/>
      <c r="U650" s="223"/>
      <c r="V650" s="223"/>
      <c r="W650" s="223"/>
      <c r="X650" s="223"/>
      <c r="Y650" s="223"/>
      <c r="Z650" s="223"/>
      <c r="AA650" s="223"/>
      <c r="AB650" s="223"/>
      <c r="AC650" s="223"/>
    </row>
    <row r="651" spans="1:29" x14ac:dyDescent="0.25">
      <c r="A651" s="223"/>
      <c r="B651" s="223"/>
      <c r="C651" s="223"/>
      <c r="D651" s="223"/>
      <c r="E651" s="223"/>
      <c r="F651" s="276"/>
      <c r="G651" s="226"/>
      <c r="H651" s="223"/>
      <c r="I651" s="223"/>
      <c r="J651" s="223"/>
      <c r="K651" s="223"/>
      <c r="L651" s="223"/>
      <c r="M651" s="223"/>
      <c r="N651" s="223"/>
      <c r="O651" s="223"/>
      <c r="P651" s="223"/>
      <c r="Q651" s="223"/>
      <c r="R651" s="890"/>
      <c r="S651" s="890"/>
      <c r="T651" s="223"/>
      <c r="U651" s="223"/>
      <c r="V651" s="223"/>
      <c r="W651" s="223"/>
      <c r="X651" s="223"/>
      <c r="Y651" s="223"/>
      <c r="Z651" s="223"/>
      <c r="AA651" s="223"/>
      <c r="AB651" s="223"/>
      <c r="AC651" s="223"/>
    </row>
    <row r="652" spans="1:29" x14ac:dyDescent="0.25">
      <c r="A652" s="223"/>
      <c r="B652" s="223"/>
      <c r="C652" s="223"/>
      <c r="D652" s="223"/>
      <c r="E652" s="223"/>
      <c r="F652" s="276"/>
      <c r="G652" s="226"/>
      <c r="H652" s="223"/>
      <c r="I652" s="223"/>
      <c r="J652" s="223"/>
      <c r="K652" s="223"/>
      <c r="L652" s="223"/>
      <c r="M652" s="223"/>
      <c r="N652" s="223"/>
      <c r="O652" s="223"/>
      <c r="P652" s="223"/>
      <c r="Q652" s="223"/>
      <c r="R652" s="890"/>
      <c r="S652" s="890"/>
      <c r="T652" s="223"/>
      <c r="U652" s="223"/>
      <c r="V652" s="223"/>
      <c r="W652" s="223"/>
      <c r="X652" s="223"/>
      <c r="Y652" s="223"/>
      <c r="Z652" s="223"/>
      <c r="AA652" s="223"/>
      <c r="AB652" s="223"/>
      <c r="AC652" s="223"/>
    </row>
    <row r="653" spans="1:29" x14ac:dyDescent="0.25">
      <c r="A653" s="223"/>
      <c r="B653" s="223"/>
      <c r="C653" s="223"/>
      <c r="D653" s="223"/>
      <c r="E653" s="223"/>
      <c r="F653" s="276"/>
      <c r="G653" s="226"/>
      <c r="H653" s="223"/>
      <c r="I653" s="223"/>
      <c r="J653" s="223"/>
      <c r="K653" s="223"/>
      <c r="L653" s="223"/>
      <c r="M653" s="223"/>
      <c r="N653" s="223"/>
      <c r="O653" s="223"/>
      <c r="P653" s="223"/>
      <c r="Q653" s="223"/>
      <c r="R653" s="890"/>
      <c r="S653" s="890"/>
      <c r="T653" s="223"/>
      <c r="U653" s="223"/>
      <c r="V653" s="223"/>
      <c r="W653" s="223"/>
      <c r="X653" s="223"/>
      <c r="Y653" s="223"/>
      <c r="Z653" s="223"/>
      <c r="AA653" s="223"/>
      <c r="AB653" s="223"/>
      <c r="AC653" s="223"/>
    </row>
    <row r="654" spans="1:29" x14ac:dyDescent="0.25">
      <c r="A654" s="223"/>
      <c r="B654" s="223"/>
      <c r="C654" s="223"/>
      <c r="D654" s="223"/>
      <c r="E654" s="223"/>
      <c r="F654" s="276"/>
      <c r="G654" s="226"/>
      <c r="H654" s="223"/>
      <c r="I654" s="223"/>
      <c r="J654" s="223"/>
      <c r="K654" s="223"/>
      <c r="L654" s="223"/>
      <c r="M654" s="223"/>
      <c r="N654" s="223"/>
      <c r="O654" s="223"/>
      <c r="P654" s="223"/>
      <c r="Q654" s="223"/>
      <c r="R654" s="890"/>
      <c r="S654" s="890"/>
      <c r="T654" s="223"/>
      <c r="U654" s="223"/>
      <c r="V654" s="223"/>
      <c r="W654" s="223"/>
      <c r="X654" s="223"/>
      <c r="Y654" s="223"/>
      <c r="Z654" s="223"/>
      <c r="AA654" s="223"/>
      <c r="AB654" s="223"/>
      <c r="AC654" s="223"/>
    </row>
    <row r="655" spans="1:29" x14ac:dyDescent="0.25">
      <c r="A655" s="223"/>
      <c r="B655" s="223"/>
      <c r="C655" s="223"/>
      <c r="D655" s="223"/>
      <c r="E655" s="223"/>
      <c r="F655" s="276"/>
      <c r="G655" s="226"/>
      <c r="H655" s="223"/>
      <c r="I655" s="223"/>
      <c r="J655" s="223"/>
      <c r="K655" s="223"/>
      <c r="L655" s="223"/>
      <c r="M655" s="223"/>
      <c r="N655" s="223"/>
      <c r="O655" s="223"/>
      <c r="P655" s="223"/>
      <c r="Q655" s="223"/>
      <c r="R655" s="890"/>
      <c r="S655" s="890"/>
      <c r="T655" s="223"/>
      <c r="U655" s="223"/>
      <c r="V655" s="223"/>
      <c r="W655" s="223"/>
      <c r="X655" s="223"/>
      <c r="Y655" s="223"/>
      <c r="Z655" s="223"/>
      <c r="AA655" s="223"/>
      <c r="AB655" s="223"/>
      <c r="AC655" s="223"/>
    </row>
    <row r="656" spans="1:29" x14ac:dyDescent="0.25">
      <c r="A656" s="223"/>
      <c r="B656" s="223"/>
      <c r="C656" s="223"/>
      <c r="D656" s="223"/>
      <c r="E656" s="223"/>
      <c r="F656" s="276"/>
      <c r="G656" s="226"/>
      <c r="H656" s="223"/>
      <c r="I656" s="223"/>
      <c r="J656" s="223"/>
      <c r="K656" s="223"/>
      <c r="L656" s="223"/>
      <c r="M656" s="223"/>
      <c r="N656" s="223"/>
      <c r="O656" s="223"/>
      <c r="P656" s="223"/>
      <c r="Q656" s="223"/>
      <c r="R656" s="890"/>
      <c r="S656" s="890"/>
      <c r="T656" s="223"/>
      <c r="U656" s="223"/>
      <c r="V656" s="223"/>
      <c r="W656" s="223"/>
      <c r="X656" s="223"/>
      <c r="Y656" s="223"/>
      <c r="Z656" s="223"/>
      <c r="AA656" s="223"/>
      <c r="AB656" s="223"/>
      <c r="AC656" s="223"/>
    </row>
    <row r="657" spans="1:29" x14ac:dyDescent="0.25">
      <c r="A657" s="223"/>
      <c r="B657" s="223"/>
      <c r="C657" s="223"/>
      <c r="D657" s="223"/>
      <c r="E657" s="223"/>
      <c r="F657" s="276"/>
      <c r="G657" s="226"/>
      <c r="H657" s="223"/>
      <c r="I657" s="223"/>
      <c r="J657" s="223"/>
      <c r="K657" s="223"/>
      <c r="L657" s="223"/>
      <c r="M657" s="223"/>
      <c r="N657" s="223"/>
      <c r="O657" s="223"/>
      <c r="P657" s="223"/>
      <c r="Q657" s="223"/>
      <c r="R657" s="890"/>
      <c r="S657" s="890"/>
      <c r="T657" s="223"/>
      <c r="U657" s="223"/>
      <c r="V657" s="223"/>
      <c r="W657" s="223"/>
      <c r="X657" s="223"/>
      <c r="Y657" s="223"/>
      <c r="Z657" s="223"/>
      <c r="AA657" s="223"/>
      <c r="AB657" s="223"/>
      <c r="AC657" s="223"/>
    </row>
    <row r="658" spans="1:29" x14ac:dyDescent="0.25">
      <c r="A658" s="223"/>
      <c r="B658" s="223"/>
      <c r="C658" s="223"/>
      <c r="D658" s="223"/>
      <c r="E658" s="223"/>
      <c r="F658" s="276"/>
      <c r="G658" s="226"/>
      <c r="H658" s="223"/>
      <c r="I658" s="223"/>
      <c r="J658" s="223"/>
      <c r="K658" s="223"/>
      <c r="L658" s="223"/>
      <c r="M658" s="223"/>
      <c r="N658" s="223"/>
      <c r="O658" s="223"/>
      <c r="P658" s="223"/>
      <c r="Q658" s="223"/>
      <c r="R658" s="890"/>
      <c r="S658" s="890"/>
      <c r="T658" s="223"/>
      <c r="U658" s="223"/>
      <c r="V658" s="223"/>
      <c r="W658" s="223"/>
      <c r="X658" s="223"/>
      <c r="Y658" s="223"/>
      <c r="Z658" s="223"/>
      <c r="AA658" s="223"/>
      <c r="AB658" s="223"/>
      <c r="AC658" s="223"/>
    </row>
    <row r="659" spans="1:29" x14ac:dyDescent="0.25">
      <c r="A659" s="223"/>
      <c r="B659" s="223"/>
      <c r="C659" s="223"/>
      <c r="D659" s="223"/>
      <c r="E659" s="223"/>
      <c r="F659" s="276"/>
      <c r="G659" s="226"/>
      <c r="H659" s="223"/>
      <c r="I659" s="223"/>
      <c r="J659" s="223"/>
      <c r="K659" s="223"/>
      <c r="L659" s="223"/>
      <c r="M659" s="223"/>
      <c r="N659" s="223"/>
      <c r="O659" s="223"/>
      <c r="P659" s="223"/>
      <c r="Q659" s="223"/>
      <c r="R659" s="890"/>
      <c r="S659" s="890"/>
      <c r="T659" s="223"/>
      <c r="U659" s="223"/>
      <c r="V659" s="223"/>
      <c r="W659" s="223"/>
      <c r="X659" s="223"/>
      <c r="Y659" s="223"/>
      <c r="Z659" s="223"/>
      <c r="AA659" s="223"/>
      <c r="AB659" s="223"/>
      <c r="AC659" s="223"/>
    </row>
    <row r="660" spans="1:29" x14ac:dyDescent="0.25">
      <c r="A660" s="223"/>
      <c r="B660" s="223"/>
      <c r="C660" s="223"/>
      <c r="D660" s="223"/>
      <c r="E660" s="223"/>
      <c r="F660" s="276"/>
      <c r="G660" s="226"/>
      <c r="H660" s="223"/>
      <c r="I660" s="223"/>
      <c r="J660" s="223"/>
      <c r="K660" s="223"/>
      <c r="L660" s="223"/>
      <c r="M660" s="223"/>
      <c r="N660" s="223"/>
      <c r="O660" s="223"/>
      <c r="P660" s="223"/>
      <c r="Q660" s="223"/>
      <c r="R660" s="890"/>
      <c r="S660" s="890"/>
      <c r="T660" s="223"/>
      <c r="U660" s="223"/>
      <c r="V660" s="223"/>
      <c r="W660" s="223"/>
      <c r="X660" s="223"/>
      <c r="Y660" s="223"/>
      <c r="Z660" s="223"/>
      <c r="AA660" s="223"/>
      <c r="AB660" s="223"/>
      <c r="AC660" s="223"/>
    </row>
    <row r="661" spans="1:29" x14ac:dyDescent="0.25">
      <c r="A661" s="223"/>
      <c r="B661" s="223"/>
      <c r="C661" s="223"/>
      <c r="D661" s="223"/>
      <c r="E661" s="223"/>
      <c r="F661" s="276"/>
      <c r="G661" s="226"/>
      <c r="H661" s="223"/>
      <c r="I661" s="223"/>
      <c r="J661" s="223"/>
      <c r="K661" s="223"/>
      <c r="L661" s="223"/>
      <c r="M661" s="223"/>
      <c r="N661" s="223"/>
      <c r="O661" s="223"/>
      <c r="P661" s="223"/>
      <c r="Q661" s="223"/>
      <c r="R661" s="890"/>
      <c r="S661" s="890"/>
      <c r="T661" s="223"/>
      <c r="U661" s="223"/>
      <c r="V661" s="223"/>
      <c r="W661" s="223"/>
      <c r="X661" s="223"/>
      <c r="Y661" s="223"/>
      <c r="Z661" s="223"/>
      <c r="AA661" s="223"/>
      <c r="AB661" s="223"/>
      <c r="AC661" s="223"/>
    </row>
    <row r="662" spans="1:29" x14ac:dyDescent="0.25">
      <c r="A662" s="223"/>
      <c r="B662" s="223"/>
      <c r="C662" s="223"/>
      <c r="D662" s="223"/>
      <c r="E662" s="223"/>
      <c r="F662" s="276"/>
      <c r="G662" s="226"/>
      <c r="H662" s="223"/>
      <c r="I662" s="223"/>
      <c r="J662" s="223"/>
      <c r="K662" s="223"/>
      <c r="L662" s="223"/>
      <c r="M662" s="223"/>
      <c r="N662" s="223"/>
      <c r="O662" s="223"/>
      <c r="P662" s="223"/>
      <c r="Q662" s="223"/>
      <c r="R662" s="890"/>
      <c r="S662" s="890"/>
      <c r="T662" s="223"/>
      <c r="U662" s="223"/>
      <c r="V662" s="223"/>
      <c r="W662" s="223"/>
      <c r="X662" s="223"/>
      <c r="Y662" s="223"/>
      <c r="Z662" s="223"/>
      <c r="AA662" s="223"/>
      <c r="AB662" s="223"/>
      <c r="AC662" s="223"/>
    </row>
    <row r="663" spans="1:29" x14ac:dyDescent="0.25">
      <c r="A663" s="223"/>
      <c r="B663" s="223"/>
      <c r="C663" s="223"/>
      <c r="D663" s="223"/>
      <c r="E663" s="223"/>
      <c r="F663" s="276"/>
      <c r="G663" s="226"/>
      <c r="H663" s="223"/>
      <c r="I663" s="223"/>
      <c r="J663" s="223"/>
      <c r="K663" s="223"/>
      <c r="L663" s="223"/>
      <c r="M663" s="223"/>
      <c r="N663" s="223"/>
      <c r="O663" s="223"/>
      <c r="P663" s="223"/>
      <c r="Q663" s="223"/>
      <c r="R663" s="890"/>
      <c r="S663" s="890"/>
      <c r="T663" s="223"/>
      <c r="U663" s="223"/>
      <c r="V663" s="223"/>
      <c r="W663" s="223"/>
      <c r="X663" s="223"/>
      <c r="Y663" s="223"/>
      <c r="Z663" s="223"/>
      <c r="AA663" s="223"/>
      <c r="AB663" s="223"/>
      <c r="AC663" s="223"/>
    </row>
    <row r="664" spans="1:29" x14ac:dyDescent="0.25">
      <c r="A664" s="223"/>
      <c r="B664" s="223"/>
      <c r="C664" s="223"/>
      <c r="D664" s="223"/>
      <c r="E664" s="223"/>
      <c r="F664" s="276"/>
      <c r="G664" s="226"/>
      <c r="H664" s="223"/>
      <c r="I664" s="223"/>
      <c r="J664" s="223"/>
      <c r="K664" s="223"/>
      <c r="L664" s="223"/>
      <c r="M664" s="223"/>
      <c r="N664" s="223"/>
      <c r="O664" s="223"/>
      <c r="P664" s="223"/>
      <c r="Q664" s="223"/>
      <c r="R664" s="890"/>
      <c r="S664" s="890"/>
      <c r="T664" s="223"/>
      <c r="U664" s="223"/>
      <c r="V664" s="223"/>
      <c r="W664" s="223"/>
      <c r="X664" s="223"/>
      <c r="Y664" s="223"/>
      <c r="Z664" s="223"/>
      <c r="AA664" s="223"/>
      <c r="AB664" s="223"/>
      <c r="AC664" s="223"/>
    </row>
    <row r="665" spans="1:29" x14ac:dyDescent="0.25">
      <c r="A665" s="223"/>
      <c r="B665" s="223"/>
      <c r="C665" s="223"/>
      <c r="D665" s="223"/>
      <c r="E665" s="223"/>
      <c r="F665" s="276"/>
      <c r="G665" s="226"/>
      <c r="H665" s="223"/>
      <c r="I665" s="223"/>
      <c r="J665" s="223"/>
      <c r="K665" s="223"/>
      <c r="L665" s="223"/>
      <c r="M665" s="223"/>
      <c r="N665" s="223"/>
      <c r="O665" s="223"/>
      <c r="P665" s="223"/>
      <c r="Q665" s="223"/>
      <c r="R665" s="890"/>
      <c r="S665" s="890"/>
      <c r="T665" s="223"/>
      <c r="U665" s="223"/>
      <c r="V665" s="223"/>
      <c r="W665" s="223"/>
      <c r="X665" s="223"/>
      <c r="Y665" s="223"/>
      <c r="Z665" s="223"/>
      <c r="AA665" s="223"/>
      <c r="AB665" s="223"/>
      <c r="AC665" s="223"/>
    </row>
    <row r="666" spans="1:29" x14ac:dyDescent="0.25">
      <c r="A666" s="223"/>
      <c r="B666" s="223"/>
      <c r="C666" s="223"/>
      <c r="D666" s="223"/>
      <c r="E666" s="223"/>
      <c r="F666" s="276"/>
      <c r="G666" s="226"/>
      <c r="H666" s="223"/>
      <c r="I666" s="223"/>
      <c r="J666" s="223"/>
      <c r="K666" s="223"/>
      <c r="L666" s="223"/>
      <c r="M666" s="223"/>
      <c r="N666" s="223"/>
      <c r="O666" s="223"/>
      <c r="P666" s="223"/>
      <c r="Q666" s="223"/>
      <c r="R666" s="890"/>
      <c r="S666" s="890"/>
      <c r="T666" s="223"/>
      <c r="U666" s="223"/>
      <c r="V666" s="223"/>
      <c r="W666" s="223"/>
      <c r="X666" s="223"/>
      <c r="Y666" s="223"/>
      <c r="Z666" s="223"/>
      <c r="AA666" s="223"/>
      <c r="AB666" s="223"/>
      <c r="AC666" s="223"/>
    </row>
    <row r="667" spans="1:29" x14ac:dyDescent="0.25">
      <c r="A667" s="223"/>
      <c r="B667" s="223"/>
      <c r="C667" s="223"/>
      <c r="D667" s="223"/>
      <c r="E667" s="223"/>
      <c r="F667" s="276"/>
      <c r="G667" s="226"/>
      <c r="H667" s="223"/>
      <c r="I667" s="223"/>
      <c r="J667" s="223"/>
      <c r="K667" s="223"/>
      <c r="L667" s="223"/>
      <c r="M667" s="223"/>
      <c r="N667" s="223"/>
      <c r="O667" s="223"/>
      <c r="P667" s="223"/>
      <c r="Q667" s="223"/>
      <c r="R667" s="890"/>
      <c r="S667" s="890"/>
      <c r="T667" s="223"/>
      <c r="U667" s="223"/>
      <c r="V667" s="223"/>
      <c r="W667" s="223"/>
      <c r="X667" s="223"/>
      <c r="Y667" s="223"/>
      <c r="Z667" s="223"/>
      <c r="AA667" s="223"/>
      <c r="AB667" s="223"/>
      <c r="AC667" s="223"/>
    </row>
    <row r="668" spans="1:29" x14ac:dyDescent="0.25">
      <c r="A668" s="223"/>
      <c r="B668" s="223"/>
      <c r="C668" s="223"/>
      <c r="D668" s="223"/>
      <c r="E668" s="223"/>
      <c r="F668" s="276"/>
      <c r="G668" s="226"/>
      <c r="H668" s="223"/>
      <c r="I668" s="223"/>
      <c r="J668" s="223"/>
      <c r="K668" s="223"/>
      <c r="L668" s="223"/>
      <c r="M668" s="223"/>
      <c r="N668" s="223"/>
      <c r="O668" s="223"/>
      <c r="P668" s="223"/>
      <c r="Q668" s="223"/>
      <c r="R668" s="890"/>
      <c r="S668" s="890"/>
      <c r="T668" s="223"/>
      <c r="U668" s="223"/>
      <c r="V668" s="223"/>
      <c r="W668" s="223"/>
      <c r="X668" s="223"/>
      <c r="Y668" s="223"/>
      <c r="Z668" s="223"/>
      <c r="AA668" s="223"/>
      <c r="AB668" s="223"/>
      <c r="AC668" s="223"/>
    </row>
    <row r="669" spans="1:29" x14ac:dyDescent="0.25">
      <c r="A669" s="223"/>
      <c r="B669" s="223"/>
      <c r="C669" s="223"/>
      <c r="D669" s="223"/>
      <c r="E669" s="223"/>
      <c r="F669" s="276"/>
      <c r="G669" s="226"/>
      <c r="H669" s="223"/>
      <c r="I669" s="223"/>
      <c r="J669" s="223"/>
      <c r="K669" s="223"/>
      <c r="L669" s="223"/>
      <c r="M669" s="223"/>
      <c r="N669" s="223"/>
      <c r="O669" s="223"/>
      <c r="P669" s="223"/>
      <c r="Q669" s="223"/>
      <c r="R669" s="890"/>
      <c r="S669" s="890"/>
      <c r="T669" s="223"/>
      <c r="U669" s="223"/>
      <c r="V669" s="223"/>
      <c r="W669" s="223"/>
      <c r="X669" s="223"/>
      <c r="Y669" s="223"/>
      <c r="Z669" s="223"/>
      <c r="AA669" s="223"/>
      <c r="AB669" s="223"/>
      <c r="AC669" s="223"/>
    </row>
    <row r="670" spans="1:29" x14ac:dyDescent="0.25">
      <c r="A670" s="223"/>
      <c r="B670" s="223"/>
      <c r="C670" s="223"/>
      <c r="D670" s="223"/>
      <c r="E670" s="223"/>
      <c r="F670" s="276"/>
      <c r="G670" s="226"/>
      <c r="H670" s="223"/>
      <c r="I670" s="223"/>
      <c r="J670" s="223"/>
      <c r="K670" s="223"/>
      <c r="L670" s="223"/>
      <c r="M670" s="223"/>
      <c r="N670" s="223"/>
      <c r="O670" s="223"/>
      <c r="P670" s="223"/>
      <c r="Q670" s="223"/>
      <c r="R670" s="890"/>
      <c r="S670" s="890"/>
      <c r="T670" s="223"/>
      <c r="U670" s="223"/>
      <c r="V670" s="223"/>
      <c r="W670" s="223"/>
      <c r="X670" s="223"/>
      <c r="Y670" s="223"/>
      <c r="Z670" s="223"/>
      <c r="AA670" s="223"/>
      <c r="AB670" s="223"/>
      <c r="AC670" s="223"/>
    </row>
    <row r="671" spans="1:29" x14ac:dyDescent="0.25">
      <c r="A671" s="223"/>
      <c r="B671" s="223"/>
      <c r="C671" s="223"/>
      <c r="D671" s="223"/>
      <c r="E671" s="223"/>
      <c r="F671" s="276"/>
      <c r="G671" s="226"/>
      <c r="H671" s="223"/>
      <c r="I671" s="223"/>
      <c r="J671" s="223"/>
      <c r="K671" s="223"/>
      <c r="L671" s="223"/>
      <c r="M671" s="223"/>
      <c r="N671" s="223"/>
      <c r="O671" s="223"/>
      <c r="P671" s="223"/>
      <c r="Q671" s="223"/>
      <c r="R671" s="890"/>
      <c r="S671" s="890"/>
      <c r="T671" s="223"/>
      <c r="U671" s="223"/>
      <c r="V671" s="223"/>
      <c r="W671" s="223"/>
      <c r="X671" s="223"/>
      <c r="Y671" s="223"/>
      <c r="Z671" s="223"/>
      <c r="AA671" s="223"/>
      <c r="AB671" s="223"/>
      <c r="AC671" s="223"/>
    </row>
    <row r="672" spans="1:29" x14ac:dyDescent="0.25">
      <c r="A672" s="223"/>
      <c r="B672" s="223"/>
      <c r="C672" s="223"/>
      <c r="D672" s="223"/>
      <c r="E672" s="223"/>
      <c r="F672" s="276"/>
      <c r="G672" s="226"/>
      <c r="H672" s="223"/>
      <c r="I672" s="223"/>
      <c r="J672" s="223"/>
      <c r="K672" s="223"/>
      <c r="L672" s="223"/>
      <c r="M672" s="223"/>
      <c r="N672" s="223"/>
      <c r="O672" s="223"/>
      <c r="P672" s="223"/>
      <c r="Q672" s="223"/>
      <c r="R672" s="890"/>
      <c r="S672" s="890"/>
      <c r="T672" s="223"/>
      <c r="U672" s="223"/>
      <c r="V672" s="223"/>
      <c r="W672" s="223"/>
      <c r="X672" s="223"/>
      <c r="Y672" s="223"/>
      <c r="Z672" s="223"/>
      <c r="AA672" s="223"/>
      <c r="AB672" s="223"/>
      <c r="AC672" s="223"/>
    </row>
    <row r="673" spans="1:29" x14ac:dyDescent="0.25">
      <c r="A673" s="223"/>
      <c r="B673" s="223"/>
      <c r="C673" s="223"/>
      <c r="D673" s="223"/>
      <c r="E673" s="223"/>
      <c r="F673" s="276"/>
      <c r="G673" s="226"/>
      <c r="H673" s="223"/>
      <c r="I673" s="223"/>
      <c r="J673" s="223"/>
      <c r="K673" s="223"/>
      <c r="L673" s="223"/>
      <c r="M673" s="223"/>
      <c r="N673" s="223"/>
      <c r="O673" s="223"/>
      <c r="P673" s="223"/>
      <c r="Q673" s="223"/>
      <c r="R673" s="890"/>
      <c r="S673" s="890"/>
      <c r="T673" s="223"/>
      <c r="U673" s="223"/>
      <c r="V673" s="223"/>
      <c r="W673" s="223"/>
      <c r="X673" s="223"/>
      <c r="Y673" s="223"/>
      <c r="Z673" s="223"/>
      <c r="AA673" s="223"/>
      <c r="AB673" s="223"/>
      <c r="AC673" s="223"/>
    </row>
    <row r="674" spans="1:29" x14ac:dyDescent="0.25">
      <c r="A674" s="223"/>
      <c r="B674" s="223"/>
      <c r="C674" s="223"/>
      <c r="D674" s="223"/>
      <c r="E674" s="223"/>
      <c r="F674" s="276"/>
      <c r="G674" s="226"/>
      <c r="H674" s="223"/>
      <c r="I674" s="223"/>
      <c r="J674" s="223"/>
      <c r="K674" s="223"/>
      <c r="L674" s="223"/>
      <c r="M674" s="223"/>
      <c r="N674" s="223"/>
      <c r="O674" s="223"/>
      <c r="P674" s="223"/>
      <c r="Q674" s="223"/>
      <c r="R674" s="890"/>
      <c r="S674" s="890"/>
      <c r="T674" s="223"/>
      <c r="U674" s="223"/>
      <c r="V674" s="223"/>
      <c r="W674" s="223"/>
      <c r="X674" s="223"/>
      <c r="Y674" s="223"/>
      <c r="Z674" s="223"/>
      <c r="AA674" s="223"/>
      <c r="AB674" s="223"/>
      <c r="AC674" s="223"/>
    </row>
    <row r="675" spans="1:29" x14ac:dyDescent="0.25">
      <c r="A675" s="223"/>
      <c r="B675" s="223"/>
      <c r="C675" s="223"/>
      <c r="D675" s="223"/>
      <c r="E675" s="223"/>
      <c r="F675" s="276"/>
      <c r="G675" s="226"/>
      <c r="H675" s="223"/>
      <c r="I675" s="223"/>
      <c r="J675" s="223"/>
      <c r="K675" s="223"/>
      <c r="L675" s="223"/>
      <c r="M675" s="223"/>
      <c r="N675" s="223"/>
      <c r="O675" s="223"/>
      <c r="P675" s="223"/>
      <c r="Q675" s="223"/>
      <c r="R675" s="890"/>
      <c r="S675" s="890"/>
      <c r="T675" s="223"/>
      <c r="U675" s="223"/>
      <c r="V675" s="223"/>
      <c r="W675" s="223"/>
      <c r="X675" s="223"/>
      <c r="Y675" s="223"/>
      <c r="Z675" s="223"/>
      <c r="AA675" s="223"/>
      <c r="AB675" s="223"/>
      <c r="AC675" s="223"/>
    </row>
    <row r="676" spans="1:29" x14ac:dyDescent="0.25">
      <c r="A676" s="223"/>
      <c r="B676" s="223"/>
      <c r="C676" s="223"/>
      <c r="D676" s="223"/>
      <c r="E676" s="223"/>
      <c r="F676" s="276"/>
      <c r="G676" s="226"/>
      <c r="H676" s="223"/>
      <c r="I676" s="223"/>
      <c r="J676" s="223"/>
      <c r="K676" s="223"/>
      <c r="L676" s="223"/>
      <c r="M676" s="223"/>
      <c r="N676" s="223"/>
      <c r="O676" s="223"/>
      <c r="P676" s="223"/>
      <c r="Q676" s="223"/>
      <c r="R676" s="890"/>
      <c r="S676" s="890"/>
      <c r="T676" s="223"/>
      <c r="U676" s="223"/>
      <c r="V676" s="223"/>
      <c r="W676" s="223"/>
      <c r="X676" s="223"/>
      <c r="Y676" s="223"/>
      <c r="Z676" s="223"/>
      <c r="AA676" s="223"/>
      <c r="AB676" s="223"/>
      <c r="AC676" s="223"/>
    </row>
    <row r="677" spans="1:29" x14ac:dyDescent="0.25">
      <c r="A677" s="223"/>
      <c r="B677" s="223"/>
      <c r="C677" s="223"/>
      <c r="D677" s="223"/>
      <c r="E677" s="223"/>
      <c r="F677" s="276"/>
      <c r="G677" s="226"/>
      <c r="H677" s="223"/>
      <c r="I677" s="223"/>
      <c r="J677" s="223"/>
      <c r="K677" s="223"/>
      <c r="L677" s="223"/>
      <c r="M677" s="223"/>
      <c r="N677" s="223"/>
      <c r="O677" s="223"/>
      <c r="P677" s="223"/>
      <c r="Q677" s="223"/>
      <c r="R677" s="890"/>
      <c r="S677" s="890"/>
      <c r="T677" s="223"/>
      <c r="U677" s="223"/>
      <c r="V677" s="223"/>
      <c r="W677" s="223"/>
      <c r="X677" s="223"/>
      <c r="Y677" s="223"/>
      <c r="Z677" s="223"/>
      <c r="AA677" s="223"/>
      <c r="AB677" s="223"/>
      <c r="AC677" s="223"/>
    </row>
    <row r="678" spans="1:29" x14ac:dyDescent="0.25">
      <c r="A678" s="223"/>
      <c r="B678" s="223"/>
      <c r="C678" s="223"/>
      <c r="D678" s="223"/>
      <c r="E678" s="223"/>
      <c r="F678" s="276"/>
      <c r="G678" s="226"/>
      <c r="H678" s="223"/>
      <c r="I678" s="223"/>
      <c r="J678" s="223"/>
      <c r="K678" s="223"/>
      <c r="L678" s="223"/>
      <c r="M678" s="223"/>
      <c r="N678" s="223"/>
      <c r="O678" s="223"/>
      <c r="P678" s="223"/>
      <c r="Q678" s="223"/>
      <c r="R678" s="890"/>
      <c r="S678" s="890"/>
      <c r="T678" s="223"/>
      <c r="U678" s="223"/>
      <c r="V678" s="223"/>
      <c r="W678" s="223"/>
      <c r="X678" s="223"/>
      <c r="Y678" s="223"/>
      <c r="Z678" s="223"/>
      <c r="AA678" s="223"/>
      <c r="AB678" s="223"/>
      <c r="AC678" s="223"/>
    </row>
    <row r="679" spans="1:29" x14ac:dyDescent="0.25">
      <c r="A679" s="223"/>
      <c r="B679" s="223"/>
      <c r="C679" s="223"/>
      <c r="D679" s="223"/>
      <c r="E679" s="223"/>
      <c r="F679" s="276"/>
      <c r="G679" s="226"/>
      <c r="H679" s="223"/>
      <c r="I679" s="223"/>
      <c r="J679" s="223"/>
      <c r="K679" s="223"/>
      <c r="L679" s="223"/>
      <c r="M679" s="223"/>
      <c r="N679" s="223"/>
      <c r="O679" s="223"/>
      <c r="P679" s="223"/>
      <c r="Q679" s="223"/>
      <c r="R679" s="890"/>
      <c r="S679" s="890"/>
      <c r="T679" s="223"/>
      <c r="U679" s="223"/>
      <c r="V679" s="223"/>
      <c r="W679" s="223"/>
      <c r="X679" s="223"/>
      <c r="Y679" s="223"/>
      <c r="Z679" s="223"/>
      <c r="AA679" s="223"/>
      <c r="AB679" s="223"/>
      <c r="AC679" s="223"/>
    </row>
    <row r="680" spans="1:29" x14ac:dyDescent="0.25">
      <c r="A680" s="223"/>
      <c r="B680" s="223"/>
      <c r="C680" s="223"/>
      <c r="D680" s="223"/>
      <c r="E680" s="223"/>
      <c r="F680" s="276"/>
      <c r="G680" s="226"/>
      <c r="H680" s="223"/>
      <c r="I680" s="223"/>
      <c r="J680" s="223"/>
      <c r="K680" s="223"/>
      <c r="L680" s="223"/>
      <c r="M680" s="223"/>
      <c r="N680" s="223"/>
      <c r="O680" s="223"/>
      <c r="P680" s="223"/>
      <c r="Q680" s="223"/>
      <c r="R680" s="890"/>
      <c r="S680" s="890"/>
      <c r="T680" s="223"/>
      <c r="U680" s="223"/>
      <c r="V680" s="223"/>
      <c r="W680" s="223"/>
      <c r="X680" s="223"/>
      <c r="Y680" s="223"/>
      <c r="Z680" s="223"/>
      <c r="AA680" s="223"/>
      <c r="AB680" s="223"/>
      <c r="AC680" s="223"/>
    </row>
    <row r="681" spans="1:29" x14ac:dyDescent="0.25">
      <c r="A681" s="223"/>
      <c r="B681" s="223"/>
      <c r="C681" s="223"/>
      <c r="D681" s="223"/>
      <c r="E681" s="223"/>
      <c r="F681" s="276"/>
      <c r="G681" s="226"/>
      <c r="H681" s="223"/>
      <c r="I681" s="223"/>
      <c r="J681" s="223"/>
      <c r="K681" s="223"/>
      <c r="L681" s="223"/>
      <c r="M681" s="223"/>
      <c r="N681" s="223"/>
      <c r="O681" s="223"/>
      <c r="P681" s="223"/>
      <c r="Q681" s="223"/>
      <c r="R681" s="890"/>
      <c r="S681" s="890"/>
      <c r="T681" s="223"/>
      <c r="U681" s="223"/>
      <c r="V681" s="223"/>
      <c r="W681" s="223"/>
      <c r="X681" s="223"/>
      <c r="Y681" s="223"/>
      <c r="Z681" s="223"/>
      <c r="AA681" s="223"/>
      <c r="AB681" s="223"/>
      <c r="AC681" s="223"/>
    </row>
    <row r="682" spans="1:29" x14ac:dyDescent="0.25">
      <c r="A682" s="223"/>
      <c r="B682" s="223"/>
      <c r="C682" s="223"/>
      <c r="D682" s="223"/>
      <c r="E682" s="223"/>
      <c r="F682" s="276"/>
      <c r="G682" s="226"/>
      <c r="H682" s="223"/>
      <c r="I682" s="223"/>
      <c r="J682" s="223"/>
      <c r="K682" s="223"/>
      <c r="L682" s="223"/>
      <c r="M682" s="223"/>
      <c r="N682" s="223"/>
      <c r="O682" s="223"/>
      <c r="P682" s="223"/>
      <c r="Q682" s="223"/>
      <c r="R682" s="890"/>
      <c r="S682" s="890"/>
      <c r="T682" s="223"/>
      <c r="U682" s="223"/>
      <c r="V682" s="223"/>
      <c r="W682" s="223"/>
      <c r="X682" s="223"/>
      <c r="Y682" s="223"/>
      <c r="Z682" s="223"/>
      <c r="AA682" s="223"/>
      <c r="AB682" s="223"/>
      <c r="AC682" s="223"/>
    </row>
    <row r="683" spans="1:29" x14ac:dyDescent="0.25">
      <c r="A683" s="223"/>
      <c r="B683" s="223"/>
      <c r="C683" s="223"/>
      <c r="D683" s="223"/>
      <c r="E683" s="223"/>
      <c r="F683" s="276"/>
      <c r="G683" s="226"/>
      <c r="H683" s="223"/>
      <c r="I683" s="223"/>
      <c r="J683" s="223"/>
      <c r="K683" s="223"/>
      <c r="L683" s="223"/>
      <c r="M683" s="223"/>
      <c r="N683" s="223"/>
      <c r="O683" s="223"/>
      <c r="P683" s="223"/>
      <c r="Q683" s="223"/>
      <c r="R683" s="890"/>
      <c r="S683" s="890"/>
      <c r="T683" s="223"/>
      <c r="U683" s="223"/>
      <c r="V683" s="223"/>
      <c r="W683" s="223"/>
      <c r="X683" s="223"/>
      <c r="Y683" s="223"/>
      <c r="Z683" s="223"/>
      <c r="AA683" s="223"/>
      <c r="AB683" s="223"/>
      <c r="AC683" s="223"/>
    </row>
    <row r="684" spans="1:29" x14ac:dyDescent="0.25">
      <c r="A684" s="223"/>
      <c r="B684" s="223"/>
      <c r="C684" s="223"/>
      <c r="D684" s="223"/>
      <c r="E684" s="223"/>
      <c r="F684" s="276"/>
      <c r="G684" s="226"/>
      <c r="H684" s="223"/>
      <c r="I684" s="223"/>
      <c r="J684" s="223"/>
      <c r="K684" s="223"/>
      <c r="L684" s="223"/>
      <c r="M684" s="223"/>
      <c r="N684" s="223"/>
      <c r="O684" s="223"/>
      <c r="P684" s="223"/>
      <c r="Q684" s="223"/>
      <c r="R684" s="890"/>
      <c r="S684" s="890"/>
      <c r="T684" s="223"/>
      <c r="U684" s="223"/>
      <c r="V684" s="223"/>
      <c r="W684" s="223"/>
      <c r="X684" s="223"/>
      <c r="Y684" s="223"/>
      <c r="Z684" s="223"/>
      <c r="AA684" s="223"/>
      <c r="AB684" s="223"/>
      <c r="AC684" s="223"/>
    </row>
    <row r="685" spans="1:29" x14ac:dyDescent="0.25">
      <c r="A685" s="223"/>
      <c r="B685" s="223"/>
      <c r="C685" s="223"/>
      <c r="D685" s="223"/>
      <c r="E685" s="223"/>
      <c r="F685" s="276"/>
      <c r="G685" s="226"/>
      <c r="H685" s="223"/>
      <c r="I685" s="223"/>
      <c r="J685" s="223"/>
      <c r="K685" s="223"/>
      <c r="L685" s="223"/>
      <c r="M685" s="223"/>
      <c r="N685" s="223"/>
      <c r="O685" s="223"/>
      <c r="P685" s="223"/>
      <c r="Q685" s="223"/>
      <c r="R685" s="890"/>
      <c r="S685" s="890"/>
      <c r="T685" s="223"/>
      <c r="U685" s="223"/>
      <c r="V685" s="223"/>
      <c r="W685" s="223"/>
      <c r="X685" s="223"/>
      <c r="Y685" s="223"/>
      <c r="Z685" s="223"/>
      <c r="AA685" s="223"/>
      <c r="AB685" s="223"/>
      <c r="AC685" s="223"/>
    </row>
    <row r="686" spans="1:29" x14ac:dyDescent="0.25">
      <c r="A686" s="223"/>
      <c r="B686" s="223"/>
      <c r="C686" s="223"/>
      <c r="D686" s="223"/>
      <c r="E686" s="223"/>
      <c r="F686" s="276"/>
      <c r="G686" s="226"/>
      <c r="H686" s="223"/>
      <c r="I686" s="223"/>
      <c r="J686" s="223"/>
      <c r="K686" s="223"/>
      <c r="L686" s="223"/>
      <c r="M686" s="223"/>
      <c r="N686" s="223"/>
      <c r="O686" s="223"/>
      <c r="P686" s="223"/>
      <c r="Q686" s="223"/>
      <c r="R686" s="890"/>
      <c r="S686" s="890"/>
      <c r="T686" s="223"/>
      <c r="U686" s="223"/>
      <c r="V686" s="223"/>
      <c r="W686" s="223"/>
      <c r="X686" s="223"/>
      <c r="Y686" s="223"/>
      <c r="Z686" s="223"/>
      <c r="AA686" s="223"/>
      <c r="AB686" s="223"/>
      <c r="AC686" s="223"/>
    </row>
    <row r="687" spans="1:29" x14ac:dyDescent="0.25">
      <c r="A687" s="223"/>
      <c r="B687" s="223"/>
      <c r="C687" s="223"/>
      <c r="D687" s="223"/>
      <c r="E687" s="223"/>
      <c r="F687" s="276"/>
      <c r="G687" s="226"/>
      <c r="H687" s="223"/>
      <c r="I687" s="223"/>
      <c r="J687" s="223"/>
      <c r="K687" s="223"/>
      <c r="L687" s="223"/>
      <c r="M687" s="223"/>
      <c r="N687" s="223"/>
      <c r="O687" s="223"/>
      <c r="P687" s="223"/>
      <c r="Q687" s="223"/>
      <c r="R687" s="890"/>
      <c r="S687" s="890"/>
      <c r="T687" s="223"/>
      <c r="U687" s="223"/>
      <c r="V687" s="223"/>
      <c r="W687" s="223"/>
      <c r="X687" s="223"/>
      <c r="Y687" s="223"/>
      <c r="Z687" s="223"/>
      <c r="AA687" s="223"/>
      <c r="AB687" s="223"/>
      <c r="AC687" s="223"/>
    </row>
    <row r="688" spans="1:29" x14ac:dyDescent="0.25">
      <c r="A688" s="223"/>
      <c r="B688" s="223"/>
      <c r="C688" s="223"/>
      <c r="D688" s="223"/>
      <c r="E688" s="223"/>
      <c r="F688" s="276"/>
      <c r="G688" s="226"/>
      <c r="H688" s="223"/>
      <c r="I688" s="223"/>
      <c r="J688" s="223"/>
      <c r="K688" s="223"/>
      <c r="L688" s="223"/>
      <c r="M688" s="223"/>
      <c r="N688" s="223"/>
      <c r="O688" s="223"/>
      <c r="P688" s="223"/>
      <c r="Q688" s="223"/>
      <c r="R688" s="890"/>
      <c r="S688" s="890"/>
      <c r="T688" s="223"/>
      <c r="U688" s="223"/>
      <c r="V688" s="223"/>
      <c r="W688" s="223"/>
      <c r="X688" s="223"/>
      <c r="Y688" s="223"/>
      <c r="Z688" s="223"/>
      <c r="AA688" s="223"/>
      <c r="AB688" s="223"/>
      <c r="AC688" s="223"/>
    </row>
    <row r="689" spans="1:29" x14ac:dyDescent="0.25">
      <c r="A689" s="223"/>
      <c r="B689" s="223"/>
      <c r="C689" s="223"/>
      <c r="D689" s="223"/>
      <c r="E689" s="223"/>
      <c r="F689" s="276"/>
      <c r="G689" s="226"/>
      <c r="H689" s="223"/>
      <c r="I689" s="223"/>
      <c r="J689" s="223"/>
      <c r="K689" s="223"/>
      <c r="L689" s="223"/>
      <c r="M689" s="223"/>
      <c r="N689" s="223"/>
      <c r="O689" s="223"/>
      <c r="P689" s="223"/>
      <c r="Q689" s="223"/>
      <c r="R689" s="890"/>
      <c r="S689" s="890"/>
      <c r="T689" s="223"/>
      <c r="U689" s="223"/>
      <c r="V689" s="223"/>
      <c r="W689" s="223"/>
      <c r="X689" s="223"/>
      <c r="Y689" s="223"/>
      <c r="Z689" s="223"/>
      <c r="AA689" s="223"/>
      <c r="AB689" s="223"/>
      <c r="AC689" s="223"/>
    </row>
    <row r="690" spans="1:29" x14ac:dyDescent="0.25">
      <c r="A690" s="223"/>
      <c r="B690" s="223"/>
      <c r="C690" s="223"/>
      <c r="D690" s="223"/>
      <c r="E690" s="223"/>
      <c r="F690" s="276"/>
      <c r="G690" s="226"/>
      <c r="H690" s="223"/>
      <c r="I690" s="223"/>
      <c r="J690" s="223"/>
      <c r="K690" s="223"/>
      <c r="L690" s="223"/>
      <c r="M690" s="223"/>
      <c r="N690" s="223"/>
      <c r="O690" s="223"/>
      <c r="P690" s="223"/>
      <c r="Q690" s="223"/>
      <c r="R690" s="890"/>
      <c r="S690" s="890"/>
      <c r="T690" s="223"/>
      <c r="U690" s="223"/>
      <c r="V690" s="223"/>
      <c r="W690" s="223"/>
      <c r="X690" s="223"/>
      <c r="Y690" s="223"/>
      <c r="Z690" s="223"/>
      <c r="AA690" s="223"/>
      <c r="AB690" s="223"/>
      <c r="AC690" s="223"/>
    </row>
    <row r="691" spans="1:29" x14ac:dyDescent="0.25">
      <c r="A691" s="223"/>
      <c r="B691" s="223"/>
      <c r="C691" s="223"/>
      <c r="D691" s="223"/>
      <c r="E691" s="223"/>
      <c r="F691" s="276"/>
      <c r="G691" s="226"/>
      <c r="H691" s="223"/>
      <c r="I691" s="223"/>
      <c r="J691" s="223"/>
      <c r="K691" s="223"/>
      <c r="L691" s="223"/>
      <c r="M691" s="223"/>
      <c r="N691" s="223"/>
      <c r="O691" s="223"/>
      <c r="P691" s="223"/>
      <c r="Q691" s="223"/>
      <c r="R691" s="890"/>
      <c r="S691" s="890"/>
      <c r="T691" s="223"/>
      <c r="U691" s="223"/>
      <c r="V691" s="223"/>
      <c r="W691" s="223"/>
      <c r="X691" s="223"/>
      <c r="Y691" s="223"/>
      <c r="Z691" s="223"/>
      <c r="AA691" s="223"/>
      <c r="AB691" s="223"/>
      <c r="AC691" s="223"/>
    </row>
    <row r="692" spans="1:29" x14ac:dyDescent="0.25">
      <c r="A692" s="223"/>
      <c r="B692" s="223"/>
      <c r="C692" s="223"/>
      <c r="D692" s="223"/>
      <c r="E692" s="223"/>
      <c r="F692" s="276"/>
      <c r="G692" s="226"/>
      <c r="H692" s="223"/>
      <c r="I692" s="223"/>
      <c r="J692" s="223"/>
      <c r="K692" s="223"/>
      <c r="L692" s="223"/>
      <c r="M692" s="223"/>
      <c r="N692" s="223"/>
      <c r="O692" s="223"/>
      <c r="P692" s="223"/>
      <c r="Q692" s="223"/>
      <c r="R692" s="890"/>
      <c r="S692" s="890"/>
      <c r="T692" s="223"/>
      <c r="U692" s="223"/>
      <c r="V692" s="223"/>
      <c r="W692" s="223"/>
      <c r="X692" s="223"/>
      <c r="Y692" s="223"/>
      <c r="Z692" s="223"/>
      <c r="AA692" s="223"/>
      <c r="AB692" s="223"/>
      <c r="AC692" s="223"/>
    </row>
    <row r="693" spans="1:29" x14ac:dyDescent="0.25">
      <c r="A693" s="223"/>
      <c r="B693" s="223"/>
      <c r="C693" s="223"/>
      <c r="D693" s="223"/>
      <c r="E693" s="223"/>
      <c r="F693" s="276"/>
      <c r="G693" s="226"/>
      <c r="H693" s="223"/>
      <c r="I693" s="223"/>
      <c r="J693" s="223"/>
      <c r="K693" s="223"/>
      <c r="L693" s="223"/>
      <c r="M693" s="223"/>
      <c r="N693" s="223"/>
      <c r="O693" s="223"/>
      <c r="P693" s="223"/>
      <c r="Q693" s="223"/>
      <c r="R693" s="890"/>
      <c r="S693" s="890"/>
      <c r="T693" s="223"/>
      <c r="U693" s="223"/>
      <c r="V693" s="223"/>
      <c r="W693" s="223"/>
      <c r="X693" s="223"/>
      <c r="Y693" s="223"/>
      <c r="Z693" s="223"/>
      <c r="AA693" s="223"/>
      <c r="AB693" s="223"/>
      <c r="AC693" s="223"/>
    </row>
    <row r="694" spans="1:29" x14ac:dyDescent="0.25">
      <c r="A694" s="223"/>
      <c r="B694" s="223"/>
      <c r="C694" s="223"/>
      <c r="D694" s="223"/>
      <c r="E694" s="223"/>
      <c r="F694" s="276"/>
      <c r="G694" s="226"/>
      <c r="H694" s="223"/>
      <c r="I694" s="223"/>
      <c r="J694" s="223"/>
      <c r="K694" s="223"/>
      <c r="L694" s="223"/>
      <c r="M694" s="223"/>
      <c r="N694" s="223"/>
      <c r="O694" s="223"/>
      <c r="P694" s="223"/>
      <c r="Q694" s="223"/>
      <c r="R694" s="890"/>
      <c r="S694" s="890"/>
      <c r="T694" s="223"/>
      <c r="U694" s="223"/>
      <c r="V694" s="223"/>
      <c r="W694" s="223"/>
      <c r="X694" s="223"/>
      <c r="Y694" s="223"/>
      <c r="Z694" s="223"/>
      <c r="AA694" s="223"/>
      <c r="AB694" s="223"/>
      <c r="AC694" s="223"/>
    </row>
    <row r="695" spans="1:29" x14ac:dyDescent="0.25">
      <c r="A695" s="223"/>
      <c r="B695" s="223"/>
      <c r="C695" s="223"/>
      <c r="D695" s="223"/>
      <c r="E695" s="223"/>
      <c r="F695" s="276"/>
      <c r="G695" s="226"/>
      <c r="H695" s="223"/>
      <c r="I695" s="223"/>
      <c r="J695" s="223"/>
      <c r="K695" s="223"/>
      <c r="L695" s="223"/>
      <c r="M695" s="223"/>
      <c r="N695" s="223"/>
      <c r="O695" s="223"/>
      <c r="P695" s="223"/>
      <c r="Q695" s="223"/>
      <c r="R695" s="890"/>
      <c r="S695" s="890"/>
      <c r="T695" s="223"/>
      <c r="U695" s="223"/>
      <c r="V695" s="223"/>
      <c r="W695" s="223"/>
      <c r="X695" s="223"/>
      <c r="Y695" s="223"/>
      <c r="Z695" s="223"/>
      <c r="AA695" s="223"/>
      <c r="AB695" s="223"/>
      <c r="AC695" s="223"/>
    </row>
    <row r="696" spans="1:29" x14ac:dyDescent="0.25">
      <c r="A696" s="223"/>
      <c r="B696" s="223"/>
      <c r="C696" s="223"/>
      <c r="D696" s="223"/>
      <c r="E696" s="223"/>
      <c r="F696" s="276"/>
      <c r="G696" s="226"/>
      <c r="H696" s="223"/>
      <c r="I696" s="223"/>
      <c r="J696" s="223"/>
      <c r="K696" s="223"/>
      <c r="L696" s="223"/>
      <c r="M696" s="223"/>
      <c r="N696" s="223"/>
      <c r="O696" s="223"/>
      <c r="P696" s="223"/>
      <c r="Q696" s="223"/>
      <c r="R696" s="890"/>
      <c r="S696" s="890"/>
      <c r="T696" s="223"/>
      <c r="U696" s="223"/>
      <c r="V696" s="223"/>
      <c r="W696" s="223"/>
      <c r="X696" s="223"/>
      <c r="Y696" s="223"/>
      <c r="Z696" s="223"/>
      <c r="AA696" s="223"/>
      <c r="AB696" s="223"/>
      <c r="AC696" s="223"/>
    </row>
    <row r="697" spans="1:29" x14ac:dyDescent="0.25">
      <c r="A697" s="223"/>
      <c r="B697" s="223"/>
      <c r="C697" s="223"/>
      <c r="D697" s="223"/>
      <c r="E697" s="223"/>
      <c r="F697" s="276"/>
      <c r="G697" s="226"/>
      <c r="H697" s="223"/>
      <c r="I697" s="223"/>
      <c r="J697" s="223"/>
      <c r="K697" s="223"/>
      <c r="L697" s="223"/>
      <c r="M697" s="223"/>
      <c r="N697" s="223"/>
      <c r="O697" s="223"/>
      <c r="P697" s="223"/>
      <c r="Q697" s="223"/>
      <c r="R697" s="890"/>
      <c r="S697" s="890"/>
      <c r="T697" s="223"/>
      <c r="U697" s="223"/>
      <c r="V697" s="223"/>
      <c r="W697" s="223"/>
      <c r="X697" s="223"/>
      <c r="Y697" s="223"/>
      <c r="Z697" s="223"/>
      <c r="AA697" s="223"/>
      <c r="AB697" s="223"/>
      <c r="AC697" s="223"/>
    </row>
    <row r="698" spans="1:29" x14ac:dyDescent="0.25">
      <c r="A698" s="223"/>
      <c r="B698" s="223"/>
      <c r="C698" s="223"/>
      <c r="D698" s="223"/>
      <c r="E698" s="223"/>
      <c r="F698" s="276"/>
      <c r="G698" s="226"/>
      <c r="H698" s="223"/>
      <c r="I698" s="223"/>
      <c r="J698" s="223"/>
      <c r="K698" s="223"/>
      <c r="L698" s="223"/>
      <c r="M698" s="223"/>
      <c r="N698" s="223"/>
      <c r="O698" s="223"/>
      <c r="P698" s="223"/>
      <c r="Q698" s="223"/>
      <c r="R698" s="890"/>
      <c r="S698" s="890"/>
      <c r="T698" s="223"/>
      <c r="U698" s="223"/>
      <c r="V698" s="223"/>
      <c r="W698" s="223"/>
      <c r="X698" s="223"/>
      <c r="Y698" s="223"/>
      <c r="Z698" s="223"/>
      <c r="AA698" s="223"/>
      <c r="AB698" s="223"/>
      <c r="AC698" s="223"/>
    </row>
    <row r="699" spans="1:29" x14ac:dyDescent="0.25">
      <c r="A699" s="223"/>
      <c r="B699" s="223"/>
      <c r="C699" s="223"/>
      <c r="D699" s="223"/>
      <c r="E699" s="223"/>
      <c r="F699" s="276"/>
      <c r="G699" s="226"/>
      <c r="H699" s="223"/>
      <c r="I699" s="223"/>
      <c r="J699" s="223"/>
      <c r="K699" s="223"/>
      <c r="L699" s="223"/>
      <c r="M699" s="223"/>
      <c r="N699" s="223"/>
      <c r="O699" s="223"/>
      <c r="P699" s="223"/>
      <c r="Q699" s="223"/>
      <c r="R699" s="890"/>
      <c r="S699" s="890"/>
      <c r="T699" s="223"/>
      <c r="U699" s="223"/>
      <c r="V699" s="223"/>
      <c r="W699" s="223"/>
      <c r="X699" s="223"/>
      <c r="Y699" s="223"/>
      <c r="Z699" s="223"/>
      <c r="AA699" s="223"/>
      <c r="AB699" s="223"/>
      <c r="AC699" s="223"/>
    </row>
    <row r="700" spans="1:29" x14ac:dyDescent="0.25">
      <c r="A700" s="223"/>
      <c r="B700" s="223"/>
      <c r="C700" s="223"/>
      <c r="D700" s="223"/>
      <c r="E700" s="223"/>
      <c r="F700" s="276"/>
      <c r="G700" s="226"/>
      <c r="H700" s="223"/>
      <c r="I700" s="223"/>
      <c r="J700" s="223"/>
      <c r="K700" s="223"/>
      <c r="L700" s="223"/>
      <c r="M700" s="223"/>
      <c r="N700" s="223"/>
      <c r="O700" s="223"/>
      <c r="P700" s="223"/>
      <c r="Q700" s="223"/>
      <c r="R700" s="890"/>
      <c r="S700" s="890"/>
      <c r="T700" s="223"/>
      <c r="U700" s="223"/>
      <c r="V700" s="223"/>
      <c r="W700" s="223"/>
      <c r="X700" s="223"/>
      <c r="Y700" s="223"/>
      <c r="Z700" s="223"/>
      <c r="AA700" s="223"/>
      <c r="AB700" s="223"/>
      <c r="AC700" s="223"/>
    </row>
    <row r="701" spans="1:29" x14ac:dyDescent="0.25">
      <c r="A701" s="223"/>
      <c r="B701" s="223"/>
      <c r="C701" s="223"/>
      <c r="D701" s="223"/>
      <c r="E701" s="223"/>
      <c r="F701" s="276"/>
      <c r="G701" s="226"/>
      <c r="H701" s="223"/>
      <c r="I701" s="223"/>
      <c r="J701" s="223"/>
      <c r="K701" s="223"/>
      <c r="L701" s="223"/>
      <c r="M701" s="223"/>
      <c r="N701" s="223"/>
      <c r="O701" s="223"/>
      <c r="P701" s="223"/>
      <c r="Q701" s="223"/>
      <c r="R701" s="890"/>
      <c r="S701" s="890"/>
      <c r="T701" s="223"/>
      <c r="U701" s="223"/>
      <c r="V701" s="223"/>
      <c r="W701" s="223"/>
      <c r="X701" s="223"/>
      <c r="Y701" s="223"/>
      <c r="Z701" s="223"/>
      <c r="AA701" s="223"/>
      <c r="AB701" s="223"/>
      <c r="AC701" s="223"/>
    </row>
    <row r="702" spans="1:29" x14ac:dyDescent="0.25">
      <c r="A702" s="223"/>
      <c r="B702" s="223"/>
      <c r="C702" s="223"/>
      <c r="D702" s="223"/>
      <c r="E702" s="223"/>
      <c r="F702" s="276"/>
      <c r="G702" s="226"/>
      <c r="H702" s="223"/>
      <c r="I702" s="223"/>
      <c r="J702" s="223"/>
      <c r="K702" s="223"/>
      <c r="L702" s="223"/>
      <c r="M702" s="223"/>
      <c r="N702" s="223"/>
      <c r="O702" s="223"/>
      <c r="P702" s="223"/>
      <c r="Q702" s="223"/>
      <c r="R702" s="890"/>
      <c r="S702" s="890"/>
      <c r="T702" s="223"/>
      <c r="U702" s="223"/>
      <c r="V702" s="223"/>
      <c r="W702" s="223"/>
      <c r="X702" s="223"/>
      <c r="Y702" s="223"/>
      <c r="Z702" s="223"/>
      <c r="AA702" s="223"/>
      <c r="AB702" s="223"/>
      <c r="AC702" s="223"/>
    </row>
    <row r="703" spans="1:29" x14ac:dyDescent="0.25">
      <c r="A703" s="223"/>
      <c r="B703" s="223"/>
      <c r="C703" s="223"/>
      <c r="D703" s="223"/>
      <c r="E703" s="223"/>
      <c r="F703" s="276"/>
      <c r="G703" s="226"/>
      <c r="H703" s="223"/>
      <c r="I703" s="223"/>
      <c r="J703" s="223"/>
      <c r="K703" s="223"/>
      <c r="L703" s="223"/>
      <c r="M703" s="223"/>
      <c r="N703" s="223"/>
      <c r="O703" s="223"/>
      <c r="P703" s="223"/>
      <c r="Q703" s="223"/>
      <c r="R703" s="890"/>
      <c r="S703" s="890"/>
      <c r="T703" s="223"/>
      <c r="U703" s="223"/>
      <c r="V703" s="223"/>
      <c r="W703" s="223"/>
      <c r="X703" s="223"/>
      <c r="Y703" s="223"/>
      <c r="Z703" s="223"/>
      <c r="AA703" s="223"/>
      <c r="AB703" s="223"/>
      <c r="AC703" s="223"/>
    </row>
    <row r="704" spans="1:29" x14ac:dyDescent="0.25">
      <c r="A704" s="223"/>
      <c r="B704" s="223"/>
      <c r="C704" s="223"/>
      <c r="D704" s="223"/>
      <c r="E704" s="223"/>
      <c r="F704" s="276"/>
      <c r="G704" s="226"/>
      <c r="H704" s="223"/>
      <c r="I704" s="223"/>
      <c r="J704" s="223"/>
      <c r="K704" s="223"/>
      <c r="L704" s="223"/>
      <c r="M704" s="223"/>
      <c r="N704" s="223"/>
      <c r="O704" s="223"/>
      <c r="P704" s="223"/>
      <c r="Q704" s="223"/>
      <c r="R704" s="890"/>
      <c r="S704" s="890"/>
      <c r="T704" s="223"/>
      <c r="U704" s="223"/>
      <c r="V704" s="223"/>
      <c r="W704" s="223"/>
      <c r="X704" s="223"/>
      <c r="Y704" s="223"/>
      <c r="Z704" s="223"/>
      <c r="AA704" s="223"/>
      <c r="AB704" s="223"/>
      <c r="AC704" s="223"/>
    </row>
    <row r="705" spans="1:29" x14ac:dyDescent="0.25">
      <c r="A705" s="223"/>
      <c r="B705" s="223"/>
      <c r="C705" s="223"/>
      <c r="D705" s="223"/>
      <c r="E705" s="223"/>
      <c r="F705" s="276"/>
      <c r="G705" s="226"/>
      <c r="H705" s="223"/>
      <c r="I705" s="223"/>
      <c r="J705" s="223"/>
      <c r="K705" s="223"/>
      <c r="L705" s="223"/>
      <c r="M705" s="223"/>
      <c r="N705" s="223"/>
      <c r="O705" s="223"/>
      <c r="P705" s="223"/>
      <c r="Q705" s="223"/>
      <c r="R705" s="890"/>
      <c r="S705" s="890"/>
      <c r="T705" s="223"/>
      <c r="U705" s="223"/>
      <c r="V705" s="223"/>
      <c r="W705" s="223"/>
      <c r="X705" s="223"/>
      <c r="Y705" s="223"/>
      <c r="Z705" s="223"/>
      <c r="AA705" s="223"/>
      <c r="AB705" s="223"/>
      <c r="AC705" s="223"/>
    </row>
    <row r="706" spans="1:29" x14ac:dyDescent="0.25">
      <c r="A706" s="223"/>
      <c r="B706" s="223"/>
      <c r="C706" s="223"/>
      <c r="D706" s="223"/>
      <c r="E706" s="223"/>
      <c r="F706" s="276"/>
      <c r="G706" s="226"/>
      <c r="H706" s="223"/>
      <c r="I706" s="223"/>
      <c r="J706" s="223"/>
      <c r="K706" s="223"/>
      <c r="L706" s="223"/>
      <c r="M706" s="223"/>
      <c r="N706" s="223"/>
      <c r="O706" s="223"/>
      <c r="P706" s="223"/>
      <c r="Q706" s="223"/>
      <c r="R706" s="890"/>
      <c r="S706" s="890"/>
      <c r="T706" s="223"/>
      <c r="U706" s="223"/>
      <c r="V706" s="223"/>
      <c r="W706" s="223"/>
      <c r="X706" s="223"/>
      <c r="Y706" s="223"/>
      <c r="Z706" s="223"/>
      <c r="AA706" s="223"/>
      <c r="AB706" s="223"/>
      <c r="AC706" s="223"/>
    </row>
    <row r="707" spans="1:29" x14ac:dyDescent="0.25">
      <c r="A707" s="223"/>
      <c r="B707" s="223"/>
      <c r="C707" s="223"/>
      <c r="D707" s="223"/>
      <c r="E707" s="223"/>
      <c r="F707" s="276"/>
      <c r="G707" s="226"/>
      <c r="H707" s="223"/>
      <c r="I707" s="223"/>
      <c r="J707" s="223"/>
      <c r="K707" s="223"/>
      <c r="L707" s="223"/>
      <c r="M707" s="223"/>
      <c r="N707" s="223"/>
      <c r="O707" s="223"/>
      <c r="P707" s="223"/>
      <c r="Q707" s="223"/>
      <c r="R707" s="890"/>
      <c r="S707" s="890"/>
      <c r="T707" s="223"/>
      <c r="U707" s="223"/>
      <c r="V707" s="223"/>
      <c r="W707" s="223"/>
      <c r="X707" s="223"/>
      <c r="Y707" s="223"/>
      <c r="Z707" s="223"/>
      <c r="AA707" s="223"/>
      <c r="AB707" s="223"/>
      <c r="AC707" s="223"/>
    </row>
    <row r="708" spans="1:29" x14ac:dyDescent="0.25">
      <c r="A708" s="223"/>
      <c r="B708" s="223"/>
      <c r="C708" s="223"/>
      <c r="D708" s="223"/>
      <c r="E708" s="223"/>
      <c r="F708" s="276"/>
      <c r="G708" s="226"/>
      <c r="H708" s="223"/>
      <c r="I708" s="223"/>
      <c r="J708" s="223"/>
      <c r="K708" s="223"/>
      <c r="L708" s="223"/>
      <c r="M708" s="223"/>
      <c r="N708" s="223"/>
      <c r="O708" s="223"/>
      <c r="P708" s="223"/>
      <c r="Q708" s="223"/>
      <c r="R708" s="890"/>
      <c r="S708" s="890"/>
      <c r="T708" s="223"/>
      <c r="U708" s="223"/>
      <c r="V708" s="223"/>
      <c r="W708" s="223"/>
      <c r="X708" s="223"/>
      <c r="Y708" s="223"/>
      <c r="Z708" s="223"/>
      <c r="AA708" s="223"/>
      <c r="AB708" s="223"/>
      <c r="AC708" s="223"/>
    </row>
    <row r="709" spans="1:29" x14ac:dyDescent="0.25">
      <c r="A709" s="223"/>
      <c r="B709" s="223"/>
      <c r="C709" s="223"/>
      <c r="D709" s="223"/>
      <c r="E709" s="223"/>
      <c r="F709" s="276"/>
      <c r="G709" s="226"/>
      <c r="H709" s="223"/>
      <c r="I709" s="223"/>
      <c r="J709" s="223"/>
      <c r="K709" s="223"/>
      <c r="L709" s="223"/>
      <c r="M709" s="223"/>
      <c r="N709" s="223"/>
      <c r="O709" s="223"/>
      <c r="P709" s="223"/>
      <c r="Q709" s="223"/>
      <c r="R709" s="890"/>
      <c r="S709" s="890"/>
      <c r="T709" s="223"/>
      <c r="U709" s="223"/>
      <c r="V709" s="223"/>
      <c r="W709" s="223"/>
      <c r="X709" s="223"/>
      <c r="Y709" s="223"/>
      <c r="Z709" s="223"/>
      <c r="AA709" s="223"/>
      <c r="AB709" s="223"/>
      <c r="AC709" s="223"/>
    </row>
    <row r="710" spans="1:29" x14ac:dyDescent="0.25">
      <c r="A710" s="223"/>
      <c r="B710" s="223"/>
      <c r="C710" s="223"/>
      <c r="D710" s="223"/>
      <c r="E710" s="223"/>
      <c r="F710" s="276"/>
      <c r="G710" s="226"/>
      <c r="H710" s="223"/>
      <c r="I710" s="223"/>
      <c r="J710" s="223"/>
      <c r="K710" s="223"/>
      <c r="L710" s="223"/>
      <c r="M710" s="223"/>
      <c r="N710" s="223"/>
      <c r="O710" s="223"/>
      <c r="P710" s="223"/>
      <c r="Q710" s="223"/>
      <c r="R710" s="890"/>
      <c r="S710" s="890"/>
      <c r="T710" s="223"/>
      <c r="U710" s="223"/>
      <c r="V710" s="223"/>
      <c r="W710" s="223"/>
      <c r="X710" s="223"/>
      <c r="Y710" s="223"/>
      <c r="Z710" s="223"/>
      <c r="AA710" s="223"/>
      <c r="AB710" s="223"/>
      <c r="AC710" s="223"/>
    </row>
    <row r="711" spans="1:29" x14ac:dyDescent="0.25">
      <c r="A711" s="223"/>
      <c r="B711" s="223"/>
      <c r="C711" s="223"/>
      <c r="D711" s="223"/>
      <c r="E711" s="223"/>
      <c r="F711" s="276"/>
      <c r="G711" s="226"/>
      <c r="H711" s="223"/>
      <c r="I711" s="223"/>
      <c r="J711" s="223"/>
      <c r="K711" s="223"/>
      <c r="L711" s="223"/>
      <c r="M711" s="223"/>
      <c r="N711" s="223"/>
      <c r="O711" s="223"/>
      <c r="P711" s="223"/>
      <c r="Q711" s="223"/>
      <c r="R711" s="890"/>
      <c r="S711" s="890"/>
      <c r="T711" s="223"/>
      <c r="U711" s="223"/>
      <c r="V711" s="223"/>
      <c r="W711" s="223"/>
      <c r="X711" s="223"/>
      <c r="Y711" s="223"/>
      <c r="Z711" s="223"/>
      <c r="AA711" s="223"/>
      <c r="AB711" s="223"/>
      <c r="AC711" s="223"/>
    </row>
    <row r="712" spans="1:29" x14ac:dyDescent="0.25">
      <c r="A712" s="223"/>
      <c r="B712" s="223"/>
      <c r="C712" s="223"/>
      <c r="D712" s="223"/>
      <c r="E712" s="223"/>
      <c r="F712" s="276"/>
      <c r="G712" s="226"/>
      <c r="H712" s="223"/>
      <c r="I712" s="223"/>
      <c r="J712" s="223"/>
      <c r="K712" s="223"/>
      <c r="L712" s="223"/>
      <c r="M712" s="223"/>
      <c r="N712" s="223"/>
      <c r="O712" s="223"/>
      <c r="P712" s="223"/>
      <c r="Q712" s="223"/>
      <c r="R712" s="890"/>
      <c r="S712" s="890"/>
      <c r="T712" s="223"/>
      <c r="U712" s="223"/>
      <c r="V712" s="223"/>
      <c r="W712" s="223"/>
      <c r="X712" s="223"/>
      <c r="Y712" s="223"/>
      <c r="Z712" s="223"/>
      <c r="AA712" s="223"/>
      <c r="AB712" s="223"/>
      <c r="AC712" s="223"/>
    </row>
    <row r="713" spans="1:29" x14ac:dyDescent="0.25">
      <c r="A713" s="223"/>
      <c r="B713" s="223"/>
      <c r="C713" s="223"/>
      <c r="D713" s="223"/>
      <c r="E713" s="223"/>
      <c r="F713" s="276"/>
      <c r="G713" s="226"/>
      <c r="H713" s="223"/>
      <c r="I713" s="223"/>
      <c r="J713" s="223"/>
      <c r="K713" s="223"/>
      <c r="L713" s="223"/>
      <c r="M713" s="223"/>
      <c r="N713" s="223"/>
      <c r="O713" s="223"/>
      <c r="P713" s="223"/>
      <c r="Q713" s="223"/>
      <c r="R713" s="890"/>
      <c r="S713" s="890"/>
      <c r="T713" s="223"/>
      <c r="U713" s="223"/>
      <c r="V713" s="223"/>
      <c r="W713" s="223"/>
      <c r="X713" s="223"/>
      <c r="Y713" s="223"/>
      <c r="Z713" s="223"/>
      <c r="AA713" s="223"/>
      <c r="AB713" s="223"/>
      <c r="AC713" s="223"/>
    </row>
    <row r="714" spans="1:29" x14ac:dyDescent="0.25">
      <c r="A714" s="223"/>
      <c r="B714" s="223"/>
      <c r="C714" s="223"/>
      <c r="D714" s="223"/>
      <c r="E714" s="223"/>
      <c r="F714" s="276"/>
      <c r="G714" s="226"/>
      <c r="H714" s="223"/>
      <c r="I714" s="223"/>
      <c r="J714" s="223"/>
      <c r="K714" s="223"/>
      <c r="L714" s="223"/>
      <c r="M714" s="223"/>
      <c r="N714" s="223"/>
      <c r="O714" s="223"/>
      <c r="P714" s="223"/>
      <c r="Q714" s="223"/>
      <c r="R714" s="890"/>
      <c r="S714" s="890"/>
      <c r="T714" s="223"/>
      <c r="U714" s="223"/>
      <c r="V714" s="223"/>
      <c r="W714" s="223"/>
      <c r="X714" s="223"/>
      <c r="Y714" s="223"/>
      <c r="Z714" s="223"/>
      <c r="AA714" s="223"/>
      <c r="AB714" s="223"/>
      <c r="AC714" s="223"/>
    </row>
    <row r="715" spans="1:29" x14ac:dyDescent="0.25">
      <c r="A715" s="223"/>
      <c r="B715" s="223"/>
      <c r="C715" s="223"/>
      <c r="D715" s="223"/>
      <c r="E715" s="223"/>
      <c r="F715" s="276"/>
      <c r="G715" s="226"/>
      <c r="H715" s="223"/>
      <c r="I715" s="223"/>
      <c r="J715" s="223"/>
      <c r="K715" s="223"/>
      <c r="L715" s="223"/>
      <c r="M715" s="223"/>
      <c r="N715" s="223"/>
      <c r="O715" s="223"/>
      <c r="P715" s="223"/>
      <c r="Q715" s="223"/>
      <c r="R715" s="890"/>
      <c r="S715" s="890"/>
      <c r="T715" s="223"/>
      <c r="U715" s="223"/>
      <c r="V715" s="223"/>
      <c r="W715" s="223"/>
      <c r="X715" s="223"/>
      <c r="Y715" s="223"/>
      <c r="Z715" s="223"/>
      <c r="AA715" s="223"/>
      <c r="AB715" s="223"/>
      <c r="AC715" s="223"/>
    </row>
    <row r="716" spans="1:29" x14ac:dyDescent="0.25">
      <c r="A716" s="223"/>
      <c r="B716" s="223"/>
      <c r="C716" s="223"/>
      <c r="D716" s="223"/>
      <c r="E716" s="223"/>
      <c r="F716" s="276"/>
      <c r="G716" s="226"/>
      <c r="H716" s="223"/>
      <c r="I716" s="223"/>
      <c r="J716" s="223"/>
      <c r="K716" s="223"/>
      <c r="L716" s="223"/>
      <c r="M716" s="223"/>
      <c r="N716" s="223"/>
      <c r="O716" s="223"/>
      <c r="P716" s="223"/>
      <c r="Q716" s="223"/>
      <c r="R716" s="890"/>
      <c r="S716" s="890"/>
      <c r="T716" s="223"/>
      <c r="U716" s="223"/>
      <c r="V716" s="223"/>
      <c r="W716" s="223"/>
      <c r="X716" s="223"/>
      <c r="Y716" s="223"/>
      <c r="Z716" s="223"/>
      <c r="AA716" s="223"/>
      <c r="AB716" s="223"/>
      <c r="AC716" s="223"/>
    </row>
    <row r="717" spans="1:29" x14ac:dyDescent="0.25">
      <c r="A717" s="223"/>
      <c r="B717" s="223"/>
      <c r="C717" s="223"/>
      <c r="D717" s="223"/>
      <c r="E717" s="223"/>
      <c r="F717" s="276"/>
      <c r="G717" s="226"/>
      <c r="H717" s="223"/>
      <c r="I717" s="223"/>
      <c r="J717" s="223"/>
      <c r="K717" s="223"/>
      <c r="L717" s="223"/>
      <c r="M717" s="223"/>
      <c r="N717" s="223"/>
      <c r="O717" s="223"/>
      <c r="P717" s="223"/>
      <c r="Q717" s="223"/>
      <c r="R717" s="890"/>
      <c r="S717" s="890"/>
      <c r="T717" s="223"/>
      <c r="U717" s="223"/>
      <c r="V717" s="223"/>
      <c r="W717" s="223"/>
      <c r="X717" s="223"/>
      <c r="Y717" s="223"/>
      <c r="Z717" s="223"/>
      <c r="AA717" s="223"/>
      <c r="AB717" s="223"/>
      <c r="AC717" s="223"/>
    </row>
    <row r="718" spans="1:29" x14ac:dyDescent="0.25">
      <c r="A718" s="223"/>
      <c r="B718" s="223"/>
      <c r="C718" s="223"/>
      <c r="D718" s="223"/>
      <c r="E718" s="223"/>
      <c r="F718" s="276"/>
      <c r="G718" s="226"/>
      <c r="H718" s="223"/>
      <c r="I718" s="223"/>
      <c r="J718" s="223"/>
      <c r="K718" s="223"/>
      <c r="L718" s="223"/>
      <c r="M718" s="223"/>
      <c r="N718" s="223"/>
      <c r="O718" s="223"/>
      <c r="P718" s="223"/>
      <c r="Q718" s="223"/>
      <c r="R718" s="890"/>
      <c r="S718" s="890"/>
      <c r="T718" s="223"/>
      <c r="U718" s="223"/>
      <c r="V718" s="223"/>
      <c r="W718" s="223"/>
      <c r="X718" s="223"/>
      <c r="Y718" s="223"/>
      <c r="Z718" s="223"/>
      <c r="AA718" s="223"/>
      <c r="AB718" s="223"/>
      <c r="AC718" s="223"/>
    </row>
    <row r="719" spans="1:29" x14ac:dyDescent="0.25">
      <c r="A719" s="223"/>
      <c r="B719" s="223"/>
      <c r="C719" s="223"/>
      <c r="D719" s="223"/>
      <c r="E719" s="223"/>
      <c r="F719" s="276"/>
      <c r="G719" s="226"/>
      <c r="H719" s="223"/>
      <c r="I719" s="223"/>
      <c r="J719" s="223"/>
      <c r="K719" s="223"/>
      <c r="L719" s="223"/>
      <c r="M719" s="223"/>
      <c r="N719" s="223"/>
      <c r="O719" s="223"/>
      <c r="P719" s="223"/>
      <c r="Q719" s="223"/>
      <c r="R719" s="890"/>
      <c r="S719" s="890"/>
      <c r="T719" s="223"/>
      <c r="U719" s="223"/>
      <c r="V719" s="223"/>
      <c r="W719" s="223"/>
      <c r="X719" s="223"/>
      <c r="Y719" s="223"/>
      <c r="Z719" s="223"/>
      <c r="AA719" s="223"/>
      <c r="AB719" s="223"/>
      <c r="AC719" s="223"/>
    </row>
    <row r="720" spans="1:29" x14ac:dyDescent="0.25">
      <c r="A720" s="223"/>
      <c r="B720" s="223"/>
      <c r="C720" s="223"/>
      <c r="D720" s="223"/>
      <c r="E720" s="223"/>
      <c r="F720" s="276"/>
      <c r="G720" s="226"/>
      <c r="H720" s="223"/>
      <c r="I720" s="223"/>
      <c r="J720" s="223"/>
      <c r="K720" s="223"/>
      <c r="L720" s="223"/>
      <c r="M720" s="223"/>
      <c r="N720" s="223"/>
      <c r="O720" s="223"/>
      <c r="P720" s="223"/>
      <c r="Q720" s="223"/>
      <c r="R720" s="890"/>
      <c r="S720" s="890"/>
      <c r="T720" s="223"/>
      <c r="U720" s="223"/>
      <c r="V720" s="223"/>
      <c r="W720" s="223"/>
      <c r="X720" s="223"/>
      <c r="Y720" s="223"/>
      <c r="Z720" s="223"/>
      <c r="AA720" s="223"/>
      <c r="AB720" s="223"/>
      <c r="AC720" s="223"/>
    </row>
    <row r="721" spans="1:29" x14ac:dyDescent="0.25">
      <c r="A721" s="223"/>
      <c r="B721" s="223"/>
      <c r="C721" s="223"/>
      <c r="D721" s="223"/>
      <c r="E721" s="223"/>
      <c r="F721" s="276"/>
      <c r="G721" s="226"/>
      <c r="H721" s="223"/>
      <c r="I721" s="223"/>
      <c r="J721" s="223"/>
      <c r="K721" s="223"/>
      <c r="L721" s="223"/>
      <c r="M721" s="223"/>
      <c r="N721" s="223"/>
      <c r="O721" s="223"/>
      <c r="P721" s="223"/>
      <c r="Q721" s="223"/>
      <c r="R721" s="890"/>
      <c r="S721" s="890"/>
      <c r="T721" s="223"/>
      <c r="U721" s="223"/>
      <c r="V721" s="223"/>
      <c r="W721" s="223"/>
      <c r="X721" s="223"/>
      <c r="Y721" s="223"/>
      <c r="Z721" s="223"/>
      <c r="AA721" s="223"/>
      <c r="AB721" s="223"/>
      <c r="AC721" s="223"/>
    </row>
    <row r="722" spans="1:29" x14ac:dyDescent="0.25">
      <c r="A722" s="223"/>
      <c r="B722" s="223"/>
      <c r="C722" s="223"/>
      <c r="D722" s="223"/>
      <c r="E722" s="223"/>
      <c r="F722" s="276"/>
      <c r="G722" s="226"/>
      <c r="H722" s="223"/>
      <c r="I722" s="223"/>
      <c r="J722" s="223"/>
      <c r="K722" s="223"/>
      <c r="L722" s="223"/>
      <c r="M722" s="223"/>
      <c r="N722" s="223"/>
      <c r="O722" s="223"/>
      <c r="P722" s="223"/>
      <c r="Q722" s="223"/>
      <c r="R722" s="890"/>
      <c r="S722" s="890"/>
      <c r="T722" s="223"/>
      <c r="U722" s="223"/>
      <c r="V722" s="223"/>
      <c r="W722" s="223"/>
      <c r="X722" s="223"/>
      <c r="Y722" s="223"/>
      <c r="Z722" s="223"/>
      <c r="AA722" s="223"/>
      <c r="AB722" s="223"/>
      <c r="AC722" s="223"/>
    </row>
    <row r="723" spans="1:29" x14ac:dyDescent="0.25">
      <c r="A723" s="223"/>
      <c r="B723" s="223"/>
      <c r="C723" s="223"/>
      <c r="D723" s="223"/>
      <c r="E723" s="223"/>
      <c r="F723" s="276"/>
      <c r="G723" s="226"/>
      <c r="H723" s="223"/>
      <c r="I723" s="223"/>
      <c r="J723" s="223"/>
      <c r="K723" s="223"/>
      <c r="L723" s="223"/>
      <c r="M723" s="223"/>
      <c r="N723" s="223"/>
      <c r="O723" s="223"/>
      <c r="P723" s="223"/>
      <c r="Q723" s="223"/>
      <c r="R723" s="890"/>
      <c r="S723" s="890"/>
      <c r="T723" s="223"/>
      <c r="U723" s="223"/>
      <c r="V723" s="223"/>
      <c r="W723" s="223"/>
      <c r="X723" s="223"/>
      <c r="Y723" s="223"/>
      <c r="Z723" s="223"/>
      <c r="AA723" s="223"/>
      <c r="AB723" s="223"/>
      <c r="AC723" s="223"/>
    </row>
    <row r="724" spans="1:29" x14ac:dyDescent="0.25">
      <c r="A724" s="223"/>
      <c r="B724" s="223"/>
      <c r="C724" s="223"/>
      <c r="D724" s="223"/>
      <c r="E724" s="223"/>
      <c r="F724" s="276"/>
      <c r="G724" s="226"/>
      <c r="H724" s="223"/>
      <c r="I724" s="223"/>
      <c r="J724" s="223"/>
      <c r="K724" s="223"/>
      <c r="L724" s="223"/>
      <c r="M724" s="223"/>
      <c r="N724" s="223"/>
      <c r="O724" s="223"/>
      <c r="P724" s="223"/>
      <c r="Q724" s="223"/>
      <c r="R724" s="890"/>
      <c r="S724" s="890"/>
      <c r="T724" s="223"/>
      <c r="U724" s="223"/>
      <c r="V724" s="223"/>
      <c r="W724" s="223"/>
      <c r="X724" s="223"/>
      <c r="Y724" s="223"/>
      <c r="Z724" s="223"/>
      <c r="AA724" s="223"/>
      <c r="AB724" s="223"/>
      <c r="AC724" s="223"/>
    </row>
    <row r="725" spans="1:29" x14ac:dyDescent="0.25">
      <c r="A725" s="223"/>
      <c r="B725" s="223"/>
      <c r="C725" s="223"/>
      <c r="D725" s="223"/>
      <c r="E725" s="223"/>
      <c r="F725" s="276"/>
      <c r="G725" s="226"/>
      <c r="H725" s="223"/>
      <c r="I725" s="223"/>
      <c r="J725" s="223"/>
      <c r="K725" s="223"/>
      <c r="L725" s="223"/>
      <c r="M725" s="223"/>
      <c r="N725" s="223"/>
      <c r="O725" s="223"/>
      <c r="P725" s="223"/>
      <c r="Q725" s="223"/>
      <c r="R725" s="890"/>
      <c r="S725" s="890"/>
      <c r="T725" s="223"/>
      <c r="U725" s="223"/>
      <c r="V725" s="223"/>
      <c r="W725" s="223"/>
      <c r="X725" s="223"/>
      <c r="Y725" s="223"/>
      <c r="Z725" s="223"/>
      <c r="AA725" s="223"/>
      <c r="AB725" s="223"/>
      <c r="AC725" s="223"/>
    </row>
    <row r="726" spans="1:29" x14ac:dyDescent="0.25">
      <c r="A726" s="223"/>
      <c r="B726" s="223"/>
      <c r="C726" s="223"/>
      <c r="D726" s="223"/>
      <c r="E726" s="223"/>
      <c r="F726" s="276"/>
      <c r="G726" s="226"/>
      <c r="H726" s="223"/>
      <c r="I726" s="223"/>
      <c r="J726" s="223"/>
      <c r="K726" s="223"/>
      <c r="L726" s="223"/>
      <c r="M726" s="223"/>
      <c r="N726" s="223"/>
      <c r="O726" s="223"/>
      <c r="P726" s="223"/>
      <c r="Q726" s="223"/>
      <c r="R726" s="890"/>
      <c r="S726" s="890"/>
      <c r="T726" s="223"/>
      <c r="U726" s="223"/>
      <c r="V726" s="223"/>
      <c r="W726" s="223"/>
      <c r="X726" s="223"/>
      <c r="Y726" s="223"/>
      <c r="Z726" s="223"/>
      <c r="AA726" s="223"/>
      <c r="AB726" s="223"/>
      <c r="AC726" s="223"/>
    </row>
    <row r="727" spans="1:29" x14ac:dyDescent="0.25">
      <c r="A727" s="223"/>
      <c r="B727" s="223"/>
      <c r="C727" s="223"/>
      <c r="D727" s="223"/>
      <c r="E727" s="223"/>
      <c r="F727" s="276"/>
      <c r="G727" s="226"/>
      <c r="H727" s="223"/>
      <c r="I727" s="223"/>
      <c r="J727" s="223"/>
      <c r="K727" s="223"/>
      <c r="L727" s="223"/>
      <c r="M727" s="223"/>
      <c r="N727" s="223"/>
      <c r="O727" s="223"/>
      <c r="P727" s="223"/>
      <c r="Q727" s="223"/>
      <c r="R727" s="890"/>
      <c r="S727" s="890"/>
      <c r="T727" s="223"/>
      <c r="U727" s="223"/>
      <c r="V727" s="223"/>
      <c r="W727" s="223"/>
      <c r="X727" s="223"/>
      <c r="Y727" s="223"/>
      <c r="Z727" s="223"/>
      <c r="AA727" s="223"/>
      <c r="AB727" s="223"/>
      <c r="AC727" s="223"/>
    </row>
    <row r="728" spans="1:29" x14ac:dyDescent="0.25">
      <c r="A728" s="223"/>
      <c r="B728" s="223"/>
      <c r="C728" s="223"/>
      <c r="D728" s="223"/>
      <c r="E728" s="223"/>
      <c r="F728" s="276"/>
      <c r="G728" s="226"/>
      <c r="H728" s="223"/>
      <c r="I728" s="223"/>
      <c r="J728" s="223"/>
      <c r="K728" s="223"/>
      <c r="L728" s="223"/>
      <c r="M728" s="223"/>
      <c r="N728" s="223"/>
      <c r="O728" s="223"/>
      <c r="P728" s="223"/>
      <c r="Q728" s="223"/>
      <c r="R728" s="890"/>
      <c r="S728" s="890"/>
      <c r="T728" s="223"/>
      <c r="U728" s="223"/>
      <c r="V728" s="223"/>
      <c r="W728" s="223"/>
      <c r="X728" s="223"/>
      <c r="Y728" s="223"/>
      <c r="Z728" s="223"/>
      <c r="AA728" s="223"/>
      <c r="AB728" s="223"/>
      <c r="AC728" s="223"/>
    </row>
    <row r="729" spans="1:29" x14ac:dyDescent="0.25">
      <c r="A729" s="223"/>
      <c r="B729" s="223"/>
      <c r="C729" s="223"/>
      <c r="D729" s="223"/>
      <c r="E729" s="223"/>
      <c r="F729" s="276"/>
      <c r="G729" s="226"/>
      <c r="H729" s="223"/>
      <c r="I729" s="223"/>
      <c r="J729" s="223"/>
      <c r="K729" s="223"/>
      <c r="L729" s="223"/>
      <c r="M729" s="223"/>
      <c r="N729" s="223"/>
      <c r="O729" s="223"/>
      <c r="P729" s="223"/>
      <c r="Q729" s="223"/>
      <c r="R729" s="890"/>
      <c r="S729" s="890"/>
      <c r="T729" s="223"/>
      <c r="U729" s="223"/>
      <c r="V729" s="223"/>
      <c r="W729" s="223"/>
      <c r="X729" s="223"/>
      <c r="Y729" s="223"/>
      <c r="Z729" s="223"/>
      <c r="AA729" s="223"/>
      <c r="AB729" s="223"/>
      <c r="AC729" s="223"/>
    </row>
    <row r="730" spans="1:29" x14ac:dyDescent="0.25">
      <c r="A730" s="223"/>
      <c r="B730" s="223"/>
      <c r="C730" s="223"/>
      <c r="D730" s="223"/>
      <c r="E730" s="223"/>
      <c r="F730" s="276"/>
      <c r="G730" s="226"/>
      <c r="H730" s="223"/>
      <c r="I730" s="223"/>
      <c r="J730" s="223"/>
      <c r="K730" s="223"/>
      <c r="L730" s="223"/>
      <c r="M730" s="223"/>
      <c r="N730" s="223"/>
      <c r="O730" s="223"/>
      <c r="P730" s="223"/>
      <c r="Q730" s="223"/>
      <c r="R730" s="890"/>
      <c r="S730" s="890"/>
      <c r="T730" s="223"/>
      <c r="U730" s="223"/>
      <c r="V730" s="223"/>
      <c r="W730" s="223"/>
      <c r="X730" s="223"/>
      <c r="Y730" s="223"/>
      <c r="Z730" s="223"/>
      <c r="AA730" s="223"/>
      <c r="AB730" s="223"/>
      <c r="AC730" s="223"/>
    </row>
    <row r="731" spans="1:29" x14ac:dyDescent="0.25">
      <c r="A731" s="223"/>
      <c r="B731" s="223"/>
      <c r="C731" s="223"/>
      <c r="D731" s="223"/>
      <c r="E731" s="223"/>
      <c r="F731" s="276"/>
      <c r="G731" s="226"/>
      <c r="H731" s="223"/>
      <c r="I731" s="223"/>
      <c r="J731" s="223"/>
      <c r="K731" s="223"/>
      <c r="L731" s="223"/>
      <c r="M731" s="223"/>
      <c r="N731" s="223"/>
      <c r="O731" s="223"/>
      <c r="P731" s="223"/>
      <c r="Q731" s="223"/>
      <c r="R731" s="890"/>
      <c r="S731" s="890"/>
      <c r="T731" s="223"/>
      <c r="U731" s="223"/>
      <c r="V731" s="223"/>
      <c r="W731" s="223"/>
      <c r="X731" s="223"/>
      <c r="Y731" s="223"/>
      <c r="Z731" s="223"/>
      <c r="AA731" s="223"/>
      <c r="AB731" s="223"/>
      <c r="AC731" s="223"/>
    </row>
    <row r="732" spans="1:29" x14ac:dyDescent="0.25">
      <c r="A732" s="223"/>
      <c r="B732" s="223"/>
      <c r="C732" s="223"/>
      <c r="D732" s="223"/>
      <c r="E732" s="223"/>
      <c r="F732" s="276"/>
      <c r="G732" s="226"/>
      <c r="H732" s="223"/>
      <c r="I732" s="223"/>
      <c r="J732" s="223"/>
      <c r="K732" s="223"/>
      <c r="L732" s="223"/>
      <c r="M732" s="223"/>
      <c r="N732" s="223"/>
      <c r="O732" s="223"/>
      <c r="P732" s="223"/>
      <c r="Q732" s="223"/>
      <c r="R732" s="890"/>
      <c r="S732" s="890"/>
      <c r="T732" s="223"/>
      <c r="U732" s="223"/>
      <c r="V732" s="223"/>
      <c r="W732" s="223"/>
      <c r="X732" s="223"/>
      <c r="Y732" s="223"/>
      <c r="Z732" s="223"/>
      <c r="AA732" s="223"/>
      <c r="AB732" s="223"/>
      <c r="AC732" s="223"/>
    </row>
    <row r="733" spans="1:29" x14ac:dyDescent="0.25">
      <c r="A733" s="223"/>
      <c r="B733" s="223"/>
      <c r="C733" s="223"/>
      <c r="D733" s="223"/>
      <c r="E733" s="223"/>
      <c r="F733" s="276"/>
      <c r="G733" s="226"/>
      <c r="H733" s="223"/>
      <c r="I733" s="223"/>
      <c r="J733" s="223"/>
      <c r="K733" s="223"/>
      <c r="L733" s="223"/>
      <c r="M733" s="223"/>
      <c r="N733" s="223"/>
      <c r="O733" s="223"/>
      <c r="P733" s="223"/>
      <c r="Q733" s="223"/>
      <c r="R733" s="890"/>
      <c r="S733" s="890"/>
      <c r="T733" s="223"/>
      <c r="U733" s="223"/>
      <c r="V733" s="223"/>
      <c r="W733" s="223"/>
      <c r="X733" s="223"/>
      <c r="Y733" s="223"/>
      <c r="Z733" s="223"/>
      <c r="AA733" s="223"/>
      <c r="AB733" s="223"/>
      <c r="AC733" s="223"/>
    </row>
    <row r="734" spans="1:29" x14ac:dyDescent="0.25">
      <c r="A734" s="223"/>
      <c r="B734" s="223"/>
      <c r="C734" s="223"/>
      <c r="D734" s="223"/>
      <c r="E734" s="223"/>
      <c r="F734" s="276"/>
      <c r="G734" s="226"/>
      <c r="H734" s="223"/>
      <c r="I734" s="223"/>
      <c r="J734" s="223"/>
      <c r="K734" s="223"/>
      <c r="L734" s="223"/>
      <c r="M734" s="223"/>
      <c r="N734" s="223"/>
      <c r="O734" s="223"/>
      <c r="P734" s="223"/>
      <c r="Q734" s="223"/>
      <c r="R734" s="890"/>
      <c r="S734" s="890"/>
      <c r="T734" s="223"/>
      <c r="U734" s="223"/>
      <c r="V734" s="223"/>
      <c r="W734" s="223"/>
      <c r="X734" s="223"/>
      <c r="Y734" s="223"/>
      <c r="Z734" s="223"/>
      <c r="AA734" s="223"/>
      <c r="AB734" s="223"/>
      <c r="AC734" s="223"/>
    </row>
    <row r="735" spans="1:29" x14ac:dyDescent="0.25">
      <c r="A735" s="223"/>
      <c r="B735" s="223"/>
      <c r="C735" s="223"/>
      <c r="D735" s="223"/>
      <c r="E735" s="223"/>
      <c r="F735" s="276"/>
      <c r="G735" s="226"/>
      <c r="H735" s="223"/>
      <c r="I735" s="223"/>
      <c r="J735" s="223"/>
      <c r="K735" s="223"/>
      <c r="L735" s="223"/>
      <c r="M735" s="223"/>
      <c r="N735" s="223"/>
      <c r="O735" s="223"/>
      <c r="P735" s="223"/>
      <c r="Q735" s="223"/>
      <c r="R735" s="890"/>
      <c r="S735" s="890"/>
      <c r="T735" s="223"/>
      <c r="U735" s="223"/>
      <c r="V735" s="223"/>
      <c r="W735" s="223"/>
      <c r="X735" s="223"/>
      <c r="Y735" s="223"/>
      <c r="Z735" s="223"/>
      <c r="AA735" s="223"/>
      <c r="AB735" s="223"/>
      <c r="AC735" s="223"/>
    </row>
    <row r="736" spans="1:29" x14ac:dyDescent="0.25">
      <c r="A736" s="223"/>
      <c r="B736" s="223"/>
      <c r="C736" s="223"/>
      <c r="D736" s="223"/>
      <c r="E736" s="223"/>
      <c r="F736" s="276"/>
      <c r="G736" s="226"/>
      <c r="H736" s="223"/>
      <c r="I736" s="223"/>
      <c r="J736" s="223"/>
      <c r="K736" s="223"/>
      <c r="L736" s="223"/>
      <c r="M736" s="223"/>
      <c r="N736" s="223"/>
      <c r="O736" s="223"/>
      <c r="P736" s="223"/>
      <c r="Q736" s="223"/>
      <c r="R736" s="890"/>
      <c r="S736" s="890"/>
      <c r="T736" s="223"/>
      <c r="U736" s="223"/>
      <c r="V736" s="223"/>
      <c r="W736" s="223"/>
      <c r="X736" s="223"/>
      <c r="Y736" s="223"/>
      <c r="Z736" s="223"/>
      <c r="AA736" s="223"/>
      <c r="AB736" s="223"/>
      <c r="AC736" s="223"/>
    </row>
    <row r="737" spans="1:29" x14ac:dyDescent="0.25">
      <c r="A737" s="223"/>
      <c r="B737" s="223"/>
      <c r="C737" s="223"/>
      <c r="D737" s="223"/>
      <c r="E737" s="223"/>
      <c r="F737" s="276"/>
      <c r="G737" s="226"/>
      <c r="H737" s="223"/>
      <c r="I737" s="223"/>
      <c r="J737" s="223"/>
      <c r="K737" s="223"/>
      <c r="L737" s="223"/>
      <c r="M737" s="223"/>
      <c r="N737" s="223"/>
      <c r="O737" s="223"/>
      <c r="P737" s="223"/>
      <c r="Q737" s="223"/>
      <c r="R737" s="890"/>
      <c r="S737" s="890"/>
      <c r="T737" s="223"/>
      <c r="U737" s="223"/>
      <c r="V737" s="223"/>
      <c r="W737" s="223"/>
      <c r="X737" s="223"/>
      <c r="Y737" s="223"/>
      <c r="Z737" s="223"/>
      <c r="AA737" s="223"/>
      <c r="AB737" s="223"/>
      <c r="AC737" s="223"/>
    </row>
    <row r="738" spans="1:29" x14ac:dyDescent="0.25">
      <c r="A738" s="223"/>
      <c r="B738" s="223"/>
      <c r="C738" s="223"/>
      <c r="D738" s="223"/>
      <c r="E738" s="223"/>
      <c r="F738" s="276"/>
      <c r="G738" s="226"/>
      <c r="H738" s="223"/>
      <c r="I738" s="223"/>
      <c r="J738" s="223"/>
      <c r="K738" s="223"/>
      <c r="L738" s="223"/>
      <c r="M738" s="223"/>
      <c r="N738" s="223"/>
      <c r="O738" s="223"/>
      <c r="P738" s="223"/>
      <c r="Q738" s="223"/>
      <c r="R738" s="890"/>
      <c r="S738" s="890"/>
      <c r="T738" s="223"/>
      <c r="U738" s="223"/>
      <c r="V738" s="223"/>
      <c r="W738" s="223"/>
      <c r="X738" s="223"/>
      <c r="Y738" s="223"/>
      <c r="Z738" s="223"/>
      <c r="AA738" s="223"/>
      <c r="AB738" s="223"/>
      <c r="AC738" s="223"/>
    </row>
    <row r="739" spans="1:29" x14ac:dyDescent="0.25">
      <c r="A739" s="223"/>
      <c r="B739" s="223"/>
      <c r="C739" s="223"/>
      <c r="D739" s="223"/>
      <c r="E739" s="223"/>
      <c r="F739" s="276"/>
      <c r="G739" s="226"/>
      <c r="H739" s="223"/>
      <c r="I739" s="223"/>
      <c r="J739" s="223"/>
      <c r="K739" s="223"/>
      <c r="L739" s="223"/>
      <c r="M739" s="223"/>
      <c r="N739" s="223"/>
      <c r="O739" s="223"/>
      <c r="P739" s="223"/>
      <c r="Q739" s="223"/>
      <c r="R739" s="890"/>
      <c r="S739" s="890"/>
      <c r="T739" s="223"/>
      <c r="U739" s="223"/>
      <c r="V739" s="223"/>
      <c r="W739" s="223"/>
      <c r="X739" s="223"/>
      <c r="Y739" s="223"/>
      <c r="Z739" s="223"/>
      <c r="AA739" s="223"/>
      <c r="AB739" s="223"/>
      <c r="AC739" s="223"/>
    </row>
    <row r="740" spans="1:29" x14ac:dyDescent="0.25">
      <c r="A740" s="223"/>
      <c r="B740" s="223"/>
      <c r="C740" s="223"/>
      <c r="D740" s="223"/>
      <c r="E740" s="223"/>
      <c r="F740" s="276"/>
      <c r="G740" s="226"/>
      <c r="H740" s="223"/>
      <c r="I740" s="223"/>
      <c r="J740" s="223"/>
      <c r="K740" s="223"/>
      <c r="L740" s="223"/>
      <c r="M740" s="223"/>
      <c r="N740" s="223"/>
      <c r="O740" s="223"/>
      <c r="P740" s="223"/>
      <c r="Q740" s="223"/>
      <c r="R740" s="890"/>
      <c r="S740" s="890"/>
      <c r="T740" s="223"/>
      <c r="U740" s="223"/>
      <c r="V740" s="223"/>
      <c r="W740" s="223"/>
      <c r="X740" s="223"/>
      <c r="Y740" s="223"/>
      <c r="Z740" s="223"/>
      <c r="AA740" s="223"/>
      <c r="AB740" s="223"/>
      <c r="AC740" s="223"/>
    </row>
    <row r="741" spans="1:29" x14ac:dyDescent="0.25">
      <c r="A741" s="223"/>
      <c r="B741" s="223"/>
      <c r="C741" s="223"/>
      <c r="D741" s="223"/>
      <c r="E741" s="223"/>
      <c r="F741" s="276"/>
      <c r="G741" s="226"/>
      <c r="H741" s="223"/>
      <c r="I741" s="223"/>
      <c r="J741" s="223"/>
      <c r="K741" s="223"/>
      <c r="L741" s="223"/>
      <c r="M741" s="223"/>
      <c r="N741" s="223"/>
      <c r="O741" s="223"/>
      <c r="P741" s="223"/>
      <c r="Q741" s="223"/>
      <c r="R741" s="890"/>
      <c r="S741" s="890"/>
      <c r="T741" s="223"/>
      <c r="U741" s="223"/>
      <c r="V741" s="223"/>
      <c r="W741" s="223"/>
      <c r="X741" s="223"/>
      <c r="Y741" s="223"/>
      <c r="Z741" s="223"/>
      <c r="AA741" s="223"/>
      <c r="AB741" s="223"/>
      <c r="AC741" s="223"/>
    </row>
    <row r="742" spans="1:29" x14ac:dyDescent="0.25">
      <c r="A742" s="223"/>
      <c r="B742" s="223"/>
      <c r="C742" s="223"/>
      <c r="D742" s="223"/>
      <c r="E742" s="223"/>
      <c r="F742" s="276"/>
      <c r="G742" s="226"/>
      <c r="H742" s="223"/>
      <c r="I742" s="223"/>
      <c r="J742" s="223"/>
      <c r="K742" s="223"/>
      <c r="L742" s="223"/>
      <c r="M742" s="223"/>
      <c r="N742" s="223"/>
      <c r="O742" s="223"/>
      <c r="P742" s="223"/>
      <c r="Q742" s="223"/>
      <c r="R742" s="890"/>
      <c r="S742" s="890"/>
      <c r="T742" s="223"/>
      <c r="U742" s="223"/>
      <c r="V742" s="223"/>
      <c r="W742" s="223"/>
      <c r="X742" s="223"/>
      <c r="Y742" s="223"/>
      <c r="Z742" s="223"/>
      <c r="AA742" s="223"/>
      <c r="AB742" s="223"/>
      <c r="AC742" s="223"/>
    </row>
    <row r="743" spans="1:29" x14ac:dyDescent="0.25">
      <c r="A743" s="223"/>
      <c r="B743" s="223"/>
      <c r="C743" s="223"/>
      <c r="D743" s="223"/>
      <c r="E743" s="223"/>
      <c r="F743" s="276"/>
      <c r="G743" s="226"/>
      <c r="H743" s="223"/>
      <c r="I743" s="223"/>
      <c r="J743" s="223"/>
      <c r="K743" s="223"/>
      <c r="L743" s="223"/>
      <c r="M743" s="223"/>
      <c r="N743" s="223"/>
      <c r="O743" s="223"/>
      <c r="P743" s="223"/>
      <c r="Q743" s="223"/>
      <c r="R743" s="890"/>
      <c r="S743" s="890"/>
      <c r="T743" s="223"/>
      <c r="U743" s="223"/>
      <c r="V743" s="223"/>
      <c r="W743" s="223"/>
      <c r="X743" s="223"/>
      <c r="Y743" s="223"/>
      <c r="Z743" s="223"/>
      <c r="AA743" s="223"/>
      <c r="AB743" s="223"/>
      <c r="AC743" s="223"/>
    </row>
    <row r="744" spans="1:29" x14ac:dyDescent="0.25">
      <c r="A744" s="223"/>
      <c r="B744" s="223"/>
      <c r="C744" s="223"/>
      <c r="D744" s="223"/>
      <c r="E744" s="223"/>
      <c r="F744" s="276"/>
      <c r="G744" s="226"/>
      <c r="H744" s="223"/>
      <c r="I744" s="223"/>
      <c r="J744" s="223"/>
      <c r="K744" s="223"/>
      <c r="L744" s="223"/>
      <c r="M744" s="223"/>
      <c r="N744" s="223"/>
      <c r="O744" s="223"/>
      <c r="P744" s="223"/>
      <c r="Q744" s="223"/>
      <c r="R744" s="890"/>
      <c r="S744" s="890"/>
      <c r="T744" s="223"/>
      <c r="U744" s="223"/>
      <c r="V744" s="223"/>
      <c r="W744" s="223"/>
      <c r="X744" s="223"/>
      <c r="Y744" s="223"/>
      <c r="Z744" s="223"/>
      <c r="AA744" s="223"/>
      <c r="AB744" s="223"/>
      <c r="AC744" s="223"/>
    </row>
    <row r="745" spans="1:29" x14ac:dyDescent="0.25">
      <c r="A745" s="223"/>
      <c r="B745" s="223"/>
      <c r="C745" s="223"/>
      <c r="D745" s="223"/>
      <c r="E745" s="223"/>
      <c r="F745" s="276"/>
      <c r="G745" s="226"/>
      <c r="H745" s="223"/>
      <c r="I745" s="223"/>
      <c r="J745" s="223"/>
      <c r="K745" s="223"/>
      <c r="L745" s="223"/>
      <c r="M745" s="223"/>
      <c r="N745" s="223"/>
      <c r="O745" s="223"/>
      <c r="P745" s="223"/>
      <c r="Q745" s="223"/>
      <c r="R745" s="890"/>
      <c r="S745" s="890"/>
      <c r="T745" s="223"/>
      <c r="U745" s="223"/>
      <c r="V745" s="223"/>
      <c r="W745" s="223"/>
      <c r="X745" s="223"/>
      <c r="Y745" s="223"/>
      <c r="Z745" s="223"/>
      <c r="AA745" s="223"/>
      <c r="AB745" s="223"/>
      <c r="AC745" s="223"/>
    </row>
    <row r="746" spans="1:29" x14ac:dyDescent="0.25">
      <c r="A746" s="223"/>
      <c r="B746" s="223"/>
      <c r="C746" s="223"/>
      <c r="D746" s="223"/>
      <c r="E746" s="223"/>
      <c r="F746" s="276"/>
      <c r="G746" s="226"/>
      <c r="H746" s="223"/>
      <c r="I746" s="223"/>
      <c r="J746" s="223"/>
      <c r="K746" s="223"/>
      <c r="L746" s="223"/>
      <c r="M746" s="223"/>
      <c r="N746" s="223"/>
      <c r="O746" s="223"/>
      <c r="P746" s="223"/>
      <c r="Q746" s="223"/>
      <c r="R746" s="890"/>
      <c r="S746" s="890"/>
      <c r="T746" s="223"/>
      <c r="U746" s="223"/>
      <c r="V746" s="223"/>
      <c r="W746" s="223"/>
      <c r="X746" s="223"/>
      <c r="Y746" s="223"/>
      <c r="Z746" s="223"/>
      <c r="AA746" s="223"/>
      <c r="AB746" s="223"/>
      <c r="AC746" s="223"/>
    </row>
    <row r="747" spans="1:29" x14ac:dyDescent="0.25">
      <c r="A747" s="223"/>
      <c r="B747" s="223"/>
      <c r="C747" s="223"/>
      <c r="D747" s="223"/>
      <c r="E747" s="223"/>
      <c r="F747" s="276"/>
      <c r="G747" s="226"/>
      <c r="H747" s="223"/>
      <c r="I747" s="223"/>
      <c r="J747" s="223"/>
      <c r="K747" s="223"/>
      <c r="L747" s="223"/>
      <c r="M747" s="223"/>
      <c r="N747" s="223"/>
      <c r="O747" s="223"/>
      <c r="P747" s="223"/>
      <c r="Q747" s="223"/>
      <c r="R747" s="890"/>
      <c r="S747" s="890"/>
      <c r="T747" s="223"/>
      <c r="U747" s="223"/>
      <c r="V747" s="223"/>
      <c r="W747" s="223"/>
      <c r="X747" s="223"/>
      <c r="Y747" s="223"/>
      <c r="Z747" s="223"/>
      <c r="AA747" s="223"/>
      <c r="AB747" s="223"/>
      <c r="AC747" s="223"/>
    </row>
    <row r="748" spans="1:29" x14ac:dyDescent="0.25">
      <c r="A748" s="223"/>
      <c r="B748" s="223"/>
      <c r="C748" s="223"/>
      <c r="D748" s="223"/>
      <c r="E748" s="223"/>
      <c r="F748" s="276"/>
      <c r="G748" s="226"/>
      <c r="H748" s="223"/>
      <c r="I748" s="223"/>
      <c r="J748" s="223"/>
      <c r="K748" s="223"/>
      <c r="L748" s="223"/>
      <c r="M748" s="223"/>
      <c r="N748" s="223"/>
      <c r="O748" s="223"/>
      <c r="P748" s="223"/>
      <c r="Q748" s="223"/>
      <c r="R748" s="890"/>
      <c r="S748" s="890"/>
      <c r="T748" s="223"/>
      <c r="U748" s="223"/>
      <c r="V748" s="223"/>
      <c r="W748" s="223"/>
      <c r="X748" s="223"/>
      <c r="Y748" s="223"/>
      <c r="Z748" s="223"/>
      <c r="AA748" s="223"/>
      <c r="AB748" s="223"/>
      <c r="AC748" s="223"/>
    </row>
    <row r="749" spans="1:29" x14ac:dyDescent="0.25">
      <c r="A749" s="223"/>
      <c r="B749" s="223"/>
      <c r="C749" s="223"/>
      <c r="D749" s="223"/>
      <c r="E749" s="223"/>
      <c r="F749" s="276"/>
      <c r="G749" s="226"/>
      <c r="H749" s="223"/>
      <c r="I749" s="223"/>
      <c r="J749" s="223"/>
      <c r="K749" s="223"/>
      <c r="L749" s="223"/>
      <c r="M749" s="223"/>
      <c r="N749" s="223"/>
      <c r="O749" s="223"/>
      <c r="P749" s="223"/>
      <c r="Q749" s="223"/>
      <c r="R749" s="890"/>
      <c r="S749" s="890"/>
      <c r="T749" s="223"/>
      <c r="U749" s="223"/>
      <c r="V749" s="223"/>
      <c r="W749" s="223"/>
      <c r="X749" s="223"/>
      <c r="Y749" s="223"/>
      <c r="Z749" s="223"/>
      <c r="AA749" s="223"/>
      <c r="AB749" s="223"/>
      <c r="AC749" s="223"/>
    </row>
    <row r="750" spans="1:29" x14ac:dyDescent="0.25">
      <c r="A750" s="223"/>
      <c r="B750" s="223"/>
      <c r="C750" s="223"/>
      <c r="D750" s="223"/>
      <c r="E750" s="223"/>
      <c r="F750" s="276"/>
      <c r="G750" s="226"/>
      <c r="H750" s="223"/>
      <c r="I750" s="223"/>
      <c r="J750" s="223"/>
      <c r="K750" s="223"/>
      <c r="L750" s="223"/>
      <c r="M750" s="223"/>
      <c r="N750" s="223"/>
      <c r="O750" s="223"/>
      <c r="P750" s="223"/>
      <c r="Q750" s="223"/>
      <c r="R750" s="890"/>
      <c r="S750" s="890"/>
      <c r="T750" s="223"/>
      <c r="U750" s="223"/>
      <c r="V750" s="223"/>
      <c r="W750" s="223"/>
      <c r="X750" s="223"/>
      <c r="Y750" s="223"/>
      <c r="Z750" s="223"/>
      <c r="AA750" s="223"/>
      <c r="AB750" s="223"/>
      <c r="AC750" s="223"/>
    </row>
    <row r="751" spans="1:29" x14ac:dyDescent="0.25">
      <c r="A751" s="223"/>
      <c r="B751" s="223"/>
      <c r="C751" s="223"/>
      <c r="D751" s="223"/>
      <c r="E751" s="223"/>
      <c r="F751" s="276"/>
      <c r="G751" s="226"/>
      <c r="H751" s="223"/>
      <c r="I751" s="223"/>
      <c r="J751" s="223"/>
      <c r="K751" s="223"/>
      <c r="L751" s="223"/>
      <c r="M751" s="223"/>
      <c r="N751" s="223"/>
      <c r="O751" s="223"/>
      <c r="P751" s="223"/>
      <c r="Q751" s="223"/>
      <c r="R751" s="890"/>
      <c r="S751" s="890"/>
      <c r="T751" s="223"/>
      <c r="U751" s="223"/>
      <c r="V751" s="223"/>
      <c r="W751" s="223"/>
      <c r="X751" s="223"/>
      <c r="Y751" s="223"/>
      <c r="Z751" s="223"/>
      <c r="AA751" s="223"/>
      <c r="AB751" s="223"/>
      <c r="AC751" s="223"/>
    </row>
    <row r="752" spans="1:29" x14ac:dyDescent="0.25">
      <c r="A752" s="223"/>
      <c r="B752" s="223"/>
      <c r="C752" s="223"/>
      <c r="D752" s="223"/>
      <c r="E752" s="223"/>
      <c r="F752" s="276"/>
      <c r="G752" s="226"/>
      <c r="H752" s="223"/>
      <c r="I752" s="223"/>
      <c r="J752" s="223"/>
      <c r="K752" s="223"/>
      <c r="L752" s="223"/>
      <c r="M752" s="223"/>
      <c r="N752" s="223"/>
      <c r="O752" s="223"/>
      <c r="P752" s="223"/>
      <c r="Q752" s="223"/>
      <c r="R752" s="890"/>
      <c r="S752" s="890"/>
      <c r="T752" s="223"/>
      <c r="U752" s="223"/>
      <c r="V752" s="223"/>
      <c r="W752" s="223"/>
      <c r="X752" s="223"/>
      <c r="Y752" s="223"/>
      <c r="Z752" s="223"/>
      <c r="AA752" s="223"/>
      <c r="AB752" s="223"/>
      <c r="AC752" s="223"/>
    </row>
    <row r="753" spans="1:29" x14ac:dyDescent="0.25">
      <c r="A753" s="223"/>
      <c r="B753" s="223"/>
      <c r="C753" s="223"/>
      <c r="D753" s="223"/>
      <c r="E753" s="223"/>
      <c r="F753" s="276"/>
      <c r="G753" s="226"/>
      <c r="H753" s="223"/>
      <c r="I753" s="223"/>
      <c r="J753" s="223"/>
      <c r="K753" s="223"/>
      <c r="L753" s="223"/>
      <c r="M753" s="223"/>
      <c r="N753" s="223"/>
      <c r="O753" s="223"/>
      <c r="P753" s="223"/>
      <c r="Q753" s="223"/>
      <c r="R753" s="890"/>
      <c r="S753" s="890"/>
      <c r="T753" s="223"/>
      <c r="U753" s="223"/>
      <c r="V753" s="223"/>
      <c r="W753" s="223"/>
      <c r="X753" s="223"/>
      <c r="Y753" s="223"/>
      <c r="Z753" s="223"/>
      <c r="AA753" s="223"/>
      <c r="AB753" s="223"/>
      <c r="AC753" s="223"/>
    </row>
    <row r="754" spans="1:29" x14ac:dyDescent="0.25">
      <c r="A754" s="223"/>
      <c r="B754" s="223"/>
      <c r="C754" s="223"/>
      <c r="D754" s="223"/>
      <c r="E754" s="223"/>
      <c r="F754" s="276"/>
      <c r="G754" s="226"/>
      <c r="H754" s="223"/>
      <c r="I754" s="223"/>
      <c r="J754" s="223"/>
      <c r="K754" s="223"/>
      <c r="L754" s="223"/>
      <c r="M754" s="223"/>
      <c r="N754" s="223"/>
      <c r="O754" s="223"/>
      <c r="P754" s="223"/>
      <c r="Q754" s="223"/>
      <c r="R754" s="890"/>
      <c r="S754" s="890"/>
      <c r="T754" s="223"/>
      <c r="U754" s="223"/>
      <c r="V754" s="223"/>
      <c r="W754" s="223"/>
      <c r="X754" s="223"/>
      <c r="Y754" s="223"/>
      <c r="Z754" s="223"/>
      <c r="AA754" s="223"/>
      <c r="AB754" s="223"/>
      <c r="AC754" s="223"/>
    </row>
    <row r="755" spans="1:29" x14ac:dyDescent="0.25">
      <c r="A755" s="223"/>
      <c r="B755" s="223"/>
      <c r="C755" s="223"/>
      <c r="D755" s="223"/>
      <c r="E755" s="223"/>
      <c r="F755" s="276"/>
      <c r="G755" s="226"/>
      <c r="H755" s="223"/>
      <c r="I755" s="223"/>
      <c r="J755" s="223"/>
      <c r="K755" s="223"/>
      <c r="L755" s="223"/>
      <c r="M755" s="223"/>
      <c r="N755" s="223"/>
      <c r="O755" s="223"/>
      <c r="P755" s="223"/>
      <c r="Q755" s="223"/>
      <c r="R755" s="890"/>
      <c r="S755" s="890"/>
      <c r="T755" s="223"/>
      <c r="U755" s="223"/>
      <c r="V755" s="223"/>
      <c r="W755" s="223"/>
      <c r="X755" s="223"/>
      <c r="Y755" s="223"/>
      <c r="Z755" s="223"/>
      <c r="AA755" s="223"/>
      <c r="AB755" s="223"/>
      <c r="AC755" s="223"/>
    </row>
    <row r="756" spans="1:29" x14ac:dyDescent="0.25">
      <c r="A756" s="223"/>
      <c r="B756" s="223"/>
      <c r="C756" s="223"/>
      <c r="D756" s="223"/>
      <c r="E756" s="223"/>
      <c r="F756" s="276"/>
      <c r="G756" s="226"/>
      <c r="H756" s="223"/>
      <c r="I756" s="223"/>
      <c r="J756" s="223"/>
      <c r="K756" s="223"/>
      <c r="L756" s="223"/>
      <c r="M756" s="223"/>
      <c r="N756" s="223"/>
      <c r="O756" s="223"/>
      <c r="P756" s="223"/>
      <c r="Q756" s="223"/>
      <c r="R756" s="890"/>
      <c r="S756" s="890"/>
      <c r="T756" s="223"/>
      <c r="U756" s="223"/>
      <c r="V756" s="223"/>
      <c r="W756" s="223"/>
      <c r="X756" s="223"/>
      <c r="Y756" s="223"/>
      <c r="Z756" s="223"/>
      <c r="AA756" s="223"/>
      <c r="AB756" s="223"/>
      <c r="AC756" s="223"/>
    </row>
    <row r="757" spans="1:29" x14ac:dyDescent="0.25">
      <c r="A757" s="223"/>
      <c r="B757" s="223"/>
      <c r="C757" s="223"/>
      <c r="D757" s="223"/>
      <c r="E757" s="223"/>
      <c r="F757" s="276"/>
      <c r="G757" s="226"/>
      <c r="H757" s="223"/>
      <c r="I757" s="223"/>
      <c r="J757" s="223"/>
      <c r="K757" s="223"/>
      <c r="L757" s="223"/>
      <c r="M757" s="223"/>
      <c r="N757" s="223"/>
      <c r="O757" s="223"/>
      <c r="P757" s="223"/>
      <c r="Q757" s="223"/>
      <c r="R757" s="890"/>
      <c r="S757" s="890"/>
      <c r="T757" s="223"/>
      <c r="U757" s="223"/>
      <c r="V757" s="223"/>
      <c r="W757" s="223"/>
      <c r="X757" s="223"/>
      <c r="Y757" s="223"/>
      <c r="Z757" s="223"/>
      <c r="AA757" s="223"/>
      <c r="AB757" s="223"/>
      <c r="AC757" s="223"/>
    </row>
    <row r="758" spans="1:29" x14ac:dyDescent="0.25">
      <c r="A758" s="223"/>
      <c r="B758" s="223"/>
      <c r="C758" s="223"/>
      <c r="D758" s="223"/>
      <c r="E758" s="223"/>
      <c r="F758" s="276"/>
      <c r="G758" s="226"/>
      <c r="H758" s="223"/>
      <c r="I758" s="223"/>
      <c r="J758" s="223"/>
      <c r="K758" s="223"/>
      <c r="L758" s="223"/>
      <c r="M758" s="223"/>
      <c r="N758" s="223"/>
      <c r="O758" s="223"/>
      <c r="P758" s="223"/>
      <c r="Q758" s="223"/>
      <c r="R758" s="890"/>
      <c r="S758" s="890"/>
      <c r="T758" s="223"/>
      <c r="U758" s="223"/>
      <c r="V758" s="223"/>
      <c r="W758" s="223"/>
      <c r="X758" s="223"/>
      <c r="Y758" s="223"/>
      <c r="Z758" s="223"/>
      <c r="AA758" s="223"/>
      <c r="AB758" s="223"/>
      <c r="AC758" s="223"/>
    </row>
    <row r="759" spans="1:29" x14ac:dyDescent="0.25">
      <c r="A759" s="223"/>
      <c r="B759" s="223"/>
      <c r="C759" s="223"/>
      <c r="D759" s="223"/>
      <c r="E759" s="223"/>
      <c r="F759" s="276"/>
      <c r="G759" s="226"/>
      <c r="H759" s="223"/>
      <c r="I759" s="223"/>
      <c r="J759" s="223"/>
      <c r="K759" s="223"/>
      <c r="L759" s="223"/>
      <c r="M759" s="223"/>
      <c r="N759" s="223"/>
      <c r="O759" s="223"/>
      <c r="P759" s="223"/>
      <c r="Q759" s="223"/>
      <c r="R759" s="890"/>
      <c r="S759" s="890"/>
      <c r="T759" s="223"/>
      <c r="U759" s="223"/>
      <c r="V759" s="223"/>
      <c r="W759" s="223"/>
      <c r="X759" s="223"/>
      <c r="Y759" s="223"/>
      <c r="Z759" s="223"/>
      <c r="AA759" s="223"/>
      <c r="AB759" s="223"/>
      <c r="AC759" s="223"/>
    </row>
    <row r="760" spans="1:29" x14ac:dyDescent="0.25">
      <c r="A760" s="223"/>
      <c r="B760" s="223"/>
      <c r="C760" s="223"/>
      <c r="D760" s="223"/>
      <c r="E760" s="223"/>
      <c r="F760" s="276"/>
      <c r="G760" s="226"/>
      <c r="H760" s="223"/>
      <c r="I760" s="223"/>
      <c r="J760" s="223"/>
      <c r="K760" s="223"/>
      <c r="L760" s="223"/>
      <c r="M760" s="223"/>
      <c r="N760" s="223"/>
      <c r="O760" s="223"/>
      <c r="P760" s="223"/>
      <c r="Q760" s="223"/>
      <c r="R760" s="890"/>
      <c r="S760" s="890"/>
      <c r="T760" s="223"/>
      <c r="U760" s="223"/>
      <c r="V760" s="223"/>
      <c r="W760" s="223"/>
      <c r="X760" s="223"/>
      <c r="Y760" s="223"/>
      <c r="Z760" s="223"/>
      <c r="AA760" s="223"/>
      <c r="AB760" s="223"/>
      <c r="AC760" s="223"/>
    </row>
    <row r="761" spans="1:29" x14ac:dyDescent="0.25">
      <c r="A761" s="223"/>
      <c r="B761" s="223"/>
      <c r="C761" s="223"/>
      <c r="D761" s="223"/>
      <c r="E761" s="223"/>
      <c r="F761" s="276"/>
      <c r="G761" s="226"/>
      <c r="H761" s="223"/>
      <c r="I761" s="223"/>
      <c r="J761" s="223"/>
      <c r="K761" s="223"/>
      <c r="L761" s="223"/>
      <c r="M761" s="223"/>
      <c r="N761" s="223"/>
      <c r="O761" s="223"/>
      <c r="P761" s="223"/>
      <c r="Q761" s="223"/>
      <c r="R761" s="890"/>
      <c r="S761" s="890"/>
      <c r="T761" s="223"/>
      <c r="U761" s="223"/>
      <c r="V761" s="223"/>
      <c r="W761" s="223"/>
      <c r="X761" s="223"/>
      <c r="Y761" s="223"/>
      <c r="Z761" s="223"/>
      <c r="AA761" s="223"/>
      <c r="AB761" s="223"/>
      <c r="AC761" s="223"/>
    </row>
    <row r="762" spans="1:29" x14ac:dyDescent="0.25">
      <c r="A762" s="223"/>
      <c r="B762" s="223"/>
      <c r="C762" s="223"/>
      <c r="D762" s="223"/>
      <c r="E762" s="223"/>
      <c r="F762" s="276"/>
      <c r="G762" s="226"/>
      <c r="H762" s="223"/>
      <c r="I762" s="223"/>
      <c r="J762" s="223"/>
      <c r="K762" s="223"/>
      <c r="L762" s="223"/>
      <c r="M762" s="223"/>
      <c r="N762" s="223"/>
      <c r="O762" s="223"/>
      <c r="P762" s="223"/>
      <c r="Q762" s="223"/>
      <c r="R762" s="890"/>
      <c r="S762" s="890"/>
      <c r="T762" s="223"/>
      <c r="U762" s="223"/>
      <c r="V762" s="223"/>
      <c r="W762" s="223"/>
      <c r="X762" s="223"/>
      <c r="Y762" s="223"/>
      <c r="Z762" s="223"/>
      <c r="AA762" s="223"/>
      <c r="AB762" s="223"/>
      <c r="AC762" s="223"/>
    </row>
    <row r="763" spans="1:29" x14ac:dyDescent="0.25">
      <c r="A763" s="223"/>
      <c r="B763" s="223"/>
      <c r="C763" s="223"/>
      <c r="D763" s="223"/>
      <c r="E763" s="223"/>
      <c r="F763" s="276"/>
      <c r="G763" s="226"/>
      <c r="H763" s="223"/>
      <c r="I763" s="223"/>
      <c r="J763" s="223"/>
      <c r="K763" s="223"/>
      <c r="L763" s="223"/>
      <c r="M763" s="223"/>
      <c r="N763" s="223"/>
      <c r="O763" s="223"/>
      <c r="P763" s="223"/>
      <c r="Q763" s="223"/>
      <c r="R763" s="890"/>
      <c r="S763" s="890"/>
      <c r="T763" s="223"/>
      <c r="U763" s="223"/>
      <c r="V763" s="223"/>
      <c r="W763" s="223"/>
      <c r="X763" s="223"/>
      <c r="Y763" s="223"/>
      <c r="Z763" s="223"/>
      <c r="AA763" s="223"/>
      <c r="AB763" s="223"/>
      <c r="AC763" s="223"/>
    </row>
    <row r="764" spans="1:29" x14ac:dyDescent="0.25">
      <c r="A764" s="223"/>
      <c r="B764" s="223"/>
      <c r="C764" s="223"/>
      <c r="D764" s="223"/>
      <c r="E764" s="223"/>
      <c r="F764" s="276"/>
      <c r="G764" s="226"/>
      <c r="H764" s="223"/>
      <c r="I764" s="223"/>
      <c r="J764" s="223"/>
      <c r="K764" s="223"/>
      <c r="L764" s="223"/>
      <c r="M764" s="223"/>
      <c r="N764" s="223"/>
      <c r="O764" s="223"/>
      <c r="P764" s="223"/>
      <c r="Q764" s="223"/>
      <c r="R764" s="890"/>
      <c r="S764" s="890"/>
      <c r="T764" s="223"/>
      <c r="U764" s="223"/>
      <c r="V764" s="223"/>
      <c r="W764" s="223"/>
      <c r="X764" s="223"/>
      <c r="Y764" s="223"/>
      <c r="Z764" s="223"/>
      <c r="AA764" s="223"/>
      <c r="AB764" s="223"/>
      <c r="AC764" s="223"/>
    </row>
    <row r="765" spans="1:29" x14ac:dyDescent="0.25">
      <c r="A765" s="223"/>
      <c r="B765" s="223"/>
      <c r="C765" s="223"/>
      <c r="D765" s="223"/>
      <c r="E765" s="223"/>
      <c r="F765" s="276"/>
      <c r="G765" s="226"/>
      <c r="H765" s="223"/>
      <c r="I765" s="223"/>
      <c r="J765" s="223"/>
      <c r="K765" s="223"/>
      <c r="L765" s="223"/>
      <c r="M765" s="223"/>
      <c r="N765" s="223"/>
      <c r="O765" s="223"/>
      <c r="P765" s="223"/>
      <c r="Q765" s="223"/>
      <c r="R765" s="890"/>
      <c r="S765" s="890"/>
      <c r="T765" s="223"/>
      <c r="U765" s="223"/>
      <c r="V765" s="223"/>
      <c r="W765" s="223"/>
      <c r="X765" s="223"/>
      <c r="Y765" s="223"/>
      <c r="Z765" s="223"/>
      <c r="AA765" s="223"/>
      <c r="AB765" s="223"/>
      <c r="AC765" s="223"/>
    </row>
    <row r="766" spans="1:29" x14ac:dyDescent="0.25">
      <c r="A766" s="223"/>
      <c r="B766" s="223"/>
      <c r="C766" s="223"/>
      <c r="D766" s="223"/>
      <c r="E766" s="223"/>
      <c r="F766" s="276"/>
      <c r="G766" s="226"/>
      <c r="H766" s="223"/>
      <c r="I766" s="223"/>
      <c r="J766" s="223"/>
      <c r="K766" s="223"/>
      <c r="L766" s="223"/>
      <c r="M766" s="223"/>
      <c r="N766" s="223"/>
      <c r="O766" s="223"/>
      <c r="P766" s="223"/>
      <c r="Q766" s="223"/>
      <c r="R766" s="890"/>
      <c r="S766" s="890"/>
      <c r="T766" s="223"/>
      <c r="U766" s="223"/>
      <c r="V766" s="223"/>
      <c r="W766" s="223"/>
      <c r="X766" s="223"/>
      <c r="Y766" s="223"/>
      <c r="Z766" s="223"/>
      <c r="AA766" s="223"/>
      <c r="AB766" s="223"/>
      <c r="AC766" s="223"/>
    </row>
    <row r="767" spans="1:29" x14ac:dyDescent="0.25">
      <c r="A767" s="223"/>
      <c r="B767" s="223"/>
      <c r="C767" s="223"/>
      <c r="D767" s="223"/>
      <c r="E767" s="223"/>
      <c r="F767" s="276"/>
      <c r="G767" s="226"/>
      <c r="H767" s="223"/>
      <c r="I767" s="223"/>
      <c r="J767" s="223"/>
      <c r="K767" s="223"/>
      <c r="L767" s="223"/>
      <c r="M767" s="223"/>
      <c r="N767" s="223"/>
      <c r="O767" s="223"/>
      <c r="P767" s="223"/>
      <c r="Q767" s="223"/>
      <c r="R767" s="890"/>
      <c r="S767" s="890"/>
      <c r="T767" s="223"/>
      <c r="U767" s="223"/>
      <c r="V767" s="223"/>
      <c r="W767" s="223"/>
      <c r="X767" s="223"/>
      <c r="Y767" s="223"/>
      <c r="Z767" s="223"/>
      <c r="AA767" s="223"/>
      <c r="AB767" s="223"/>
      <c r="AC767" s="223"/>
    </row>
    <row r="768" spans="1:29" x14ac:dyDescent="0.25">
      <c r="A768" s="223"/>
      <c r="B768" s="223"/>
      <c r="C768" s="223"/>
      <c r="D768" s="223"/>
      <c r="E768" s="223"/>
      <c r="F768" s="276"/>
      <c r="G768" s="226"/>
      <c r="H768" s="223"/>
      <c r="I768" s="223"/>
      <c r="J768" s="223"/>
      <c r="K768" s="223"/>
      <c r="L768" s="223"/>
      <c r="M768" s="223"/>
      <c r="N768" s="223"/>
      <c r="O768" s="223"/>
      <c r="P768" s="223"/>
      <c r="Q768" s="223"/>
      <c r="R768" s="890"/>
      <c r="S768" s="890"/>
      <c r="T768" s="223"/>
      <c r="U768" s="223"/>
      <c r="V768" s="223"/>
      <c r="W768" s="223"/>
      <c r="X768" s="223"/>
      <c r="Y768" s="223"/>
      <c r="Z768" s="223"/>
      <c r="AA768" s="223"/>
      <c r="AB768" s="223"/>
      <c r="AC768" s="223"/>
    </row>
    <row r="769" spans="1:29" x14ac:dyDescent="0.25">
      <c r="A769" s="223"/>
      <c r="B769" s="223"/>
      <c r="C769" s="223"/>
      <c r="D769" s="223"/>
      <c r="E769" s="223"/>
      <c r="F769" s="276"/>
      <c r="G769" s="226"/>
      <c r="H769" s="223"/>
      <c r="I769" s="223"/>
      <c r="J769" s="223"/>
      <c r="K769" s="223"/>
      <c r="L769" s="223"/>
      <c r="M769" s="223"/>
      <c r="N769" s="223"/>
      <c r="O769" s="223"/>
      <c r="P769" s="223"/>
      <c r="Q769" s="223"/>
      <c r="R769" s="890"/>
      <c r="S769" s="890"/>
      <c r="T769" s="223"/>
      <c r="U769" s="223"/>
      <c r="V769" s="223"/>
      <c r="W769" s="223"/>
      <c r="X769" s="223"/>
      <c r="Y769" s="223"/>
      <c r="Z769" s="223"/>
      <c r="AA769" s="223"/>
      <c r="AB769" s="223"/>
      <c r="AC769" s="223"/>
    </row>
    <row r="770" spans="1:29" x14ac:dyDescent="0.25">
      <c r="A770" s="223"/>
      <c r="B770" s="223"/>
      <c r="C770" s="223"/>
      <c r="D770" s="223"/>
      <c r="E770" s="223"/>
      <c r="F770" s="276"/>
      <c r="G770" s="226"/>
      <c r="H770" s="223"/>
      <c r="I770" s="223"/>
      <c r="J770" s="223"/>
      <c r="K770" s="223"/>
      <c r="L770" s="223"/>
      <c r="M770" s="223"/>
      <c r="N770" s="223"/>
      <c r="O770" s="223"/>
      <c r="P770" s="223"/>
      <c r="Q770" s="223"/>
      <c r="R770" s="890"/>
      <c r="S770" s="890"/>
      <c r="T770" s="223"/>
      <c r="U770" s="223"/>
      <c r="V770" s="223"/>
      <c r="W770" s="223"/>
      <c r="X770" s="223"/>
      <c r="Y770" s="223"/>
      <c r="Z770" s="223"/>
      <c r="AA770" s="223"/>
      <c r="AB770" s="223"/>
      <c r="AC770" s="223"/>
    </row>
    <row r="771" spans="1:29" x14ac:dyDescent="0.25">
      <c r="A771" s="223"/>
      <c r="B771" s="223"/>
      <c r="C771" s="223"/>
      <c r="D771" s="223"/>
      <c r="E771" s="223"/>
      <c r="F771" s="276"/>
      <c r="G771" s="226"/>
      <c r="H771" s="223"/>
      <c r="I771" s="223"/>
      <c r="J771" s="223"/>
      <c r="K771" s="223"/>
      <c r="L771" s="223"/>
      <c r="M771" s="223"/>
      <c r="N771" s="223"/>
      <c r="O771" s="223"/>
      <c r="P771" s="223"/>
      <c r="Q771" s="223"/>
      <c r="R771" s="890"/>
      <c r="S771" s="890"/>
      <c r="T771" s="223"/>
      <c r="U771" s="223"/>
      <c r="V771" s="223"/>
      <c r="W771" s="223"/>
      <c r="X771" s="223"/>
      <c r="Y771" s="223"/>
      <c r="Z771" s="223"/>
      <c r="AA771" s="223"/>
      <c r="AB771" s="223"/>
      <c r="AC771" s="223"/>
    </row>
    <row r="772" spans="1:29" x14ac:dyDescent="0.25">
      <c r="A772" s="223"/>
      <c r="B772" s="223"/>
      <c r="C772" s="223"/>
      <c r="D772" s="223"/>
      <c r="E772" s="223"/>
      <c r="F772" s="276"/>
      <c r="G772" s="226"/>
      <c r="H772" s="223"/>
      <c r="I772" s="223"/>
      <c r="J772" s="223"/>
      <c r="K772" s="223"/>
      <c r="L772" s="223"/>
      <c r="M772" s="223"/>
      <c r="N772" s="223"/>
      <c r="O772" s="223"/>
      <c r="P772" s="223"/>
      <c r="Q772" s="223"/>
      <c r="R772" s="890"/>
      <c r="S772" s="890"/>
      <c r="T772" s="223"/>
      <c r="U772" s="223"/>
      <c r="V772" s="223"/>
      <c r="W772" s="223"/>
      <c r="X772" s="223"/>
      <c r="Y772" s="223"/>
      <c r="Z772" s="223"/>
      <c r="AA772" s="223"/>
      <c r="AB772" s="223"/>
      <c r="AC772" s="223"/>
    </row>
    <row r="773" spans="1:29" x14ac:dyDescent="0.25">
      <c r="A773" s="223"/>
      <c r="B773" s="223"/>
      <c r="C773" s="223"/>
      <c r="D773" s="223"/>
      <c r="E773" s="223"/>
      <c r="F773" s="276"/>
      <c r="G773" s="226"/>
      <c r="H773" s="223"/>
      <c r="I773" s="223"/>
      <c r="J773" s="223"/>
      <c r="K773" s="223"/>
      <c r="L773" s="223"/>
      <c r="M773" s="223"/>
      <c r="N773" s="223"/>
      <c r="O773" s="223"/>
      <c r="P773" s="223"/>
      <c r="Q773" s="223"/>
      <c r="R773" s="890"/>
      <c r="S773" s="890"/>
      <c r="T773" s="223"/>
      <c r="U773" s="223"/>
      <c r="V773" s="223"/>
      <c r="W773" s="223"/>
      <c r="X773" s="223"/>
      <c r="Y773" s="223"/>
      <c r="Z773" s="223"/>
      <c r="AA773" s="223"/>
      <c r="AB773" s="223"/>
      <c r="AC773" s="223"/>
    </row>
    <row r="774" spans="1:29" x14ac:dyDescent="0.25">
      <c r="A774" s="223"/>
      <c r="B774" s="223"/>
      <c r="C774" s="223"/>
      <c r="D774" s="223"/>
      <c r="E774" s="223"/>
      <c r="F774" s="276"/>
      <c r="G774" s="226"/>
      <c r="H774" s="223"/>
      <c r="I774" s="223"/>
      <c r="J774" s="223"/>
      <c r="K774" s="223"/>
      <c r="L774" s="223"/>
      <c r="M774" s="223"/>
      <c r="N774" s="223"/>
      <c r="O774" s="223"/>
      <c r="P774" s="223"/>
      <c r="Q774" s="223"/>
      <c r="R774" s="890"/>
      <c r="S774" s="890"/>
      <c r="T774" s="223"/>
      <c r="U774" s="223"/>
      <c r="V774" s="223"/>
      <c r="W774" s="223"/>
      <c r="X774" s="223"/>
      <c r="Y774" s="223"/>
      <c r="Z774" s="223"/>
      <c r="AA774" s="223"/>
      <c r="AB774" s="223"/>
      <c r="AC774" s="223"/>
    </row>
    <row r="775" spans="1:29" x14ac:dyDescent="0.25">
      <c r="A775" s="223"/>
      <c r="B775" s="223"/>
      <c r="C775" s="223"/>
      <c r="D775" s="223"/>
      <c r="E775" s="223"/>
      <c r="F775" s="276"/>
      <c r="G775" s="226"/>
      <c r="H775" s="223"/>
      <c r="I775" s="223"/>
      <c r="J775" s="223"/>
      <c r="K775" s="223"/>
      <c r="L775" s="223"/>
      <c r="M775" s="223"/>
      <c r="N775" s="223"/>
      <c r="O775" s="223"/>
      <c r="P775" s="223"/>
      <c r="Q775" s="223"/>
      <c r="R775" s="890"/>
      <c r="S775" s="890"/>
      <c r="T775" s="223"/>
      <c r="U775" s="223"/>
      <c r="V775" s="223"/>
      <c r="W775" s="223"/>
      <c r="X775" s="223"/>
      <c r="Y775" s="223"/>
      <c r="Z775" s="223"/>
      <c r="AA775" s="223"/>
      <c r="AB775" s="223"/>
      <c r="AC775" s="223"/>
    </row>
    <row r="776" spans="1:29" x14ac:dyDescent="0.25">
      <c r="A776" s="223"/>
      <c r="B776" s="223"/>
      <c r="C776" s="223"/>
      <c r="D776" s="223"/>
      <c r="E776" s="223"/>
      <c r="F776" s="276"/>
      <c r="G776" s="226"/>
      <c r="H776" s="223"/>
      <c r="I776" s="223"/>
      <c r="J776" s="223"/>
      <c r="K776" s="223"/>
      <c r="L776" s="223"/>
      <c r="M776" s="223"/>
      <c r="N776" s="223"/>
      <c r="O776" s="223"/>
      <c r="P776" s="223"/>
      <c r="Q776" s="223"/>
      <c r="R776" s="890"/>
      <c r="S776" s="890"/>
      <c r="T776" s="223"/>
      <c r="U776" s="223"/>
      <c r="V776" s="223"/>
      <c r="W776" s="223"/>
      <c r="X776" s="223"/>
      <c r="Y776" s="223"/>
      <c r="Z776" s="223"/>
      <c r="AA776" s="223"/>
      <c r="AB776" s="223"/>
      <c r="AC776" s="223"/>
    </row>
    <row r="777" spans="1:29" x14ac:dyDescent="0.25">
      <c r="A777" s="223"/>
      <c r="B777" s="223"/>
      <c r="C777" s="223"/>
      <c r="D777" s="223"/>
      <c r="E777" s="223"/>
      <c r="F777" s="276"/>
      <c r="G777" s="226"/>
      <c r="H777" s="223"/>
      <c r="I777" s="223"/>
      <c r="J777" s="223"/>
      <c r="K777" s="223"/>
      <c r="L777" s="223"/>
      <c r="M777" s="223"/>
      <c r="N777" s="223"/>
      <c r="O777" s="223"/>
      <c r="P777" s="223"/>
      <c r="Q777" s="223"/>
      <c r="R777" s="890"/>
      <c r="S777" s="890"/>
      <c r="T777" s="223"/>
      <c r="U777" s="223"/>
      <c r="V777" s="223"/>
      <c r="W777" s="223"/>
      <c r="X777" s="223"/>
      <c r="Y777" s="223"/>
      <c r="Z777" s="223"/>
      <c r="AA777" s="223"/>
      <c r="AB777" s="223"/>
      <c r="AC777" s="223"/>
    </row>
    <row r="778" spans="1:29" x14ac:dyDescent="0.25">
      <c r="A778" s="223"/>
      <c r="B778" s="223"/>
      <c r="C778" s="223"/>
      <c r="D778" s="223"/>
      <c r="E778" s="223"/>
      <c r="F778" s="276"/>
      <c r="G778" s="226"/>
      <c r="H778" s="223"/>
      <c r="I778" s="223"/>
      <c r="J778" s="223"/>
      <c r="K778" s="223"/>
      <c r="L778" s="223"/>
      <c r="M778" s="223"/>
      <c r="N778" s="223"/>
      <c r="O778" s="223"/>
      <c r="P778" s="223"/>
      <c r="Q778" s="223"/>
      <c r="R778" s="890"/>
      <c r="S778" s="890"/>
      <c r="T778" s="223"/>
      <c r="U778" s="223"/>
      <c r="V778" s="223"/>
      <c r="W778" s="223"/>
      <c r="X778" s="223"/>
      <c r="Y778" s="223"/>
      <c r="Z778" s="223"/>
      <c r="AA778" s="223"/>
      <c r="AB778" s="223"/>
      <c r="AC778" s="223"/>
    </row>
    <row r="779" spans="1:29" x14ac:dyDescent="0.25">
      <c r="A779" s="223"/>
      <c r="B779" s="223"/>
      <c r="C779" s="223"/>
      <c r="D779" s="223"/>
      <c r="E779" s="223"/>
      <c r="F779" s="276"/>
      <c r="G779" s="226"/>
      <c r="H779" s="223"/>
      <c r="I779" s="223"/>
      <c r="J779" s="223"/>
      <c r="K779" s="223"/>
      <c r="L779" s="223"/>
      <c r="M779" s="223"/>
      <c r="N779" s="223"/>
      <c r="O779" s="223"/>
      <c r="P779" s="223"/>
      <c r="Q779" s="223"/>
      <c r="R779" s="890"/>
      <c r="S779" s="890"/>
      <c r="T779" s="223"/>
      <c r="U779" s="223"/>
      <c r="V779" s="223"/>
      <c r="W779" s="223"/>
      <c r="X779" s="223"/>
      <c r="Y779" s="223"/>
      <c r="Z779" s="223"/>
      <c r="AA779" s="223"/>
      <c r="AB779" s="223"/>
      <c r="AC779" s="223"/>
    </row>
    <row r="780" spans="1:29" x14ac:dyDescent="0.25">
      <c r="A780" s="223"/>
      <c r="B780" s="223"/>
      <c r="C780" s="223"/>
      <c r="D780" s="223"/>
      <c r="E780" s="223"/>
      <c r="F780" s="276"/>
      <c r="G780" s="226"/>
      <c r="H780" s="223"/>
      <c r="I780" s="223"/>
      <c r="J780" s="223"/>
      <c r="K780" s="223"/>
      <c r="L780" s="223"/>
      <c r="M780" s="223"/>
      <c r="N780" s="223"/>
      <c r="O780" s="223"/>
      <c r="P780" s="223"/>
      <c r="Q780" s="223"/>
      <c r="R780" s="890"/>
      <c r="S780" s="890"/>
      <c r="T780" s="223"/>
      <c r="U780" s="223"/>
      <c r="V780" s="223"/>
      <c r="W780" s="223"/>
      <c r="X780" s="223"/>
      <c r="Y780" s="223"/>
      <c r="Z780" s="223"/>
      <c r="AA780" s="223"/>
      <c r="AB780" s="223"/>
      <c r="AC780" s="223"/>
    </row>
    <row r="781" spans="1:29" x14ac:dyDescent="0.25">
      <c r="A781" s="223"/>
      <c r="B781" s="223"/>
      <c r="C781" s="223"/>
      <c r="D781" s="223"/>
      <c r="E781" s="223"/>
      <c r="F781" s="276"/>
      <c r="G781" s="226"/>
      <c r="H781" s="223"/>
      <c r="I781" s="223"/>
      <c r="J781" s="223"/>
      <c r="K781" s="223"/>
      <c r="L781" s="223"/>
      <c r="M781" s="223"/>
      <c r="N781" s="223"/>
      <c r="O781" s="223"/>
      <c r="P781" s="223"/>
      <c r="Q781" s="223"/>
      <c r="R781" s="890"/>
      <c r="S781" s="890"/>
      <c r="T781" s="223"/>
      <c r="U781" s="223"/>
      <c r="V781" s="223"/>
      <c r="W781" s="223"/>
      <c r="X781" s="223"/>
      <c r="Y781" s="223"/>
      <c r="Z781" s="223"/>
      <c r="AA781" s="223"/>
      <c r="AB781" s="223"/>
      <c r="AC781" s="223"/>
    </row>
    <row r="782" spans="1:29" x14ac:dyDescent="0.25">
      <c r="A782" s="223"/>
      <c r="B782" s="223"/>
      <c r="C782" s="223"/>
      <c r="D782" s="223"/>
      <c r="E782" s="223"/>
      <c r="F782" s="276"/>
      <c r="G782" s="226"/>
      <c r="H782" s="223"/>
      <c r="I782" s="223"/>
      <c r="J782" s="223"/>
      <c r="K782" s="223"/>
      <c r="L782" s="223"/>
      <c r="M782" s="223"/>
      <c r="N782" s="223"/>
      <c r="O782" s="223"/>
      <c r="P782" s="223"/>
      <c r="Q782" s="223"/>
      <c r="R782" s="890"/>
      <c r="S782" s="890"/>
      <c r="T782" s="223"/>
      <c r="U782" s="223"/>
      <c r="V782" s="223"/>
      <c r="W782" s="223"/>
      <c r="X782" s="223"/>
      <c r="Y782" s="223"/>
      <c r="Z782" s="223"/>
      <c r="AA782" s="223"/>
      <c r="AB782" s="223"/>
      <c r="AC782" s="223"/>
    </row>
    <row r="783" spans="1:29" x14ac:dyDescent="0.25">
      <c r="A783" s="223"/>
      <c r="B783" s="223"/>
      <c r="C783" s="223"/>
      <c r="D783" s="223"/>
      <c r="E783" s="223"/>
      <c r="F783" s="276"/>
      <c r="G783" s="226"/>
      <c r="H783" s="223"/>
      <c r="I783" s="223"/>
      <c r="J783" s="223"/>
      <c r="K783" s="223"/>
      <c r="L783" s="223"/>
      <c r="M783" s="223"/>
      <c r="N783" s="223"/>
      <c r="O783" s="223"/>
      <c r="P783" s="223"/>
      <c r="Q783" s="223"/>
      <c r="R783" s="890"/>
      <c r="S783" s="890"/>
      <c r="T783" s="223"/>
      <c r="U783" s="223"/>
      <c r="V783" s="223"/>
      <c r="W783" s="223"/>
      <c r="X783" s="223"/>
      <c r="Y783" s="223"/>
      <c r="Z783" s="223"/>
      <c r="AA783" s="223"/>
      <c r="AB783" s="223"/>
      <c r="AC783" s="223"/>
    </row>
    <row r="784" spans="1:29" x14ac:dyDescent="0.25">
      <c r="A784" s="223"/>
      <c r="B784" s="223"/>
      <c r="C784" s="223"/>
      <c r="D784" s="223"/>
      <c r="E784" s="223"/>
      <c r="F784" s="276"/>
      <c r="G784" s="226"/>
      <c r="H784" s="223"/>
      <c r="I784" s="223"/>
      <c r="J784" s="223"/>
      <c r="K784" s="223"/>
      <c r="L784" s="223"/>
      <c r="M784" s="223"/>
      <c r="N784" s="223"/>
      <c r="O784" s="223"/>
      <c r="P784" s="223"/>
      <c r="Q784" s="223"/>
      <c r="R784" s="890"/>
      <c r="S784" s="890"/>
      <c r="T784" s="223"/>
      <c r="U784" s="223"/>
      <c r="V784" s="223"/>
      <c r="W784" s="223"/>
      <c r="X784" s="223"/>
      <c r="Y784" s="223"/>
      <c r="Z784" s="223"/>
      <c r="AA784" s="223"/>
      <c r="AB784" s="223"/>
      <c r="AC784" s="223"/>
    </row>
    <row r="785" spans="1:29" x14ac:dyDescent="0.25">
      <c r="A785" s="223"/>
      <c r="B785" s="223"/>
      <c r="C785" s="223"/>
      <c r="D785" s="223"/>
      <c r="E785" s="223"/>
      <c r="F785" s="276"/>
      <c r="G785" s="226"/>
      <c r="H785" s="223"/>
      <c r="I785" s="223"/>
      <c r="J785" s="223"/>
      <c r="K785" s="223"/>
      <c r="L785" s="223"/>
      <c r="M785" s="223"/>
      <c r="N785" s="223"/>
      <c r="O785" s="223"/>
      <c r="P785" s="223"/>
      <c r="Q785" s="223"/>
      <c r="R785" s="890"/>
      <c r="S785" s="890"/>
      <c r="T785" s="223"/>
      <c r="U785" s="223"/>
      <c r="V785" s="223"/>
      <c r="W785" s="223"/>
      <c r="X785" s="223"/>
      <c r="Y785" s="223"/>
      <c r="Z785" s="223"/>
      <c r="AA785" s="223"/>
      <c r="AB785" s="223"/>
      <c r="AC785" s="223"/>
    </row>
    <row r="786" spans="1:29" x14ac:dyDescent="0.25">
      <c r="A786" s="223"/>
      <c r="B786" s="223"/>
      <c r="C786" s="223"/>
      <c r="D786" s="223"/>
      <c r="E786" s="223"/>
      <c r="F786" s="276"/>
      <c r="G786" s="226"/>
      <c r="H786" s="223"/>
      <c r="I786" s="223"/>
      <c r="J786" s="223"/>
      <c r="K786" s="223"/>
      <c r="L786" s="223"/>
      <c r="M786" s="223"/>
      <c r="N786" s="223"/>
      <c r="O786" s="223"/>
      <c r="P786" s="223"/>
      <c r="Q786" s="223"/>
      <c r="R786" s="890"/>
      <c r="S786" s="890"/>
      <c r="T786" s="223"/>
      <c r="U786" s="223"/>
      <c r="V786" s="223"/>
      <c r="W786" s="223"/>
      <c r="X786" s="223"/>
      <c r="Y786" s="223"/>
      <c r="Z786" s="223"/>
      <c r="AA786" s="223"/>
      <c r="AB786" s="223"/>
      <c r="AC786" s="223"/>
    </row>
    <row r="787" spans="1:29" x14ac:dyDescent="0.25">
      <c r="A787" s="223"/>
      <c r="B787" s="223"/>
      <c r="C787" s="223"/>
      <c r="D787" s="223"/>
      <c r="E787" s="223"/>
      <c r="F787" s="276"/>
      <c r="G787" s="226"/>
      <c r="H787" s="223"/>
      <c r="I787" s="223"/>
      <c r="J787" s="223"/>
      <c r="K787" s="223"/>
      <c r="L787" s="223"/>
      <c r="M787" s="223"/>
      <c r="N787" s="223"/>
      <c r="O787" s="223"/>
      <c r="P787" s="223"/>
      <c r="Q787" s="223"/>
      <c r="R787" s="890"/>
      <c r="S787" s="890"/>
      <c r="T787" s="223"/>
      <c r="U787" s="223"/>
      <c r="V787" s="223"/>
      <c r="W787" s="223"/>
      <c r="X787" s="223"/>
      <c r="Y787" s="223"/>
      <c r="Z787" s="223"/>
      <c r="AA787" s="223"/>
      <c r="AB787" s="223"/>
      <c r="AC787" s="223"/>
    </row>
    <row r="788" spans="1:29" x14ac:dyDescent="0.25">
      <c r="A788" s="223"/>
      <c r="B788" s="223"/>
      <c r="C788" s="223"/>
      <c r="D788" s="223"/>
      <c r="E788" s="223"/>
      <c r="F788" s="276"/>
      <c r="G788" s="226"/>
      <c r="H788" s="223"/>
      <c r="I788" s="223"/>
      <c r="J788" s="223"/>
      <c r="K788" s="223"/>
      <c r="L788" s="223"/>
      <c r="M788" s="223"/>
      <c r="N788" s="223"/>
      <c r="O788" s="223"/>
      <c r="P788" s="223"/>
      <c r="Q788" s="223"/>
      <c r="R788" s="890"/>
      <c r="S788" s="890"/>
      <c r="T788" s="223"/>
      <c r="U788" s="223"/>
      <c r="V788" s="223"/>
      <c r="W788" s="223"/>
      <c r="X788" s="223"/>
      <c r="Y788" s="223"/>
      <c r="Z788" s="223"/>
      <c r="AA788" s="223"/>
      <c r="AB788" s="223"/>
      <c r="AC788" s="223"/>
    </row>
    <row r="789" spans="1:29" x14ac:dyDescent="0.25">
      <c r="A789" s="223"/>
      <c r="B789" s="223"/>
      <c r="C789" s="223"/>
      <c r="D789" s="223"/>
      <c r="E789" s="223"/>
      <c r="F789" s="276"/>
      <c r="G789" s="226"/>
      <c r="H789" s="223"/>
      <c r="I789" s="223"/>
      <c r="J789" s="223"/>
      <c r="K789" s="223"/>
      <c r="L789" s="223"/>
      <c r="M789" s="223"/>
      <c r="N789" s="223"/>
      <c r="O789" s="223"/>
      <c r="P789" s="223"/>
      <c r="Q789" s="223"/>
      <c r="R789" s="890"/>
      <c r="S789" s="890"/>
      <c r="T789" s="223"/>
      <c r="U789" s="223"/>
      <c r="V789" s="223"/>
      <c r="W789" s="223"/>
      <c r="X789" s="223"/>
      <c r="Y789" s="223"/>
      <c r="Z789" s="223"/>
      <c r="AA789" s="223"/>
      <c r="AB789" s="223"/>
      <c r="AC789" s="223"/>
    </row>
    <row r="790" spans="1:29" x14ac:dyDescent="0.25">
      <c r="A790" s="223"/>
      <c r="B790" s="223"/>
      <c r="C790" s="223"/>
      <c r="D790" s="223"/>
      <c r="E790" s="223"/>
      <c r="F790" s="276"/>
      <c r="G790" s="226"/>
      <c r="H790" s="223"/>
      <c r="I790" s="223"/>
      <c r="J790" s="223"/>
      <c r="K790" s="223"/>
      <c r="L790" s="223"/>
      <c r="M790" s="223"/>
      <c r="N790" s="223"/>
      <c r="O790" s="223"/>
      <c r="P790" s="223"/>
      <c r="Q790" s="223"/>
      <c r="R790" s="890"/>
      <c r="S790" s="890"/>
      <c r="T790" s="223"/>
      <c r="U790" s="223"/>
      <c r="V790" s="223"/>
      <c r="W790" s="223"/>
      <c r="X790" s="223"/>
      <c r="Y790" s="223"/>
      <c r="Z790" s="223"/>
      <c r="AA790" s="223"/>
      <c r="AB790" s="223"/>
      <c r="AC790" s="223"/>
    </row>
    <row r="791" spans="1:29" x14ac:dyDescent="0.25">
      <c r="A791" s="223"/>
      <c r="B791" s="223"/>
      <c r="C791" s="223"/>
      <c r="D791" s="223"/>
      <c r="E791" s="223"/>
      <c r="F791" s="276"/>
      <c r="G791" s="226"/>
      <c r="H791" s="223"/>
      <c r="I791" s="223"/>
      <c r="J791" s="223"/>
      <c r="K791" s="223"/>
      <c r="L791" s="223"/>
      <c r="M791" s="223"/>
      <c r="N791" s="223"/>
      <c r="O791" s="223"/>
      <c r="P791" s="223"/>
      <c r="Q791" s="223"/>
      <c r="R791" s="890"/>
      <c r="S791" s="890"/>
      <c r="T791" s="223"/>
      <c r="U791" s="223"/>
      <c r="V791" s="223"/>
      <c r="W791" s="223"/>
      <c r="X791" s="223"/>
      <c r="Y791" s="223"/>
      <c r="Z791" s="223"/>
      <c r="AA791" s="223"/>
      <c r="AB791" s="223"/>
      <c r="AC791" s="223"/>
    </row>
    <row r="792" spans="1:29" x14ac:dyDescent="0.25">
      <c r="A792" s="223"/>
      <c r="B792" s="223"/>
      <c r="C792" s="223"/>
      <c r="D792" s="223"/>
      <c r="E792" s="223"/>
      <c r="F792" s="276"/>
      <c r="G792" s="226"/>
      <c r="H792" s="223"/>
      <c r="I792" s="223"/>
      <c r="J792" s="223"/>
      <c r="K792" s="223"/>
      <c r="L792" s="223"/>
      <c r="M792" s="223"/>
      <c r="N792" s="223"/>
      <c r="O792" s="223"/>
      <c r="P792" s="223"/>
      <c r="Q792" s="223"/>
      <c r="R792" s="890"/>
      <c r="S792" s="890"/>
      <c r="T792" s="223"/>
      <c r="U792" s="223"/>
      <c r="V792" s="223"/>
      <c r="W792" s="223"/>
      <c r="X792" s="223"/>
      <c r="Y792" s="223"/>
      <c r="Z792" s="223"/>
      <c r="AA792" s="223"/>
      <c r="AB792" s="223"/>
      <c r="AC792" s="223"/>
    </row>
    <row r="793" spans="1:29" x14ac:dyDescent="0.25">
      <c r="A793" s="223"/>
      <c r="B793" s="223"/>
      <c r="C793" s="223"/>
      <c r="D793" s="223"/>
      <c r="E793" s="223"/>
      <c r="F793" s="276"/>
      <c r="G793" s="226"/>
      <c r="H793" s="223"/>
      <c r="I793" s="223"/>
      <c r="J793" s="223"/>
      <c r="K793" s="223"/>
      <c r="L793" s="223"/>
      <c r="M793" s="223"/>
      <c r="N793" s="223"/>
      <c r="O793" s="223"/>
      <c r="P793" s="223"/>
      <c r="Q793" s="223"/>
      <c r="R793" s="890"/>
      <c r="S793" s="890"/>
      <c r="T793" s="223"/>
      <c r="U793" s="223"/>
      <c r="V793" s="223"/>
      <c r="W793" s="223"/>
      <c r="X793" s="223"/>
      <c r="Y793" s="223"/>
      <c r="Z793" s="223"/>
      <c r="AA793" s="223"/>
      <c r="AB793" s="223"/>
      <c r="AC793" s="223"/>
    </row>
    <row r="794" spans="1:29" x14ac:dyDescent="0.25">
      <c r="A794" s="223"/>
      <c r="B794" s="223"/>
      <c r="C794" s="223"/>
      <c r="D794" s="223"/>
      <c r="E794" s="223"/>
      <c r="F794" s="276"/>
      <c r="G794" s="226"/>
      <c r="H794" s="223"/>
      <c r="I794" s="223"/>
      <c r="J794" s="223"/>
      <c r="K794" s="223"/>
      <c r="L794" s="223"/>
      <c r="M794" s="223"/>
      <c r="N794" s="223"/>
      <c r="O794" s="223"/>
      <c r="P794" s="223"/>
      <c r="Q794" s="223"/>
      <c r="R794" s="890"/>
      <c r="S794" s="890"/>
      <c r="T794" s="223"/>
      <c r="U794" s="223"/>
      <c r="V794" s="223"/>
      <c r="W794" s="223"/>
      <c r="X794" s="223"/>
      <c r="Y794" s="223"/>
      <c r="Z794" s="223"/>
      <c r="AA794" s="223"/>
      <c r="AB794" s="223"/>
      <c r="AC794" s="223"/>
    </row>
    <row r="795" spans="1:29" x14ac:dyDescent="0.25">
      <c r="A795" s="223"/>
      <c r="B795" s="223"/>
      <c r="C795" s="223"/>
      <c r="D795" s="223"/>
      <c r="E795" s="223"/>
      <c r="F795" s="276"/>
      <c r="G795" s="226"/>
      <c r="H795" s="223"/>
      <c r="I795" s="223"/>
      <c r="J795" s="223"/>
      <c r="K795" s="223"/>
      <c r="L795" s="223"/>
      <c r="M795" s="223"/>
      <c r="N795" s="223"/>
      <c r="O795" s="223"/>
      <c r="P795" s="223"/>
      <c r="Q795" s="223"/>
      <c r="R795" s="890"/>
      <c r="S795" s="890"/>
      <c r="T795" s="223"/>
      <c r="U795" s="223"/>
      <c r="V795" s="223"/>
      <c r="W795" s="223"/>
      <c r="X795" s="223"/>
      <c r="Y795" s="223"/>
      <c r="Z795" s="223"/>
      <c r="AA795" s="223"/>
      <c r="AB795" s="223"/>
      <c r="AC795" s="223"/>
    </row>
    <row r="796" spans="1:29" x14ac:dyDescent="0.25">
      <c r="A796" s="223"/>
      <c r="B796" s="223"/>
      <c r="C796" s="223"/>
      <c r="D796" s="223"/>
      <c r="E796" s="223"/>
      <c r="F796" s="276"/>
      <c r="G796" s="226"/>
      <c r="H796" s="223"/>
      <c r="I796" s="223"/>
      <c r="J796" s="223"/>
      <c r="K796" s="223"/>
      <c r="L796" s="223"/>
      <c r="M796" s="223"/>
      <c r="N796" s="223"/>
      <c r="O796" s="223"/>
      <c r="P796" s="223"/>
      <c r="Q796" s="223"/>
      <c r="R796" s="890"/>
      <c r="S796" s="890"/>
      <c r="T796" s="223"/>
      <c r="U796" s="223"/>
      <c r="V796" s="223"/>
      <c r="W796" s="223"/>
      <c r="X796" s="223"/>
      <c r="Y796" s="223"/>
      <c r="Z796" s="223"/>
      <c r="AA796" s="223"/>
      <c r="AB796" s="223"/>
      <c r="AC796" s="223"/>
    </row>
    <row r="797" spans="1:29" x14ac:dyDescent="0.25">
      <c r="A797" s="223"/>
      <c r="B797" s="223"/>
      <c r="C797" s="223"/>
      <c r="D797" s="223"/>
      <c r="E797" s="223"/>
      <c r="F797" s="276"/>
      <c r="G797" s="226"/>
      <c r="H797" s="223"/>
      <c r="I797" s="223"/>
      <c r="J797" s="223"/>
      <c r="K797" s="223"/>
      <c r="L797" s="223"/>
      <c r="M797" s="223"/>
      <c r="N797" s="223"/>
      <c r="O797" s="223"/>
      <c r="P797" s="223"/>
      <c r="Q797" s="223"/>
      <c r="R797" s="890"/>
      <c r="S797" s="890"/>
      <c r="T797" s="223"/>
      <c r="U797" s="223"/>
      <c r="V797" s="223"/>
      <c r="W797" s="223"/>
      <c r="X797" s="223"/>
      <c r="Y797" s="223"/>
      <c r="Z797" s="223"/>
      <c r="AA797" s="223"/>
      <c r="AB797" s="223"/>
      <c r="AC797" s="223"/>
    </row>
    <row r="798" spans="1:29" x14ac:dyDescent="0.25">
      <c r="A798" s="223"/>
      <c r="B798" s="223"/>
      <c r="C798" s="223"/>
      <c r="D798" s="223"/>
      <c r="E798" s="223"/>
      <c r="F798" s="276"/>
      <c r="G798" s="226"/>
      <c r="H798" s="223"/>
      <c r="I798" s="223"/>
      <c r="J798" s="223"/>
      <c r="K798" s="223"/>
      <c r="L798" s="223"/>
      <c r="M798" s="223"/>
      <c r="N798" s="223"/>
      <c r="O798" s="223"/>
      <c r="P798" s="223"/>
      <c r="Q798" s="223"/>
      <c r="R798" s="890"/>
      <c r="S798" s="890"/>
      <c r="T798" s="223"/>
      <c r="U798" s="223"/>
      <c r="V798" s="223"/>
      <c r="W798" s="223"/>
      <c r="X798" s="223"/>
      <c r="Y798" s="223"/>
      <c r="Z798" s="223"/>
      <c r="AA798" s="223"/>
      <c r="AB798" s="223"/>
      <c r="AC798" s="223"/>
    </row>
    <row r="799" spans="1:29" x14ac:dyDescent="0.25">
      <c r="A799" s="223"/>
      <c r="B799" s="223"/>
      <c r="C799" s="223"/>
      <c r="D799" s="223"/>
      <c r="E799" s="223"/>
      <c r="F799" s="276"/>
      <c r="G799" s="226"/>
      <c r="H799" s="223"/>
      <c r="I799" s="223"/>
      <c r="J799" s="223"/>
      <c r="K799" s="223"/>
      <c r="L799" s="223"/>
      <c r="M799" s="223"/>
      <c r="N799" s="223"/>
      <c r="O799" s="223"/>
      <c r="P799" s="223"/>
      <c r="Q799" s="223"/>
      <c r="R799" s="890"/>
      <c r="S799" s="890"/>
      <c r="T799" s="223"/>
      <c r="U799" s="223"/>
      <c r="V799" s="223"/>
      <c r="W799" s="223"/>
      <c r="X799" s="223"/>
      <c r="Y799" s="223"/>
      <c r="Z799" s="223"/>
      <c r="AA799" s="223"/>
      <c r="AB799" s="223"/>
      <c r="AC799" s="223"/>
    </row>
    <row r="800" spans="1:29" x14ac:dyDescent="0.25">
      <c r="A800" s="223"/>
      <c r="B800" s="223"/>
      <c r="C800" s="223"/>
      <c r="D800" s="223"/>
      <c r="E800" s="223"/>
      <c r="F800" s="276"/>
      <c r="G800" s="226"/>
      <c r="H800" s="223"/>
      <c r="I800" s="223"/>
      <c r="J800" s="223"/>
      <c r="K800" s="223"/>
      <c r="L800" s="223"/>
      <c r="M800" s="223"/>
      <c r="N800" s="223"/>
      <c r="O800" s="223"/>
      <c r="P800" s="223"/>
      <c r="Q800" s="223"/>
      <c r="R800" s="890"/>
      <c r="S800" s="890"/>
      <c r="T800" s="223"/>
      <c r="U800" s="223"/>
      <c r="V800" s="223"/>
      <c r="W800" s="223"/>
      <c r="X800" s="223"/>
      <c r="Y800" s="223"/>
      <c r="Z800" s="223"/>
      <c r="AA800" s="223"/>
      <c r="AB800" s="223"/>
      <c r="AC800" s="223"/>
    </row>
    <row r="801" spans="1:29" x14ac:dyDescent="0.25">
      <c r="A801" s="223"/>
      <c r="B801" s="223"/>
      <c r="C801" s="223"/>
      <c r="D801" s="223"/>
      <c r="E801" s="223"/>
      <c r="F801" s="276"/>
      <c r="G801" s="226"/>
      <c r="H801" s="223"/>
      <c r="I801" s="223"/>
      <c r="J801" s="223"/>
      <c r="K801" s="223"/>
      <c r="L801" s="223"/>
      <c r="M801" s="223"/>
      <c r="N801" s="223"/>
      <c r="O801" s="223"/>
      <c r="P801" s="223"/>
      <c r="Q801" s="223"/>
      <c r="R801" s="890"/>
      <c r="S801" s="890"/>
      <c r="T801" s="223"/>
      <c r="U801" s="223"/>
      <c r="V801" s="223"/>
      <c r="W801" s="223"/>
      <c r="X801" s="223"/>
      <c r="Y801" s="223"/>
      <c r="Z801" s="223"/>
      <c r="AA801" s="223"/>
      <c r="AB801" s="223"/>
      <c r="AC801" s="223"/>
    </row>
    <row r="802" spans="1:29" x14ac:dyDescent="0.25">
      <c r="A802" s="223"/>
      <c r="B802" s="223"/>
      <c r="C802" s="223"/>
      <c r="D802" s="223"/>
      <c r="E802" s="223"/>
      <c r="F802" s="276"/>
      <c r="G802" s="226"/>
      <c r="H802" s="223"/>
      <c r="I802" s="223"/>
      <c r="J802" s="223"/>
      <c r="K802" s="223"/>
      <c r="L802" s="223"/>
      <c r="M802" s="223"/>
      <c r="N802" s="223"/>
      <c r="O802" s="223"/>
      <c r="P802" s="223"/>
      <c r="Q802" s="223"/>
      <c r="R802" s="890"/>
      <c r="S802" s="890"/>
      <c r="T802" s="223"/>
      <c r="U802" s="223"/>
      <c r="V802" s="223"/>
      <c r="W802" s="223"/>
      <c r="X802" s="223"/>
      <c r="Y802" s="223"/>
      <c r="Z802" s="223"/>
      <c r="AA802" s="223"/>
      <c r="AB802" s="223"/>
      <c r="AC802" s="223"/>
    </row>
    <row r="803" spans="1:29" x14ac:dyDescent="0.25">
      <c r="A803" s="223"/>
      <c r="B803" s="223"/>
      <c r="C803" s="223"/>
      <c r="D803" s="223"/>
      <c r="E803" s="223"/>
      <c r="F803" s="276"/>
      <c r="G803" s="226"/>
      <c r="H803" s="223"/>
      <c r="I803" s="223"/>
      <c r="J803" s="223"/>
      <c r="K803" s="223"/>
      <c r="L803" s="223"/>
      <c r="M803" s="223"/>
      <c r="N803" s="223"/>
      <c r="O803" s="223"/>
      <c r="P803" s="223"/>
      <c r="Q803" s="223"/>
      <c r="R803" s="890"/>
      <c r="S803" s="890"/>
      <c r="T803" s="223"/>
      <c r="U803" s="223"/>
      <c r="V803" s="223"/>
      <c r="W803" s="223"/>
      <c r="X803" s="223"/>
      <c r="Y803" s="223"/>
      <c r="Z803" s="223"/>
      <c r="AA803" s="223"/>
      <c r="AB803" s="223"/>
      <c r="AC803" s="223"/>
    </row>
    <row r="804" spans="1:29" x14ac:dyDescent="0.25">
      <c r="A804" s="223"/>
      <c r="B804" s="223"/>
      <c r="C804" s="223"/>
      <c r="D804" s="223"/>
      <c r="E804" s="223"/>
      <c r="F804" s="276"/>
      <c r="G804" s="226"/>
      <c r="H804" s="223"/>
      <c r="I804" s="223"/>
      <c r="J804" s="223"/>
      <c r="K804" s="223"/>
      <c r="L804" s="223"/>
      <c r="M804" s="223"/>
      <c r="N804" s="223"/>
      <c r="O804" s="223"/>
      <c r="P804" s="223"/>
      <c r="Q804" s="223"/>
      <c r="R804" s="890"/>
      <c r="S804" s="890"/>
      <c r="T804" s="223"/>
      <c r="U804" s="223"/>
      <c r="V804" s="223"/>
      <c r="W804" s="223"/>
      <c r="X804" s="223"/>
      <c r="Y804" s="223"/>
      <c r="Z804" s="223"/>
      <c r="AA804" s="223"/>
      <c r="AB804" s="223"/>
      <c r="AC804" s="223"/>
    </row>
    <row r="805" spans="1:29" x14ac:dyDescent="0.25">
      <c r="A805" s="223"/>
      <c r="B805" s="223"/>
      <c r="C805" s="223"/>
      <c r="D805" s="223"/>
      <c r="E805" s="223"/>
      <c r="F805" s="276"/>
      <c r="G805" s="226"/>
      <c r="H805" s="223"/>
      <c r="I805" s="223"/>
      <c r="J805" s="223"/>
      <c r="K805" s="223"/>
      <c r="L805" s="223"/>
      <c r="M805" s="223"/>
      <c r="N805" s="223"/>
      <c r="O805" s="223"/>
      <c r="P805" s="223"/>
      <c r="Q805" s="223"/>
      <c r="R805" s="890"/>
      <c r="S805" s="890"/>
      <c r="T805" s="223"/>
      <c r="U805" s="223"/>
      <c r="V805" s="223"/>
      <c r="W805" s="223"/>
      <c r="X805" s="223"/>
      <c r="Y805" s="223"/>
      <c r="Z805" s="223"/>
      <c r="AA805" s="223"/>
      <c r="AB805" s="223"/>
      <c r="AC805" s="223"/>
    </row>
    <row r="806" spans="1:29" x14ac:dyDescent="0.25">
      <c r="A806" s="223"/>
      <c r="B806" s="223"/>
      <c r="C806" s="223"/>
      <c r="D806" s="223"/>
      <c r="E806" s="223"/>
      <c r="F806" s="276"/>
      <c r="G806" s="226"/>
      <c r="H806" s="223"/>
      <c r="I806" s="223"/>
      <c r="J806" s="223"/>
      <c r="K806" s="223"/>
      <c r="L806" s="223"/>
      <c r="M806" s="223"/>
      <c r="N806" s="223"/>
      <c r="O806" s="223"/>
      <c r="P806" s="223"/>
      <c r="Q806" s="223"/>
      <c r="R806" s="890"/>
      <c r="S806" s="890"/>
      <c r="T806" s="223"/>
      <c r="U806" s="223"/>
      <c r="V806" s="223"/>
      <c r="W806" s="223"/>
      <c r="X806" s="223"/>
      <c r="Y806" s="223"/>
      <c r="Z806" s="223"/>
      <c r="AA806" s="223"/>
      <c r="AB806" s="223"/>
      <c r="AC806" s="223"/>
    </row>
    <row r="807" spans="1:29" x14ac:dyDescent="0.25">
      <c r="A807" s="223"/>
      <c r="B807" s="223"/>
      <c r="C807" s="223"/>
      <c r="D807" s="223"/>
      <c r="E807" s="223"/>
      <c r="F807" s="276"/>
      <c r="G807" s="226"/>
      <c r="H807" s="223"/>
      <c r="I807" s="223"/>
      <c r="J807" s="223"/>
      <c r="K807" s="223"/>
      <c r="L807" s="223"/>
      <c r="M807" s="223"/>
      <c r="N807" s="223"/>
      <c r="O807" s="223"/>
      <c r="P807" s="223"/>
      <c r="Q807" s="223"/>
      <c r="R807" s="890"/>
      <c r="S807" s="890"/>
      <c r="T807" s="223"/>
      <c r="U807" s="223"/>
      <c r="V807" s="223"/>
      <c r="W807" s="223"/>
      <c r="X807" s="223"/>
      <c r="Y807" s="223"/>
      <c r="Z807" s="223"/>
      <c r="AA807" s="223"/>
      <c r="AB807" s="223"/>
      <c r="AC807" s="223"/>
    </row>
    <row r="808" spans="1:29" x14ac:dyDescent="0.25">
      <c r="A808" s="223"/>
      <c r="B808" s="223"/>
      <c r="C808" s="223"/>
      <c r="D808" s="223"/>
      <c r="E808" s="223"/>
      <c r="F808" s="276"/>
      <c r="G808" s="226"/>
      <c r="H808" s="223"/>
      <c r="I808" s="223"/>
      <c r="J808" s="223"/>
      <c r="K808" s="223"/>
      <c r="L808" s="223"/>
      <c r="M808" s="223"/>
      <c r="N808" s="223"/>
      <c r="O808" s="223"/>
      <c r="P808" s="223"/>
      <c r="Q808" s="223"/>
      <c r="R808" s="890"/>
      <c r="S808" s="890"/>
      <c r="T808" s="223"/>
      <c r="U808" s="223"/>
      <c r="V808" s="223"/>
      <c r="W808" s="223"/>
      <c r="X808" s="223"/>
      <c r="Y808" s="223"/>
      <c r="Z808" s="223"/>
      <c r="AA808" s="223"/>
      <c r="AB808" s="223"/>
      <c r="AC808" s="223"/>
    </row>
    <row r="809" spans="1:29" x14ac:dyDescent="0.25">
      <c r="A809" s="223"/>
      <c r="B809" s="223"/>
      <c r="C809" s="223"/>
      <c r="D809" s="223"/>
      <c r="E809" s="223"/>
      <c r="F809" s="276"/>
      <c r="G809" s="226"/>
      <c r="H809" s="223"/>
      <c r="I809" s="223"/>
      <c r="J809" s="223"/>
      <c r="K809" s="223"/>
      <c r="L809" s="223"/>
      <c r="M809" s="223"/>
      <c r="N809" s="223"/>
      <c r="O809" s="223"/>
      <c r="P809" s="223"/>
      <c r="Q809" s="223"/>
      <c r="R809" s="890"/>
      <c r="S809" s="890"/>
      <c r="T809" s="223"/>
      <c r="U809" s="223"/>
      <c r="V809" s="223"/>
      <c r="W809" s="223"/>
      <c r="X809" s="223"/>
      <c r="Y809" s="223"/>
      <c r="Z809" s="223"/>
      <c r="AA809" s="223"/>
      <c r="AB809" s="223"/>
      <c r="AC809" s="223"/>
    </row>
    <row r="810" spans="1:29" x14ac:dyDescent="0.25">
      <c r="A810" s="223"/>
      <c r="B810" s="223"/>
      <c r="C810" s="223"/>
      <c r="D810" s="223"/>
      <c r="E810" s="223"/>
      <c r="F810" s="276"/>
      <c r="G810" s="226"/>
      <c r="H810" s="223"/>
      <c r="I810" s="223"/>
      <c r="J810" s="223"/>
      <c r="K810" s="223"/>
      <c r="L810" s="223"/>
      <c r="M810" s="223"/>
      <c r="N810" s="223"/>
      <c r="O810" s="223"/>
      <c r="P810" s="223"/>
      <c r="Q810" s="223"/>
      <c r="R810" s="890"/>
      <c r="S810" s="890"/>
      <c r="T810" s="223"/>
      <c r="U810" s="223"/>
      <c r="V810" s="223"/>
      <c r="W810" s="223"/>
      <c r="X810" s="223"/>
      <c r="Y810" s="223"/>
      <c r="Z810" s="223"/>
      <c r="AA810" s="223"/>
      <c r="AB810" s="223"/>
      <c r="AC810" s="223"/>
    </row>
    <row r="811" spans="1:29" x14ac:dyDescent="0.25">
      <c r="A811" s="223"/>
      <c r="B811" s="223"/>
      <c r="C811" s="223"/>
      <c r="D811" s="223"/>
      <c r="E811" s="223"/>
      <c r="F811" s="276"/>
      <c r="G811" s="226"/>
      <c r="H811" s="223"/>
      <c r="I811" s="223"/>
      <c r="J811" s="223"/>
      <c r="K811" s="223"/>
      <c r="L811" s="223"/>
      <c r="M811" s="223"/>
      <c r="N811" s="223"/>
      <c r="O811" s="223"/>
      <c r="P811" s="223"/>
      <c r="Q811" s="223"/>
      <c r="R811" s="890"/>
      <c r="S811" s="890"/>
      <c r="T811" s="223"/>
      <c r="U811" s="223"/>
      <c r="V811" s="223"/>
      <c r="W811" s="223"/>
      <c r="X811" s="223"/>
      <c r="Y811" s="223"/>
      <c r="Z811" s="223"/>
      <c r="AA811" s="223"/>
      <c r="AB811" s="223"/>
      <c r="AC811" s="223"/>
    </row>
    <row r="812" spans="1:29" x14ac:dyDescent="0.25">
      <c r="A812" s="223"/>
      <c r="B812" s="223"/>
      <c r="C812" s="223"/>
      <c r="D812" s="223"/>
      <c r="E812" s="223"/>
      <c r="F812" s="276"/>
      <c r="G812" s="226"/>
      <c r="H812" s="223"/>
      <c r="I812" s="223"/>
      <c r="J812" s="223"/>
      <c r="K812" s="223"/>
      <c r="L812" s="223"/>
      <c r="M812" s="223"/>
      <c r="N812" s="223"/>
      <c r="O812" s="223"/>
      <c r="P812" s="223"/>
      <c r="Q812" s="223"/>
      <c r="R812" s="890"/>
      <c r="S812" s="890"/>
      <c r="T812" s="223"/>
      <c r="U812" s="223"/>
      <c r="V812" s="223"/>
      <c r="W812" s="223"/>
      <c r="X812" s="223"/>
      <c r="Y812" s="223"/>
      <c r="Z812" s="223"/>
      <c r="AA812" s="223"/>
      <c r="AB812" s="223"/>
      <c r="AC812" s="223"/>
    </row>
    <row r="813" spans="1:29" x14ac:dyDescent="0.25">
      <c r="A813" s="223"/>
      <c r="B813" s="223"/>
      <c r="C813" s="223"/>
      <c r="D813" s="223"/>
      <c r="E813" s="223"/>
      <c r="F813" s="276"/>
      <c r="G813" s="226"/>
      <c r="H813" s="223"/>
      <c r="I813" s="223"/>
      <c r="J813" s="223"/>
      <c r="K813" s="223"/>
      <c r="L813" s="223"/>
      <c r="M813" s="223"/>
      <c r="N813" s="223"/>
      <c r="O813" s="223"/>
      <c r="P813" s="223"/>
      <c r="Q813" s="223"/>
      <c r="R813" s="890"/>
      <c r="S813" s="890"/>
      <c r="T813" s="223"/>
      <c r="U813" s="223"/>
      <c r="V813" s="223"/>
      <c r="W813" s="223"/>
      <c r="X813" s="223"/>
      <c r="Y813" s="223"/>
      <c r="Z813" s="223"/>
      <c r="AA813" s="223"/>
      <c r="AB813" s="223"/>
      <c r="AC813" s="223"/>
    </row>
    <row r="814" spans="1:29" x14ac:dyDescent="0.25">
      <c r="A814" s="223"/>
      <c r="B814" s="223"/>
      <c r="C814" s="223"/>
      <c r="D814" s="223"/>
      <c r="E814" s="223"/>
      <c r="F814" s="276"/>
      <c r="G814" s="226"/>
      <c r="H814" s="223"/>
      <c r="I814" s="223"/>
      <c r="J814" s="223"/>
      <c r="K814" s="223"/>
      <c r="L814" s="223"/>
      <c r="M814" s="223"/>
      <c r="N814" s="223"/>
      <c r="O814" s="223"/>
      <c r="P814" s="223"/>
      <c r="Q814" s="223"/>
      <c r="R814" s="890"/>
      <c r="S814" s="890"/>
      <c r="T814" s="223"/>
      <c r="U814" s="223"/>
      <c r="V814" s="223"/>
      <c r="W814" s="223"/>
      <c r="X814" s="223"/>
      <c r="Y814" s="223"/>
      <c r="Z814" s="223"/>
      <c r="AA814" s="223"/>
      <c r="AB814" s="223"/>
      <c r="AC814" s="223"/>
    </row>
    <row r="815" spans="1:29" x14ac:dyDescent="0.25">
      <c r="A815" s="223"/>
      <c r="B815" s="223"/>
      <c r="C815" s="223"/>
      <c r="D815" s="223"/>
      <c r="E815" s="223"/>
      <c r="F815" s="276"/>
      <c r="G815" s="226"/>
      <c r="H815" s="223"/>
      <c r="I815" s="223"/>
      <c r="J815" s="223"/>
      <c r="K815" s="223"/>
      <c r="L815" s="223"/>
      <c r="M815" s="223"/>
      <c r="N815" s="223"/>
      <c r="O815" s="223"/>
      <c r="P815" s="223"/>
      <c r="Q815" s="223"/>
      <c r="R815" s="890"/>
      <c r="S815" s="890"/>
      <c r="T815" s="223"/>
      <c r="U815" s="223"/>
      <c r="V815" s="223"/>
      <c r="W815" s="223"/>
      <c r="X815" s="223"/>
      <c r="Y815" s="223"/>
      <c r="Z815" s="223"/>
      <c r="AA815" s="223"/>
      <c r="AB815" s="223"/>
      <c r="AC815" s="223"/>
    </row>
    <row r="816" spans="1:29" x14ac:dyDescent="0.25">
      <c r="A816" s="223"/>
      <c r="B816" s="223"/>
      <c r="C816" s="223"/>
      <c r="D816" s="223"/>
      <c r="E816" s="223"/>
      <c r="F816" s="276"/>
      <c r="G816" s="226"/>
      <c r="H816" s="223"/>
      <c r="I816" s="223"/>
      <c r="J816" s="223"/>
      <c r="K816" s="223"/>
      <c r="L816" s="223"/>
      <c r="M816" s="223"/>
      <c r="N816" s="223"/>
      <c r="O816" s="223"/>
      <c r="P816" s="223"/>
      <c r="Q816" s="223"/>
      <c r="R816" s="890"/>
      <c r="S816" s="890"/>
      <c r="T816" s="223"/>
      <c r="U816" s="223"/>
      <c r="V816" s="223"/>
      <c r="W816" s="223"/>
      <c r="X816" s="223"/>
      <c r="Y816" s="223"/>
      <c r="Z816" s="223"/>
      <c r="AA816" s="223"/>
      <c r="AB816" s="223"/>
      <c r="AC816" s="223"/>
    </row>
    <row r="817" spans="1:29" x14ac:dyDescent="0.25">
      <c r="A817" s="223"/>
      <c r="B817" s="223"/>
      <c r="C817" s="223"/>
      <c r="D817" s="223"/>
      <c r="E817" s="223"/>
      <c r="F817" s="276"/>
      <c r="G817" s="226"/>
      <c r="H817" s="223"/>
      <c r="I817" s="223"/>
      <c r="J817" s="223"/>
      <c r="K817" s="223"/>
      <c r="L817" s="223"/>
      <c r="M817" s="223"/>
      <c r="N817" s="223"/>
      <c r="O817" s="223"/>
      <c r="P817" s="223"/>
      <c r="Q817" s="223"/>
      <c r="R817" s="890"/>
      <c r="S817" s="890"/>
      <c r="T817" s="223"/>
      <c r="U817" s="223"/>
      <c r="V817" s="223"/>
      <c r="W817" s="223"/>
      <c r="X817" s="223"/>
      <c r="Y817" s="223"/>
      <c r="Z817" s="223"/>
      <c r="AA817" s="223"/>
      <c r="AB817" s="223"/>
      <c r="AC817" s="223"/>
    </row>
    <row r="818" spans="1:29" x14ac:dyDescent="0.25">
      <c r="A818" s="223"/>
      <c r="B818" s="223"/>
      <c r="C818" s="223"/>
      <c r="D818" s="223"/>
      <c r="E818" s="223"/>
      <c r="F818" s="276"/>
      <c r="G818" s="226"/>
      <c r="H818" s="223"/>
      <c r="I818" s="223"/>
      <c r="J818" s="223"/>
      <c r="K818" s="223"/>
      <c r="L818" s="223"/>
      <c r="M818" s="223"/>
      <c r="N818" s="223"/>
      <c r="O818" s="223"/>
      <c r="P818" s="223"/>
      <c r="Q818" s="223"/>
      <c r="R818" s="890"/>
      <c r="S818" s="890"/>
      <c r="T818" s="223"/>
      <c r="U818" s="223"/>
      <c r="V818" s="223"/>
      <c r="W818" s="223"/>
      <c r="X818" s="223"/>
      <c r="Y818" s="223"/>
      <c r="Z818" s="223"/>
      <c r="AA818" s="223"/>
      <c r="AB818" s="223"/>
      <c r="AC818" s="223"/>
    </row>
    <row r="819" spans="1:29" x14ac:dyDescent="0.25">
      <c r="A819" s="223"/>
      <c r="B819" s="223"/>
      <c r="C819" s="223"/>
      <c r="D819" s="223"/>
      <c r="E819" s="223"/>
      <c r="F819" s="276"/>
      <c r="G819" s="226"/>
      <c r="H819" s="223"/>
      <c r="I819" s="223"/>
      <c r="J819" s="223"/>
      <c r="K819" s="223"/>
      <c r="L819" s="223"/>
      <c r="M819" s="223"/>
      <c r="N819" s="223"/>
      <c r="O819" s="223"/>
      <c r="P819" s="223"/>
      <c r="Q819" s="223"/>
      <c r="R819" s="890"/>
      <c r="S819" s="890"/>
      <c r="T819" s="223"/>
      <c r="U819" s="223"/>
      <c r="V819" s="223"/>
      <c r="W819" s="223"/>
      <c r="X819" s="223"/>
      <c r="Y819" s="223"/>
      <c r="Z819" s="223"/>
      <c r="AA819" s="223"/>
      <c r="AB819" s="223"/>
      <c r="AC819" s="223"/>
    </row>
    <row r="820" spans="1:29" x14ac:dyDescent="0.25">
      <c r="A820" s="223"/>
      <c r="B820" s="223"/>
      <c r="C820" s="223"/>
      <c r="D820" s="223"/>
      <c r="E820" s="223"/>
      <c r="F820" s="276"/>
      <c r="G820" s="226"/>
      <c r="H820" s="223"/>
      <c r="I820" s="223"/>
      <c r="J820" s="223"/>
      <c r="K820" s="223"/>
      <c r="L820" s="223"/>
      <c r="M820" s="223"/>
      <c r="N820" s="223"/>
      <c r="O820" s="223"/>
      <c r="P820" s="223"/>
      <c r="Q820" s="223"/>
      <c r="R820" s="890"/>
      <c r="S820" s="890"/>
      <c r="T820" s="223"/>
      <c r="U820" s="223"/>
      <c r="V820" s="223"/>
      <c r="W820" s="223"/>
      <c r="X820" s="223"/>
      <c r="Y820" s="223"/>
      <c r="Z820" s="223"/>
      <c r="AA820" s="223"/>
      <c r="AB820" s="223"/>
      <c r="AC820" s="223"/>
    </row>
    <row r="821" spans="1:29" x14ac:dyDescent="0.25">
      <c r="A821" s="223"/>
      <c r="B821" s="223"/>
      <c r="C821" s="223"/>
      <c r="D821" s="223"/>
      <c r="E821" s="223"/>
      <c r="F821" s="276"/>
      <c r="G821" s="226"/>
      <c r="H821" s="223"/>
      <c r="I821" s="223"/>
      <c r="J821" s="223"/>
      <c r="K821" s="223"/>
      <c r="L821" s="223"/>
      <c r="M821" s="223"/>
      <c r="N821" s="223"/>
      <c r="O821" s="223"/>
      <c r="P821" s="223"/>
      <c r="Q821" s="223"/>
      <c r="R821" s="890"/>
      <c r="S821" s="890"/>
      <c r="T821" s="223"/>
      <c r="U821" s="223"/>
      <c r="V821" s="223"/>
      <c r="W821" s="223"/>
      <c r="X821" s="223"/>
      <c r="Y821" s="223"/>
      <c r="Z821" s="223"/>
      <c r="AA821" s="223"/>
      <c r="AB821" s="223"/>
      <c r="AC821" s="223"/>
    </row>
    <row r="822" spans="1:29" x14ac:dyDescent="0.25">
      <c r="A822" s="223"/>
      <c r="B822" s="223"/>
      <c r="C822" s="223"/>
      <c r="D822" s="223"/>
      <c r="E822" s="223"/>
      <c r="F822" s="276"/>
      <c r="G822" s="226"/>
      <c r="H822" s="223"/>
      <c r="I822" s="223"/>
      <c r="J822" s="223"/>
      <c r="K822" s="223"/>
      <c r="L822" s="223"/>
      <c r="M822" s="223"/>
      <c r="N822" s="223"/>
      <c r="O822" s="223"/>
      <c r="P822" s="223"/>
      <c r="Q822" s="223"/>
      <c r="R822" s="890"/>
      <c r="S822" s="890"/>
      <c r="T822" s="223"/>
      <c r="U822" s="223"/>
      <c r="V822" s="223"/>
      <c r="W822" s="223"/>
      <c r="X822" s="223"/>
      <c r="Y822" s="223"/>
      <c r="Z822" s="223"/>
      <c r="AA822" s="223"/>
      <c r="AB822" s="223"/>
      <c r="AC822" s="223"/>
    </row>
    <row r="823" spans="1:29" x14ac:dyDescent="0.25">
      <c r="A823" s="223"/>
      <c r="B823" s="223"/>
      <c r="C823" s="223"/>
      <c r="D823" s="223"/>
      <c r="E823" s="223"/>
      <c r="F823" s="276"/>
      <c r="G823" s="226"/>
      <c r="H823" s="223"/>
      <c r="I823" s="223"/>
      <c r="J823" s="223"/>
      <c r="K823" s="223"/>
      <c r="L823" s="223"/>
      <c r="M823" s="223"/>
      <c r="N823" s="223"/>
      <c r="O823" s="223"/>
      <c r="P823" s="223"/>
      <c r="Q823" s="223"/>
      <c r="R823" s="890"/>
      <c r="S823" s="890"/>
      <c r="T823" s="223"/>
      <c r="U823" s="223"/>
      <c r="V823" s="223"/>
      <c r="W823" s="223"/>
      <c r="X823" s="223"/>
      <c r="Y823" s="223"/>
      <c r="Z823" s="223"/>
      <c r="AA823" s="223"/>
      <c r="AB823" s="223"/>
      <c r="AC823" s="223"/>
    </row>
    <row r="824" spans="1:29" x14ac:dyDescent="0.25">
      <c r="A824" s="223"/>
      <c r="B824" s="223"/>
      <c r="C824" s="223"/>
      <c r="D824" s="223"/>
      <c r="E824" s="223"/>
      <c r="F824" s="276"/>
      <c r="G824" s="226"/>
      <c r="H824" s="223"/>
      <c r="I824" s="223"/>
      <c r="J824" s="223"/>
      <c r="K824" s="223"/>
      <c r="L824" s="223"/>
      <c r="M824" s="223"/>
      <c r="N824" s="223"/>
      <c r="O824" s="223"/>
      <c r="P824" s="223"/>
      <c r="Q824" s="223"/>
      <c r="R824" s="890"/>
      <c r="S824" s="890"/>
      <c r="T824" s="223"/>
      <c r="U824" s="223"/>
      <c r="V824" s="223"/>
      <c r="W824" s="223"/>
      <c r="X824" s="223"/>
      <c r="Y824" s="223"/>
      <c r="Z824" s="223"/>
      <c r="AA824" s="223"/>
      <c r="AB824" s="223"/>
      <c r="AC824" s="223"/>
    </row>
    <row r="825" spans="1:29" x14ac:dyDescent="0.25">
      <c r="A825" s="223"/>
      <c r="B825" s="223"/>
      <c r="C825" s="223"/>
      <c r="D825" s="223"/>
      <c r="E825" s="223"/>
      <c r="F825" s="276"/>
      <c r="G825" s="226"/>
      <c r="H825" s="223"/>
      <c r="I825" s="223"/>
      <c r="J825" s="223"/>
      <c r="K825" s="223"/>
      <c r="L825" s="223"/>
      <c r="M825" s="223"/>
      <c r="N825" s="223"/>
      <c r="O825" s="223"/>
      <c r="P825" s="223"/>
      <c r="Q825" s="223"/>
      <c r="R825" s="890"/>
      <c r="S825" s="890"/>
      <c r="T825" s="223"/>
      <c r="U825" s="223"/>
      <c r="V825" s="223"/>
      <c r="W825" s="223"/>
      <c r="X825" s="223"/>
      <c r="Y825" s="223"/>
      <c r="Z825" s="223"/>
      <c r="AA825" s="223"/>
      <c r="AB825" s="223"/>
      <c r="AC825" s="223"/>
    </row>
    <row r="826" spans="1:29" x14ac:dyDescent="0.25">
      <c r="A826" s="223"/>
      <c r="B826" s="223"/>
      <c r="C826" s="223"/>
      <c r="D826" s="223"/>
      <c r="E826" s="223"/>
      <c r="F826" s="276"/>
      <c r="G826" s="226"/>
      <c r="H826" s="223"/>
      <c r="I826" s="223"/>
      <c r="J826" s="223"/>
      <c r="K826" s="223"/>
      <c r="L826" s="223"/>
      <c r="M826" s="223"/>
      <c r="N826" s="223"/>
      <c r="O826" s="223"/>
      <c r="P826" s="223"/>
      <c r="Q826" s="223"/>
      <c r="R826" s="890"/>
      <c r="S826" s="890"/>
      <c r="T826" s="223"/>
      <c r="U826" s="223"/>
      <c r="V826" s="223"/>
      <c r="W826" s="223"/>
      <c r="X826" s="223"/>
      <c r="Y826" s="223"/>
      <c r="Z826" s="223"/>
      <c r="AA826" s="223"/>
      <c r="AB826" s="223"/>
      <c r="AC826" s="223"/>
    </row>
    <row r="827" spans="1:29" x14ac:dyDescent="0.25">
      <c r="A827" s="223"/>
      <c r="B827" s="223"/>
      <c r="C827" s="223"/>
      <c r="D827" s="223"/>
      <c r="E827" s="223"/>
      <c r="F827" s="276"/>
      <c r="G827" s="226"/>
      <c r="H827" s="223"/>
      <c r="I827" s="223"/>
      <c r="J827" s="223"/>
      <c r="K827" s="223"/>
      <c r="L827" s="223"/>
      <c r="M827" s="223"/>
      <c r="N827" s="223"/>
      <c r="O827" s="223"/>
      <c r="P827" s="223"/>
      <c r="Q827" s="223"/>
      <c r="R827" s="890"/>
      <c r="S827" s="890"/>
      <c r="T827" s="223"/>
      <c r="U827" s="223"/>
      <c r="V827" s="223"/>
      <c r="W827" s="223"/>
      <c r="X827" s="223"/>
      <c r="Y827" s="223"/>
      <c r="Z827" s="223"/>
      <c r="AA827" s="223"/>
      <c r="AB827" s="223"/>
      <c r="AC827" s="223"/>
    </row>
    <row r="828" spans="1:29" x14ac:dyDescent="0.25">
      <c r="A828" s="223"/>
      <c r="B828" s="223"/>
      <c r="C828" s="223"/>
      <c r="D828" s="223"/>
      <c r="E828" s="223"/>
      <c r="F828" s="276"/>
      <c r="G828" s="226"/>
      <c r="H828" s="223"/>
      <c r="I828" s="223"/>
      <c r="J828" s="223"/>
      <c r="K828" s="223"/>
      <c r="L828" s="223"/>
      <c r="M828" s="223"/>
      <c r="N828" s="223"/>
      <c r="O828" s="223"/>
      <c r="P828" s="223"/>
      <c r="Q828" s="223"/>
      <c r="R828" s="890"/>
      <c r="S828" s="890"/>
      <c r="T828" s="223"/>
      <c r="U828" s="223"/>
      <c r="V828" s="223"/>
      <c r="W828" s="223"/>
      <c r="X828" s="223"/>
      <c r="Y828" s="223"/>
      <c r="Z828" s="223"/>
      <c r="AA828" s="223"/>
      <c r="AB828" s="223"/>
      <c r="AC828" s="223"/>
    </row>
    <row r="829" spans="1:29" x14ac:dyDescent="0.25">
      <c r="A829" s="223"/>
      <c r="B829" s="223"/>
      <c r="C829" s="223"/>
      <c r="D829" s="223"/>
      <c r="E829" s="223"/>
      <c r="F829" s="276"/>
      <c r="G829" s="226"/>
      <c r="H829" s="223"/>
      <c r="I829" s="223"/>
      <c r="J829" s="223"/>
      <c r="K829" s="223"/>
      <c r="L829" s="223"/>
      <c r="M829" s="223"/>
      <c r="N829" s="223"/>
      <c r="O829" s="223"/>
      <c r="P829" s="223"/>
      <c r="Q829" s="223"/>
      <c r="R829" s="890"/>
      <c r="S829" s="890"/>
      <c r="T829" s="223"/>
      <c r="U829" s="223"/>
      <c r="V829" s="223"/>
      <c r="W829" s="223"/>
      <c r="X829" s="223"/>
      <c r="Y829" s="223"/>
      <c r="Z829" s="223"/>
      <c r="AA829" s="223"/>
      <c r="AB829" s="223"/>
      <c r="AC829" s="223"/>
    </row>
    <row r="830" spans="1:29" x14ac:dyDescent="0.25">
      <c r="A830" s="223"/>
      <c r="B830" s="223"/>
      <c r="C830" s="223"/>
      <c r="D830" s="223"/>
      <c r="E830" s="223"/>
      <c r="F830" s="276"/>
      <c r="G830" s="226"/>
      <c r="H830" s="223"/>
      <c r="I830" s="223"/>
      <c r="J830" s="223"/>
      <c r="K830" s="223"/>
      <c r="L830" s="223"/>
      <c r="M830" s="223"/>
      <c r="N830" s="223"/>
      <c r="O830" s="223"/>
      <c r="P830" s="223"/>
      <c r="Q830" s="223"/>
      <c r="R830" s="890"/>
      <c r="S830" s="890"/>
      <c r="T830" s="223"/>
      <c r="U830" s="223"/>
      <c r="V830" s="223"/>
      <c r="W830" s="223"/>
      <c r="X830" s="223"/>
      <c r="Y830" s="223"/>
      <c r="Z830" s="223"/>
      <c r="AA830" s="223"/>
      <c r="AB830" s="223"/>
      <c r="AC830" s="223"/>
    </row>
    <row r="831" spans="1:29" x14ac:dyDescent="0.25">
      <c r="A831" s="223"/>
      <c r="B831" s="223"/>
      <c r="C831" s="223"/>
      <c r="D831" s="223"/>
      <c r="E831" s="223"/>
      <c r="F831" s="276"/>
      <c r="G831" s="226"/>
      <c r="H831" s="223"/>
      <c r="I831" s="223"/>
      <c r="J831" s="223"/>
      <c r="K831" s="223"/>
      <c r="L831" s="223"/>
      <c r="M831" s="223"/>
      <c r="N831" s="223"/>
      <c r="O831" s="223"/>
      <c r="P831" s="223"/>
      <c r="Q831" s="223"/>
      <c r="R831" s="890"/>
      <c r="S831" s="890"/>
      <c r="T831" s="223"/>
      <c r="U831" s="223"/>
      <c r="V831" s="223"/>
      <c r="W831" s="223"/>
      <c r="X831" s="223"/>
      <c r="Y831" s="223"/>
      <c r="Z831" s="223"/>
      <c r="AA831" s="223"/>
      <c r="AB831" s="223"/>
      <c r="AC831" s="223"/>
    </row>
    <row r="832" spans="1:29" x14ac:dyDescent="0.25">
      <c r="A832" s="223"/>
      <c r="B832" s="223"/>
      <c r="C832" s="223"/>
      <c r="D832" s="223"/>
      <c r="E832" s="223"/>
      <c r="F832" s="276"/>
      <c r="G832" s="226"/>
      <c r="H832" s="223"/>
      <c r="I832" s="223"/>
      <c r="J832" s="223"/>
      <c r="K832" s="223"/>
      <c r="L832" s="223"/>
      <c r="M832" s="223"/>
      <c r="N832" s="223"/>
      <c r="O832" s="223"/>
      <c r="P832" s="223"/>
      <c r="Q832" s="223"/>
      <c r="R832" s="890"/>
      <c r="S832" s="890"/>
      <c r="T832" s="223"/>
      <c r="U832" s="223"/>
      <c r="V832" s="223"/>
      <c r="W832" s="223"/>
      <c r="X832" s="223"/>
      <c r="Y832" s="223"/>
      <c r="Z832" s="223"/>
      <c r="AA832" s="223"/>
      <c r="AB832" s="223"/>
      <c r="AC832" s="223"/>
    </row>
    <row r="833" spans="1:29" x14ac:dyDescent="0.25">
      <c r="A833" s="223"/>
      <c r="B833" s="223"/>
      <c r="C833" s="223"/>
      <c r="D833" s="223"/>
      <c r="E833" s="223"/>
      <c r="F833" s="276"/>
      <c r="G833" s="226"/>
      <c r="H833" s="223"/>
      <c r="I833" s="223"/>
      <c r="J833" s="223"/>
      <c r="K833" s="223"/>
      <c r="L833" s="223"/>
      <c r="M833" s="223"/>
      <c r="N833" s="223"/>
      <c r="O833" s="223"/>
      <c r="P833" s="223"/>
      <c r="Q833" s="223"/>
      <c r="R833" s="890"/>
      <c r="S833" s="890"/>
      <c r="T833" s="223"/>
      <c r="U833" s="223"/>
      <c r="V833" s="223"/>
      <c r="W833" s="223"/>
      <c r="X833" s="223"/>
      <c r="Y833" s="223"/>
      <c r="Z833" s="223"/>
      <c r="AA833" s="223"/>
      <c r="AB833" s="223"/>
      <c r="AC833" s="223"/>
    </row>
    <row r="834" spans="1:29" x14ac:dyDescent="0.25">
      <c r="A834" s="223"/>
      <c r="B834" s="223"/>
      <c r="C834" s="223"/>
      <c r="D834" s="223"/>
      <c r="E834" s="223"/>
      <c r="F834" s="276"/>
      <c r="G834" s="226"/>
      <c r="H834" s="223"/>
      <c r="I834" s="223"/>
      <c r="J834" s="223"/>
      <c r="K834" s="223"/>
      <c r="L834" s="223"/>
      <c r="M834" s="223"/>
      <c r="N834" s="223"/>
      <c r="O834" s="223"/>
      <c r="P834" s="223"/>
      <c r="Q834" s="223"/>
      <c r="R834" s="890"/>
      <c r="S834" s="890"/>
      <c r="T834" s="223"/>
      <c r="U834" s="223"/>
      <c r="V834" s="223"/>
      <c r="W834" s="223"/>
      <c r="X834" s="223"/>
      <c r="Y834" s="223"/>
      <c r="Z834" s="223"/>
      <c r="AA834" s="223"/>
      <c r="AB834" s="223"/>
      <c r="AC834" s="223"/>
    </row>
    <row r="835" spans="1:29" x14ac:dyDescent="0.25">
      <c r="A835" s="223"/>
      <c r="B835" s="223"/>
      <c r="C835" s="223"/>
      <c r="D835" s="223"/>
      <c r="E835" s="223"/>
      <c r="F835" s="276"/>
      <c r="G835" s="226"/>
      <c r="H835" s="223"/>
      <c r="I835" s="223"/>
      <c r="J835" s="223"/>
      <c r="K835" s="223"/>
      <c r="L835" s="223"/>
      <c r="M835" s="223"/>
      <c r="N835" s="223"/>
      <c r="O835" s="223"/>
      <c r="P835" s="223"/>
      <c r="Q835" s="223"/>
      <c r="R835" s="890"/>
      <c r="S835" s="890"/>
      <c r="T835" s="223"/>
      <c r="U835" s="223"/>
      <c r="V835" s="223"/>
      <c r="W835" s="223"/>
      <c r="X835" s="223"/>
      <c r="Y835" s="223"/>
      <c r="Z835" s="223"/>
      <c r="AA835" s="223"/>
      <c r="AB835" s="223"/>
      <c r="AC835" s="223"/>
    </row>
    <row r="836" spans="1:29" x14ac:dyDescent="0.25">
      <c r="A836" s="223"/>
      <c r="B836" s="223"/>
      <c r="C836" s="223"/>
      <c r="D836" s="223"/>
      <c r="E836" s="223"/>
      <c r="F836" s="276"/>
      <c r="G836" s="226"/>
      <c r="H836" s="223"/>
      <c r="I836" s="223"/>
      <c r="J836" s="223"/>
      <c r="K836" s="223"/>
      <c r="L836" s="223"/>
      <c r="M836" s="223"/>
      <c r="N836" s="223"/>
      <c r="O836" s="223"/>
      <c r="P836" s="223"/>
      <c r="Q836" s="223"/>
      <c r="R836" s="890"/>
      <c r="S836" s="890"/>
      <c r="T836" s="223"/>
      <c r="U836" s="223"/>
      <c r="V836" s="223"/>
      <c r="W836" s="223"/>
      <c r="X836" s="223"/>
      <c r="Y836" s="223"/>
      <c r="Z836" s="223"/>
      <c r="AA836" s="223"/>
      <c r="AB836" s="223"/>
      <c r="AC836" s="223"/>
    </row>
    <row r="837" spans="1:29" x14ac:dyDescent="0.25">
      <c r="A837" s="223"/>
      <c r="B837" s="223"/>
      <c r="C837" s="223"/>
      <c r="D837" s="223"/>
      <c r="E837" s="223"/>
      <c r="F837" s="276"/>
      <c r="G837" s="226"/>
      <c r="H837" s="223"/>
      <c r="I837" s="223"/>
      <c r="J837" s="223"/>
      <c r="K837" s="223"/>
      <c r="L837" s="223"/>
      <c r="M837" s="223"/>
      <c r="N837" s="223"/>
      <c r="O837" s="223"/>
      <c r="P837" s="223"/>
      <c r="Q837" s="223"/>
      <c r="R837" s="890"/>
      <c r="S837" s="890"/>
      <c r="T837" s="223"/>
      <c r="U837" s="223"/>
      <c r="V837" s="223"/>
      <c r="W837" s="223"/>
      <c r="X837" s="223"/>
      <c r="Y837" s="223"/>
      <c r="Z837" s="223"/>
      <c r="AA837" s="223"/>
      <c r="AB837" s="223"/>
      <c r="AC837" s="223"/>
    </row>
    <row r="838" spans="1:29" x14ac:dyDescent="0.25">
      <c r="A838" s="223"/>
      <c r="B838" s="223"/>
      <c r="C838" s="223"/>
      <c r="D838" s="223"/>
      <c r="E838" s="223"/>
      <c r="F838" s="276"/>
      <c r="G838" s="226"/>
      <c r="H838" s="223"/>
      <c r="I838" s="223"/>
      <c r="J838" s="223"/>
      <c r="K838" s="223"/>
      <c r="L838" s="223"/>
      <c r="M838" s="223"/>
      <c r="N838" s="223"/>
      <c r="O838" s="223"/>
      <c r="P838" s="223"/>
      <c r="Q838" s="223"/>
      <c r="R838" s="890"/>
      <c r="S838" s="890"/>
      <c r="T838" s="223"/>
      <c r="U838" s="223"/>
      <c r="V838" s="223"/>
      <c r="W838" s="223"/>
      <c r="X838" s="223"/>
      <c r="Y838" s="223"/>
      <c r="Z838" s="223"/>
      <c r="AA838" s="223"/>
      <c r="AB838" s="223"/>
      <c r="AC838" s="223"/>
    </row>
    <row r="839" spans="1:29" x14ac:dyDescent="0.25">
      <c r="A839" s="223"/>
      <c r="B839" s="223"/>
      <c r="C839" s="223"/>
      <c r="D839" s="223"/>
      <c r="E839" s="223"/>
      <c r="F839" s="276"/>
      <c r="G839" s="226"/>
      <c r="H839" s="223"/>
      <c r="I839" s="223"/>
      <c r="J839" s="223"/>
      <c r="K839" s="223"/>
      <c r="L839" s="223"/>
      <c r="M839" s="223"/>
      <c r="N839" s="223"/>
      <c r="O839" s="223"/>
      <c r="P839" s="223"/>
      <c r="Q839" s="223"/>
      <c r="R839" s="890"/>
      <c r="S839" s="890"/>
      <c r="T839" s="223"/>
      <c r="U839" s="223"/>
      <c r="V839" s="223"/>
      <c r="W839" s="223"/>
      <c r="X839" s="223"/>
      <c r="Y839" s="223"/>
      <c r="Z839" s="223"/>
      <c r="AA839" s="223"/>
      <c r="AB839" s="223"/>
      <c r="AC839" s="223"/>
    </row>
    <row r="840" spans="1:29" x14ac:dyDescent="0.25">
      <c r="A840" s="223"/>
      <c r="B840" s="223"/>
      <c r="C840" s="223"/>
      <c r="D840" s="223"/>
      <c r="E840" s="223"/>
      <c r="F840" s="276"/>
      <c r="G840" s="226"/>
      <c r="H840" s="223"/>
      <c r="I840" s="223"/>
      <c r="J840" s="223"/>
      <c r="K840" s="223"/>
      <c r="L840" s="223"/>
      <c r="M840" s="223"/>
      <c r="N840" s="223"/>
      <c r="O840" s="223"/>
      <c r="P840" s="223"/>
      <c r="Q840" s="223"/>
      <c r="R840" s="890"/>
      <c r="S840" s="890"/>
      <c r="T840" s="223"/>
      <c r="U840" s="223"/>
      <c r="V840" s="223"/>
      <c r="W840" s="223"/>
      <c r="X840" s="223"/>
      <c r="Y840" s="223"/>
      <c r="Z840" s="223"/>
      <c r="AA840" s="223"/>
      <c r="AB840" s="223"/>
      <c r="AC840" s="223"/>
    </row>
    <row r="841" spans="1:29" x14ac:dyDescent="0.25">
      <c r="A841" s="223"/>
      <c r="B841" s="223"/>
      <c r="C841" s="223"/>
      <c r="D841" s="223"/>
      <c r="E841" s="223"/>
      <c r="F841" s="276"/>
      <c r="G841" s="226"/>
      <c r="H841" s="223"/>
      <c r="I841" s="223"/>
      <c r="J841" s="223"/>
      <c r="K841" s="223"/>
      <c r="L841" s="223"/>
      <c r="M841" s="223"/>
      <c r="N841" s="223"/>
      <c r="O841" s="223"/>
      <c r="P841" s="223"/>
      <c r="Q841" s="223"/>
      <c r="R841" s="890"/>
      <c r="S841" s="890"/>
      <c r="T841" s="223"/>
      <c r="U841" s="223"/>
      <c r="V841" s="223"/>
      <c r="W841" s="223"/>
      <c r="X841" s="223"/>
      <c r="Y841" s="223"/>
      <c r="Z841" s="223"/>
      <c r="AA841" s="223"/>
      <c r="AB841" s="223"/>
      <c r="AC841" s="223"/>
    </row>
    <row r="842" spans="1:29" x14ac:dyDescent="0.25">
      <c r="A842" s="223"/>
      <c r="B842" s="223"/>
      <c r="C842" s="223"/>
      <c r="D842" s="223"/>
      <c r="E842" s="223"/>
      <c r="F842" s="276"/>
      <c r="G842" s="226"/>
      <c r="H842" s="223"/>
      <c r="I842" s="223"/>
      <c r="J842" s="223"/>
      <c r="K842" s="223"/>
      <c r="L842" s="223"/>
      <c r="M842" s="223"/>
      <c r="N842" s="223"/>
      <c r="O842" s="223"/>
      <c r="P842" s="223"/>
      <c r="Q842" s="223"/>
      <c r="R842" s="890"/>
      <c r="S842" s="890"/>
      <c r="T842" s="223"/>
      <c r="U842" s="223"/>
      <c r="V842" s="223"/>
      <c r="W842" s="223"/>
      <c r="X842" s="223"/>
      <c r="Y842" s="223"/>
      <c r="Z842" s="223"/>
      <c r="AA842" s="223"/>
      <c r="AB842" s="223"/>
      <c r="AC842" s="223"/>
    </row>
    <row r="843" spans="1:29" x14ac:dyDescent="0.25">
      <c r="A843" s="223"/>
      <c r="B843" s="223"/>
      <c r="C843" s="223"/>
      <c r="D843" s="223"/>
      <c r="E843" s="223"/>
      <c r="F843" s="276"/>
      <c r="G843" s="226"/>
      <c r="H843" s="223"/>
      <c r="I843" s="223"/>
      <c r="J843" s="223"/>
      <c r="K843" s="223"/>
      <c r="L843" s="223"/>
      <c r="M843" s="223"/>
      <c r="N843" s="223"/>
      <c r="O843" s="223"/>
      <c r="P843" s="223"/>
      <c r="Q843" s="223"/>
      <c r="R843" s="890"/>
      <c r="S843" s="890"/>
      <c r="T843" s="223"/>
      <c r="U843" s="223"/>
      <c r="V843" s="223"/>
      <c r="W843" s="223"/>
      <c r="X843" s="223"/>
      <c r="Y843" s="223"/>
      <c r="Z843" s="223"/>
      <c r="AA843" s="223"/>
      <c r="AB843" s="223"/>
      <c r="AC843" s="223"/>
    </row>
    <row r="844" spans="1:29" x14ac:dyDescent="0.25">
      <c r="A844" s="223"/>
      <c r="B844" s="223"/>
      <c r="C844" s="223"/>
      <c r="D844" s="223"/>
      <c r="E844" s="223"/>
      <c r="F844" s="276"/>
      <c r="G844" s="226"/>
      <c r="H844" s="223"/>
      <c r="I844" s="223"/>
      <c r="J844" s="223"/>
      <c r="K844" s="223"/>
      <c r="L844" s="223"/>
      <c r="M844" s="223"/>
      <c r="N844" s="223"/>
      <c r="O844" s="223"/>
      <c r="P844" s="223"/>
      <c r="Q844" s="223"/>
      <c r="R844" s="890"/>
      <c r="S844" s="890"/>
      <c r="T844" s="223"/>
      <c r="U844" s="223"/>
      <c r="V844" s="223"/>
      <c r="W844" s="223"/>
      <c r="X844" s="223"/>
      <c r="Y844" s="223"/>
      <c r="Z844" s="223"/>
      <c r="AA844" s="223"/>
      <c r="AB844" s="223"/>
      <c r="AC844" s="223"/>
    </row>
    <row r="845" spans="1:29" x14ac:dyDescent="0.25">
      <c r="A845" s="223"/>
      <c r="B845" s="223"/>
      <c r="C845" s="223"/>
      <c r="D845" s="223"/>
      <c r="E845" s="223"/>
      <c r="F845" s="276"/>
      <c r="G845" s="226"/>
      <c r="H845" s="223"/>
      <c r="I845" s="223"/>
      <c r="J845" s="223"/>
      <c r="K845" s="223"/>
      <c r="L845" s="223"/>
      <c r="M845" s="223"/>
      <c r="N845" s="223"/>
      <c r="O845" s="223"/>
      <c r="P845" s="223"/>
      <c r="Q845" s="223"/>
      <c r="R845" s="890"/>
      <c r="S845" s="890"/>
      <c r="T845" s="223"/>
      <c r="U845" s="223"/>
      <c r="V845" s="223"/>
      <c r="W845" s="223"/>
      <c r="X845" s="223"/>
      <c r="Y845" s="223"/>
      <c r="Z845" s="223"/>
      <c r="AA845" s="223"/>
      <c r="AB845" s="223"/>
      <c r="AC845" s="223"/>
    </row>
    <row r="846" spans="1:29" x14ac:dyDescent="0.25">
      <c r="A846" s="223"/>
      <c r="B846" s="223"/>
      <c r="C846" s="223"/>
      <c r="D846" s="223"/>
      <c r="E846" s="223"/>
      <c r="F846" s="276"/>
      <c r="G846" s="226"/>
      <c r="H846" s="223"/>
      <c r="I846" s="223"/>
      <c r="J846" s="223"/>
      <c r="K846" s="223"/>
      <c r="L846" s="223"/>
      <c r="M846" s="223"/>
      <c r="N846" s="223"/>
      <c r="O846" s="223"/>
      <c r="P846" s="223"/>
      <c r="Q846" s="223"/>
      <c r="R846" s="890"/>
      <c r="S846" s="890"/>
      <c r="T846" s="223"/>
      <c r="U846" s="223"/>
      <c r="V846" s="223"/>
      <c r="W846" s="223"/>
      <c r="X846" s="223"/>
      <c r="Y846" s="223"/>
      <c r="Z846" s="223"/>
      <c r="AA846" s="223"/>
      <c r="AB846" s="223"/>
      <c r="AC846" s="223"/>
    </row>
    <row r="847" spans="1:29" x14ac:dyDescent="0.25">
      <c r="A847" s="223"/>
      <c r="B847" s="223"/>
      <c r="C847" s="223"/>
      <c r="D847" s="223"/>
      <c r="E847" s="223"/>
      <c r="F847" s="276"/>
      <c r="G847" s="226"/>
      <c r="H847" s="223"/>
      <c r="I847" s="223"/>
      <c r="J847" s="223"/>
      <c r="K847" s="223"/>
      <c r="L847" s="223"/>
      <c r="M847" s="223"/>
      <c r="N847" s="223"/>
      <c r="O847" s="223"/>
      <c r="P847" s="223"/>
      <c r="Q847" s="223"/>
      <c r="R847" s="890"/>
      <c r="S847" s="890"/>
      <c r="T847" s="223"/>
      <c r="U847" s="223"/>
      <c r="V847" s="223"/>
      <c r="W847" s="223"/>
      <c r="X847" s="223"/>
      <c r="Y847" s="223"/>
      <c r="Z847" s="223"/>
      <c r="AA847" s="223"/>
      <c r="AB847" s="223"/>
      <c r="AC847" s="223"/>
    </row>
    <row r="848" spans="1:29" x14ac:dyDescent="0.25">
      <c r="A848" s="223"/>
      <c r="B848" s="223"/>
      <c r="C848" s="223"/>
      <c r="D848" s="223"/>
      <c r="E848" s="223"/>
      <c r="F848" s="276"/>
      <c r="G848" s="226"/>
      <c r="H848" s="223"/>
      <c r="I848" s="223"/>
      <c r="J848" s="223"/>
      <c r="K848" s="223"/>
      <c r="L848" s="223"/>
      <c r="M848" s="223"/>
      <c r="N848" s="223"/>
      <c r="O848" s="223"/>
      <c r="P848" s="223"/>
      <c r="Q848" s="223"/>
      <c r="R848" s="890"/>
      <c r="S848" s="890"/>
      <c r="T848" s="223"/>
      <c r="U848" s="223"/>
      <c r="V848" s="223"/>
      <c r="W848" s="223"/>
      <c r="X848" s="223"/>
      <c r="Y848" s="223"/>
      <c r="Z848" s="223"/>
      <c r="AA848" s="223"/>
      <c r="AB848" s="223"/>
      <c r="AC848" s="223"/>
    </row>
    <row r="849" spans="1:29" x14ac:dyDescent="0.25">
      <c r="A849" s="223"/>
      <c r="B849" s="223"/>
      <c r="C849" s="223"/>
      <c r="D849" s="223"/>
      <c r="E849" s="223"/>
      <c r="F849" s="276"/>
      <c r="G849" s="226"/>
      <c r="H849" s="223"/>
      <c r="I849" s="223"/>
      <c r="J849" s="223"/>
      <c r="K849" s="223"/>
      <c r="L849" s="223"/>
      <c r="M849" s="223"/>
      <c r="N849" s="223"/>
      <c r="O849" s="223"/>
      <c r="P849" s="223"/>
      <c r="Q849" s="223"/>
      <c r="R849" s="890"/>
      <c r="S849" s="890"/>
      <c r="T849" s="223"/>
      <c r="U849" s="223"/>
      <c r="V849" s="223"/>
      <c r="W849" s="223"/>
      <c r="X849" s="223"/>
      <c r="Y849" s="223"/>
      <c r="Z849" s="223"/>
      <c r="AA849" s="223"/>
      <c r="AB849" s="223"/>
      <c r="AC849" s="223"/>
    </row>
    <row r="850" spans="1:29" x14ac:dyDescent="0.25">
      <c r="A850" s="223"/>
      <c r="B850" s="223"/>
      <c r="C850" s="223"/>
      <c r="D850" s="223"/>
      <c r="E850" s="223"/>
      <c r="F850" s="276"/>
      <c r="G850" s="226"/>
      <c r="H850" s="223"/>
      <c r="I850" s="223"/>
      <c r="J850" s="223"/>
      <c r="K850" s="223"/>
      <c r="L850" s="223"/>
      <c r="M850" s="223"/>
      <c r="N850" s="223"/>
      <c r="O850" s="223"/>
      <c r="P850" s="223"/>
      <c r="Q850" s="223"/>
      <c r="R850" s="890"/>
      <c r="S850" s="890"/>
      <c r="T850" s="223"/>
      <c r="U850" s="223"/>
      <c r="V850" s="223"/>
      <c r="W850" s="223"/>
      <c r="X850" s="223"/>
      <c r="Y850" s="223"/>
      <c r="Z850" s="223"/>
      <c r="AA850" s="223"/>
      <c r="AB850" s="223"/>
      <c r="AC850" s="223"/>
    </row>
    <row r="851" spans="1:29" x14ac:dyDescent="0.25">
      <c r="A851" s="223"/>
      <c r="B851" s="223"/>
      <c r="C851" s="223"/>
      <c r="D851" s="223"/>
      <c r="E851" s="223"/>
      <c r="F851" s="276"/>
      <c r="G851" s="226"/>
      <c r="H851" s="223"/>
      <c r="I851" s="223"/>
      <c r="J851" s="223"/>
      <c r="K851" s="223"/>
      <c r="L851" s="223"/>
      <c r="M851" s="223"/>
      <c r="N851" s="223"/>
      <c r="O851" s="223"/>
      <c r="P851" s="223"/>
      <c r="Q851" s="223"/>
      <c r="R851" s="890"/>
      <c r="S851" s="890"/>
      <c r="T851" s="223"/>
      <c r="U851" s="223"/>
      <c r="V851" s="223"/>
      <c r="W851" s="223"/>
      <c r="X851" s="223"/>
      <c r="Y851" s="223"/>
      <c r="Z851" s="223"/>
      <c r="AA851" s="223"/>
      <c r="AB851" s="223"/>
      <c r="AC851" s="223"/>
    </row>
    <row r="852" spans="1:29" x14ac:dyDescent="0.25">
      <c r="A852" s="223"/>
      <c r="B852" s="223"/>
      <c r="C852" s="223"/>
      <c r="D852" s="223"/>
      <c r="E852" s="223"/>
      <c r="F852" s="276"/>
      <c r="G852" s="226"/>
      <c r="H852" s="223"/>
      <c r="I852" s="223"/>
      <c r="J852" s="223"/>
      <c r="K852" s="223"/>
      <c r="L852" s="223"/>
      <c r="M852" s="223"/>
      <c r="N852" s="223"/>
      <c r="O852" s="223"/>
      <c r="P852" s="223"/>
      <c r="Q852" s="223"/>
      <c r="R852" s="890"/>
      <c r="S852" s="890"/>
      <c r="T852" s="223"/>
      <c r="U852" s="223"/>
      <c r="V852" s="223"/>
      <c r="W852" s="223"/>
      <c r="X852" s="223"/>
      <c r="Y852" s="223"/>
      <c r="Z852" s="223"/>
      <c r="AA852" s="223"/>
      <c r="AB852" s="223"/>
      <c r="AC852" s="223"/>
    </row>
    <row r="853" spans="1:29" x14ac:dyDescent="0.25">
      <c r="A853" s="223"/>
      <c r="B853" s="223"/>
      <c r="C853" s="223"/>
      <c r="D853" s="223"/>
      <c r="E853" s="223"/>
      <c r="F853" s="276"/>
      <c r="G853" s="226"/>
      <c r="H853" s="223"/>
      <c r="I853" s="223"/>
      <c r="J853" s="223"/>
      <c r="K853" s="223"/>
      <c r="L853" s="223"/>
      <c r="M853" s="223"/>
      <c r="N853" s="223"/>
      <c r="O853" s="223"/>
      <c r="P853" s="223"/>
      <c r="Q853" s="223"/>
      <c r="R853" s="890"/>
      <c r="S853" s="890"/>
      <c r="T853" s="223"/>
      <c r="U853" s="223"/>
      <c r="V853" s="223"/>
      <c r="W853" s="223"/>
      <c r="X853" s="223"/>
      <c r="Y853" s="223"/>
      <c r="Z853" s="223"/>
      <c r="AA853" s="223"/>
      <c r="AB853" s="223"/>
      <c r="AC853" s="223"/>
    </row>
    <row r="854" spans="1:29" x14ac:dyDescent="0.25">
      <c r="A854" s="223"/>
      <c r="B854" s="223"/>
      <c r="C854" s="223"/>
      <c r="D854" s="223"/>
      <c r="E854" s="223"/>
      <c r="F854" s="276"/>
      <c r="G854" s="226"/>
      <c r="H854" s="223"/>
      <c r="I854" s="223"/>
      <c r="J854" s="223"/>
      <c r="K854" s="223"/>
      <c r="L854" s="223"/>
      <c r="M854" s="223"/>
      <c r="N854" s="223"/>
      <c r="O854" s="223"/>
      <c r="P854" s="223"/>
      <c r="Q854" s="223"/>
      <c r="R854" s="890"/>
      <c r="S854" s="890"/>
      <c r="T854" s="223"/>
      <c r="U854" s="223"/>
      <c r="V854" s="223"/>
      <c r="W854" s="223"/>
      <c r="X854" s="223"/>
      <c r="Y854" s="223"/>
      <c r="Z854" s="223"/>
      <c r="AA854" s="223"/>
      <c r="AB854" s="223"/>
      <c r="AC854" s="223"/>
    </row>
    <row r="855" spans="1:29" x14ac:dyDescent="0.25">
      <c r="A855" s="223"/>
      <c r="B855" s="223"/>
      <c r="C855" s="223"/>
      <c r="D855" s="223"/>
      <c r="E855" s="223"/>
      <c r="F855" s="276"/>
      <c r="G855" s="226"/>
      <c r="H855" s="223"/>
      <c r="I855" s="223"/>
      <c r="J855" s="223"/>
      <c r="K855" s="223"/>
      <c r="L855" s="223"/>
      <c r="M855" s="223"/>
      <c r="N855" s="223"/>
      <c r="O855" s="223"/>
      <c r="P855" s="223"/>
      <c r="Q855" s="223"/>
      <c r="R855" s="890"/>
      <c r="S855" s="890"/>
      <c r="T855" s="223"/>
      <c r="U855" s="223"/>
      <c r="V855" s="223"/>
      <c r="W855" s="223"/>
      <c r="X855" s="223"/>
      <c r="Y855" s="223"/>
      <c r="Z855" s="223"/>
      <c r="AA855" s="223"/>
      <c r="AB855" s="223"/>
      <c r="AC855" s="223"/>
    </row>
    <row r="856" spans="1:29" x14ac:dyDescent="0.25">
      <c r="A856" s="223"/>
      <c r="B856" s="223"/>
      <c r="C856" s="223"/>
      <c r="D856" s="223"/>
      <c r="E856" s="223"/>
      <c r="F856" s="276"/>
      <c r="G856" s="226"/>
      <c r="H856" s="223"/>
      <c r="I856" s="223"/>
      <c r="J856" s="223"/>
      <c r="K856" s="223"/>
      <c r="L856" s="223"/>
      <c r="M856" s="223"/>
      <c r="N856" s="223"/>
      <c r="O856" s="223"/>
      <c r="P856" s="223"/>
      <c r="Q856" s="223"/>
      <c r="R856" s="890"/>
      <c r="S856" s="890"/>
      <c r="T856" s="223"/>
      <c r="U856" s="223"/>
      <c r="V856" s="223"/>
      <c r="W856" s="223"/>
      <c r="X856" s="223"/>
      <c r="Y856" s="223"/>
      <c r="Z856" s="223"/>
      <c r="AA856" s="223"/>
      <c r="AB856" s="223"/>
      <c r="AC856" s="223"/>
    </row>
    <row r="857" spans="1:29" x14ac:dyDescent="0.25">
      <c r="A857" s="223"/>
      <c r="B857" s="223"/>
      <c r="C857" s="223"/>
      <c r="D857" s="223"/>
      <c r="E857" s="223"/>
      <c r="F857" s="276"/>
      <c r="G857" s="226"/>
      <c r="H857" s="223"/>
      <c r="I857" s="223"/>
      <c r="J857" s="223"/>
      <c r="K857" s="223"/>
      <c r="L857" s="223"/>
      <c r="M857" s="223"/>
      <c r="N857" s="223"/>
      <c r="O857" s="223"/>
      <c r="P857" s="223"/>
      <c r="Q857" s="223"/>
      <c r="R857" s="890"/>
      <c r="S857" s="890"/>
      <c r="T857" s="223"/>
      <c r="U857" s="223"/>
      <c r="V857" s="223"/>
      <c r="W857" s="223"/>
      <c r="X857" s="223"/>
      <c r="Y857" s="223"/>
      <c r="Z857" s="223"/>
      <c r="AA857" s="223"/>
      <c r="AB857" s="223"/>
      <c r="AC857" s="223"/>
    </row>
    <row r="858" spans="1:29" x14ac:dyDescent="0.25">
      <c r="A858" s="223"/>
      <c r="B858" s="223"/>
      <c r="C858" s="223"/>
      <c r="D858" s="223"/>
      <c r="E858" s="223"/>
      <c r="F858" s="276"/>
      <c r="G858" s="226"/>
      <c r="H858" s="223"/>
      <c r="I858" s="223"/>
      <c r="J858" s="223"/>
      <c r="K858" s="223"/>
      <c r="L858" s="223"/>
      <c r="M858" s="223"/>
      <c r="N858" s="223"/>
      <c r="O858" s="223"/>
      <c r="P858" s="223"/>
      <c r="Q858" s="223"/>
      <c r="R858" s="890"/>
      <c r="S858" s="890"/>
      <c r="T858" s="223"/>
      <c r="U858" s="223"/>
      <c r="V858" s="223"/>
      <c r="W858" s="223"/>
      <c r="X858" s="223"/>
      <c r="Y858" s="223"/>
      <c r="Z858" s="223"/>
      <c r="AA858" s="223"/>
      <c r="AB858" s="223"/>
      <c r="AC858" s="223"/>
    </row>
    <row r="859" spans="1:29" x14ac:dyDescent="0.25">
      <c r="A859" s="223"/>
      <c r="B859" s="223"/>
      <c r="C859" s="223"/>
      <c r="D859" s="223"/>
      <c r="E859" s="223"/>
      <c r="F859" s="276"/>
      <c r="G859" s="226"/>
      <c r="H859" s="223"/>
      <c r="I859" s="223"/>
      <c r="J859" s="223"/>
      <c r="K859" s="223"/>
      <c r="L859" s="223"/>
      <c r="M859" s="223"/>
      <c r="N859" s="223"/>
      <c r="O859" s="223"/>
      <c r="P859" s="223"/>
      <c r="Q859" s="223"/>
      <c r="R859" s="890"/>
      <c r="S859" s="890"/>
      <c r="T859" s="223"/>
      <c r="U859" s="223"/>
      <c r="V859" s="223"/>
      <c r="W859" s="223"/>
      <c r="X859" s="223"/>
      <c r="Y859" s="223"/>
      <c r="Z859" s="223"/>
      <c r="AA859" s="223"/>
      <c r="AB859" s="223"/>
      <c r="AC859" s="223"/>
    </row>
    <row r="860" spans="1:29" x14ac:dyDescent="0.25">
      <c r="A860" s="223"/>
      <c r="B860" s="223"/>
      <c r="C860" s="223"/>
      <c r="D860" s="223"/>
      <c r="E860" s="223"/>
      <c r="F860" s="276"/>
      <c r="G860" s="226"/>
      <c r="H860" s="223"/>
      <c r="I860" s="223"/>
      <c r="J860" s="223"/>
      <c r="K860" s="223"/>
      <c r="L860" s="223"/>
      <c r="M860" s="223"/>
      <c r="N860" s="223"/>
      <c r="O860" s="223"/>
      <c r="P860" s="223"/>
      <c r="Q860" s="223"/>
      <c r="R860" s="890"/>
      <c r="S860" s="890"/>
      <c r="T860" s="223"/>
      <c r="U860" s="223"/>
      <c r="V860" s="223"/>
      <c r="W860" s="223"/>
      <c r="X860" s="223"/>
      <c r="Y860" s="223"/>
      <c r="Z860" s="223"/>
      <c r="AA860" s="223"/>
      <c r="AB860" s="223"/>
      <c r="AC860" s="223"/>
    </row>
    <row r="861" spans="1:29" x14ac:dyDescent="0.25">
      <c r="A861" s="223"/>
      <c r="B861" s="223"/>
      <c r="C861" s="223"/>
      <c r="D861" s="223"/>
      <c r="E861" s="223"/>
      <c r="F861" s="276"/>
      <c r="G861" s="226"/>
      <c r="H861" s="223"/>
      <c r="I861" s="223"/>
      <c r="J861" s="223"/>
      <c r="K861" s="223"/>
      <c r="L861" s="223"/>
      <c r="M861" s="223"/>
      <c r="N861" s="223"/>
      <c r="O861" s="223"/>
      <c r="P861" s="223"/>
      <c r="Q861" s="223"/>
      <c r="R861" s="890"/>
      <c r="S861" s="890"/>
      <c r="T861" s="223"/>
      <c r="U861" s="223"/>
      <c r="V861" s="223"/>
      <c r="W861" s="223"/>
      <c r="X861" s="223"/>
      <c r="Y861" s="223"/>
      <c r="Z861" s="223"/>
      <c r="AA861" s="223"/>
      <c r="AB861" s="223"/>
      <c r="AC861" s="223"/>
    </row>
    <row r="862" spans="1:29" x14ac:dyDescent="0.25">
      <c r="A862" s="223"/>
      <c r="B862" s="223"/>
      <c r="C862" s="223"/>
      <c r="D862" s="223"/>
      <c r="E862" s="223"/>
      <c r="F862" s="276"/>
      <c r="G862" s="226"/>
      <c r="H862" s="223"/>
      <c r="I862" s="223"/>
      <c r="J862" s="223"/>
      <c r="K862" s="223"/>
      <c r="L862" s="223"/>
      <c r="M862" s="223"/>
      <c r="N862" s="223"/>
      <c r="O862" s="223"/>
      <c r="P862" s="223"/>
      <c r="Q862" s="223"/>
      <c r="R862" s="890"/>
      <c r="S862" s="890"/>
      <c r="T862" s="223"/>
      <c r="U862" s="223"/>
      <c r="V862" s="223"/>
      <c r="W862" s="223"/>
      <c r="X862" s="223"/>
      <c r="Y862" s="223"/>
      <c r="Z862" s="223"/>
      <c r="AA862" s="223"/>
      <c r="AB862" s="223"/>
      <c r="AC862" s="223"/>
    </row>
    <row r="863" spans="1:29" x14ac:dyDescent="0.25">
      <c r="A863" s="223"/>
      <c r="B863" s="223"/>
      <c r="C863" s="223"/>
      <c r="D863" s="223"/>
      <c r="E863" s="223"/>
      <c r="F863" s="276"/>
      <c r="G863" s="226"/>
      <c r="H863" s="223"/>
      <c r="I863" s="223"/>
      <c r="J863" s="223"/>
      <c r="K863" s="223"/>
      <c r="L863" s="223"/>
      <c r="M863" s="223"/>
      <c r="N863" s="223"/>
      <c r="O863" s="223"/>
      <c r="P863" s="223"/>
      <c r="Q863" s="223"/>
      <c r="R863" s="890"/>
      <c r="S863" s="890"/>
      <c r="T863" s="223"/>
      <c r="U863" s="223"/>
      <c r="V863" s="223"/>
      <c r="W863" s="223"/>
      <c r="X863" s="223"/>
      <c r="Y863" s="223"/>
      <c r="Z863" s="223"/>
      <c r="AA863" s="223"/>
      <c r="AB863" s="223"/>
      <c r="AC863" s="223"/>
    </row>
    <row r="864" spans="1:29" x14ac:dyDescent="0.25">
      <c r="A864" s="223"/>
      <c r="B864" s="223"/>
      <c r="C864" s="223"/>
      <c r="D864" s="223"/>
      <c r="E864" s="223"/>
      <c r="F864" s="276"/>
      <c r="G864" s="226"/>
      <c r="H864" s="223"/>
      <c r="I864" s="223"/>
      <c r="J864" s="223"/>
      <c r="K864" s="223"/>
      <c r="L864" s="223"/>
      <c r="M864" s="223"/>
      <c r="N864" s="223"/>
      <c r="O864" s="223"/>
      <c r="P864" s="223"/>
      <c r="Q864" s="223"/>
      <c r="R864" s="890"/>
      <c r="S864" s="890"/>
      <c r="T864" s="223"/>
      <c r="U864" s="223"/>
      <c r="V864" s="223"/>
      <c r="W864" s="223"/>
      <c r="X864" s="223"/>
      <c r="Y864" s="223"/>
      <c r="Z864" s="223"/>
      <c r="AA864" s="223"/>
      <c r="AB864" s="223"/>
      <c r="AC864" s="223"/>
    </row>
    <row r="865" spans="1:29" x14ac:dyDescent="0.25">
      <c r="A865" s="223"/>
      <c r="B865" s="223"/>
      <c r="C865" s="223"/>
      <c r="D865" s="223"/>
      <c r="E865" s="223"/>
      <c r="F865" s="276"/>
      <c r="G865" s="226"/>
      <c r="H865" s="223"/>
      <c r="I865" s="223"/>
      <c r="J865" s="223"/>
      <c r="K865" s="223"/>
      <c r="L865" s="223"/>
      <c r="M865" s="223"/>
      <c r="N865" s="223"/>
      <c r="O865" s="223"/>
      <c r="P865" s="223"/>
      <c r="Q865" s="223"/>
      <c r="R865" s="890"/>
      <c r="S865" s="890"/>
      <c r="T865" s="223"/>
      <c r="U865" s="223"/>
      <c r="V865" s="223"/>
      <c r="W865" s="223"/>
      <c r="X865" s="223"/>
      <c r="Y865" s="223"/>
      <c r="Z865" s="223"/>
      <c r="AA865" s="223"/>
      <c r="AB865" s="223"/>
      <c r="AC865" s="223"/>
    </row>
    <row r="866" spans="1:29" x14ac:dyDescent="0.25">
      <c r="A866" s="223"/>
      <c r="B866" s="223"/>
      <c r="C866" s="223"/>
      <c r="D866" s="223"/>
      <c r="E866" s="223"/>
      <c r="F866" s="276"/>
      <c r="G866" s="226"/>
      <c r="H866" s="223"/>
      <c r="I866" s="223"/>
      <c r="J866" s="223"/>
      <c r="K866" s="223"/>
      <c r="L866" s="223"/>
      <c r="M866" s="223"/>
      <c r="N866" s="223"/>
      <c r="O866" s="223"/>
      <c r="P866" s="223"/>
      <c r="Q866" s="223"/>
      <c r="R866" s="890"/>
      <c r="S866" s="890"/>
      <c r="T866" s="223"/>
      <c r="U866" s="223"/>
      <c r="V866" s="223"/>
      <c r="W866" s="223"/>
      <c r="X866" s="223"/>
      <c r="Y866" s="223"/>
      <c r="Z866" s="223"/>
      <c r="AA866" s="223"/>
      <c r="AB866" s="223"/>
      <c r="AC866" s="223"/>
    </row>
    <row r="867" spans="1:29" x14ac:dyDescent="0.25">
      <c r="A867" s="223"/>
      <c r="B867" s="223"/>
      <c r="C867" s="223"/>
      <c r="D867" s="223"/>
      <c r="E867" s="223"/>
      <c r="F867" s="276"/>
      <c r="G867" s="226"/>
      <c r="H867" s="223"/>
      <c r="I867" s="223"/>
      <c r="J867" s="223"/>
      <c r="K867" s="223"/>
      <c r="L867" s="223"/>
      <c r="M867" s="223"/>
      <c r="N867" s="223"/>
      <c r="O867" s="223"/>
      <c r="P867" s="223"/>
      <c r="Q867" s="223"/>
      <c r="R867" s="890"/>
      <c r="S867" s="890"/>
      <c r="T867" s="223"/>
      <c r="U867" s="223"/>
      <c r="V867" s="223"/>
      <c r="W867" s="223"/>
      <c r="X867" s="223"/>
      <c r="Y867" s="223"/>
      <c r="Z867" s="223"/>
      <c r="AA867" s="223"/>
      <c r="AB867" s="223"/>
      <c r="AC867" s="223"/>
    </row>
    <row r="868" spans="1:29" x14ac:dyDescent="0.25">
      <c r="A868" s="223"/>
      <c r="B868" s="223"/>
      <c r="C868" s="223"/>
      <c r="D868" s="223"/>
      <c r="E868" s="223"/>
      <c r="F868" s="276"/>
      <c r="G868" s="226"/>
      <c r="H868" s="223"/>
      <c r="I868" s="223"/>
      <c r="J868" s="223"/>
      <c r="K868" s="223"/>
      <c r="L868" s="223"/>
      <c r="M868" s="223"/>
      <c r="N868" s="223"/>
      <c r="O868" s="223"/>
      <c r="P868" s="223"/>
      <c r="Q868" s="223"/>
      <c r="R868" s="890"/>
      <c r="S868" s="890"/>
      <c r="T868" s="223"/>
      <c r="U868" s="223"/>
      <c r="V868" s="223"/>
      <c r="W868" s="223"/>
      <c r="X868" s="223"/>
      <c r="Y868" s="223"/>
      <c r="Z868" s="223"/>
      <c r="AA868" s="223"/>
      <c r="AB868" s="223"/>
      <c r="AC868" s="223"/>
    </row>
    <row r="869" spans="1:29" x14ac:dyDescent="0.25">
      <c r="A869" s="223"/>
      <c r="B869" s="223"/>
      <c r="C869" s="223"/>
      <c r="D869" s="223"/>
      <c r="E869" s="223"/>
      <c r="F869" s="276"/>
      <c r="G869" s="226"/>
      <c r="H869" s="223"/>
      <c r="I869" s="223"/>
      <c r="J869" s="223"/>
      <c r="K869" s="223"/>
      <c r="L869" s="223"/>
      <c r="M869" s="223"/>
      <c r="N869" s="223"/>
      <c r="O869" s="223"/>
      <c r="P869" s="223"/>
      <c r="Q869" s="223"/>
      <c r="R869" s="890"/>
      <c r="S869" s="890"/>
      <c r="T869" s="223"/>
      <c r="U869" s="223"/>
      <c r="V869" s="223"/>
      <c r="W869" s="223"/>
      <c r="X869" s="223"/>
      <c r="Y869" s="223"/>
      <c r="Z869" s="223"/>
      <c r="AA869" s="223"/>
      <c r="AB869" s="223"/>
      <c r="AC869" s="223"/>
    </row>
    <row r="870" spans="1:29" x14ac:dyDescent="0.25">
      <c r="A870" s="223"/>
      <c r="B870" s="223"/>
      <c r="C870" s="223"/>
      <c r="D870" s="223"/>
      <c r="E870" s="223"/>
      <c r="F870" s="276"/>
      <c r="G870" s="226"/>
      <c r="H870" s="223"/>
      <c r="I870" s="223"/>
      <c r="J870" s="223"/>
      <c r="K870" s="223"/>
      <c r="L870" s="223"/>
      <c r="M870" s="223"/>
      <c r="N870" s="223"/>
      <c r="O870" s="223"/>
      <c r="P870" s="223"/>
      <c r="Q870" s="223"/>
      <c r="R870" s="890"/>
      <c r="S870" s="890"/>
      <c r="T870" s="223"/>
      <c r="U870" s="223"/>
      <c r="V870" s="223"/>
      <c r="W870" s="223"/>
      <c r="X870" s="223"/>
      <c r="Y870" s="223"/>
      <c r="Z870" s="223"/>
      <c r="AA870" s="223"/>
      <c r="AB870" s="223"/>
      <c r="AC870" s="223"/>
    </row>
    <row r="871" spans="1:29" x14ac:dyDescent="0.25">
      <c r="A871" s="223"/>
      <c r="B871" s="223"/>
      <c r="C871" s="223"/>
      <c r="D871" s="223"/>
      <c r="E871" s="223"/>
      <c r="F871" s="276"/>
      <c r="G871" s="226"/>
      <c r="H871" s="223"/>
      <c r="I871" s="223"/>
      <c r="J871" s="223"/>
      <c r="K871" s="223"/>
      <c r="L871" s="223"/>
      <c r="M871" s="223"/>
      <c r="N871" s="223"/>
      <c r="O871" s="223"/>
      <c r="P871" s="223"/>
      <c r="Q871" s="223"/>
      <c r="R871" s="890"/>
      <c r="S871" s="890"/>
      <c r="T871" s="223"/>
      <c r="U871" s="223"/>
      <c r="V871" s="223"/>
      <c r="W871" s="223"/>
      <c r="X871" s="223"/>
      <c r="Y871" s="223"/>
      <c r="Z871" s="223"/>
      <c r="AA871" s="223"/>
      <c r="AB871" s="223"/>
      <c r="AC871" s="223"/>
    </row>
    <row r="872" spans="1:29" x14ac:dyDescent="0.25">
      <c r="A872" s="223"/>
      <c r="B872" s="223"/>
      <c r="C872" s="223"/>
      <c r="D872" s="223"/>
      <c r="E872" s="223"/>
      <c r="F872" s="276"/>
      <c r="G872" s="226"/>
      <c r="H872" s="223"/>
      <c r="I872" s="223"/>
      <c r="J872" s="223"/>
      <c r="K872" s="223"/>
      <c r="L872" s="223"/>
      <c r="M872" s="223"/>
      <c r="N872" s="223"/>
      <c r="O872" s="223"/>
      <c r="P872" s="223"/>
      <c r="Q872" s="223"/>
      <c r="R872" s="890"/>
      <c r="S872" s="890"/>
      <c r="T872" s="223"/>
      <c r="U872" s="223"/>
      <c r="V872" s="223"/>
      <c r="W872" s="223"/>
      <c r="X872" s="223"/>
      <c r="Y872" s="223"/>
      <c r="Z872" s="223"/>
      <c r="AA872" s="223"/>
      <c r="AB872" s="223"/>
      <c r="AC872" s="223"/>
    </row>
    <row r="873" spans="1:29" x14ac:dyDescent="0.25">
      <c r="A873" s="223"/>
      <c r="B873" s="223"/>
      <c r="C873" s="223"/>
      <c r="D873" s="223"/>
      <c r="E873" s="223"/>
      <c r="F873" s="276"/>
      <c r="G873" s="226"/>
      <c r="H873" s="223"/>
      <c r="I873" s="223"/>
      <c r="J873" s="223"/>
      <c r="K873" s="223"/>
      <c r="L873" s="223"/>
      <c r="M873" s="223"/>
      <c r="N873" s="223"/>
      <c r="O873" s="223"/>
      <c r="P873" s="223"/>
      <c r="Q873" s="223"/>
      <c r="R873" s="890"/>
      <c r="S873" s="890"/>
      <c r="T873" s="223"/>
      <c r="U873" s="223"/>
      <c r="V873" s="223"/>
      <c r="W873" s="223"/>
      <c r="X873" s="223"/>
      <c r="Y873" s="223"/>
      <c r="Z873" s="223"/>
      <c r="AA873" s="223"/>
      <c r="AB873" s="223"/>
      <c r="AC873" s="223"/>
    </row>
    <row r="874" spans="1:29" x14ac:dyDescent="0.25">
      <c r="A874" s="223"/>
      <c r="B874" s="223"/>
      <c r="C874" s="223"/>
      <c r="D874" s="223"/>
      <c r="E874" s="223"/>
      <c r="F874" s="276"/>
      <c r="G874" s="226"/>
      <c r="H874" s="223"/>
      <c r="I874" s="223"/>
      <c r="J874" s="223"/>
      <c r="K874" s="223"/>
      <c r="L874" s="223"/>
      <c r="M874" s="223"/>
      <c r="N874" s="223"/>
      <c r="O874" s="223"/>
      <c r="P874" s="223"/>
      <c r="Q874" s="223"/>
      <c r="R874" s="890"/>
      <c r="S874" s="890"/>
      <c r="T874" s="223"/>
      <c r="U874" s="223"/>
      <c r="V874" s="223"/>
      <c r="W874" s="223"/>
      <c r="X874" s="223"/>
      <c r="Y874" s="223"/>
      <c r="Z874" s="223"/>
      <c r="AA874" s="223"/>
      <c r="AB874" s="223"/>
      <c r="AC874" s="223"/>
    </row>
    <row r="875" spans="1:29" x14ac:dyDescent="0.25">
      <c r="A875" s="223"/>
      <c r="B875" s="223"/>
      <c r="C875" s="223"/>
      <c r="D875" s="223"/>
      <c r="E875" s="223"/>
      <c r="F875" s="276"/>
      <c r="G875" s="226"/>
      <c r="H875" s="223"/>
      <c r="I875" s="223"/>
      <c r="J875" s="223"/>
      <c r="K875" s="223"/>
      <c r="L875" s="223"/>
      <c r="M875" s="223"/>
      <c r="N875" s="223"/>
      <c r="O875" s="223"/>
      <c r="P875" s="223"/>
      <c r="Q875" s="223"/>
      <c r="R875" s="890"/>
      <c r="S875" s="890"/>
      <c r="T875" s="223"/>
      <c r="U875" s="223"/>
      <c r="V875" s="223"/>
      <c r="W875" s="223"/>
      <c r="X875" s="223"/>
      <c r="Y875" s="223"/>
      <c r="Z875" s="223"/>
      <c r="AA875" s="223"/>
      <c r="AB875" s="223"/>
      <c r="AC875" s="223"/>
    </row>
    <row r="876" spans="1:29" x14ac:dyDescent="0.25">
      <c r="A876" s="223"/>
      <c r="B876" s="223"/>
      <c r="C876" s="223"/>
      <c r="D876" s="223"/>
      <c r="E876" s="223"/>
      <c r="F876" s="276"/>
      <c r="G876" s="226"/>
      <c r="H876" s="223"/>
      <c r="I876" s="223"/>
      <c r="J876" s="223"/>
      <c r="K876" s="223"/>
      <c r="L876" s="223"/>
      <c r="M876" s="223"/>
      <c r="N876" s="223"/>
      <c r="O876" s="223"/>
      <c r="P876" s="223"/>
      <c r="Q876" s="223"/>
      <c r="R876" s="890"/>
      <c r="S876" s="890"/>
      <c r="T876" s="223"/>
      <c r="U876" s="223"/>
      <c r="V876" s="223"/>
      <c r="W876" s="223"/>
      <c r="X876" s="223"/>
      <c r="Y876" s="223"/>
      <c r="Z876" s="223"/>
      <c r="AA876" s="223"/>
      <c r="AB876" s="223"/>
      <c r="AC876" s="223"/>
    </row>
    <row r="877" spans="1:29" x14ac:dyDescent="0.25">
      <c r="A877" s="223"/>
      <c r="B877" s="223"/>
      <c r="C877" s="223"/>
      <c r="D877" s="223"/>
      <c r="E877" s="223"/>
      <c r="F877" s="276"/>
      <c r="G877" s="226"/>
      <c r="H877" s="223"/>
      <c r="I877" s="223"/>
      <c r="J877" s="223"/>
      <c r="K877" s="223"/>
      <c r="L877" s="223"/>
      <c r="M877" s="223"/>
      <c r="N877" s="223"/>
      <c r="O877" s="223"/>
      <c r="P877" s="223"/>
      <c r="Q877" s="223"/>
      <c r="R877" s="890"/>
      <c r="S877" s="890"/>
      <c r="T877" s="223"/>
      <c r="U877" s="223"/>
      <c r="V877" s="223"/>
      <c r="W877" s="223"/>
      <c r="X877" s="223"/>
      <c r="Y877" s="223"/>
      <c r="Z877" s="223"/>
      <c r="AA877" s="223"/>
      <c r="AB877" s="223"/>
      <c r="AC877" s="223"/>
    </row>
    <row r="878" spans="1:29" x14ac:dyDescent="0.25">
      <c r="A878" s="223"/>
      <c r="B878" s="223"/>
      <c r="C878" s="223"/>
      <c r="D878" s="223"/>
      <c r="E878" s="223"/>
      <c r="F878" s="276"/>
      <c r="G878" s="226"/>
      <c r="H878" s="223"/>
      <c r="I878" s="223"/>
      <c r="J878" s="223"/>
      <c r="K878" s="223"/>
      <c r="L878" s="223"/>
      <c r="M878" s="223"/>
      <c r="N878" s="223"/>
      <c r="O878" s="223"/>
      <c r="P878" s="223"/>
      <c r="Q878" s="223"/>
      <c r="R878" s="890"/>
      <c r="S878" s="890"/>
      <c r="T878" s="223"/>
      <c r="U878" s="223"/>
      <c r="V878" s="223"/>
      <c r="W878" s="223"/>
      <c r="X878" s="223"/>
      <c r="Y878" s="223"/>
      <c r="Z878" s="223"/>
      <c r="AA878" s="223"/>
      <c r="AB878" s="223"/>
      <c r="AC878" s="223"/>
    </row>
    <row r="879" spans="1:29" x14ac:dyDescent="0.25">
      <c r="A879" s="223"/>
      <c r="B879" s="223"/>
      <c r="C879" s="223"/>
      <c r="D879" s="223"/>
      <c r="E879" s="223"/>
      <c r="F879" s="276"/>
      <c r="G879" s="226"/>
      <c r="H879" s="223"/>
      <c r="I879" s="223"/>
      <c r="J879" s="223"/>
      <c r="K879" s="223"/>
      <c r="L879" s="223"/>
      <c r="M879" s="223"/>
      <c r="N879" s="223"/>
      <c r="O879" s="223"/>
      <c r="P879" s="223"/>
      <c r="Q879" s="223"/>
      <c r="R879" s="890"/>
      <c r="S879" s="890"/>
      <c r="T879" s="223"/>
      <c r="U879" s="223"/>
      <c r="V879" s="223"/>
      <c r="W879" s="223"/>
      <c r="X879" s="223"/>
      <c r="Y879" s="223"/>
      <c r="Z879" s="223"/>
      <c r="AA879" s="223"/>
      <c r="AB879" s="223"/>
      <c r="AC879" s="223"/>
    </row>
    <row r="880" spans="1:29" x14ac:dyDescent="0.25">
      <c r="A880" s="223"/>
      <c r="B880" s="223"/>
      <c r="C880" s="223"/>
      <c r="D880" s="223"/>
      <c r="E880" s="223"/>
      <c r="F880" s="276"/>
      <c r="G880" s="226"/>
      <c r="H880" s="223"/>
      <c r="I880" s="223"/>
      <c r="J880" s="223"/>
      <c r="K880" s="223"/>
      <c r="L880" s="223"/>
      <c r="M880" s="223"/>
      <c r="N880" s="223"/>
      <c r="O880" s="223"/>
      <c r="P880" s="223"/>
      <c r="Q880" s="223"/>
      <c r="R880" s="890"/>
      <c r="S880" s="890"/>
      <c r="T880" s="223"/>
      <c r="U880" s="223"/>
      <c r="V880" s="223"/>
      <c r="W880" s="223"/>
      <c r="X880" s="223"/>
      <c r="Y880" s="223"/>
      <c r="Z880" s="223"/>
      <c r="AA880" s="223"/>
      <c r="AB880" s="223"/>
      <c r="AC880" s="223"/>
    </row>
    <row r="881" spans="1:29" x14ac:dyDescent="0.25">
      <c r="A881" s="223"/>
      <c r="B881" s="223"/>
      <c r="C881" s="223"/>
      <c r="D881" s="223"/>
      <c r="E881" s="223"/>
      <c r="F881" s="276"/>
      <c r="G881" s="226"/>
      <c r="H881" s="223"/>
      <c r="I881" s="223"/>
      <c r="J881" s="223"/>
      <c r="K881" s="223"/>
      <c r="L881" s="223"/>
      <c r="M881" s="223"/>
      <c r="N881" s="223"/>
      <c r="O881" s="223"/>
      <c r="P881" s="223"/>
      <c r="Q881" s="223"/>
      <c r="R881" s="890"/>
      <c r="S881" s="890"/>
      <c r="T881" s="223"/>
      <c r="U881" s="223"/>
      <c r="V881" s="223"/>
      <c r="W881" s="223"/>
      <c r="X881" s="223"/>
      <c r="Y881" s="223"/>
      <c r="Z881" s="223"/>
      <c r="AA881" s="223"/>
      <c r="AB881" s="223"/>
      <c r="AC881" s="223"/>
    </row>
    <row r="882" spans="1:29" x14ac:dyDescent="0.25">
      <c r="A882" s="223"/>
      <c r="B882" s="223"/>
      <c r="C882" s="223"/>
      <c r="D882" s="223"/>
      <c r="E882" s="223"/>
      <c r="F882" s="276"/>
      <c r="G882" s="226"/>
      <c r="H882" s="223"/>
      <c r="I882" s="223"/>
      <c r="J882" s="223"/>
      <c r="K882" s="223"/>
      <c r="L882" s="223"/>
      <c r="M882" s="223"/>
      <c r="N882" s="223"/>
      <c r="O882" s="223"/>
      <c r="P882" s="223"/>
      <c r="Q882" s="223"/>
      <c r="R882" s="890"/>
      <c r="S882" s="890"/>
      <c r="T882" s="223"/>
      <c r="U882" s="223"/>
      <c r="V882" s="223"/>
      <c r="W882" s="223"/>
      <c r="X882" s="223"/>
      <c r="Y882" s="223"/>
      <c r="Z882" s="223"/>
      <c r="AA882" s="223"/>
      <c r="AB882" s="223"/>
      <c r="AC882" s="223"/>
    </row>
    <row r="883" spans="1:29" x14ac:dyDescent="0.25">
      <c r="A883" s="223"/>
      <c r="B883" s="223"/>
      <c r="C883" s="223"/>
      <c r="D883" s="223"/>
      <c r="E883" s="223"/>
      <c r="F883" s="276"/>
      <c r="G883" s="226"/>
      <c r="H883" s="223"/>
      <c r="I883" s="223"/>
      <c r="J883" s="223"/>
      <c r="K883" s="223"/>
      <c r="L883" s="223"/>
      <c r="M883" s="223"/>
      <c r="N883" s="223"/>
      <c r="O883" s="223"/>
      <c r="P883" s="223"/>
      <c r="Q883" s="223"/>
      <c r="R883" s="890"/>
      <c r="S883" s="890"/>
      <c r="T883" s="223"/>
      <c r="U883" s="223"/>
      <c r="V883" s="223"/>
      <c r="W883" s="223"/>
      <c r="X883" s="223"/>
      <c r="Y883" s="223"/>
      <c r="Z883" s="223"/>
      <c r="AA883" s="223"/>
      <c r="AB883" s="223"/>
      <c r="AC883" s="223"/>
    </row>
    <row r="884" spans="1:29" x14ac:dyDescent="0.25">
      <c r="A884" s="223"/>
      <c r="B884" s="223"/>
      <c r="C884" s="223"/>
      <c r="D884" s="223"/>
      <c r="E884" s="223"/>
      <c r="F884" s="276"/>
      <c r="G884" s="226"/>
      <c r="H884" s="223"/>
      <c r="I884" s="223"/>
      <c r="J884" s="223"/>
      <c r="K884" s="223"/>
      <c r="L884" s="223"/>
      <c r="M884" s="223"/>
      <c r="N884" s="223"/>
      <c r="O884" s="223"/>
      <c r="P884" s="223"/>
      <c r="Q884" s="223"/>
      <c r="R884" s="890"/>
      <c r="S884" s="890"/>
      <c r="T884" s="223"/>
      <c r="U884" s="223"/>
      <c r="V884" s="223"/>
      <c r="W884" s="223"/>
      <c r="X884" s="223"/>
      <c r="Y884" s="223"/>
      <c r="Z884" s="223"/>
      <c r="AA884" s="223"/>
      <c r="AB884" s="223"/>
      <c r="AC884" s="223"/>
    </row>
    <row r="885" spans="1:29" x14ac:dyDescent="0.25">
      <c r="A885" s="223"/>
      <c r="B885" s="223"/>
      <c r="C885" s="223"/>
      <c r="D885" s="223"/>
      <c r="E885" s="223"/>
      <c r="F885" s="276"/>
      <c r="G885" s="226"/>
      <c r="H885" s="223"/>
      <c r="I885" s="223"/>
      <c r="J885" s="223"/>
      <c r="K885" s="223"/>
      <c r="L885" s="223"/>
      <c r="M885" s="223"/>
      <c r="N885" s="223"/>
      <c r="O885" s="223"/>
      <c r="P885" s="223"/>
      <c r="Q885" s="223"/>
      <c r="R885" s="890"/>
      <c r="S885" s="890"/>
      <c r="T885" s="223"/>
      <c r="U885" s="223"/>
      <c r="V885" s="223"/>
      <c r="W885" s="223"/>
      <c r="X885" s="223"/>
      <c r="Y885" s="223"/>
      <c r="Z885" s="223"/>
      <c r="AA885" s="223"/>
      <c r="AB885" s="223"/>
      <c r="AC885" s="223"/>
    </row>
    <row r="886" spans="1:29" x14ac:dyDescent="0.25">
      <c r="A886" s="223"/>
      <c r="B886" s="223"/>
      <c r="C886" s="223"/>
      <c r="D886" s="223"/>
      <c r="E886" s="223"/>
      <c r="F886" s="276"/>
      <c r="G886" s="226"/>
      <c r="H886" s="223"/>
      <c r="I886" s="223"/>
      <c r="J886" s="223"/>
      <c r="K886" s="223"/>
      <c r="L886" s="223"/>
      <c r="M886" s="223"/>
      <c r="N886" s="223"/>
      <c r="O886" s="223"/>
      <c r="P886" s="223"/>
      <c r="Q886" s="223"/>
      <c r="R886" s="890"/>
      <c r="S886" s="890"/>
      <c r="T886" s="223"/>
      <c r="U886" s="223"/>
      <c r="V886" s="223"/>
      <c r="W886" s="223"/>
      <c r="X886" s="223"/>
      <c r="Y886" s="223"/>
      <c r="Z886" s="223"/>
      <c r="AA886" s="223"/>
      <c r="AB886" s="223"/>
      <c r="AC886" s="223"/>
    </row>
    <row r="887" spans="1:29" x14ac:dyDescent="0.25">
      <c r="A887" s="223"/>
      <c r="B887" s="223"/>
      <c r="C887" s="223"/>
      <c r="D887" s="223"/>
      <c r="E887" s="223"/>
      <c r="F887" s="276"/>
      <c r="G887" s="226"/>
      <c r="H887" s="223"/>
      <c r="I887" s="223"/>
      <c r="J887" s="223"/>
      <c r="K887" s="223"/>
      <c r="L887" s="223"/>
      <c r="M887" s="223"/>
      <c r="N887" s="223"/>
      <c r="O887" s="223"/>
      <c r="P887" s="223"/>
      <c r="Q887" s="223"/>
      <c r="R887" s="890"/>
      <c r="S887" s="890"/>
      <c r="T887" s="223"/>
      <c r="U887" s="223"/>
      <c r="V887" s="223"/>
      <c r="W887" s="223"/>
      <c r="X887" s="223"/>
      <c r="Y887" s="223"/>
      <c r="Z887" s="223"/>
      <c r="AA887" s="223"/>
      <c r="AB887" s="223"/>
      <c r="AC887" s="223"/>
    </row>
    <row r="888" spans="1:29" x14ac:dyDescent="0.25">
      <c r="A888" s="223"/>
      <c r="B888" s="223"/>
      <c r="C888" s="223"/>
      <c r="D888" s="223"/>
      <c r="E888" s="223"/>
      <c r="F888" s="276"/>
      <c r="G888" s="226"/>
      <c r="H888" s="223"/>
      <c r="I888" s="223"/>
      <c r="J888" s="223"/>
      <c r="K888" s="223"/>
      <c r="L888" s="223"/>
      <c r="M888" s="223"/>
      <c r="N888" s="223"/>
      <c r="O888" s="223"/>
      <c r="P888" s="223"/>
      <c r="Q888" s="223"/>
      <c r="R888" s="890"/>
      <c r="S888" s="890"/>
      <c r="T888" s="223"/>
      <c r="U888" s="223"/>
      <c r="V888" s="223"/>
      <c r="W888" s="223"/>
      <c r="X888" s="223"/>
      <c r="Y888" s="223"/>
      <c r="Z888" s="223"/>
      <c r="AA888" s="223"/>
      <c r="AB888" s="223"/>
      <c r="AC888" s="223"/>
    </row>
    <row r="889" spans="1:29" x14ac:dyDescent="0.25">
      <c r="A889" s="223"/>
      <c r="B889" s="223"/>
      <c r="C889" s="223"/>
      <c r="D889" s="223"/>
      <c r="E889" s="223"/>
      <c r="F889" s="276"/>
      <c r="G889" s="226"/>
      <c r="H889" s="223"/>
      <c r="I889" s="223"/>
      <c r="J889" s="223"/>
      <c r="K889" s="223"/>
      <c r="L889" s="223"/>
      <c r="M889" s="223"/>
      <c r="N889" s="223"/>
      <c r="O889" s="223"/>
      <c r="P889" s="223"/>
      <c r="Q889" s="223"/>
      <c r="R889" s="890"/>
      <c r="S889" s="890"/>
      <c r="T889" s="223"/>
      <c r="U889" s="223"/>
      <c r="V889" s="223"/>
      <c r="W889" s="223"/>
      <c r="X889" s="223"/>
      <c r="Y889" s="223"/>
      <c r="Z889" s="223"/>
      <c r="AA889" s="223"/>
      <c r="AB889" s="223"/>
      <c r="AC889" s="223"/>
    </row>
    <row r="890" spans="1:29" x14ac:dyDescent="0.25">
      <c r="A890" s="223"/>
      <c r="B890" s="223"/>
      <c r="C890" s="223"/>
      <c r="D890" s="223"/>
      <c r="E890" s="223"/>
      <c r="F890" s="276"/>
      <c r="G890" s="226"/>
      <c r="H890" s="223"/>
      <c r="I890" s="223"/>
      <c r="J890" s="223"/>
      <c r="K890" s="223"/>
      <c r="L890" s="223"/>
      <c r="M890" s="223"/>
      <c r="N890" s="223"/>
      <c r="O890" s="223"/>
      <c r="P890" s="223"/>
      <c r="Q890" s="223"/>
      <c r="R890" s="890"/>
      <c r="S890" s="890"/>
      <c r="T890" s="223"/>
      <c r="U890" s="223"/>
      <c r="V890" s="223"/>
      <c r="W890" s="223"/>
      <c r="X890" s="223"/>
      <c r="Y890" s="223"/>
      <c r="Z890" s="223"/>
      <c r="AA890" s="223"/>
      <c r="AB890" s="223"/>
      <c r="AC890" s="223"/>
    </row>
    <row r="891" spans="1:29" x14ac:dyDescent="0.25">
      <c r="A891" s="223"/>
      <c r="B891" s="223"/>
      <c r="C891" s="223"/>
      <c r="D891" s="223"/>
      <c r="E891" s="223"/>
      <c r="F891" s="276"/>
      <c r="G891" s="226"/>
      <c r="H891" s="223"/>
      <c r="I891" s="223"/>
      <c r="J891" s="223"/>
      <c r="K891" s="223"/>
      <c r="L891" s="223"/>
      <c r="M891" s="223"/>
      <c r="N891" s="223"/>
      <c r="O891" s="223"/>
      <c r="P891" s="223"/>
      <c r="Q891" s="223"/>
      <c r="R891" s="890"/>
      <c r="S891" s="890"/>
      <c r="T891" s="223"/>
      <c r="U891" s="223"/>
      <c r="V891" s="223"/>
      <c r="W891" s="223"/>
      <c r="X891" s="223"/>
      <c r="Y891" s="223"/>
      <c r="Z891" s="223"/>
      <c r="AA891" s="223"/>
      <c r="AB891" s="223"/>
      <c r="AC891" s="223"/>
    </row>
    <row r="892" spans="1:29" x14ac:dyDescent="0.25">
      <c r="A892" s="223"/>
      <c r="B892" s="223"/>
      <c r="C892" s="223"/>
      <c r="D892" s="223"/>
      <c r="E892" s="223"/>
      <c r="F892" s="276"/>
      <c r="G892" s="226"/>
      <c r="H892" s="223"/>
      <c r="I892" s="223"/>
      <c r="J892" s="223"/>
      <c r="K892" s="223"/>
      <c r="L892" s="223"/>
      <c r="M892" s="223"/>
      <c r="N892" s="223"/>
      <c r="O892" s="223"/>
      <c r="P892" s="223"/>
      <c r="Q892" s="223"/>
      <c r="R892" s="890"/>
      <c r="S892" s="890"/>
      <c r="T892" s="223"/>
      <c r="U892" s="223"/>
      <c r="V892" s="223"/>
      <c r="W892" s="223"/>
      <c r="X892" s="223"/>
      <c r="Y892" s="223"/>
      <c r="Z892" s="223"/>
      <c r="AA892" s="223"/>
      <c r="AB892" s="223"/>
      <c r="AC892" s="223"/>
    </row>
    <row r="893" spans="1:29" x14ac:dyDescent="0.25">
      <c r="A893" s="223"/>
      <c r="B893" s="223"/>
      <c r="C893" s="223"/>
      <c r="D893" s="223"/>
      <c r="E893" s="223"/>
      <c r="F893" s="276"/>
      <c r="G893" s="226"/>
      <c r="H893" s="223"/>
      <c r="I893" s="223"/>
      <c r="J893" s="223"/>
      <c r="K893" s="223"/>
      <c r="L893" s="223"/>
      <c r="M893" s="223"/>
      <c r="N893" s="223"/>
      <c r="O893" s="223"/>
      <c r="P893" s="223"/>
      <c r="Q893" s="223"/>
      <c r="R893" s="890"/>
      <c r="S893" s="890"/>
      <c r="T893" s="223"/>
      <c r="U893" s="223"/>
      <c r="V893" s="223"/>
      <c r="W893" s="223"/>
      <c r="X893" s="223"/>
      <c r="Y893" s="223"/>
      <c r="Z893" s="223"/>
      <c r="AA893" s="223"/>
      <c r="AB893" s="223"/>
      <c r="AC893" s="223"/>
    </row>
    <row r="894" spans="1:29" x14ac:dyDescent="0.25">
      <c r="A894" s="223"/>
      <c r="B894" s="223"/>
      <c r="C894" s="223"/>
      <c r="D894" s="223"/>
      <c r="E894" s="223"/>
      <c r="F894" s="276"/>
      <c r="G894" s="226"/>
      <c r="H894" s="223"/>
      <c r="I894" s="223"/>
      <c r="J894" s="223"/>
      <c r="K894" s="223"/>
      <c r="L894" s="223"/>
      <c r="M894" s="223"/>
      <c r="N894" s="223"/>
      <c r="O894" s="223"/>
      <c r="P894" s="223"/>
      <c r="Q894" s="223"/>
      <c r="R894" s="890"/>
      <c r="S894" s="890"/>
      <c r="T894" s="223"/>
      <c r="U894" s="223"/>
      <c r="V894" s="223"/>
      <c r="W894" s="223"/>
      <c r="X894" s="223"/>
      <c r="Y894" s="223"/>
      <c r="Z894" s="223"/>
      <c r="AA894" s="223"/>
      <c r="AB894" s="223"/>
      <c r="AC894" s="223"/>
    </row>
    <row r="895" spans="1:29" x14ac:dyDescent="0.25">
      <c r="A895" s="223"/>
      <c r="B895" s="223"/>
      <c r="C895" s="223"/>
      <c r="D895" s="223"/>
      <c r="E895" s="223"/>
      <c r="F895" s="276"/>
      <c r="G895" s="226"/>
      <c r="H895" s="223"/>
      <c r="I895" s="223"/>
      <c r="J895" s="223"/>
      <c r="K895" s="223"/>
      <c r="L895" s="223"/>
      <c r="M895" s="223"/>
      <c r="N895" s="223"/>
      <c r="O895" s="223"/>
      <c r="P895" s="223"/>
      <c r="Q895" s="223"/>
      <c r="R895" s="890"/>
      <c r="S895" s="890"/>
      <c r="T895" s="223"/>
      <c r="U895" s="223"/>
      <c r="V895" s="223"/>
      <c r="W895" s="223"/>
      <c r="X895" s="223"/>
      <c r="Y895" s="223"/>
      <c r="Z895" s="223"/>
      <c r="AA895" s="223"/>
      <c r="AB895" s="223"/>
      <c r="AC895" s="223"/>
    </row>
    <row r="896" spans="1:29" x14ac:dyDescent="0.25">
      <c r="A896" s="223"/>
      <c r="B896" s="223"/>
      <c r="C896" s="223"/>
      <c r="D896" s="223"/>
      <c r="E896" s="223"/>
      <c r="F896" s="276"/>
      <c r="G896" s="226"/>
      <c r="H896" s="223"/>
      <c r="I896" s="223"/>
      <c r="J896" s="223"/>
      <c r="K896" s="223"/>
      <c r="L896" s="223"/>
      <c r="M896" s="223"/>
      <c r="N896" s="223"/>
      <c r="O896" s="223"/>
      <c r="P896" s="223"/>
      <c r="Q896" s="223"/>
      <c r="R896" s="890"/>
      <c r="S896" s="890"/>
      <c r="T896" s="223"/>
      <c r="U896" s="223"/>
      <c r="V896" s="223"/>
      <c r="W896" s="223"/>
      <c r="X896" s="223"/>
      <c r="Y896" s="223"/>
      <c r="Z896" s="223"/>
      <c r="AA896" s="223"/>
      <c r="AB896" s="223"/>
      <c r="AC896" s="223"/>
    </row>
    <row r="897" spans="1:29" x14ac:dyDescent="0.25">
      <c r="A897" s="223"/>
      <c r="B897" s="223"/>
      <c r="C897" s="223"/>
      <c r="D897" s="223"/>
      <c r="E897" s="223"/>
      <c r="F897" s="276"/>
      <c r="G897" s="226"/>
      <c r="H897" s="223"/>
      <c r="I897" s="223"/>
      <c r="J897" s="223"/>
      <c r="K897" s="223"/>
      <c r="L897" s="223"/>
      <c r="M897" s="223"/>
      <c r="N897" s="223"/>
      <c r="O897" s="223"/>
      <c r="P897" s="223"/>
      <c r="Q897" s="223"/>
      <c r="R897" s="890"/>
      <c r="S897" s="890"/>
      <c r="T897" s="223"/>
      <c r="U897" s="223"/>
      <c r="V897" s="223"/>
      <c r="W897" s="223"/>
      <c r="X897" s="223"/>
      <c r="Y897" s="223"/>
      <c r="Z897" s="223"/>
      <c r="AA897" s="223"/>
      <c r="AB897" s="223"/>
      <c r="AC897" s="223"/>
    </row>
    <row r="898" spans="1:29" x14ac:dyDescent="0.25">
      <c r="A898" s="223"/>
      <c r="B898" s="223"/>
      <c r="C898" s="223"/>
      <c r="D898" s="223"/>
      <c r="E898" s="223"/>
      <c r="F898" s="276"/>
      <c r="G898" s="226"/>
      <c r="H898" s="223"/>
      <c r="I898" s="223"/>
      <c r="J898" s="223"/>
      <c r="K898" s="223"/>
      <c r="L898" s="223"/>
      <c r="M898" s="223"/>
      <c r="N898" s="223"/>
      <c r="O898" s="223"/>
      <c r="P898" s="223"/>
      <c r="Q898" s="223"/>
      <c r="R898" s="890"/>
      <c r="S898" s="890"/>
      <c r="T898" s="223"/>
      <c r="U898" s="223"/>
      <c r="V898" s="223"/>
      <c r="W898" s="223"/>
      <c r="X898" s="223"/>
      <c r="Y898" s="223"/>
      <c r="Z898" s="223"/>
      <c r="AA898" s="223"/>
      <c r="AB898" s="223"/>
      <c r="AC898" s="223"/>
    </row>
    <row r="899" spans="1:29" x14ac:dyDescent="0.25">
      <c r="A899" s="223"/>
      <c r="B899" s="223"/>
      <c r="C899" s="223"/>
      <c r="D899" s="223"/>
      <c r="E899" s="223"/>
      <c r="F899" s="276"/>
      <c r="G899" s="226"/>
      <c r="H899" s="223"/>
      <c r="I899" s="223"/>
      <c r="J899" s="223"/>
      <c r="K899" s="223"/>
      <c r="L899" s="223"/>
      <c r="M899" s="223"/>
      <c r="N899" s="223"/>
      <c r="O899" s="223"/>
      <c r="P899" s="223"/>
      <c r="Q899" s="223"/>
      <c r="R899" s="890"/>
      <c r="S899" s="890"/>
      <c r="T899" s="223"/>
      <c r="U899" s="223"/>
      <c r="V899" s="223"/>
      <c r="W899" s="223"/>
      <c r="X899" s="223"/>
      <c r="Y899" s="223"/>
      <c r="Z899" s="223"/>
      <c r="AA899" s="223"/>
      <c r="AB899" s="223"/>
      <c r="AC899" s="223"/>
    </row>
    <row r="900" spans="1:29" x14ac:dyDescent="0.25">
      <c r="A900" s="223"/>
      <c r="B900" s="223"/>
      <c r="C900" s="223"/>
      <c r="D900" s="223"/>
      <c r="E900" s="223"/>
      <c r="F900" s="276"/>
      <c r="G900" s="226"/>
      <c r="H900" s="223"/>
      <c r="I900" s="223"/>
      <c r="J900" s="223"/>
      <c r="K900" s="223"/>
      <c r="L900" s="223"/>
      <c r="M900" s="223"/>
      <c r="N900" s="223"/>
      <c r="O900" s="223"/>
      <c r="P900" s="223"/>
      <c r="Q900" s="223"/>
      <c r="R900" s="890"/>
      <c r="S900" s="890"/>
      <c r="T900" s="223"/>
      <c r="U900" s="223"/>
      <c r="V900" s="223"/>
      <c r="W900" s="223"/>
      <c r="X900" s="223"/>
      <c r="Y900" s="223"/>
      <c r="Z900" s="223"/>
      <c r="AA900" s="223"/>
      <c r="AB900" s="223"/>
      <c r="AC900" s="223"/>
    </row>
    <row r="901" spans="1:29" x14ac:dyDescent="0.25">
      <c r="A901" s="223"/>
      <c r="B901" s="223"/>
      <c r="C901" s="223"/>
      <c r="D901" s="223"/>
      <c r="E901" s="223"/>
      <c r="F901" s="276"/>
      <c r="G901" s="226"/>
      <c r="H901" s="223"/>
      <c r="I901" s="223"/>
      <c r="J901" s="223"/>
      <c r="K901" s="223"/>
      <c r="L901" s="223"/>
      <c r="M901" s="223"/>
      <c r="N901" s="223"/>
      <c r="O901" s="223"/>
      <c r="P901" s="223"/>
      <c r="Q901" s="223"/>
      <c r="R901" s="890"/>
      <c r="S901" s="890"/>
      <c r="T901" s="223"/>
      <c r="U901" s="223"/>
      <c r="V901" s="223"/>
      <c r="W901" s="223"/>
      <c r="X901" s="223"/>
      <c r="Y901" s="223"/>
      <c r="Z901" s="223"/>
      <c r="AA901" s="223"/>
      <c r="AB901" s="223"/>
      <c r="AC901" s="223"/>
    </row>
    <row r="902" spans="1:29" x14ac:dyDescent="0.25">
      <c r="A902" s="223"/>
      <c r="B902" s="223"/>
      <c r="C902" s="223"/>
      <c r="D902" s="223"/>
      <c r="E902" s="223"/>
      <c r="F902" s="276"/>
      <c r="G902" s="226"/>
      <c r="H902" s="223"/>
      <c r="I902" s="223"/>
      <c r="J902" s="223"/>
      <c r="K902" s="223"/>
      <c r="L902" s="223"/>
      <c r="M902" s="223"/>
      <c r="N902" s="223"/>
      <c r="O902" s="223"/>
      <c r="P902" s="223"/>
      <c r="Q902" s="223"/>
      <c r="R902" s="890"/>
      <c r="S902" s="890"/>
      <c r="T902" s="223"/>
      <c r="U902" s="223"/>
      <c r="V902" s="223"/>
      <c r="W902" s="223"/>
      <c r="X902" s="223"/>
      <c r="Y902" s="223"/>
      <c r="Z902" s="223"/>
      <c r="AA902" s="223"/>
      <c r="AB902" s="223"/>
      <c r="AC902" s="223"/>
    </row>
    <row r="903" spans="1:29" x14ac:dyDescent="0.25">
      <c r="A903" s="223"/>
      <c r="B903" s="223"/>
      <c r="C903" s="223"/>
      <c r="D903" s="223"/>
      <c r="E903" s="223"/>
      <c r="F903" s="276"/>
      <c r="G903" s="226"/>
      <c r="H903" s="223"/>
      <c r="I903" s="223"/>
      <c r="J903" s="223"/>
      <c r="K903" s="223"/>
      <c r="L903" s="223"/>
      <c r="M903" s="223"/>
      <c r="N903" s="223"/>
      <c r="O903" s="223"/>
      <c r="P903" s="223"/>
      <c r="Q903" s="223"/>
      <c r="R903" s="890"/>
      <c r="S903" s="890"/>
      <c r="T903" s="223"/>
      <c r="U903" s="223"/>
      <c r="V903" s="223"/>
      <c r="W903" s="223"/>
      <c r="X903" s="223"/>
      <c r="Y903" s="223"/>
      <c r="Z903" s="223"/>
      <c r="AA903" s="223"/>
      <c r="AB903" s="223"/>
      <c r="AC903" s="223"/>
    </row>
    <row r="904" spans="1:29" x14ac:dyDescent="0.25">
      <c r="A904" s="223"/>
      <c r="B904" s="223"/>
      <c r="C904" s="223"/>
      <c r="D904" s="223"/>
      <c r="E904" s="223"/>
      <c r="F904" s="276"/>
      <c r="G904" s="226"/>
      <c r="H904" s="223"/>
      <c r="I904" s="223"/>
      <c r="J904" s="223"/>
      <c r="K904" s="223"/>
      <c r="L904" s="223"/>
      <c r="M904" s="223"/>
      <c r="N904" s="223"/>
      <c r="O904" s="223"/>
      <c r="P904" s="223"/>
      <c r="Q904" s="223"/>
      <c r="R904" s="890"/>
      <c r="S904" s="890"/>
      <c r="T904" s="223"/>
      <c r="U904" s="223"/>
      <c r="V904" s="223"/>
      <c r="W904" s="223"/>
      <c r="X904" s="223"/>
      <c r="Y904" s="223"/>
      <c r="Z904" s="223"/>
      <c r="AA904" s="223"/>
      <c r="AB904" s="223"/>
      <c r="AC904" s="223"/>
    </row>
    <row r="905" spans="1:29" x14ac:dyDescent="0.25">
      <c r="A905" s="223"/>
      <c r="B905" s="223"/>
      <c r="C905" s="223"/>
      <c r="D905" s="223"/>
      <c r="E905" s="223"/>
      <c r="F905" s="276"/>
      <c r="G905" s="226"/>
      <c r="H905" s="223"/>
      <c r="I905" s="223"/>
      <c r="J905" s="223"/>
      <c r="K905" s="223"/>
      <c r="L905" s="223"/>
      <c r="M905" s="223"/>
      <c r="N905" s="223"/>
      <c r="O905" s="223"/>
      <c r="P905" s="223"/>
      <c r="Q905" s="223"/>
      <c r="R905" s="890"/>
      <c r="S905" s="890"/>
      <c r="T905" s="223"/>
      <c r="U905" s="223"/>
      <c r="V905" s="223"/>
      <c r="W905" s="223"/>
      <c r="X905" s="223"/>
      <c r="Y905" s="223"/>
      <c r="Z905" s="223"/>
      <c r="AA905" s="223"/>
      <c r="AB905" s="223"/>
      <c r="AC905" s="223"/>
    </row>
    <row r="906" spans="1:29" x14ac:dyDescent="0.25">
      <c r="A906" s="223"/>
      <c r="B906" s="223"/>
      <c r="C906" s="223"/>
      <c r="D906" s="223"/>
      <c r="E906" s="223"/>
      <c r="F906" s="276"/>
      <c r="G906" s="226"/>
      <c r="H906" s="223"/>
      <c r="I906" s="223"/>
      <c r="J906" s="223"/>
      <c r="K906" s="223"/>
      <c r="L906" s="223"/>
      <c r="M906" s="223"/>
      <c r="N906" s="223"/>
      <c r="O906" s="223"/>
      <c r="P906" s="223"/>
      <c r="Q906" s="223"/>
      <c r="R906" s="890"/>
      <c r="S906" s="890"/>
      <c r="T906" s="223"/>
      <c r="U906" s="223"/>
      <c r="V906" s="223"/>
      <c r="W906" s="223"/>
      <c r="X906" s="223"/>
      <c r="Y906" s="223"/>
      <c r="Z906" s="223"/>
      <c r="AA906" s="223"/>
      <c r="AB906" s="223"/>
      <c r="AC906" s="223"/>
    </row>
    <row r="907" spans="1:29" x14ac:dyDescent="0.25">
      <c r="A907" s="223"/>
      <c r="B907" s="223"/>
      <c r="C907" s="223"/>
      <c r="D907" s="223"/>
      <c r="E907" s="223"/>
      <c r="F907" s="276"/>
      <c r="G907" s="226"/>
      <c r="H907" s="223"/>
      <c r="I907" s="223"/>
      <c r="J907" s="223"/>
      <c r="K907" s="223"/>
      <c r="L907" s="223"/>
      <c r="M907" s="223"/>
      <c r="N907" s="223"/>
      <c r="O907" s="223"/>
      <c r="P907" s="223"/>
      <c r="Q907" s="223"/>
      <c r="R907" s="890"/>
      <c r="S907" s="890"/>
      <c r="T907" s="223"/>
      <c r="U907" s="223"/>
      <c r="V907" s="223"/>
      <c r="W907" s="223"/>
      <c r="X907" s="223"/>
      <c r="Y907" s="223"/>
      <c r="Z907" s="223"/>
      <c r="AA907" s="223"/>
      <c r="AB907" s="223"/>
      <c r="AC907" s="223"/>
    </row>
    <row r="908" spans="1:29" x14ac:dyDescent="0.25">
      <c r="A908" s="223"/>
      <c r="B908" s="223"/>
      <c r="C908" s="223"/>
      <c r="D908" s="223"/>
      <c r="E908" s="223"/>
      <c r="F908" s="276"/>
      <c r="G908" s="226"/>
      <c r="H908" s="223"/>
      <c r="I908" s="223"/>
      <c r="J908" s="223"/>
      <c r="K908" s="223"/>
      <c r="L908" s="223"/>
      <c r="M908" s="223"/>
      <c r="N908" s="223"/>
      <c r="O908" s="223"/>
      <c r="P908" s="223"/>
      <c r="Q908" s="223"/>
      <c r="R908" s="890"/>
      <c r="S908" s="890"/>
      <c r="T908" s="223"/>
      <c r="U908" s="223"/>
      <c r="V908" s="223"/>
      <c r="W908" s="223"/>
      <c r="X908" s="223"/>
      <c r="Y908" s="223"/>
      <c r="Z908" s="223"/>
      <c r="AA908" s="223"/>
      <c r="AB908" s="223"/>
      <c r="AC908" s="223"/>
    </row>
    <row r="909" spans="1:29" x14ac:dyDescent="0.25">
      <c r="A909" s="223"/>
      <c r="B909" s="223"/>
      <c r="C909" s="223"/>
      <c r="D909" s="223"/>
      <c r="E909" s="223"/>
      <c r="F909" s="276"/>
      <c r="G909" s="226"/>
      <c r="H909" s="223"/>
      <c r="I909" s="223"/>
      <c r="J909" s="223"/>
      <c r="K909" s="223"/>
      <c r="L909" s="223"/>
      <c r="M909" s="223"/>
      <c r="N909" s="223"/>
      <c r="O909" s="223"/>
      <c r="P909" s="223"/>
      <c r="Q909" s="223"/>
      <c r="R909" s="890"/>
      <c r="S909" s="890"/>
      <c r="T909" s="223"/>
      <c r="U909" s="223"/>
      <c r="V909" s="223"/>
      <c r="W909" s="223"/>
      <c r="X909" s="223"/>
      <c r="Y909" s="223"/>
      <c r="Z909" s="223"/>
      <c r="AA909" s="223"/>
      <c r="AB909" s="223"/>
      <c r="AC909" s="223"/>
    </row>
    <row r="910" spans="1:29" x14ac:dyDescent="0.25">
      <c r="A910" s="223"/>
      <c r="B910" s="223"/>
      <c r="C910" s="223"/>
      <c r="D910" s="223"/>
      <c r="E910" s="223"/>
      <c r="F910" s="276"/>
      <c r="G910" s="226"/>
      <c r="H910" s="223"/>
      <c r="I910" s="223"/>
      <c r="J910" s="223"/>
      <c r="K910" s="223"/>
      <c r="L910" s="223"/>
      <c r="M910" s="223"/>
      <c r="N910" s="223"/>
      <c r="O910" s="223"/>
      <c r="P910" s="223"/>
      <c r="Q910" s="223"/>
      <c r="R910" s="890"/>
      <c r="S910" s="890"/>
      <c r="T910" s="223"/>
      <c r="U910" s="223"/>
      <c r="V910" s="223"/>
      <c r="W910" s="223"/>
      <c r="X910" s="223"/>
      <c r="Y910" s="223"/>
      <c r="Z910" s="223"/>
      <c r="AA910" s="223"/>
      <c r="AB910" s="223"/>
      <c r="AC910" s="223"/>
    </row>
    <row r="911" spans="1:29" x14ac:dyDescent="0.25">
      <c r="A911" s="223"/>
      <c r="B911" s="223"/>
      <c r="C911" s="223"/>
      <c r="D911" s="223"/>
      <c r="E911" s="223"/>
      <c r="F911" s="276"/>
      <c r="G911" s="226"/>
      <c r="H911" s="223"/>
      <c r="I911" s="223"/>
      <c r="J911" s="223"/>
      <c r="K911" s="223"/>
      <c r="L911" s="223"/>
      <c r="M911" s="223"/>
      <c r="N911" s="223"/>
      <c r="O911" s="223"/>
      <c r="P911" s="223"/>
      <c r="Q911" s="223"/>
      <c r="R911" s="890"/>
      <c r="S911" s="890"/>
      <c r="T911" s="223"/>
      <c r="U911" s="223"/>
      <c r="V911" s="223"/>
      <c r="W911" s="223"/>
      <c r="X911" s="223"/>
      <c r="Y911" s="223"/>
      <c r="Z911" s="223"/>
      <c r="AA911" s="223"/>
      <c r="AB911" s="223"/>
      <c r="AC911" s="223"/>
    </row>
    <row r="912" spans="1:29" x14ac:dyDescent="0.25">
      <c r="A912" s="223"/>
      <c r="B912" s="223"/>
      <c r="C912" s="223"/>
      <c r="D912" s="223"/>
      <c r="E912" s="223"/>
      <c r="F912" s="276"/>
      <c r="G912" s="226"/>
      <c r="H912" s="223"/>
      <c r="I912" s="223"/>
      <c r="J912" s="223"/>
      <c r="K912" s="223"/>
      <c r="L912" s="223"/>
      <c r="M912" s="223"/>
      <c r="N912" s="223"/>
      <c r="O912" s="223"/>
      <c r="P912" s="223"/>
      <c r="Q912" s="223"/>
      <c r="R912" s="890"/>
      <c r="S912" s="890"/>
      <c r="T912" s="223"/>
      <c r="U912" s="223"/>
      <c r="V912" s="223"/>
      <c r="W912" s="223"/>
      <c r="X912" s="223"/>
      <c r="Y912" s="223"/>
      <c r="Z912" s="223"/>
      <c r="AA912" s="223"/>
      <c r="AB912" s="223"/>
      <c r="AC912" s="223"/>
    </row>
    <row r="913" spans="1:29" x14ac:dyDescent="0.25">
      <c r="A913" s="223"/>
      <c r="B913" s="223"/>
      <c r="C913" s="223"/>
      <c r="D913" s="223"/>
      <c r="E913" s="223"/>
      <c r="F913" s="276"/>
      <c r="G913" s="226"/>
      <c r="H913" s="223"/>
      <c r="I913" s="223"/>
      <c r="J913" s="223"/>
      <c r="K913" s="223"/>
      <c r="L913" s="223"/>
      <c r="M913" s="223"/>
      <c r="N913" s="223"/>
      <c r="O913" s="223"/>
      <c r="P913" s="223"/>
      <c r="Q913" s="223"/>
      <c r="R913" s="890"/>
      <c r="S913" s="890"/>
      <c r="T913" s="223"/>
      <c r="U913" s="223"/>
      <c r="V913" s="223"/>
      <c r="W913" s="223"/>
      <c r="X913" s="223"/>
      <c r="Y913" s="223"/>
      <c r="Z913" s="223"/>
      <c r="AA913" s="223"/>
      <c r="AB913" s="223"/>
      <c r="AC913" s="223"/>
    </row>
    <row r="914" spans="1:29" x14ac:dyDescent="0.25">
      <c r="A914" s="223"/>
      <c r="B914" s="223"/>
      <c r="C914" s="223"/>
      <c r="D914" s="223"/>
      <c r="E914" s="223"/>
      <c r="F914" s="276"/>
      <c r="G914" s="226"/>
      <c r="H914" s="223"/>
      <c r="I914" s="223"/>
      <c r="J914" s="223"/>
      <c r="K914" s="223"/>
      <c r="L914" s="223"/>
      <c r="M914" s="223"/>
      <c r="N914" s="223"/>
      <c r="O914" s="223"/>
      <c r="P914" s="223"/>
      <c r="Q914" s="223"/>
      <c r="R914" s="890"/>
      <c r="S914" s="890"/>
      <c r="T914" s="223"/>
      <c r="U914" s="223"/>
      <c r="V914" s="223"/>
      <c r="W914" s="223"/>
      <c r="X914" s="223"/>
      <c r="Y914" s="223"/>
      <c r="Z914" s="223"/>
      <c r="AA914" s="223"/>
      <c r="AB914" s="223"/>
      <c r="AC914" s="223"/>
    </row>
    <row r="915" spans="1:29" x14ac:dyDescent="0.25">
      <c r="A915" s="223"/>
      <c r="B915" s="223"/>
      <c r="C915" s="223"/>
      <c r="D915" s="223"/>
      <c r="E915" s="223"/>
      <c r="F915" s="276"/>
      <c r="G915" s="226"/>
      <c r="H915" s="223"/>
      <c r="I915" s="223"/>
      <c r="J915" s="223"/>
      <c r="K915" s="223"/>
      <c r="L915" s="223"/>
      <c r="M915" s="223"/>
      <c r="N915" s="223"/>
      <c r="O915" s="223"/>
      <c r="P915" s="223"/>
      <c r="Q915" s="223"/>
      <c r="R915" s="890"/>
      <c r="S915" s="890"/>
      <c r="T915" s="223"/>
      <c r="U915" s="223"/>
      <c r="V915" s="223"/>
      <c r="W915" s="223"/>
      <c r="X915" s="223"/>
      <c r="Y915" s="223"/>
      <c r="Z915" s="223"/>
      <c r="AA915" s="223"/>
      <c r="AB915" s="223"/>
      <c r="AC915" s="223"/>
    </row>
    <row r="916" spans="1:29" x14ac:dyDescent="0.25">
      <c r="A916" s="223"/>
      <c r="B916" s="223"/>
      <c r="C916" s="223"/>
      <c r="D916" s="223"/>
      <c r="E916" s="223"/>
      <c r="F916" s="276"/>
      <c r="G916" s="226"/>
      <c r="H916" s="223"/>
      <c r="I916" s="223"/>
      <c r="J916" s="223"/>
      <c r="K916" s="223"/>
      <c r="L916" s="223"/>
      <c r="M916" s="223"/>
      <c r="N916" s="223"/>
      <c r="O916" s="223"/>
      <c r="P916" s="223"/>
      <c r="Q916" s="223"/>
      <c r="R916" s="890"/>
      <c r="S916" s="890"/>
      <c r="T916" s="223"/>
      <c r="U916" s="223"/>
      <c r="V916" s="223"/>
      <c r="W916" s="223"/>
      <c r="X916" s="223"/>
      <c r="Y916" s="223"/>
      <c r="Z916" s="223"/>
      <c r="AA916" s="223"/>
      <c r="AB916" s="223"/>
      <c r="AC916" s="223"/>
    </row>
    <row r="917" spans="1:29" x14ac:dyDescent="0.25">
      <c r="A917" s="223"/>
      <c r="B917" s="223"/>
      <c r="C917" s="223"/>
      <c r="D917" s="223"/>
      <c r="E917" s="223"/>
      <c r="F917" s="276"/>
      <c r="G917" s="226"/>
      <c r="H917" s="223"/>
      <c r="I917" s="223"/>
      <c r="J917" s="223"/>
      <c r="K917" s="223"/>
      <c r="L917" s="223"/>
      <c r="M917" s="223"/>
      <c r="N917" s="223"/>
      <c r="O917" s="223"/>
      <c r="P917" s="223"/>
      <c r="Q917" s="223"/>
      <c r="R917" s="890"/>
      <c r="S917" s="890"/>
      <c r="T917" s="223"/>
      <c r="U917" s="223"/>
      <c r="V917" s="223"/>
      <c r="W917" s="223"/>
      <c r="X917" s="223"/>
      <c r="Y917" s="223"/>
      <c r="Z917" s="223"/>
      <c r="AA917" s="223"/>
      <c r="AB917" s="223"/>
      <c r="AC917" s="223"/>
    </row>
    <row r="918" spans="1:29" x14ac:dyDescent="0.25">
      <c r="A918" s="223"/>
      <c r="B918" s="223"/>
      <c r="C918" s="223"/>
      <c r="D918" s="223"/>
      <c r="E918" s="223"/>
      <c r="F918" s="276"/>
      <c r="G918" s="226"/>
      <c r="H918" s="223"/>
      <c r="I918" s="223"/>
      <c r="J918" s="223"/>
      <c r="K918" s="223"/>
      <c r="L918" s="223"/>
      <c r="M918" s="223"/>
      <c r="N918" s="223"/>
      <c r="O918" s="223"/>
      <c r="P918" s="223"/>
      <c r="Q918" s="223"/>
      <c r="R918" s="890"/>
      <c r="S918" s="890"/>
      <c r="T918" s="223"/>
      <c r="U918" s="223"/>
      <c r="V918" s="223"/>
      <c r="W918" s="223"/>
      <c r="X918" s="223"/>
      <c r="Y918" s="223"/>
      <c r="Z918" s="223"/>
      <c r="AA918" s="223"/>
      <c r="AB918" s="223"/>
      <c r="AC918" s="223"/>
    </row>
    <row r="919" spans="1:29" x14ac:dyDescent="0.25">
      <c r="A919" s="223"/>
      <c r="B919" s="223"/>
      <c r="C919" s="223"/>
      <c r="D919" s="223"/>
      <c r="E919" s="223"/>
      <c r="F919" s="276"/>
      <c r="G919" s="226"/>
      <c r="H919" s="223"/>
      <c r="I919" s="223"/>
      <c r="J919" s="223"/>
      <c r="K919" s="223"/>
      <c r="L919" s="223"/>
      <c r="M919" s="223"/>
      <c r="N919" s="223"/>
      <c r="O919" s="223"/>
      <c r="P919" s="223"/>
      <c r="Q919" s="223"/>
      <c r="R919" s="890"/>
      <c r="S919" s="890"/>
      <c r="T919" s="223"/>
      <c r="U919" s="223"/>
      <c r="V919" s="223"/>
      <c r="W919" s="223"/>
      <c r="X919" s="223"/>
      <c r="Y919" s="223"/>
      <c r="Z919" s="223"/>
      <c r="AA919" s="223"/>
      <c r="AB919" s="223"/>
      <c r="AC919" s="223"/>
    </row>
    <row r="920" spans="1:29" x14ac:dyDescent="0.25">
      <c r="A920" s="223"/>
      <c r="B920" s="223"/>
      <c r="C920" s="223"/>
      <c r="D920" s="223"/>
      <c r="E920" s="223"/>
      <c r="F920" s="276"/>
      <c r="G920" s="226"/>
      <c r="H920" s="223"/>
      <c r="I920" s="223"/>
      <c r="J920" s="223"/>
      <c r="K920" s="223"/>
      <c r="L920" s="223"/>
      <c r="M920" s="223"/>
      <c r="N920" s="223"/>
      <c r="O920" s="223"/>
      <c r="P920" s="223"/>
      <c r="Q920" s="223"/>
      <c r="R920" s="890"/>
      <c r="S920" s="890"/>
      <c r="T920" s="223"/>
      <c r="U920" s="223"/>
      <c r="V920" s="223"/>
      <c r="W920" s="223"/>
      <c r="X920" s="223"/>
      <c r="Y920" s="223"/>
      <c r="Z920" s="223"/>
      <c r="AA920" s="223"/>
      <c r="AB920" s="223"/>
      <c r="AC920" s="223"/>
    </row>
    <row r="921" spans="1:29" x14ac:dyDescent="0.25">
      <c r="A921" s="223"/>
      <c r="B921" s="223"/>
      <c r="C921" s="223"/>
      <c r="D921" s="223"/>
      <c r="E921" s="223"/>
      <c r="F921" s="276"/>
      <c r="G921" s="226"/>
      <c r="H921" s="223"/>
      <c r="I921" s="223"/>
      <c r="J921" s="223"/>
      <c r="K921" s="223"/>
      <c r="L921" s="223"/>
      <c r="M921" s="223"/>
      <c r="N921" s="223"/>
      <c r="O921" s="223"/>
      <c r="P921" s="223"/>
      <c r="Q921" s="223"/>
      <c r="R921" s="890"/>
      <c r="S921" s="890"/>
      <c r="T921" s="223"/>
      <c r="U921" s="223"/>
      <c r="V921" s="223"/>
      <c r="W921" s="223"/>
      <c r="X921" s="223"/>
      <c r="Y921" s="223"/>
      <c r="Z921" s="223"/>
      <c r="AA921" s="223"/>
      <c r="AB921" s="223"/>
      <c r="AC921" s="223"/>
    </row>
    <row r="922" spans="1:29" x14ac:dyDescent="0.25">
      <c r="A922" s="223"/>
      <c r="B922" s="223"/>
      <c r="C922" s="223"/>
      <c r="D922" s="223"/>
      <c r="E922" s="223"/>
      <c r="F922" s="276"/>
      <c r="G922" s="226"/>
      <c r="H922" s="223"/>
      <c r="I922" s="223"/>
      <c r="J922" s="223"/>
      <c r="K922" s="223"/>
      <c r="L922" s="223"/>
      <c r="M922" s="223"/>
      <c r="N922" s="223"/>
      <c r="O922" s="223"/>
      <c r="P922" s="223"/>
      <c r="Q922" s="223"/>
      <c r="R922" s="890"/>
      <c r="S922" s="890"/>
      <c r="T922" s="223"/>
      <c r="U922" s="223"/>
      <c r="V922" s="223"/>
      <c r="W922" s="223"/>
      <c r="X922" s="223"/>
      <c r="Y922" s="223"/>
      <c r="Z922" s="223"/>
      <c r="AA922" s="223"/>
      <c r="AB922" s="223"/>
      <c r="AC922" s="223"/>
    </row>
    <row r="923" spans="1:29" x14ac:dyDescent="0.25">
      <c r="A923" s="223"/>
      <c r="B923" s="223"/>
      <c r="C923" s="223"/>
      <c r="D923" s="223"/>
      <c r="E923" s="223"/>
      <c r="F923" s="276"/>
      <c r="G923" s="226"/>
      <c r="H923" s="223"/>
      <c r="I923" s="223"/>
      <c r="J923" s="223"/>
      <c r="K923" s="223"/>
      <c r="L923" s="223"/>
      <c r="M923" s="223"/>
      <c r="N923" s="223"/>
      <c r="O923" s="223"/>
      <c r="P923" s="223"/>
      <c r="Q923" s="223"/>
      <c r="R923" s="890"/>
      <c r="S923" s="890"/>
      <c r="T923" s="223"/>
      <c r="U923" s="223"/>
      <c r="V923" s="223"/>
      <c r="W923" s="223"/>
      <c r="X923" s="223"/>
      <c r="Y923" s="223"/>
      <c r="Z923" s="223"/>
      <c r="AA923" s="223"/>
      <c r="AB923" s="223"/>
      <c r="AC923" s="223"/>
    </row>
    <row r="924" spans="1:29" x14ac:dyDescent="0.25">
      <c r="A924" s="223"/>
      <c r="B924" s="223"/>
      <c r="C924" s="223"/>
      <c r="D924" s="223"/>
      <c r="E924" s="223"/>
      <c r="F924" s="276"/>
      <c r="G924" s="226"/>
      <c r="H924" s="223"/>
      <c r="I924" s="223"/>
      <c r="J924" s="223"/>
      <c r="K924" s="223"/>
      <c r="L924" s="223"/>
      <c r="M924" s="223"/>
      <c r="N924" s="223"/>
      <c r="O924" s="223"/>
      <c r="P924" s="223"/>
      <c r="Q924" s="223"/>
      <c r="R924" s="890"/>
      <c r="S924" s="890"/>
      <c r="T924" s="223"/>
      <c r="U924" s="223"/>
      <c r="V924" s="223"/>
      <c r="W924" s="223"/>
      <c r="X924" s="223"/>
      <c r="Y924" s="223"/>
      <c r="Z924" s="223"/>
      <c r="AA924" s="223"/>
      <c r="AB924" s="223"/>
      <c r="AC924" s="223"/>
    </row>
    <row r="925" spans="1:29" x14ac:dyDescent="0.25">
      <c r="A925" s="223"/>
      <c r="B925" s="223"/>
      <c r="C925" s="223"/>
      <c r="D925" s="223"/>
      <c r="E925" s="223"/>
      <c r="F925" s="276"/>
      <c r="G925" s="226"/>
      <c r="H925" s="223"/>
      <c r="I925" s="223"/>
      <c r="J925" s="223"/>
      <c r="K925" s="223"/>
      <c r="L925" s="223"/>
      <c r="M925" s="223"/>
      <c r="N925" s="223"/>
      <c r="O925" s="223"/>
      <c r="P925" s="223"/>
      <c r="Q925" s="223"/>
      <c r="R925" s="890"/>
      <c r="S925" s="890"/>
      <c r="T925" s="223"/>
      <c r="U925" s="223"/>
      <c r="V925" s="223"/>
      <c r="W925" s="223"/>
      <c r="X925" s="223"/>
      <c r="Y925" s="223"/>
      <c r="Z925" s="223"/>
      <c r="AA925" s="223"/>
      <c r="AB925" s="223"/>
      <c r="AC925" s="223"/>
    </row>
    <row r="926" spans="1:29" x14ac:dyDescent="0.25">
      <c r="A926" s="223"/>
      <c r="B926" s="223"/>
      <c r="C926" s="223"/>
      <c r="D926" s="223"/>
      <c r="E926" s="223"/>
      <c r="F926" s="276"/>
      <c r="G926" s="226"/>
      <c r="H926" s="223"/>
      <c r="I926" s="223"/>
      <c r="J926" s="223"/>
      <c r="K926" s="223"/>
      <c r="L926" s="223"/>
      <c r="M926" s="223"/>
      <c r="N926" s="223"/>
      <c r="O926" s="223"/>
      <c r="P926" s="223"/>
      <c r="Q926" s="223"/>
      <c r="R926" s="890"/>
      <c r="S926" s="890"/>
      <c r="T926" s="223"/>
      <c r="U926" s="223"/>
      <c r="V926" s="223"/>
      <c r="W926" s="223"/>
      <c r="X926" s="223"/>
      <c r="Y926" s="223"/>
      <c r="Z926" s="223"/>
      <c r="AA926" s="223"/>
      <c r="AB926" s="223"/>
      <c r="AC926" s="223"/>
    </row>
    <row r="927" spans="1:29" x14ac:dyDescent="0.25">
      <c r="A927" s="223"/>
      <c r="B927" s="223"/>
      <c r="C927" s="223"/>
      <c r="D927" s="223"/>
      <c r="E927" s="223"/>
      <c r="F927" s="276"/>
      <c r="G927" s="226"/>
      <c r="H927" s="223"/>
      <c r="I927" s="223"/>
      <c r="J927" s="223"/>
      <c r="K927" s="223"/>
      <c r="L927" s="223"/>
      <c r="M927" s="223"/>
      <c r="N927" s="223"/>
      <c r="O927" s="223"/>
      <c r="P927" s="223"/>
      <c r="Q927" s="223"/>
      <c r="R927" s="890"/>
      <c r="S927" s="890"/>
      <c r="T927" s="223"/>
      <c r="U927" s="223"/>
      <c r="V927" s="223"/>
      <c r="W927" s="223"/>
      <c r="X927" s="223"/>
      <c r="Y927" s="223"/>
      <c r="Z927" s="223"/>
      <c r="AA927" s="223"/>
      <c r="AB927" s="223"/>
      <c r="AC927" s="223"/>
    </row>
    <row r="928" spans="1:29" x14ac:dyDescent="0.25">
      <c r="A928" s="223"/>
      <c r="B928" s="223"/>
      <c r="C928" s="223"/>
      <c r="D928" s="223"/>
      <c r="E928" s="223"/>
      <c r="F928" s="276"/>
      <c r="G928" s="226"/>
      <c r="H928" s="223"/>
      <c r="I928" s="223"/>
      <c r="J928" s="223"/>
      <c r="K928" s="223"/>
      <c r="L928" s="223"/>
      <c r="M928" s="223"/>
      <c r="N928" s="223"/>
      <c r="O928" s="223"/>
      <c r="P928" s="223"/>
      <c r="Q928" s="223"/>
      <c r="R928" s="890"/>
      <c r="S928" s="890"/>
      <c r="T928" s="223"/>
      <c r="U928" s="223"/>
      <c r="V928" s="223"/>
      <c r="W928" s="223"/>
      <c r="X928" s="223"/>
      <c r="Y928" s="223"/>
      <c r="Z928" s="223"/>
      <c r="AA928" s="223"/>
      <c r="AB928" s="223"/>
      <c r="AC928" s="223"/>
    </row>
    <row r="929" spans="1:29" x14ac:dyDescent="0.25">
      <c r="A929" s="223"/>
      <c r="B929" s="223"/>
      <c r="C929" s="223"/>
      <c r="D929" s="223"/>
      <c r="E929" s="223"/>
      <c r="F929" s="276"/>
      <c r="G929" s="226"/>
      <c r="H929" s="223"/>
      <c r="I929" s="223"/>
      <c r="J929" s="223"/>
      <c r="K929" s="223"/>
      <c r="L929" s="223"/>
      <c r="M929" s="223"/>
      <c r="N929" s="223"/>
      <c r="O929" s="223"/>
      <c r="P929" s="223"/>
      <c r="Q929" s="223"/>
      <c r="R929" s="890"/>
      <c r="S929" s="890"/>
      <c r="T929" s="223"/>
      <c r="U929" s="223"/>
      <c r="V929" s="223"/>
      <c r="W929" s="223"/>
      <c r="X929" s="223"/>
      <c r="Y929" s="223"/>
      <c r="Z929" s="223"/>
      <c r="AA929" s="223"/>
      <c r="AB929" s="223"/>
      <c r="AC929" s="223"/>
    </row>
    <row r="930" spans="1:29" x14ac:dyDescent="0.25">
      <c r="A930" s="223"/>
      <c r="B930" s="223"/>
      <c r="C930" s="223"/>
      <c r="D930" s="223"/>
      <c r="E930" s="223"/>
      <c r="F930" s="276"/>
      <c r="G930" s="226"/>
      <c r="H930" s="223"/>
      <c r="I930" s="223"/>
      <c r="J930" s="223"/>
      <c r="K930" s="223"/>
      <c r="L930" s="223"/>
      <c r="M930" s="223"/>
      <c r="N930" s="223"/>
      <c r="O930" s="223"/>
      <c r="P930" s="223"/>
      <c r="Q930" s="223"/>
      <c r="R930" s="890"/>
      <c r="S930" s="890"/>
      <c r="T930" s="223"/>
      <c r="U930" s="223"/>
      <c r="V930" s="223"/>
      <c r="W930" s="223"/>
      <c r="X930" s="223"/>
      <c r="Y930" s="223"/>
      <c r="Z930" s="223"/>
      <c r="AA930" s="223"/>
      <c r="AB930" s="223"/>
      <c r="AC930" s="223"/>
    </row>
    <row r="931" spans="1:29" x14ac:dyDescent="0.25">
      <c r="A931" s="223"/>
      <c r="B931" s="223"/>
      <c r="C931" s="223"/>
      <c r="D931" s="223"/>
      <c r="E931" s="223"/>
      <c r="F931" s="276"/>
      <c r="G931" s="226"/>
      <c r="H931" s="223"/>
      <c r="I931" s="223"/>
      <c r="J931" s="223"/>
      <c r="K931" s="223"/>
      <c r="L931" s="223"/>
      <c r="M931" s="223"/>
      <c r="N931" s="223"/>
      <c r="O931" s="223"/>
      <c r="P931" s="223"/>
      <c r="Q931" s="223"/>
      <c r="R931" s="890"/>
      <c r="S931" s="890"/>
      <c r="T931" s="223"/>
      <c r="U931" s="223"/>
      <c r="V931" s="223"/>
      <c r="W931" s="223"/>
      <c r="X931" s="223"/>
      <c r="Y931" s="223"/>
      <c r="Z931" s="223"/>
      <c r="AA931" s="223"/>
      <c r="AB931" s="223"/>
      <c r="AC931" s="223"/>
    </row>
    <row r="932" spans="1:29" x14ac:dyDescent="0.25">
      <c r="A932" s="223"/>
      <c r="B932" s="223"/>
      <c r="C932" s="223"/>
      <c r="D932" s="223"/>
      <c r="E932" s="223"/>
      <c r="F932" s="276"/>
      <c r="G932" s="226"/>
      <c r="H932" s="223"/>
      <c r="I932" s="223"/>
      <c r="J932" s="223"/>
      <c r="K932" s="223"/>
      <c r="L932" s="223"/>
      <c r="M932" s="223"/>
      <c r="N932" s="223"/>
      <c r="O932" s="223"/>
      <c r="P932" s="223"/>
      <c r="Q932" s="223"/>
      <c r="R932" s="890"/>
      <c r="S932" s="890"/>
      <c r="T932" s="223"/>
      <c r="U932" s="223"/>
      <c r="V932" s="223"/>
      <c r="W932" s="223"/>
      <c r="X932" s="223"/>
      <c r="Y932" s="223"/>
      <c r="Z932" s="223"/>
      <c r="AA932" s="223"/>
      <c r="AB932" s="223"/>
      <c r="AC932" s="223"/>
    </row>
    <row r="933" spans="1:29" x14ac:dyDescent="0.25">
      <c r="A933" s="223"/>
      <c r="B933" s="223"/>
      <c r="C933" s="223"/>
      <c r="D933" s="223"/>
      <c r="E933" s="223"/>
      <c r="F933" s="276"/>
      <c r="G933" s="226"/>
      <c r="H933" s="223"/>
      <c r="I933" s="223"/>
      <c r="J933" s="223"/>
      <c r="K933" s="223"/>
      <c r="L933" s="223"/>
      <c r="M933" s="223"/>
      <c r="N933" s="223"/>
      <c r="O933" s="223"/>
      <c r="P933" s="223"/>
      <c r="Q933" s="223"/>
      <c r="R933" s="890"/>
      <c r="S933" s="890"/>
      <c r="T933" s="223"/>
      <c r="U933" s="223"/>
      <c r="V933" s="223"/>
      <c r="W933" s="223"/>
      <c r="X933" s="223"/>
      <c r="Y933" s="223"/>
      <c r="Z933" s="223"/>
      <c r="AA933" s="223"/>
      <c r="AB933" s="223"/>
      <c r="AC933" s="223"/>
    </row>
    <row r="934" spans="1:29" x14ac:dyDescent="0.25">
      <c r="A934" s="223"/>
      <c r="B934" s="223"/>
      <c r="C934" s="223"/>
      <c r="D934" s="223"/>
      <c r="E934" s="223"/>
      <c r="F934" s="276"/>
      <c r="G934" s="226"/>
      <c r="H934" s="223"/>
      <c r="I934" s="223"/>
      <c r="J934" s="223"/>
      <c r="K934" s="223"/>
      <c r="L934" s="223"/>
      <c r="M934" s="223"/>
      <c r="N934" s="223"/>
      <c r="O934" s="223"/>
      <c r="P934" s="223"/>
      <c r="Q934" s="223"/>
      <c r="R934" s="890"/>
      <c r="S934" s="890"/>
      <c r="T934" s="223"/>
      <c r="U934" s="223"/>
      <c r="V934" s="223"/>
      <c r="W934" s="223"/>
      <c r="X934" s="223"/>
      <c r="Y934" s="223"/>
      <c r="Z934" s="223"/>
      <c r="AA934" s="223"/>
      <c r="AB934" s="223"/>
      <c r="AC934" s="223"/>
    </row>
    <row r="935" spans="1:29" x14ac:dyDescent="0.25">
      <c r="A935" s="223"/>
      <c r="B935" s="223"/>
      <c r="C935" s="223"/>
      <c r="D935" s="223"/>
      <c r="E935" s="223"/>
      <c r="F935" s="276"/>
      <c r="G935" s="226"/>
      <c r="H935" s="223"/>
      <c r="I935" s="223"/>
      <c r="J935" s="223"/>
      <c r="K935" s="223"/>
      <c r="L935" s="223"/>
      <c r="M935" s="223"/>
      <c r="N935" s="223"/>
      <c r="O935" s="223"/>
      <c r="P935" s="223"/>
      <c r="Q935" s="223"/>
      <c r="R935" s="890"/>
      <c r="S935" s="890"/>
      <c r="T935" s="223"/>
      <c r="U935" s="223"/>
      <c r="V935" s="223"/>
      <c r="W935" s="223"/>
      <c r="X935" s="223"/>
      <c r="Y935" s="223"/>
      <c r="Z935" s="223"/>
      <c r="AA935" s="223"/>
      <c r="AB935" s="223"/>
      <c r="AC935" s="223"/>
    </row>
    <row r="936" spans="1:29" x14ac:dyDescent="0.25">
      <c r="A936" s="223"/>
      <c r="B936" s="223"/>
      <c r="C936" s="223"/>
      <c r="D936" s="223"/>
      <c r="E936" s="223"/>
      <c r="F936" s="276"/>
      <c r="G936" s="226"/>
      <c r="H936" s="223"/>
      <c r="I936" s="223"/>
      <c r="J936" s="223"/>
      <c r="K936" s="223"/>
      <c r="L936" s="223"/>
      <c r="M936" s="223"/>
      <c r="N936" s="223"/>
      <c r="O936" s="223"/>
      <c r="P936" s="223"/>
      <c r="Q936" s="223"/>
      <c r="R936" s="890"/>
      <c r="S936" s="890"/>
      <c r="T936" s="223"/>
      <c r="U936" s="223"/>
      <c r="V936" s="223"/>
      <c r="W936" s="223"/>
      <c r="X936" s="223"/>
      <c r="Y936" s="223"/>
      <c r="Z936" s="223"/>
      <c r="AA936" s="223"/>
      <c r="AB936" s="223"/>
      <c r="AC936" s="223"/>
    </row>
    <row r="937" spans="1:29" x14ac:dyDescent="0.25">
      <c r="A937" s="223"/>
      <c r="B937" s="223"/>
      <c r="C937" s="223"/>
      <c r="D937" s="223"/>
      <c r="E937" s="223"/>
      <c r="F937" s="276"/>
      <c r="G937" s="226"/>
      <c r="H937" s="223"/>
      <c r="I937" s="223"/>
      <c r="J937" s="223"/>
      <c r="K937" s="223"/>
      <c r="L937" s="223"/>
      <c r="M937" s="223"/>
      <c r="N937" s="223"/>
      <c r="O937" s="223"/>
      <c r="P937" s="223"/>
      <c r="Q937" s="223"/>
      <c r="R937" s="890"/>
      <c r="S937" s="890"/>
      <c r="T937" s="223"/>
      <c r="U937" s="223"/>
      <c r="V937" s="223"/>
      <c r="W937" s="223"/>
      <c r="X937" s="223"/>
      <c r="Y937" s="223"/>
      <c r="Z937" s="223"/>
      <c r="AA937" s="223"/>
      <c r="AB937" s="223"/>
      <c r="AC937" s="223"/>
    </row>
    <row r="938" spans="1:29" x14ac:dyDescent="0.25">
      <c r="A938" s="223"/>
      <c r="B938" s="223"/>
      <c r="C938" s="223"/>
      <c r="D938" s="223"/>
      <c r="E938" s="223"/>
      <c r="F938" s="276"/>
      <c r="G938" s="226"/>
      <c r="H938" s="223"/>
      <c r="I938" s="223"/>
      <c r="J938" s="223"/>
      <c r="K938" s="223"/>
      <c r="L938" s="223"/>
      <c r="M938" s="223"/>
      <c r="N938" s="223"/>
      <c r="O938" s="223"/>
      <c r="P938" s="223"/>
      <c r="Q938" s="223"/>
      <c r="R938" s="890"/>
      <c r="S938" s="890"/>
      <c r="T938" s="223"/>
      <c r="U938" s="223"/>
      <c r="V938" s="223"/>
      <c r="W938" s="223"/>
      <c r="X938" s="223"/>
      <c r="Y938" s="223"/>
      <c r="Z938" s="223"/>
      <c r="AA938" s="223"/>
      <c r="AB938" s="223"/>
      <c r="AC938" s="223"/>
    </row>
    <row r="939" spans="1:29" x14ac:dyDescent="0.25">
      <c r="A939" s="223"/>
      <c r="B939" s="223"/>
      <c r="C939" s="223"/>
      <c r="D939" s="223"/>
      <c r="E939" s="223"/>
      <c r="F939" s="276"/>
      <c r="G939" s="226"/>
      <c r="H939" s="223"/>
      <c r="I939" s="223"/>
      <c r="J939" s="223"/>
      <c r="K939" s="223"/>
      <c r="L939" s="223"/>
      <c r="M939" s="223"/>
      <c r="N939" s="223"/>
      <c r="O939" s="223"/>
      <c r="P939" s="223"/>
      <c r="Q939" s="223"/>
      <c r="R939" s="890"/>
      <c r="S939" s="890"/>
      <c r="T939" s="223"/>
      <c r="U939" s="223"/>
      <c r="V939" s="223"/>
      <c r="W939" s="223"/>
      <c r="X939" s="223"/>
      <c r="Y939" s="223"/>
      <c r="Z939" s="223"/>
      <c r="AA939" s="223"/>
      <c r="AB939" s="223"/>
      <c r="AC939" s="223"/>
    </row>
    <row r="940" spans="1:29" x14ac:dyDescent="0.25">
      <c r="A940" s="223"/>
      <c r="B940" s="223"/>
      <c r="C940" s="223"/>
      <c r="D940" s="223"/>
      <c r="E940" s="223"/>
      <c r="F940" s="276"/>
      <c r="G940" s="226"/>
      <c r="H940" s="223"/>
      <c r="I940" s="223"/>
      <c r="J940" s="223"/>
      <c r="K940" s="223"/>
      <c r="L940" s="223"/>
      <c r="M940" s="223"/>
      <c r="N940" s="223"/>
      <c r="O940" s="223"/>
      <c r="P940" s="223"/>
      <c r="Q940" s="223"/>
      <c r="R940" s="890"/>
      <c r="S940" s="890"/>
      <c r="T940" s="223"/>
      <c r="U940" s="223"/>
      <c r="V940" s="223"/>
      <c r="W940" s="223"/>
      <c r="X940" s="223"/>
      <c r="Y940" s="223"/>
      <c r="Z940" s="223"/>
      <c r="AA940" s="223"/>
      <c r="AB940" s="223"/>
      <c r="AC940" s="223"/>
    </row>
    <row r="941" spans="1:29" x14ac:dyDescent="0.25">
      <c r="A941" s="223"/>
      <c r="B941" s="223"/>
      <c r="C941" s="223"/>
      <c r="D941" s="223"/>
      <c r="E941" s="223"/>
      <c r="F941" s="276"/>
      <c r="G941" s="226"/>
      <c r="H941" s="223"/>
      <c r="I941" s="223"/>
      <c r="J941" s="223"/>
      <c r="K941" s="223"/>
      <c r="L941" s="223"/>
      <c r="M941" s="223"/>
      <c r="N941" s="223"/>
      <c r="O941" s="223"/>
      <c r="P941" s="223"/>
      <c r="Q941" s="223"/>
      <c r="R941" s="890"/>
      <c r="S941" s="890"/>
      <c r="T941" s="223"/>
      <c r="U941" s="223"/>
      <c r="V941" s="223"/>
      <c r="W941" s="223"/>
      <c r="X941" s="223"/>
      <c r="Y941" s="223"/>
      <c r="Z941" s="223"/>
      <c r="AA941" s="223"/>
      <c r="AB941" s="223"/>
      <c r="AC941" s="223"/>
    </row>
    <row r="942" spans="1:29" x14ac:dyDescent="0.25">
      <c r="A942" s="223"/>
      <c r="B942" s="223"/>
      <c r="C942" s="223"/>
      <c r="D942" s="223"/>
      <c r="E942" s="223"/>
      <c r="F942" s="276"/>
      <c r="G942" s="226"/>
      <c r="H942" s="223"/>
      <c r="I942" s="223"/>
      <c r="J942" s="223"/>
      <c r="K942" s="223"/>
      <c r="L942" s="223"/>
      <c r="M942" s="223"/>
      <c r="N942" s="223"/>
      <c r="O942" s="223"/>
      <c r="P942" s="223"/>
      <c r="Q942" s="223"/>
      <c r="R942" s="890"/>
      <c r="S942" s="890"/>
      <c r="T942" s="223"/>
      <c r="U942" s="223"/>
      <c r="V942" s="223"/>
      <c r="W942" s="223"/>
      <c r="X942" s="223"/>
      <c r="Y942" s="223"/>
      <c r="Z942" s="223"/>
      <c r="AA942" s="223"/>
      <c r="AB942" s="223"/>
      <c r="AC942" s="223"/>
    </row>
    <row r="943" spans="1:29" x14ac:dyDescent="0.25">
      <c r="A943" s="223"/>
      <c r="B943" s="223"/>
      <c r="C943" s="223"/>
      <c r="D943" s="223"/>
      <c r="E943" s="223"/>
      <c r="F943" s="276"/>
      <c r="G943" s="226"/>
      <c r="H943" s="223"/>
      <c r="I943" s="223"/>
      <c r="J943" s="223"/>
      <c r="K943" s="223"/>
      <c r="L943" s="223"/>
      <c r="M943" s="223"/>
      <c r="N943" s="223"/>
      <c r="O943" s="223"/>
      <c r="P943" s="223"/>
      <c r="Q943" s="223"/>
      <c r="R943" s="890"/>
      <c r="S943" s="890"/>
      <c r="T943" s="223"/>
      <c r="U943" s="223"/>
      <c r="V943" s="223"/>
      <c r="W943" s="223"/>
      <c r="X943" s="223"/>
      <c r="Y943" s="223"/>
      <c r="Z943" s="223"/>
      <c r="AA943" s="223"/>
      <c r="AB943" s="223"/>
      <c r="AC943" s="223"/>
    </row>
    <row r="944" spans="1:29" x14ac:dyDescent="0.25">
      <c r="A944" s="223"/>
      <c r="B944" s="223"/>
      <c r="C944" s="223"/>
      <c r="D944" s="223"/>
      <c r="E944" s="223"/>
      <c r="F944" s="276"/>
      <c r="G944" s="226"/>
      <c r="H944" s="223"/>
      <c r="I944" s="223"/>
      <c r="J944" s="223"/>
      <c r="K944" s="223"/>
      <c r="L944" s="223"/>
      <c r="M944" s="223"/>
      <c r="N944" s="223"/>
      <c r="O944" s="223"/>
      <c r="P944" s="223"/>
      <c r="Q944" s="223"/>
      <c r="R944" s="890"/>
      <c r="S944" s="890"/>
      <c r="T944" s="223"/>
      <c r="U944" s="223"/>
      <c r="V944" s="223"/>
      <c r="W944" s="223"/>
      <c r="X944" s="223"/>
      <c r="Y944" s="223"/>
      <c r="Z944" s="223"/>
      <c r="AA944" s="223"/>
      <c r="AB944" s="223"/>
      <c r="AC944" s="223"/>
    </row>
    <row r="945" spans="1:29" x14ac:dyDescent="0.25">
      <c r="A945" s="223"/>
      <c r="B945" s="223"/>
      <c r="C945" s="223"/>
      <c r="D945" s="223"/>
      <c r="E945" s="223"/>
      <c r="F945" s="276"/>
      <c r="G945" s="226"/>
      <c r="H945" s="223"/>
      <c r="I945" s="223"/>
      <c r="J945" s="223"/>
      <c r="K945" s="223"/>
      <c r="L945" s="223"/>
      <c r="M945" s="223"/>
      <c r="N945" s="223"/>
      <c r="O945" s="223"/>
      <c r="P945" s="223"/>
      <c r="Q945" s="223"/>
      <c r="R945" s="890"/>
      <c r="S945" s="890"/>
      <c r="T945" s="223"/>
      <c r="U945" s="223"/>
      <c r="V945" s="223"/>
      <c r="W945" s="223"/>
      <c r="X945" s="223"/>
      <c r="Y945" s="223"/>
      <c r="Z945" s="223"/>
      <c r="AA945" s="223"/>
      <c r="AB945" s="223"/>
      <c r="AC945" s="223"/>
    </row>
    <row r="946" spans="1:29" x14ac:dyDescent="0.25">
      <c r="A946" s="223"/>
      <c r="B946" s="223"/>
      <c r="C946" s="223"/>
      <c r="D946" s="223"/>
      <c r="E946" s="223"/>
      <c r="F946" s="276"/>
      <c r="G946" s="226"/>
      <c r="H946" s="223"/>
      <c r="I946" s="223"/>
      <c r="J946" s="223"/>
      <c r="K946" s="223"/>
      <c r="L946" s="223"/>
      <c r="M946" s="223"/>
      <c r="N946" s="223"/>
      <c r="O946" s="223"/>
      <c r="P946" s="223"/>
      <c r="Q946" s="223"/>
      <c r="R946" s="890"/>
      <c r="S946" s="890"/>
      <c r="T946" s="223"/>
      <c r="U946" s="223"/>
      <c r="V946" s="223"/>
      <c r="W946" s="223"/>
      <c r="X946" s="223"/>
      <c r="Y946" s="223"/>
      <c r="Z946" s="223"/>
      <c r="AA946" s="223"/>
      <c r="AB946" s="223"/>
      <c r="AC946" s="223"/>
    </row>
    <row r="947" spans="1:29" x14ac:dyDescent="0.25">
      <c r="A947" s="223"/>
      <c r="B947" s="223"/>
      <c r="C947" s="223"/>
      <c r="D947" s="223"/>
      <c r="E947" s="223"/>
      <c r="F947" s="276"/>
      <c r="G947" s="226"/>
      <c r="H947" s="223"/>
      <c r="I947" s="223"/>
      <c r="J947" s="223"/>
      <c r="K947" s="223"/>
      <c r="L947" s="223"/>
      <c r="M947" s="223"/>
      <c r="N947" s="223"/>
      <c r="O947" s="223"/>
      <c r="P947" s="223"/>
      <c r="Q947" s="223"/>
      <c r="R947" s="890"/>
      <c r="S947" s="890"/>
      <c r="T947" s="223"/>
      <c r="U947" s="223"/>
      <c r="V947" s="223"/>
      <c r="W947" s="223"/>
      <c r="X947" s="223"/>
      <c r="Y947" s="223"/>
      <c r="Z947" s="223"/>
      <c r="AA947" s="223"/>
      <c r="AB947" s="223"/>
      <c r="AC947" s="223"/>
    </row>
    <row r="948" spans="1:29" x14ac:dyDescent="0.25">
      <c r="A948" s="223"/>
      <c r="B948" s="223"/>
      <c r="C948" s="223"/>
      <c r="D948" s="223"/>
      <c r="E948" s="223"/>
      <c r="F948" s="276"/>
      <c r="G948" s="226"/>
      <c r="H948" s="223"/>
      <c r="I948" s="223"/>
      <c r="J948" s="223"/>
      <c r="K948" s="223"/>
      <c r="L948" s="223"/>
      <c r="M948" s="223"/>
      <c r="N948" s="223"/>
      <c r="O948" s="223"/>
      <c r="P948" s="223"/>
      <c r="Q948" s="223"/>
      <c r="R948" s="890"/>
      <c r="S948" s="890"/>
      <c r="T948" s="223"/>
      <c r="U948" s="223"/>
      <c r="V948" s="223"/>
      <c r="W948" s="223"/>
      <c r="X948" s="223"/>
      <c r="Y948" s="223"/>
      <c r="Z948" s="223"/>
      <c r="AA948" s="223"/>
      <c r="AB948" s="223"/>
      <c r="AC948" s="223"/>
    </row>
    <row r="949" spans="1:29" x14ac:dyDescent="0.25">
      <c r="A949" s="223"/>
      <c r="B949" s="223"/>
      <c r="C949" s="223"/>
      <c r="D949" s="223"/>
      <c r="E949" s="223"/>
      <c r="F949" s="276"/>
      <c r="G949" s="226"/>
      <c r="H949" s="223"/>
      <c r="I949" s="223"/>
      <c r="J949" s="223"/>
      <c r="K949" s="223"/>
      <c r="L949" s="223"/>
      <c r="M949" s="223"/>
      <c r="N949" s="223"/>
      <c r="O949" s="223"/>
      <c r="P949" s="223"/>
      <c r="Q949" s="223"/>
      <c r="R949" s="890"/>
      <c r="S949" s="890"/>
      <c r="T949" s="223"/>
      <c r="U949" s="223"/>
      <c r="V949" s="223"/>
      <c r="W949" s="223"/>
      <c r="X949" s="223"/>
      <c r="Y949" s="223"/>
      <c r="Z949" s="223"/>
      <c r="AA949" s="223"/>
      <c r="AB949" s="223"/>
      <c r="AC949" s="223"/>
    </row>
    <row r="950" spans="1:29" x14ac:dyDescent="0.25">
      <c r="A950" s="223"/>
      <c r="B950" s="223"/>
      <c r="C950" s="223"/>
      <c r="D950" s="223"/>
      <c r="E950" s="223"/>
      <c r="F950" s="276"/>
      <c r="G950" s="226"/>
      <c r="H950" s="223"/>
      <c r="I950" s="223"/>
      <c r="J950" s="223"/>
      <c r="K950" s="223"/>
      <c r="L950" s="223"/>
      <c r="M950" s="223"/>
      <c r="N950" s="223"/>
      <c r="O950" s="223"/>
      <c r="P950" s="223"/>
      <c r="Q950" s="223"/>
      <c r="R950" s="890"/>
      <c r="S950" s="890"/>
      <c r="T950" s="223"/>
      <c r="U950" s="223"/>
      <c r="V950" s="223"/>
      <c r="W950" s="223"/>
      <c r="X950" s="223"/>
      <c r="Y950" s="223"/>
      <c r="Z950" s="223"/>
      <c r="AA950" s="223"/>
      <c r="AB950" s="223"/>
      <c r="AC950" s="223"/>
    </row>
    <row r="951" spans="1:29" x14ac:dyDescent="0.25">
      <c r="A951" s="223"/>
      <c r="B951" s="223"/>
      <c r="C951" s="223"/>
      <c r="D951" s="223"/>
      <c r="E951" s="223"/>
      <c r="F951" s="276"/>
      <c r="G951" s="226"/>
      <c r="H951" s="223"/>
      <c r="I951" s="223"/>
      <c r="J951" s="223"/>
      <c r="K951" s="223"/>
      <c r="L951" s="223"/>
      <c r="M951" s="223"/>
      <c r="N951" s="223"/>
      <c r="O951" s="223"/>
      <c r="P951" s="223"/>
      <c r="Q951" s="223"/>
      <c r="R951" s="890"/>
      <c r="S951" s="890"/>
      <c r="T951" s="223"/>
      <c r="U951" s="223"/>
      <c r="V951" s="223"/>
      <c r="W951" s="223"/>
      <c r="X951" s="223"/>
      <c r="Y951" s="223"/>
      <c r="Z951" s="223"/>
      <c r="AA951" s="223"/>
      <c r="AB951" s="223"/>
      <c r="AC951" s="223"/>
    </row>
    <row r="952" spans="1:29" x14ac:dyDescent="0.25">
      <c r="A952" s="223"/>
      <c r="B952" s="223"/>
      <c r="C952" s="223"/>
      <c r="D952" s="223"/>
      <c r="E952" s="223"/>
      <c r="F952" s="276"/>
      <c r="G952" s="226"/>
      <c r="H952" s="223"/>
      <c r="I952" s="223"/>
      <c r="J952" s="223"/>
      <c r="K952" s="223"/>
      <c r="L952" s="223"/>
      <c r="M952" s="223"/>
      <c r="N952" s="223"/>
      <c r="O952" s="223"/>
      <c r="P952" s="223"/>
      <c r="Q952" s="223"/>
      <c r="R952" s="890"/>
      <c r="S952" s="890"/>
      <c r="T952" s="223"/>
      <c r="U952" s="223"/>
      <c r="V952" s="223"/>
      <c r="W952" s="223"/>
      <c r="X952" s="223"/>
      <c r="Y952" s="223"/>
      <c r="Z952" s="223"/>
      <c r="AA952" s="223"/>
      <c r="AB952" s="223"/>
      <c r="AC952" s="223"/>
    </row>
    <row r="953" spans="1:29" x14ac:dyDescent="0.25">
      <c r="A953" s="223"/>
      <c r="B953" s="223"/>
      <c r="C953" s="223"/>
      <c r="D953" s="223"/>
      <c r="E953" s="223"/>
      <c r="F953" s="276"/>
      <c r="G953" s="226"/>
      <c r="H953" s="223"/>
      <c r="I953" s="223"/>
      <c r="J953" s="223"/>
      <c r="K953" s="223"/>
      <c r="L953" s="223"/>
      <c r="M953" s="223"/>
      <c r="N953" s="223"/>
      <c r="O953" s="223"/>
      <c r="P953" s="223"/>
      <c r="Q953" s="223"/>
      <c r="R953" s="890"/>
      <c r="S953" s="890"/>
      <c r="T953" s="223"/>
      <c r="U953" s="223"/>
      <c r="V953" s="223"/>
      <c r="W953" s="223"/>
      <c r="X953" s="223"/>
      <c r="Y953" s="223"/>
      <c r="Z953" s="223"/>
      <c r="AA953" s="223"/>
      <c r="AB953" s="223"/>
      <c r="AC953" s="223"/>
    </row>
    <row r="954" spans="1:29" x14ac:dyDescent="0.25">
      <c r="A954" s="223"/>
      <c r="B954" s="223"/>
      <c r="C954" s="223"/>
      <c r="D954" s="223"/>
      <c r="E954" s="223"/>
      <c r="F954" s="276"/>
      <c r="G954" s="226"/>
      <c r="H954" s="223"/>
      <c r="I954" s="223"/>
      <c r="J954" s="223"/>
      <c r="K954" s="223"/>
      <c r="L954" s="223"/>
      <c r="M954" s="223"/>
      <c r="N954" s="223"/>
      <c r="O954" s="223"/>
      <c r="P954" s="223"/>
      <c r="Q954" s="223"/>
      <c r="R954" s="890"/>
      <c r="S954" s="890"/>
      <c r="T954" s="223"/>
      <c r="U954" s="223"/>
      <c r="V954" s="223"/>
      <c r="W954" s="223"/>
      <c r="X954" s="223"/>
      <c r="Y954" s="223"/>
      <c r="Z954" s="223"/>
      <c r="AA954" s="223"/>
      <c r="AB954" s="223"/>
      <c r="AC954" s="223"/>
    </row>
    <row r="955" spans="1:29" x14ac:dyDescent="0.25">
      <c r="A955" s="223"/>
      <c r="B955" s="223"/>
      <c r="C955" s="223"/>
      <c r="D955" s="223"/>
      <c r="E955" s="223"/>
      <c r="F955" s="276"/>
      <c r="G955" s="226"/>
      <c r="H955" s="223"/>
      <c r="I955" s="223"/>
      <c r="J955" s="223"/>
      <c r="K955" s="223"/>
      <c r="L955" s="223"/>
      <c r="M955" s="223"/>
      <c r="N955" s="223"/>
      <c r="O955" s="223"/>
      <c r="P955" s="223"/>
      <c r="Q955" s="223"/>
      <c r="R955" s="890"/>
      <c r="S955" s="890"/>
      <c r="T955" s="223"/>
      <c r="U955" s="223"/>
      <c r="V955" s="223"/>
      <c r="W955" s="223"/>
      <c r="X955" s="223"/>
      <c r="Y955" s="223"/>
      <c r="Z955" s="223"/>
      <c r="AA955" s="223"/>
      <c r="AB955" s="223"/>
      <c r="AC955" s="223"/>
    </row>
    <row r="956" spans="1:29" x14ac:dyDescent="0.25">
      <c r="A956" s="223"/>
      <c r="B956" s="223"/>
      <c r="C956" s="223"/>
      <c r="D956" s="223"/>
      <c r="E956" s="223"/>
      <c r="F956" s="276"/>
      <c r="G956" s="226"/>
      <c r="H956" s="223"/>
      <c r="I956" s="223"/>
      <c r="J956" s="223"/>
      <c r="K956" s="223"/>
      <c r="L956" s="223"/>
      <c r="M956" s="223"/>
      <c r="N956" s="223"/>
      <c r="O956" s="223"/>
      <c r="P956" s="223"/>
      <c r="Q956" s="223"/>
      <c r="R956" s="890"/>
      <c r="S956" s="890"/>
      <c r="T956" s="223"/>
      <c r="U956" s="223"/>
      <c r="V956" s="223"/>
      <c r="W956" s="223"/>
      <c r="X956" s="223"/>
      <c r="Y956" s="223"/>
      <c r="Z956" s="223"/>
      <c r="AA956" s="223"/>
      <c r="AB956" s="223"/>
      <c r="AC956" s="223"/>
    </row>
    <row r="957" spans="1:29" x14ac:dyDescent="0.25">
      <c r="A957" s="223"/>
      <c r="B957" s="223"/>
      <c r="C957" s="223"/>
      <c r="D957" s="223"/>
      <c r="E957" s="223"/>
      <c r="F957" s="276"/>
      <c r="G957" s="226"/>
      <c r="H957" s="223"/>
      <c r="I957" s="223"/>
      <c r="J957" s="223"/>
      <c r="K957" s="223"/>
      <c r="L957" s="223"/>
      <c r="M957" s="223"/>
      <c r="N957" s="223"/>
      <c r="O957" s="223"/>
      <c r="P957" s="223"/>
      <c r="Q957" s="223"/>
      <c r="R957" s="890"/>
      <c r="S957" s="890"/>
      <c r="T957" s="223"/>
      <c r="U957" s="223"/>
      <c r="V957" s="223"/>
      <c r="W957" s="223"/>
      <c r="X957" s="223"/>
      <c r="Y957" s="223"/>
      <c r="Z957" s="223"/>
      <c r="AA957" s="223"/>
      <c r="AB957" s="223"/>
      <c r="AC957" s="223"/>
    </row>
    <row r="958" spans="1:29" x14ac:dyDescent="0.25">
      <c r="A958" s="223"/>
      <c r="B958" s="223"/>
      <c r="C958" s="223"/>
      <c r="D958" s="223"/>
      <c r="E958" s="223"/>
      <c r="F958" s="276"/>
      <c r="G958" s="226"/>
      <c r="H958" s="223"/>
      <c r="I958" s="223"/>
      <c r="J958" s="223"/>
      <c r="K958" s="223"/>
      <c r="L958" s="223"/>
      <c r="M958" s="223"/>
      <c r="N958" s="223"/>
      <c r="O958" s="223"/>
      <c r="P958" s="223"/>
      <c r="Q958" s="223"/>
      <c r="R958" s="890"/>
      <c r="S958" s="890"/>
      <c r="T958" s="223"/>
      <c r="U958" s="223"/>
      <c r="V958" s="223"/>
      <c r="W958" s="223"/>
      <c r="X958" s="223"/>
      <c r="Y958" s="223"/>
      <c r="Z958" s="223"/>
      <c r="AA958" s="223"/>
      <c r="AB958" s="223"/>
      <c r="AC958" s="223"/>
    </row>
    <row r="959" spans="1:29" x14ac:dyDescent="0.25">
      <c r="A959" s="223"/>
      <c r="B959" s="223"/>
      <c r="C959" s="223"/>
      <c r="D959" s="223"/>
      <c r="E959" s="223"/>
      <c r="F959" s="276"/>
      <c r="G959" s="226"/>
      <c r="H959" s="223"/>
      <c r="I959" s="223"/>
      <c r="J959" s="223"/>
      <c r="K959" s="223"/>
      <c r="L959" s="223"/>
      <c r="M959" s="223"/>
      <c r="N959" s="223"/>
      <c r="O959" s="223"/>
      <c r="P959" s="223"/>
      <c r="Q959" s="223"/>
      <c r="R959" s="890"/>
      <c r="S959" s="890"/>
      <c r="T959" s="223"/>
      <c r="U959" s="223"/>
      <c r="V959" s="223"/>
      <c r="W959" s="223"/>
      <c r="X959" s="223"/>
      <c r="Y959" s="223"/>
      <c r="Z959" s="223"/>
      <c r="AA959" s="223"/>
      <c r="AB959" s="223"/>
      <c r="AC959" s="223"/>
    </row>
    <row r="960" spans="1:29" x14ac:dyDescent="0.25">
      <c r="A960" s="223"/>
      <c r="B960" s="223"/>
      <c r="C960" s="223"/>
      <c r="D960" s="223"/>
      <c r="E960" s="223"/>
      <c r="F960" s="276"/>
      <c r="G960" s="226"/>
      <c r="H960" s="223"/>
      <c r="I960" s="223"/>
      <c r="J960" s="223"/>
      <c r="K960" s="223"/>
      <c r="L960" s="223"/>
      <c r="M960" s="223"/>
      <c r="N960" s="223"/>
      <c r="O960" s="223"/>
      <c r="P960" s="223"/>
      <c r="Q960" s="223"/>
      <c r="R960" s="890"/>
      <c r="S960" s="890"/>
      <c r="T960" s="223"/>
      <c r="U960" s="223"/>
      <c r="V960" s="223"/>
      <c r="W960" s="223"/>
      <c r="X960" s="223"/>
      <c r="Y960" s="223"/>
      <c r="Z960" s="223"/>
      <c r="AA960" s="223"/>
      <c r="AB960" s="223"/>
      <c r="AC960" s="223"/>
    </row>
    <row r="961" spans="1:29" x14ac:dyDescent="0.25">
      <c r="A961" s="223"/>
      <c r="B961" s="223"/>
      <c r="C961" s="223"/>
      <c r="D961" s="223"/>
      <c r="E961" s="223"/>
      <c r="F961" s="276"/>
      <c r="G961" s="226"/>
      <c r="H961" s="223"/>
      <c r="I961" s="223"/>
      <c r="J961" s="223"/>
      <c r="K961" s="223"/>
      <c r="L961" s="223"/>
      <c r="M961" s="223"/>
      <c r="N961" s="223"/>
      <c r="O961" s="223"/>
      <c r="P961" s="223"/>
      <c r="Q961" s="223"/>
      <c r="R961" s="890"/>
      <c r="S961" s="890"/>
      <c r="T961" s="223"/>
      <c r="U961" s="223"/>
      <c r="V961" s="223"/>
      <c r="W961" s="223"/>
      <c r="X961" s="223"/>
      <c r="Y961" s="223"/>
      <c r="Z961" s="223"/>
      <c r="AA961" s="223"/>
      <c r="AB961" s="223"/>
      <c r="AC961" s="223"/>
    </row>
    <row r="962" spans="1:29" x14ac:dyDescent="0.25">
      <c r="A962" s="223"/>
      <c r="B962" s="223"/>
      <c r="C962" s="223"/>
      <c r="D962" s="223"/>
      <c r="E962" s="223"/>
      <c r="F962" s="276"/>
      <c r="G962" s="226"/>
      <c r="H962" s="223"/>
      <c r="I962" s="223"/>
      <c r="J962" s="223"/>
      <c r="K962" s="223"/>
      <c r="L962" s="223"/>
      <c r="M962" s="223"/>
      <c r="N962" s="223"/>
      <c r="O962" s="223"/>
      <c r="P962" s="223"/>
      <c r="Q962" s="223"/>
      <c r="R962" s="890"/>
      <c r="S962" s="890"/>
      <c r="T962" s="223"/>
      <c r="U962" s="223"/>
      <c r="V962" s="223"/>
      <c r="W962" s="223"/>
      <c r="X962" s="223"/>
      <c r="Y962" s="223"/>
      <c r="Z962" s="223"/>
      <c r="AA962" s="223"/>
      <c r="AB962" s="223"/>
      <c r="AC962" s="223"/>
    </row>
    <row r="963" spans="1:29" x14ac:dyDescent="0.25">
      <c r="A963" s="223"/>
      <c r="B963" s="223"/>
      <c r="C963" s="223"/>
      <c r="D963" s="223"/>
      <c r="E963" s="223"/>
      <c r="F963" s="276"/>
      <c r="G963" s="226"/>
      <c r="H963" s="223"/>
      <c r="I963" s="223"/>
      <c r="J963" s="223"/>
      <c r="K963" s="223"/>
      <c r="L963" s="223"/>
      <c r="M963" s="223"/>
      <c r="N963" s="223"/>
      <c r="O963" s="223"/>
      <c r="P963" s="223"/>
      <c r="Q963" s="223"/>
      <c r="R963" s="890"/>
      <c r="S963" s="890"/>
      <c r="T963" s="223"/>
      <c r="U963" s="223"/>
      <c r="V963" s="223"/>
      <c r="W963" s="223"/>
      <c r="X963" s="223"/>
      <c r="Y963" s="223"/>
      <c r="Z963" s="223"/>
      <c r="AA963" s="223"/>
      <c r="AB963" s="223"/>
      <c r="AC963" s="223"/>
    </row>
    <row r="964" spans="1:29" x14ac:dyDescent="0.25">
      <c r="A964" s="223"/>
      <c r="B964" s="223"/>
      <c r="C964" s="223"/>
      <c r="D964" s="223"/>
      <c r="E964" s="223"/>
      <c r="F964" s="276"/>
      <c r="G964" s="226"/>
      <c r="H964" s="223"/>
      <c r="I964" s="223"/>
      <c r="J964" s="223"/>
      <c r="K964" s="223"/>
      <c r="L964" s="223"/>
      <c r="M964" s="223"/>
      <c r="N964" s="223"/>
      <c r="O964" s="223"/>
      <c r="P964" s="223"/>
      <c r="Q964" s="223"/>
      <c r="R964" s="890"/>
      <c r="S964" s="890"/>
      <c r="T964" s="223"/>
      <c r="U964" s="223"/>
      <c r="V964" s="223"/>
      <c r="W964" s="223"/>
      <c r="X964" s="223"/>
      <c r="Y964" s="223"/>
      <c r="Z964" s="223"/>
      <c r="AA964" s="223"/>
      <c r="AB964" s="223"/>
      <c r="AC964" s="223"/>
    </row>
    <row r="965" spans="1:29" x14ac:dyDescent="0.25">
      <c r="A965" s="223"/>
      <c r="B965" s="223"/>
      <c r="C965" s="223"/>
      <c r="D965" s="223"/>
      <c r="E965" s="223"/>
      <c r="F965" s="276"/>
      <c r="G965" s="226"/>
      <c r="H965" s="223"/>
      <c r="I965" s="223"/>
      <c r="J965" s="223"/>
      <c r="K965" s="223"/>
      <c r="L965" s="223"/>
      <c r="M965" s="223"/>
      <c r="N965" s="223"/>
      <c r="O965" s="223"/>
      <c r="P965" s="223"/>
      <c r="Q965" s="223"/>
      <c r="R965" s="890"/>
      <c r="S965" s="890"/>
      <c r="T965" s="223"/>
      <c r="U965" s="223"/>
      <c r="V965" s="223"/>
      <c r="W965" s="223"/>
      <c r="X965" s="223"/>
      <c r="Y965" s="223"/>
      <c r="Z965" s="223"/>
      <c r="AA965" s="223"/>
      <c r="AB965" s="223"/>
      <c r="AC965" s="223"/>
    </row>
    <row r="966" spans="1:29" x14ac:dyDescent="0.25">
      <c r="A966" s="223"/>
      <c r="B966" s="223"/>
      <c r="C966" s="223"/>
      <c r="D966" s="223"/>
      <c r="E966" s="223"/>
      <c r="F966" s="276"/>
      <c r="G966" s="226"/>
      <c r="H966" s="223"/>
      <c r="I966" s="223"/>
      <c r="J966" s="223"/>
      <c r="K966" s="223"/>
      <c r="L966" s="223"/>
      <c r="M966" s="223"/>
      <c r="N966" s="223"/>
      <c r="O966" s="223"/>
      <c r="P966" s="223"/>
      <c r="Q966" s="223"/>
      <c r="R966" s="890"/>
      <c r="S966" s="890"/>
      <c r="T966" s="223"/>
      <c r="U966" s="223"/>
      <c r="V966" s="223"/>
      <c r="W966" s="223"/>
      <c r="X966" s="223"/>
      <c r="Y966" s="223"/>
      <c r="Z966" s="223"/>
      <c r="AA966" s="223"/>
      <c r="AB966" s="223"/>
      <c r="AC966" s="223"/>
    </row>
    <row r="967" spans="1:29" x14ac:dyDescent="0.25">
      <c r="A967" s="223"/>
      <c r="B967" s="223"/>
      <c r="C967" s="223"/>
      <c r="D967" s="223"/>
      <c r="E967" s="223"/>
      <c r="F967" s="276"/>
      <c r="G967" s="226"/>
      <c r="H967" s="223"/>
      <c r="I967" s="223"/>
      <c r="J967" s="223"/>
      <c r="K967" s="223"/>
      <c r="L967" s="223"/>
      <c r="M967" s="223"/>
      <c r="N967" s="223"/>
      <c r="O967" s="223"/>
      <c r="P967" s="223"/>
      <c r="Q967" s="223"/>
      <c r="R967" s="890"/>
      <c r="S967" s="890"/>
      <c r="T967" s="223"/>
      <c r="U967" s="223"/>
      <c r="V967" s="223"/>
      <c r="W967" s="223"/>
      <c r="X967" s="223"/>
      <c r="Y967" s="223"/>
      <c r="Z967" s="223"/>
      <c r="AA967" s="223"/>
      <c r="AB967" s="223"/>
      <c r="AC967" s="223"/>
    </row>
    <row r="968" spans="1:29" x14ac:dyDescent="0.25">
      <c r="A968" s="223"/>
      <c r="B968" s="223"/>
      <c r="C968" s="223"/>
      <c r="D968" s="223"/>
      <c r="E968" s="223"/>
      <c r="F968" s="276"/>
      <c r="G968" s="226"/>
      <c r="H968" s="223"/>
      <c r="I968" s="223"/>
      <c r="J968" s="223"/>
      <c r="K968" s="223"/>
      <c r="L968" s="223"/>
      <c r="M968" s="223"/>
      <c r="N968" s="223"/>
      <c r="O968" s="223"/>
      <c r="P968" s="223"/>
      <c r="Q968" s="223"/>
      <c r="R968" s="890"/>
      <c r="S968" s="890"/>
      <c r="T968" s="223"/>
      <c r="U968" s="223"/>
      <c r="V968" s="223"/>
      <c r="W968" s="223"/>
      <c r="X968" s="223"/>
      <c r="Y968" s="223"/>
      <c r="Z968" s="223"/>
      <c r="AA968" s="223"/>
      <c r="AB968" s="223"/>
      <c r="AC968" s="223"/>
    </row>
    <row r="969" spans="1:29" x14ac:dyDescent="0.25">
      <c r="A969" s="223"/>
      <c r="B969" s="223"/>
      <c r="C969" s="223"/>
      <c r="D969" s="223"/>
      <c r="E969" s="223"/>
      <c r="F969" s="276"/>
      <c r="G969" s="226"/>
      <c r="H969" s="223"/>
      <c r="I969" s="223"/>
      <c r="J969" s="223"/>
      <c r="K969" s="223"/>
      <c r="L969" s="223"/>
      <c r="M969" s="223"/>
      <c r="N969" s="223"/>
      <c r="O969" s="223"/>
      <c r="P969" s="223"/>
      <c r="Q969" s="223"/>
      <c r="R969" s="890"/>
      <c r="S969" s="890"/>
      <c r="T969" s="223"/>
      <c r="U969" s="223"/>
      <c r="V969" s="223"/>
      <c r="W969" s="223"/>
      <c r="X969" s="223"/>
      <c r="Y969" s="223"/>
      <c r="Z969" s="223"/>
      <c r="AA969" s="223"/>
      <c r="AB969" s="223"/>
      <c r="AC969" s="223"/>
    </row>
    <row r="970" spans="1:29" x14ac:dyDescent="0.25">
      <c r="A970" s="223"/>
      <c r="B970" s="223"/>
      <c r="C970" s="223"/>
      <c r="D970" s="223"/>
      <c r="E970" s="223"/>
      <c r="F970" s="276"/>
      <c r="G970" s="226"/>
      <c r="H970" s="223"/>
      <c r="I970" s="223"/>
      <c r="J970" s="223"/>
      <c r="K970" s="223"/>
      <c r="L970" s="223"/>
      <c r="M970" s="223"/>
      <c r="N970" s="223"/>
      <c r="O970" s="223"/>
      <c r="P970" s="223"/>
      <c r="Q970" s="223"/>
      <c r="R970" s="890"/>
      <c r="S970" s="890"/>
      <c r="T970" s="223"/>
      <c r="U970" s="223"/>
      <c r="V970" s="223"/>
      <c r="W970" s="223"/>
      <c r="X970" s="223"/>
      <c r="Y970" s="223"/>
      <c r="Z970" s="223"/>
      <c r="AA970" s="223"/>
      <c r="AB970" s="223"/>
      <c r="AC970" s="223"/>
    </row>
    <row r="971" spans="1:29" x14ac:dyDescent="0.25">
      <c r="A971" s="223"/>
      <c r="B971" s="223"/>
      <c r="C971" s="223"/>
      <c r="D971" s="223"/>
      <c r="E971" s="223"/>
      <c r="F971" s="276"/>
      <c r="G971" s="226"/>
      <c r="H971" s="223"/>
      <c r="I971" s="223"/>
      <c r="J971" s="223"/>
      <c r="K971" s="223"/>
      <c r="L971" s="223"/>
      <c r="M971" s="223"/>
      <c r="N971" s="223"/>
      <c r="O971" s="223"/>
      <c r="P971" s="223"/>
      <c r="Q971" s="223"/>
      <c r="R971" s="890"/>
      <c r="S971" s="890"/>
      <c r="T971" s="223"/>
      <c r="U971" s="223"/>
      <c r="V971" s="223"/>
      <c r="W971" s="223"/>
      <c r="X971" s="223"/>
      <c r="Y971" s="223"/>
      <c r="Z971" s="223"/>
      <c r="AA971" s="223"/>
      <c r="AB971" s="223"/>
      <c r="AC971" s="223"/>
    </row>
    <row r="972" spans="1:29" x14ac:dyDescent="0.25">
      <c r="A972" s="223"/>
      <c r="B972" s="223"/>
      <c r="C972" s="223"/>
      <c r="D972" s="223"/>
      <c r="E972" s="223"/>
      <c r="F972" s="276"/>
      <c r="G972" s="226"/>
      <c r="H972" s="223"/>
      <c r="I972" s="223"/>
      <c r="J972" s="223"/>
      <c r="K972" s="223"/>
      <c r="L972" s="223"/>
      <c r="M972" s="223"/>
      <c r="N972" s="223"/>
      <c r="O972" s="223"/>
      <c r="P972" s="223"/>
      <c r="Q972" s="223"/>
      <c r="R972" s="890"/>
      <c r="S972" s="890"/>
      <c r="T972" s="223"/>
      <c r="U972" s="223"/>
      <c r="V972" s="223"/>
      <c r="W972" s="223"/>
      <c r="X972" s="223"/>
      <c r="Y972" s="223"/>
      <c r="Z972" s="223"/>
      <c r="AA972" s="223"/>
      <c r="AB972" s="223"/>
      <c r="AC972" s="223"/>
    </row>
    <row r="973" spans="1:29" x14ac:dyDescent="0.25">
      <c r="A973" s="223"/>
      <c r="B973" s="223"/>
      <c r="C973" s="223"/>
      <c r="D973" s="223"/>
      <c r="E973" s="223"/>
      <c r="F973" s="276"/>
      <c r="G973" s="226"/>
      <c r="H973" s="223"/>
      <c r="I973" s="223"/>
      <c r="J973" s="223"/>
      <c r="K973" s="223"/>
      <c r="L973" s="223"/>
      <c r="M973" s="223"/>
      <c r="N973" s="223"/>
      <c r="O973" s="223"/>
      <c r="P973" s="223"/>
      <c r="Q973" s="223"/>
      <c r="R973" s="890"/>
      <c r="S973" s="890"/>
      <c r="T973" s="223"/>
      <c r="U973" s="223"/>
      <c r="V973" s="223"/>
      <c r="W973" s="223"/>
      <c r="X973" s="223"/>
      <c r="Y973" s="223"/>
      <c r="Z973" s="223"/>
      <c r="AA973" s="223"/>
      <c r="AB973" s="223"/>
      <c r="AC973" s="223"/>
    </row>
    <row r="974" spans="1:29" x14ac:dyDescent="0.25">
      <c r="A974" s="223"/>
      <c r="B974" s="223"/>
      <c r="C974" s="223"/>
      <c r="D974" s="223"/>
      <c r="E974" s="223"/>
      <c r="F974" s="276"/>
      <c r="G974" s="226"/>
      <c r="H974" s="223"/>
      <c r="I974" s="223"/>
      <c r="J974" s="223"/>
      <c r="K974" s="223"/>
      <c r="L974" s="223"/>
      <c r="M974" s="223"/>
      <c r="N974" s="223"/>
      <c r="O974" s="223"/>
      <c r="P974" s="223"/>
      <c r="Q974" s="223"/>
      <c r="R974" s="890"/>
      <c r="S974" s="890"/>
      <c r="T974" s="223"/>
      <c r="U974" s="223"/>
      <c r="V974" s="223"/>
      <c r="W974" s="223"/>
      <c r="X974" s="223"/>
      <c r="Y974" s="223"/>
      <c r="Z974" s="223"/>
      <c r="AA974" s="223"/>
      <c r="AB974" s="223"/>
      <c r="AC974" s="223"/>
    </row>
    <row r="975" spans="1:29" x14ac:dyDescent="0.25">
      <c r="A975" s="223"/>
      <c r="B975" s="223"/>
      <c r="C975" s="223"/>
      <c r="D975" s="223"/>
      <c r="E975" s="223"/>
      <c r="F975" s="276"/>
      <c r="G975" s="226"/>
      <c r="H975" s="223"/>
      <c r="I975" s="223"/>
      <c r="J975" s="223"/>
      <c r="K975" s="223"/>
      <c r="L975" s="223"/>
      <c r="M975" s="223"/>
      <c r="N975" s="223"/>
      <c r="O975" s="223"/>
      <c r="P975" s="223"/>
      <c r="Q975" s="223"/>
      <c r="R975" s="890"/>
      <c r="S975" s="890"/>
      <c r="T975" s="223"/>
      <c r="U975" s="223"/>
      <c r="V975" s="223"/>
      <c r="W975" s="223"/>
      <c r="X975" s="223"/>
      <c r="Y975" s="223"/>
      <c r="Z975" s="223"/>
      <c r="AA975" s="223"/>
      <c r="AB975" s="223"/>
      <c r="AC975" s="223"/>
    </row>
    <row r="976" spans="1:29" x14ac:dyDescent="0.25">
      <c r="A976" s="223"/>
      <c r="B976" s="223"/>
      <c r="C976" s="223"/>
      <c r="D976" s="223"/>
      <c r="E976" s="223"/>
      <c r="F976" s="276"/>
      <c r="G976" s="226"/>
      <c r="H976" s="223"/>
      <c r="I976" s="223"/>
      <c r="J976" s="223"/>
      <c r="K976" s="223"/>
      <c r="L976" s="223"/>
      <c r="M976" s="223"/>
      <c r="N976" s="223"/>
      <c r="O976" s="223"/>
      <c r="P976" s="223"/>
      <c r="Q976" s="223"/>
      <c r="R976" s="890"/>
      <c r="S976" s="890"/>
      <c r="T976" s="223"/>
      <c r="U976" s="223"/>
      <c r="V976" s="223"/>
      <c r="W976" s="223"/>
      <c r="X976" s="223"/>
      <c r="Y976" s="223"/>
      <c r="Z976" s="223"/>
      <c r="AA976" s="223"/>
      <c r="AB976" s="223"/>
      <c r="AC976" s="223"/>
    </row>
    <row r="977" spans="1:29" x14ac:dyDescent="0.25">
      <c r="A977" s="223"/>
      <c r="B977" s="223"/>
      <c r="C977" s="223"/>
      <c r="D977" s="223"/>
      <c r="E977" s="223"/>
      <c r="F977" s="276"/>
      <c r="G977" s="226"/>
      <c r="H977" s="223"/>
      <c r="I977" s="223"/>
      <c r="J977" s="223"/>
      <c r="K977" s="223"/>
      <c r="L977" s="223"/>
      <c r="M977" s="223"/>
      <c r="N977" s="223"/>
      <c r="O977" s="223"/>
      <c r="P977" s="223"/>
      <c r="Q977" s="223"/>
      <c r="R977" s="890"/>
      <c r="S977" s="890"/>
      <c r="T977" s="223"/>
      <c r="U977" s="223"/>
      <c r="V977" s="223"/>
      <c r="W977" s="223"/>
      <c r="X977" s="223"/>
      <c r="Y977" s="223"/>
      <c r="Z977" s="223"/>
      <c r="AA977" s="223"/>
      <c r="AB977" s="223"/>
      <c r="AC977" s="223"/>
    </row>
    <row r="978" spans="1:29" x14ac:dyDescent="0.25">
      <c r="A978" s="223"/>
      <c r="B978" s="223"/>
      <c r="C978" s="223"/>
      <c r="D978" s="223"/>
      <c r="E978" s="223"/>
      <c r="F978" s="276"/>
      <c r="G978" s="226"/>
      <c r="H978" s="223"/>
      <c r="I978" s="223"/>
      <c r="J978" s="223"/>
      <c r="K978" s="223"/>
      <c r="L978" s="223"/>
      <c r="M978" s="223"/>
      <c r="N978" s="223"/>
      <c r="O978" s="223"/>
      <c r="P978" s="223"/>
      <c r="Q978" s="223"/>
      <c r="R978" s="890"/>
      <c r="S978" s="890"/>
      <c r="T978" s="223"/>
      <c r="U978" s="223"/>
      <c r="V978" s="223"/>
      <c r="W978" s="223"/>
      <c r="X978" s="223"/>
      <c r="Y978" s="223"/>
      <c r="Z978" s="223"/>
      <c r="AA978" s="223"/>
      <c r="AB978" s="223"/>
      <c r="AC978" s="223"/>
    </row>
    <row r="979" spans="1:29" x14ac:dyDescent="0.25">
      <c r="A979" s="223"/>
      <c r="B979" s="223"/>
      <c r="C979" s="223"/>
      <c r="D979" s="223"/>
      <c r="E979" s="223"/>
      <c r="F979" s="276"/>
      <c r="G979" s="226"/>
      <c r="H979" s="223"/>
      <c r="I979" s="223"/>
      <c r="J979" s="223"/>
      <c r="K979" s="223"/>
      <c r="L979" s="223"/>
      <c r="M979" s="223"/>
      <c r="N979" s="223"/>
      <c r="O979" s="223"/>
      <c r="P979" s="223"/>
      <c r="Q979" s="223"/>
      <c r="R979" s="890"/>
      <c r="S979" s="890"/>
      <c r="T979" s="223"/>
      <c r="U979" s="223"/>
      <c r="V979" s="223"/>
      <c r="W979" s="223"/>
      <c r="X979" s="223"/>
      <c r="Y979" s="223"/>
      <c r="Z979" s="223"/>
      <c r="AA979" s="223"/>
      <c r="AB979" s="223"/>
      <c r="AC979" s="223"/>
    </row>
    <row r="980" spans="1:29" x14ac:dyDescent="0.25">
      <c r="A980" s="223"/>
      <c r="B980" s="223"/>
      <c r="C980" s="223"/>
      <c r="D980" s="223"/>
      <c r="E980" s="223"/>
      <c r="F980" s="276"/>
      <c r="G980" s="226"/>
      <c r="H980" s="223"/>
      <c r="I980" s="223"/>
      <c r="J980" s="223"/>
      <c r="K980" s="223"/>
      <c r="L980" s="223"/>
      <c r="M980" s="223"/>
      <c r="N980" s="223"/>
      <c r="O980" s="223"/>
      <c r="P980" s="223"/>
      <c r="Q980" s="223"/>
      <c r="R980" s="890"/>
      <c r="S980" s="890"/>
      <c r="T980" s="223"/>
      <c r="U980" s="223"/>
      <c r="V980" s="223"/>
      <c r="W980" s="223"/>
      <c r="X980" s="223"/>
      <c r="Y980" s="223"/>
      <c r="Z980" s="223"/>
      <c r="AA980" s="223"/>
      <c r="AB980" s="223"/>
      <c r="AC980" s="223"/>
    </row>
    <row r="981" spans="1:29" x14ac:dyDescent="0.25">
      <c r="A981" s="223"/>
      <c r="B981" s="223"/>
      <c r="C981" s="223"/>
      <c r="D981" s="223"/>
      <c r="E981" s="223"/>
      <c r="F981" s="276"/>
      <c r="G981" s="226"/>
      <c r="H981" s="223"/>
      <c r="I981" s="223"/>
      <c r="J981" s="223"/>
      <c r="K981" s="223"/>
      <c r="L981" s="223"/>
      <c r="M981" s="223"/>
      <c r="N981" s="223"/>
      <c r="O981" s="223"/>
      <c r="P981" s="223"/>
      <c r="Q981" s="223"/>
      <c r="R981" s="890"/>
      <c r="S981" s="890"/>
      <c r="T981" s="223"/>
      <c r="U981" s="223"/>
      <c r="V981" s="223"/>
      <c r="W981" s="223"/>
      <c r="X981" s="223"/>
      <c r="Y981" s="223"/>
      <c r="Z981" s="223"/>
      <c r="AA981" s="223"/>
      <c r="AB981" s="223"/>
      <c r="AC981" s="223"/>
    </row>
    <row r="982" spans="1:29" x14ac:dyDescent="0.25">
      <c r="A982" s="223"/>
      <c r="B982" s="223"/>
      <c r="C982" s="223"/>
      <c r="D982" s="223"/>
      <c r="E982" s="223"/>
      <c r="F982" s="276"/>
      <c r="G982" s="226"/>
      <c r="H982" s="223"/>
      <c r="I982" s="223"/>
      <c r="J982" s="223"/>
      <c r="K982" s="223"/>
      <c r="L982" s="223"/>
      <c r="M982" s="223"/>
      <c r="N982" s="223"/>
      <c r="O982" s="223"/>
      <c r="P982" s="223"/>
      <c r="Q982" s="223"/>
      <c r="R982" s="890"/>
      <c r="S982" s="890"/>
      <c r="T982" s="223"/>
      <c r="U982" s="223"/>
      <c r="V982" s="223"/>
      <c r="W982" s="223"/>
      <c r="X982" s="223"/>
      <c r="Y982" s="223"/>
      <c r="Z982" s="223"/>
      <c r="AA982" s="223"/>
      <c r="AB982" s="223"/>
      <c r="AC982" s="223"/>
    </row>
    <row r="983" spans="1:29" x14ac:dyDescent="0.25">
      <c r="A983" s="223"/>
      <c r="B983" s="223"/>
      <c r="C983" s="223"/>
      <c r="D983" s="223"/>
      <c r="E983" s="223"/>
      <c r="F983" s="276"/>
      <c r="G983" s="226"/>
      <c r="H983" s="223"/>
      <c r="I983" s="223"/>
      <c r="J983" s="223"/>
      <c r="K983" s="223"/>
      <c r="L983" s="223"/>
      <c r="M983" s="223"/>
      <c r="N983" s="223"/>
      <c r="O983" s="223"/>
      <c r="P983" s="223"/>
      <c r="Q983" s="223"/>
      <c r="R983" s="890"/>
      <c r="S983" s="890"/>
      <c r="T983" s="223"/>
      <c r="U983" s="223"/>
      <c r="V983" s="223"/>
      <c r="W983" s="223"/>
      <c r="X983" s="223"/>
      <c r="Y983" s="223"/>
      <c r="Z983" s="223"/>
      <c r="AA983" s="223"/>
      <c r="AB983" s="223"/>
      <c r="AC983" s="223"/>
    </row>
    <row r="984" spans="1:29" x14ac:dyDescent="0.25">
      <c r="A984" s="223"/>
      <c r="B984" s="223"/>
      <c r="C984" s="223"/>
      <c r="D984" s="223"/>
      <c r="E984" s="223"/>
      <c r="F984" s="276"/>
      <c r="G984" s="226"/>
      <c r="H984" s="223"/>
      <c r="I984" s="223"/>
      <c r="J984" s="223"/>
      <c r="K984" s="223"/>
      <c r="L984" s="223"/>
      <c r="M984" s="223"/>
      <c r="N984" s="223"/>
      <c r="O984" s="223"/>
      <c r="P984" s="223"/>
      <c r="Q984" s="223"/>
      <c r="R984" s="890"/>
      <c r="S984" s="890"/>
      <c r="T984" s="223"/>
      <c r="U984" s="223"/>
      <c r="V984" s="223"/>
      <c r="W984" s="223"/>
      <c r="X984" s="223"/>
      <c r="Y984" s="223"/>
      <c r="Z984" s="223"/>
      <c r="AA984" s="223"/>
      <c r="AB984" s="223"/>
      <c r="AC984" s="223"/>
    </row>
    <row r="985" spans="1:29" x14ac:dyDescent="0.25">
      <c r="A985" s="223"/>
      <c r="B985" s="223"/>
      <c r="C985" s="223"/>
      <c r="D985" s="223"/>
      <c r="E985" s="223"/>
      <c r="F985" s="276"/>
      <c r="G985" s="226"/>
      <c r="H985" s="223"/>
      <c r="I985" s="223"/>
      <c r="J985" s="223"/>
      <c r="K985" s="223"/>
      <c r="L985" s="223"/>
      <c r="M985" s="223"/>
      <c r="N985" s="223"/>
      <c r="O985" s="223"/>
      <c r="P985" s="223"/>
      <c r="Q985" s="223"/>
      <c r="R985" s="890"/>
      <c r="S985" s="890"/>
      <c r="T985" s="223"/>
      <c r="U985" s="223"/>
      <c r="V985" s="223"/>
      <c r="W985" s="223"/>
      <c r="X985" s="223"/>
      <c r="Y985" s="223"/>
      <c r="Z985" s="223"/>
      <c r="AA985" s="223"/>
      <c r="AB985" s="223"/>
      <c r="AC985" s="223"/>
    </row>
    <row r="986" spans="1:29" x14ac:dyDescent="0.25">
      <c r="A986" s="223"/>
      <c r="B986" s="223"/>
      <c r="C986" s="223"/>
      <c r="D986" s="223"/>
      <c r="E986" s="223"/>
      <c r="F986" s="276"/>
      <c r="G986" s="226"/>
      <c r="H986" s="223"/>
      <c r="I986" s="223"/>
      <c r="J986" s="223"/>
      <c r="K986" s="223"/>
      <c r="L986" s="223"/>
      <c r="M986" s="223"/>
      <c r="N986" s="223"/>
      <c r="O986" s="223"/>
      <c r="P986" s="223"/>
      <c r="Q986" s="223"/>
      <c r="R986" s="890"/>
      <c r="S986" s="890"/>
      <c r="T986" s="223"/>
      <c r="U986" s="223"/>
      <c r="V986" s="223"/>
      <c r="W986" s="223"/>
      <c r="X986" s="223"/>
      <c r="Y986" s="223"/>
      <c r="Z986" s="223"/>
      <c r="AA986" s="223"/>
      <c r="AB986" s="223"/>
      <c r="AC986" s="223"/>
    </row>
    <row r="987" spans="1:29" x14ac:dyDescent="0.25">
      <c r="A987" s="223"/>
      <c r="B987" s="223"/>
      <c r="C987" s="223"/>
      <c r="D987" s="223"/>
      <c r="E987" s="223"/>
      <c r="F987" s="276"/>
      <c r="G987" s="226"/>
      <c r="H987" s="223"/>
      <c r="I987" s="223"/>
      <c r="J987" s="223"/>
      <c r="K987" s="223"/>
      <c r="L987" s="223"/>
      <c r="M987" s="223"/>
      <c r="N987" s="223"/>
      <c r="O987" s="223"/>
      <c r="P987" s="223"/>
      <c r="Q987" s="223"/>
      <c r="R987" s="890"/>
      <c r="S987" s="890"/>
      <c r="T987" s="223"/>
      <c r="U987" s="223"/>
      <c r="V987" s="223"/>
      <c r="W987" s="223"/>
      <c r="X987" s="223"/>
      <c r="Y987" s="223"/>
      <c r="Z987" s="223"/>
      <c r="AA987" s="223"/>
      <c r="AB987" s="223"/>
      <c r="AC987" s="223"/>
    </row>
    <row r="988" spans="1:29" x14ac:dyDescent="0.25">
      <c r="A988" s="223"/>
      <c r="B988" s="223"/>
      <c r="C988" s="223"/>
      <c r="D988" s="223"/>
      <c r="E988" s="223"/>
      <c r="F988" s="276"/>
      <c r="G988" s="226"/>
      <c r="H988" s="223"/>
      <c r="I988" s="223"/>
      <c r="J988" s="223"/>
      <c r="K988" s="223"/>
      <c r="L988" s="223"/>
      <c r="M988" s="223"/>
      <c r="N988" s="223"/>
      <c r="O988" s="223"/>
      <c r="P988" s="223"/>
      <c r="Q988" s="223"/>
      <c r="R988" s="890"/>
      <c r="S988" s="890"/>
      <c r="T988" s="223"/>
      <c r="U988" s="223"/>
      <c r="V988" s="223"/>
      <c r="W988" s="223"/>
      <c r="X988" s="223"/>
      <c r="Y988" s="223"/>
      <c r="Z988" s="223"/>
      <c r="AA988" s="223"/>
      <c r="AB988" s="223"/>
      <c r="AC988" s="223"/>
    </row>
    <row r="989" spans="1:29" x14ac:dyDescent="0.25">
      <c r="A989" s="223"/>
      <c r="B989" s="223"/>
      <c r="C989" s="223"/>
      <c r="D989" s="223"/>
      <c r="E989" s="223"/>
      <c r="F989" s="276"/>
      <c r="G989" s="226"/>
      <c r="H989" s="223"/>
      <c r="I989" s="223"/>
      <c r="J989" s="223"/>
      <c r="K989" s="223"/>
      <c r="L989" s="223"/>
      <c r="M989" s="223"/>
      <c r="N989" s="223"/>
      <c r="O989" s="223"/>
      <c r="P989" s="223"/>
      <c r="Q989" s="223"/>
      <c r="R989" s="890"/>
      <c r="S989" s="890"/>
      <c r="T989" s="223"/>
      <c r="U989" s="223"/>
      <c r="V989" s="223"/>
      <c r="W989" s="223"/>
      <c r="X989" s="223"/>
      <c r="Y989" s="223"/>
      <c r="Z989" s="223"/>
      <c r="AA989" s="223"/>
      <c r="AB989" s="223"/>
      <c r="AC989" s="223"/>
    </row>
    <row r="990" spans="1:29" x14ac:dyDescent="0.25">
      <c r="A990" s="223"/>
      <c r="B990" s="223"/>
      <c r="C990" s="223"/>
      <c r="D990" s="223"/>
      <c r="E990" s="223"/>
      <c r="F990" s="276"/>
      <c r="G990" s="226"/>
      <c r="H990" s="223"/>
      <c r="I990" s="223"/>
      <c r="J990" s="223"/>
      <c r="K990" s="223"/>
      <c r="L990" s="223"/>
      <c r="M990" s="223"/>
      <c r="N990" s="223"/>
      <c r="O990" s="223"/>
      <c r="P990" s="223"/>
      <c r="Q990" s="223"/>
      <c r="R990" s="890"/>
      <c r="S990" s="890"/>
      <c r="T990" s="223"/>
      <c r="U990" s="223"/>
      <c r="V990" s="223"/>
      <c r="W990" s="223"/>
      <c r="X990" s="223"/>
      <c r="Y990" s="223"/>
      <c r="Z990" s="223"/>
      <c r="AA990" s="223"/>
      <c r="AB990" s="223"/>
      <c r="AC990" s="223"/>
    </row>
    <row r="991" spans="1:29" x14ac:dyDescent="0.25">
      <c r="A991" s="223"/>
      <c r="B991" s="223"/>
      <c r="C991" s="223"/>
      <c r="D991" s="223"/>
      <c r="E991" s="223"/>
      <c r="F991" s="276"/>
      <c r="G991" s="226"/>
      <c r="H991" s="223"/>
      <c r="I991" s="223"/>
      <c r="J991" s="223"/>
      <c r="K991" s="223"/>
      <c r="L991" s="223"/>
      <c r="M991" s="223"/>
      <c r="N991" s="223"/>
      <c r="O991" s="223"/>
      <c r="P991" s="223"/>
      <c r="Q991" s="223"/>
      <c r="R991" s="890"/>
      <c r="S991" s="890"/>
      <c r="T991" s="223"/>
      <c r="U991" s="223"/>
      <c r="V991" s="223"/>
      <c r="W991" s="223"/>
      <c r="X991" s="223"/>
      <c r="Y991" s="223"/>
      <c r="Z991" s="223"/>
      <c r="AA991" s="223"/>
      <c r="AB991" s="223"/>
      <c r="AC991" s="223"/>
    </row>
    <row r="992" spans="1:29" x14ac:dyDescent="0.25">
      <c r="A992" s="223"/>
      <c r="B992" s="223"/>
      <c r="C992" s="223"/>
      <c r="D992" s="223"/>
      <c r="E992" s="223"/>
      <c r="F992" s="276"/>
      <c r="G992" s="226"/>
      <c r="H992" s="223"/>
      <c r="I992" s="223"/>
      <c r="J992" s="223"/>
      <c r="K992" s="223"/>
      <c r="L992" s="223"/>
      <c r="M992" s="223"/>
      <c r="N992" s="223"/>
      <c r="O992" s="223"/>
      <c r="P992" s="223"/>
      <c r="Q992" s="223"/>
      <c r="R992" s="890"/>
      <c r="S992" s="890"/>
      <c r="T992" s="223"/>
      <c r="U992" s="223"/>
      <c r="V992" s="223"/>
      <c r="W992" s="223"/>
      <c r="X992" s="223"/>
      <c r="Y992" s="223"/>
      <c r="Z992" s="223"/>
      <c r="AA992" s="223"/>
      <c r="AB992" s="223"/>
      <c r="AC992" s="223"/>
    </row>
    <row r="993" spans="1:29" x14ac:dyDescent="0.25">
      <c r="A993" s="223"/>
      <c r="B993" s="223"/>
      <c r="C993" s="223"/>
      <c r="D993" s="223"/>
      <c r="E993" s="223"/>
      <c r="F993" s="276"/>
      <c r="G993" s="226"/>
      <c r="H993" s="223"/>
      <c r="I993" s="223"/>
      <c r="J993" s="223"/>
      <c r="K993" s="223"/>
      <c r="L993" s="223"/>
      <c r="M993" s="223"/>
      <c r="N993" s="223"/>
      <c r="O993" s="223"/>
      <c r="P993" s="223"/>
      <c r="Q993" s="223"/>
      <c r="R993" s="890"/>
      <c r="S993" s="890"/>
      <c r="T993" s="223"/>
      <c r="U993" s="223"/>
      <c r="V993" s="223"/>
      <c r="W993" s="223"/>
      <c r="X993" s="223"/>
      <c r="Y993" s="223"/>
      <c r="Z993" s="223"/>
      <c r="AA993" s="223"/>
      <c r="AB993" s="223"/>
      <c r="AC993" s="223"/>
    </row>
    <row r="994" spans="1:29" x14ac:dyDescent="0.25">
      <c r="A994" s="223"/>
      <c r="B994" s="223"/>
      <c r="C994" s="223"/>
      <c r="D994" s="223"/>
      <c r="E994" s="223"/>
      <c r="F994" s="276"/>
      <c r="G994" s="226"/>
      <c r="H994" s="223"/>
      <c r="I994" s="223"/>
      <c r="J994" s="223"/>
      <c r="K994" s="223"/>
      <c r="L994" s="223"/>
      <c r="M994" s="223"/>
      <c r="N994" s="223"/>
      <c r="O994" s="223"/>
      <c r="P994" s="223"/>
      <c r="Q994" s="223"/>
      <c r="R994" s="890"/>
      <c r="S994" s="890"/>
      <c r="T994" s="223"/>
      <c r="U994" s="223"/>
      <c r="V994" s="223"/>
      <c r="W994" s="223"/>
      <c r="X994" s="223"/>
      <c r="Y994" s="223"/>
      <c r="Z994" s="223"/>
      <c r="AA994" s="223"/>
      <c r="AB994" s="223"/>
      <c r="AC994" s="223"/>
    </row>
    <row r="995" spans="1:29" x14ac:dyDescent="0.25">
      <c r="A995" s="223"/>
      <c r="B995" s="223"/>
      <c r="C995" s="223"/>
      <c r="D995" s="223"/>
      <c r="E995" s="223"/>
      <c r="F995" s="276"/>
      <c r="G995" s="226"/>
      <c r="H995" s="223"/>
      <c r="I995" s="223"/>
      <c r="J995" s="223"/>
      <c r="K995" s="223"/>
      <c r="L995" s="223"/>
      <c r="M995" s="223"/>
      <c r="N995" s="223"/>
      <c r="O995" s="223"/>
      <c r="P995" s="223"/>
      <c r="Q995" s="223"/>
      <c r="R995" s="890"/>
      <c r="S995" s="890"/>
      <c r="T995" s="223"/>
      <c r="U995" s="223"/>
      <c r="V995" s="223"/>
      <c r="W995" s="223"/>
      <c r="X995" s="223"/>
      <c r="Y995" s="223"/>
      <c r="Z995" s="223"/>
      <c r="AA995" s="223"/>
      <c r="AB995" s="223"/>
      <c r="AC995" s="223"/>
    </row>
    <row r="996" spans="1:29" x14ac:dyDescent="0.25">
      <c r="A996" s="223"/>
      <c r="B996" s="223"/>
      <c r="C996" s="223"/>
      <c r="D996" s="223"/>
      <c r="E996" s="223"/>
      <c r="F996" s="276"/>
      <c r="G996" s="226"/>
      <c r="H996" s="223"/>
      <c r="I996" s="223"/>
      <c r="J996" s="223"/>
      <c r="K996" s="223"/>
      <c r="L996" s="223"/>
      <c r="M996" s="223"/>
      <c r="N996" s="223"/>
      <c r="O996" s="223"/>
      <c r="P996" s="223"/>
      <c r="Q996" s="223"/>
      <c r="R996" s="890"/>
      <c r="S996" s="890"/>
      <c r="T996" s="223"/>
      <c r="U996" s="223"/>
      <c r="V996" s="223"/>
      <c r="W996" s="223"/>
      <c r="X996" s="223"/>
      <c r="Y996" s="223"/>
      <c r="Z996" s="223"/>
      <c r="AA996" s="223"/>
      <c r="AB996" s="223"/>
      <c r="AC996" s="223"/>
    </row>
    <row r="997" spans="1:29" x14ac:dyDescent="0.25">
      <c r="A997" s="223"/>
      <c r="B997" s="223"/>
      <c r="C997" s="223"/>
      <c r="D997" s="223"/>
      <c r="E997" s="223"/>
      <c r="F997" s="276"/>
      <c r="G997" s="226"/>
      <c r="H997" s="223"/>
      <c r="I997" s="223"/>
      <c r="J997" s="223"/>
      <c r="K997" s="223"/>
      <c r="L997" s="223"/>
      <c r="M997" s="223"/>
      <c r="N997" s="223"/>
      <c r="O997" s="223"/>
      <c r="P997" s="223"/>
      <c r="Q997" s="223"/>
      <c r="R997" s="890"/>
      <c r="S997" s="890"/>
      <c r="T997" s="223"/>
      <c r="U997" s="223"/>
      <c r="V997" s="223"/>
      <c r="W997" s="223"/>
      <c r="X997" s="223"/>
      <c r="Y997" s="223"/>
      <c r="Z997" s="223"/>
      <c r="AA997" s="223"/>
      <c r="AB997" s="223"/>
      <c r="AC997" s="223"/>
    </row>
    <row r="998" spans="1:29" x14ac:dyDescent="0.25">
      <c r="A998" s="223"/>
      <c r="B998" s="223"/>
      <c r="C998" s="223"/>
      <c r="D998" s="223"/>
      <c r="E998" s="223"/>
      <c r="F998" s="276"/>
      <c r="G998" s="226"/>
      <c r="H998" s="223"/>
      <c r="I998" s="223"/>
      <c r="J998" s="223"/>
      <c r="K998" s="223"/>
      <c r="L998" s="223"/>
      <c r="M998" s="223"/>
      <c r="N998" s="223"/>
      <c r="O998" s="223"/>
      <c r="P998" s="223"/>
      <c r="Q998" s="223"/>
      <c r="R998" s="890"/>
      <c r="S998" s="890"/>
      <c r="T998" s="223"/>
      <c r="U998" s="223"/>
      <c r="V998" s="223"/>
      <c r="W998" s="223"/>
      <c r="X998" s="223"/>
      <c r="Y998" s="223"/>
      <c r="Z998" s="223"/>
      <c r="AA998" s="223"/>
      <c r="AB998" s="223"/>
      <c r="AC998" s="223"/>
    </row>
    <row r="999" spans="1:29" x14ac:dyDescent="0.25">
      <c r="A999" s="223"/>
      <c r="B999" s="223"/>
      <c r="C999" s="223"/>
      <c r="D999" s="223"/>
      <c r="E999" s="223"/>
      <c r="F999" s="276"/>
      <c r="G999" s="226"/>
      <c r="H999" s="223"/>
      <c r="I999" s="223"/>
      <c r="J999" s="223"/>
      <c r="K999" s="223"/>
      <c r="L999" s="223"/>
      <c r="M999" s="223"/>
      <c r="N999" s="223"/>
      <c r="O999" s="223"/>
      <c r="P999" s="223"/>
      <c r="Q999" s="223"/>
      <c r="R999" s="890"/>
      <c r="S999" s="890"/>
      <c r="T999" s="223"/>
      <c r="U999" s="223"/>
      <c r="V999" s="223"/>
      <c r="W999" s="223"/>
      <c r="X999" s="223"/>
      <c r="Y999" s="223"/>
      <c r="Z999" s="223"/>
      <c r="AA999" s="223"/>
      <c r="AB999" s="223"/>
      <c r="AC999" s="223"/>
    </row>
    <row r="1000" spans="1:29" x14ac:dyDescent="0.25">
      <c r="A1000" s="223"/>
      <c r="B1000" s="223"/>
      <c r="C1000" s="223"/>
      <c r="D1000" s="223"/>
      <c r="E1000" s="223"/>
      <c r="F1000" s="276"/>
      <c r="G1000" s="226"/>
      <c r="H1000" s="223"/>
      <c r="I1000" s="223"/>
      <c r="J1000" s="223"/>
      <c r="K1000" s="223"/>
      <c r="L1000" s="223"/>
      <c r="M1000" s="223"/>
      <c r="N1000" s="223"/>
      <c r="O1000" s="223"/>
      <c r="P1000" s="223"/>
      <c r="Q1000" s="223"/>
      <c r="R1000" s="890"/>
      <c r="S1000" s="890"/>
      <c r="T1000" s="223"/>
      <c r="U1000" s="223"/>
      <c r="V1000" s="223"/>
      <c r="W1000" s="223"/>
      <c r="X1000" s="223"/>
      <c r="Y1000" s="223"/>
      <c r="Z1000" s="223"/>
      <c r="AA1000" s="223"/>
      <c r="AB1000" s="223"/>
      <c r="AC1000" s="223"/>
    </row>
    <row r="1001" spans="1:29" x14ac:dyDescent="0.25">
      <c r="A1001" s="223"/>
      <c r="B1001" s="223"/>
      <c r="C1001" s="223"/>
      <c r="D1001" s="223"/>
      <c r="E1001" s="223"/>
      <c r="F1001" s="276"/>
      <c r="G1001" s="226"/>
      <c r="H1001" s="223"/>
      <c r="I1001" s="223"/>
      <c r="J1001" s="223"/>
      <c r="K1001" s="223"/>
      <c r="L1001" s="223"/>
      <c r="M1001" s="223"/>
      <c r="N1001" s="223"/>
      <c r="O1001" s="223"/>
      <c r="P1001" s="223"/>
      <c r="Q1001" s="223"/>
      <c r="R1001" s="890"/>
      <c r="S1001" s="890"/>
      <c r="T1001" s="223"/>
      <c r="U1001" s="223"/>
      <c r="V1001" s="223"/>
      <c r="W1001" s="223"/>
      <c r="X1001" s="223"/>
      <c r="Y1001" s="223"/>
      <c r="Z1001" s="223"/>
      <c r="AA1001" s="223"/>
      <c r="AB1001" s="223"/>
      <c r="AC1001" s="223"/>
    </row>
    <row r="1002" spans="1:29" x14ac:dyDescent="0.25">
      <c r="A1002" s="223"/>
      <c r="B1002" s="223"/>
      <c r="C1002" s="223"/>
      <c r="D1002" s="223"/>
      <c r="E1002" s="223"/>
      <c r="F1002" s="276"/>
      <c r="G1002" s="226"/>
      <c r="H1002" s="223"/>
      <c r="I1002" s="223"/>
      <c r="J1002" s="223"/>
      <c r="K1002" s="223"/>
      <c r="L1002" s="223"/>
      <c r="M1002" s="223"/>
      <c r="N1002" s="223"/>
      <c r="O1002" s="223"/>
      <c r="P1002" s="223"/>
      <c r="Q1002" s="223"/>
      <c r="R1002" s="890"/>
      <c r="S1002" s="890"/>
      <c r="T1002" s="223"/>
      <c r="U1002" s="223"/>
      <c r="V1002" s="223"/>
      <c r="W1002" s="223"/>
      <c r="X1002" s="223"/>
      <c r="Y1002" s="223"/>
      <c r="Z1002" s="223"/>
      <c r="AA1002" s="223"/>
      <c r="AB1002" s="223"/>
      <c r="AC1002" s="223"/>
    </row>
    <row r="1003" spans="1:29" x14ac:dyDescent="0.25">
      <c r="A1003" s="223"/>
      <c r="B1003" s="223"/>
      <c r="C1003" s="223"/>
      <c r="D1003" s="223"/>
      <c r="E1003" s="223"/>
      <c r="F1003" s="276"/>
      <c r="G1003" s="226"/>
      <c r="H1003" s="223"/>
      <c r="I1003" s="223"/>
      <c r="J1003" s="223"/>
      <c r="K1003" s="223"/>
      <c r="L1003" s="223"/>
      <c r="M1003" s="223"/>
      <c r="N1003" s="223"/>
      <c r="O1003" s="223"/>
      <c r="P1003" s="223"/>
      <c r="Q1003" s="223"/>
      <c r="R1003" s="890"/>
      <c r="S1003" s="890"/>
      <c r="T1003" s="223"/>
      <c r="U1003" s="223"/>
      <c r="V1003" s="223"/>
      <c r="W1003" s="223"/>
      <c r="X1003" s="223"/>
      <c r="Y1003" s="223"/>
      <c r="Z1003" s="223"/>
      <c r="AA1003" s="223"/>
      <c r="AB1003" s="223"/>
      <c r="AC1003" s="223"/>
    </row>
    <row r="1004" spans="1:29" x14ac:dyDescent="0.25">
      <c r="A1004" s="223"/>
      <c r="B1004" s="223"/>
      <c r="C1004" s="223"/>
      <c r="D1004" s="223"/>
      <c r="E1004" s="223"/>
      <c r="F1004" s="276"/>
      <c r="G1004" s="226"/>
      <c r="H1004" s="223"/>
      <c r="I1004" s="223"/>
      <c r="J1004" s="223"/>
      <c r="K1004" s="223"/>
      <c r="L1004" s="223"/>
      <c r="M1004" s="223"/>
      <c r="N1004" s="223"/>
      <c r="O1004" s="223"/>
      <c r="P1004" s="223"/>
      <c r="Q1004" s="223"/>
      <c r="R1004" s="890"/>
      <c r="S1004" s="890"/>
      <c r="T1004" s="223"/>
      <c r="U1004" s="223"/>
      <c r="V1004" s="223"/>
      <c r="W1004" s="223"/>
      <c r="X1004" s="223"/>
      <c r="Y1004" s="223"/>
      <c r="Z1004" s="223"/>
      <c r="AA1004" s="223"/>
      <c r="AB1004" s="223"/>
      <c r="AC1004" s="223"/>
    </row>
    <row r="1005" spans="1:29" x14ac:dyDescent="0.25">
      <c r="A1005" s="223"/>
      <c r="B1005" s="223"/>
      <c r="C1005" s="223"/>
      <c r="D1005" s="223"/>
      <c r="E1005" s="223"/>
      <c r="F1005" s="276"/>
      <c r="G1005" s="226"/>
      <c r="H1005" s="223"/>
      <c r="I1005" s="223"/>
      <c r="J1005" s="223"/>
      <c r="K1005" s="223"/>
      <c r="L1005" s="223"/>
      <c r="M1005" s="223"/>
      <c r="N1005" s="223"/>
      <c r="O1005" s="223"/>
      <c r="P1005" s="223"/>
      <c r="Q1005" s="223"/>
      <c r="R1005" s="890"/>
      <c r="S1005" s="890"/>
      <c r="T1005" s="223"/>
      <c r="U1005" s="223"/>
      <c r="V1005" s="223"/>
      <c r="W1005" s="223"/>
      <c r="X1005" s="223"/>
      <c r="Y1005" s="223"/>
      <c r="Z1005" s="223"/>
      <c r="AA1005" s="223"/>
      <c r="AB1005" s="223"/>
      <c r="AC1005" s="223"/>
    </row>
    <row r="1006" spans="1:29" x14ac:dyDescent="0.25">
      <c r="A1006" s="223"/>
      <c r="B1006" s="223"/>
      <c r="C1006" s="223"/>
      <c r="D1006" s="223"/>
      <c r="E1006" s="223"/>
      <c r="F1006" s="276"/>
      <c r="G1006" s="226"/>
      <c r="H1006" s="223"/>
      <c r="I1006" s="223"/>
      <c r="J1006" s="223"/>
      <c r="K1006" s="223"/>
      <c r="L1006" s="223"/>
      <c r="M1006" s="223"/>
      <c r="N1006" s="223"/>
      <c r="O1006" s="223"/>
      <c r="P1006" s="223"/>
      <c r="Q1006" s="223"/>
      <c r="R1006" s="890"/>
      <c r="S1006" s="890"/>
      <c r="T1006" s="223"/>
      <c r="U1006" s="223"/>
      <c r="V1006" s="223"/>
      <c r="W1006" s="223"/>
      <c r="X1006" s="223"/>
      <c r="Y1006" s="223"/>
      <c r="Z1006" s="223"/>
      <c r="AA1006" s="223"/>
      <c r="AB1006" s="223"/>
      <c r="AC1006" s="223"/>
    </row>
    <row r="1007" spans="1:29" x14ac:dyDescent="0.25">
      <c r="A1007" s="223"/>
      <c r="B1007" s="223"/>
      <c r="C1007" s="223"/>
      <c r="D1007" s="223"/>
      <c r="E1007" s="223"/>
      <c r="F1007" s="276"/>
      <c r="G1007" s="226"/>
      <c r="H1007" s="223"/>
      <c r="I1007" s="223"/>
      <c r="J1007" s="223"/>
      <c r="K1007" s="223"/>
      <c r="L1007" s="223"/>
      <c r="M1007" s="223"/>
      <c r="N1007" s="223"/>
      <c r="O1007" s="223"/>
      <c r="P1007" s="223"/>
      <c r="Q1007" s="223"/>
      <c r="R1007" s="890"/>
      <c r="S1007" s="890"/>
      <c r="T1007" s="223"/>
      <c r="U1007" s="223"/>
      <c r="V1007" s="223"/>
      <c r="W1007" s="223"/>
      <c r="X1007" s="223"/>
      <c r="Y1007" s="223"/>
      <c r="Z1007" s="223"/>
      <c r="AA1007" s="223"/>
      <c r="AB1007" s="223"/>
      <c r="AC1007" s="223"/>
    </row>
    <row r="1008" spans="1:29" x14ac:dyDescent="0.25">
      <c r="A1008" s="223"/>
      <c r="B1008" s="223"/>
      <c r="C1008" s="223"/>
      <c r="D1008" s="223"/>
      <c r="E1008" s="223"/>
      <c r="F1008" s="276"/>
      <c r="G1008" s="226"/>
      <c r="H1008" s="223"/>
      <c r="I1008" s="223"/>
      <c r="J1008" s="223"/>
      <c r="K1008" s="223"/>
      <c r="L1008" s="223"/>
      <c r="M1008" s="223"/>
      <c r="N1008" s="223"/>
      <c r="O1008" s="223"/>
      <c r="P1008" s="223"/>
      <c r="Q1008" s="223"/>
      <c r="R1008" s="890"/>
      <c r="S1008" s="890"/>
      <c r="T1008" s="223"/>
      <c r="U1008" s="223"/>
      <c r="V1008" s="223"/>
      <c r="W1008" s="223"/>
      <c r="X1008" s="223"/>
      <c r="Y1008" s="223"/>
      <c r="Z1008" s="223"/>
      <c r="AA1008" s="223"/>
      <c r="AB1008" s="223"/>
      <c r="AC1008" s="223"/>
    </row>
    <row r="1009" spans="1:29" x14ac:dyDescent="0.25">
      <c r="A1009" s="223"/>
      <c r="B1009" s="223"/>
      <c r="C1009" s="223"/>
      <c r="D1009" s="223"/>
      <c r="E1009" s="223"/>
      <c r="F1009" s="276"/>
      <c r="G1009" s="226"/>
      <c r="H1009" s="223"/>
      <c r="I1009" s="223"/>
      <c r="J1009" s="223"/>
      <c r="K1009" s="223"/>
      <c r="L1009" s="223"/>
      <c r="M1009" s="223"/>
      <c r="N1009" s="223"/>
      <c r="O1009" s="223"/>
      <c r="P1009" s="223"/>
      <c r="Q1009" s="223"/>
      <c r="R1009" s="890"/>
      <c r="S1009" s="890"/>
      <c r="T1009" s="223"/>
      <c r="U1009" s="223"/>
      <c r="V1009" s="223"/>
      <c r="W1009" s="223"/>
      <c r="X1009" s="223"/>
      <c r="Y1009" s="223"/>
      <c r="Z1009" s="223"/>
      <c r="AA1009" s="223"/>
      <c r="AB1009" s="223"/>
      <c r="AC1009" s="223"/>
    </row>
    <row r="1010" spans="1:29" x14ac:dyDescent="0.25">
      <c r="A1010" s="223"/>
      <c r="B1010" s="223"/>
      <c r="C1010" s="223"/>
      <c r="D1010" s="223"/>
      <c r="E1010" s="223"/>
      <c r="F1010" s="276"/>
      <c r="G1010" s="226"/>
      <c r="H1010" s="223"/>
      <c r="I1010" s="223"/>
      <c r="J1010" s="223"/>
      <c r="K1010" s="223"/>
      <c r="L1010" s="223"/>
      <c r="M1010" s="223"/>
      <c r="N1010" s="223"/>
      <c r="O1010" s="223"/>
      <c r="P1010" s="223"/>
      <c r="Q1010" s="223"/>
      <c r="R1010" s="890"/>
      <c r="S1010" s="890"/>
      <c r="T1010" s="223"/>
      <c r="U1010" s="223"/>
      <c r="V1010" s="223"/>
      <c r="W1010" s="223"/>
      <c r="X1010" s="223"/>
      <c r="Y1010" s="223"/>
      <c r="Z1010" s="223"/>
      <c r="AA1010" s="223"/>
      <c r="AB1010" s="223"/>
      <c r="AC1010" s="223"/>
    </row>
    <row r="1011" spans="1:29" x14ac:dyDescent="0.25">
      <c r="A1011" s="223"/>
      <c r="B1011" s="223"/>
      <c r="C1011" s="223"/>
      <c r="D1011" s="223"/>
      <c r="E1011" s="223"/>
      <c r="F1011" s="276"/>
      <c r="G1011" s="226"/>
      <c r="H1011" s="223"/>
      <c r="I1011" s="223"/>
      <c r="J1011" s="223"/>
      <c r="K1011" s="223"/>
      <c r="L1011" s="223"/>
      <c r="M1011" s="223"/>
      <c r="N1011" s="223"/>
      <c r="O1011" s="223"/>
      <c r="P1011" s="223"/>
      <c r="Q1011" s="223"/>
      <c r="R1011" s="890"/>
      <c r="S1011" s="890"/>
      <c r="T1011" s="223"/>
      <c r="U1011" s="223"/>
      <c r="V1011" s="223"/>
      <c r="W1011" s="223"/>
      <c r="X1011" s="223"/>
      <c r="Y1011" s="223"/>
      <c r="Z1011" s="223"/>
      <c r="AA1011" s="223"/>
      <c r="AB1011" s="223"/>
      <c r="AC1011" s="223"/>
    </row>
    <row r="1012" spans="1:29" x14ac:dyDescent="0.25">
      <c r="A1012" s="223"/>
      <c r="B1012" s="223"/>
      <c r="C1012" s="223"/>
      <c r="D1012" s="223"/>
      <c r="E1012" s="223"/>
      <c r="F1012" s="276"/>
      <c r="G1012" s="226"/>
      <c r="H1012" s="223"/>
      <c r="I1012" s="223"/>
      <c r="J1012" s="223"/>
      <c r="K1012" s="223"/>
      <c r="L1012" s="223"/>
      <c r="M1012" s="223"/>
      <c r="N1012" s="223"/>
      <c r="O1012" s="223"/>
      <c r="P1012" s="223"/>
      <c r="Q1012" s="223"/>
      <c r="R1012" s="890"/>
      <c r="S1012" s="890"/>
      <c r="T1012" s="223"/>
      <c r="U1012" s="223"/>
      <c r="V1012" s="223"/>
      <c r="W1012" s="223"/>
      <c r="X1012" s="223"/>
      <c r="Y1012" s="223"/>
      <c r="Z1012" s="223"/>
      <c r="AA1012" s="223"/>
      <c r="AB1012" s="223"/>
      <c r="AC1012" s="223"/>
    </row>
    <row r="1013" spans="1:29" x14ac:dyDescent="0.25">
      <c r="A1013" s="223"/>
      <c r="B1013" s="223"/>
      <c r="C1013" s="223"/>
      <c r="D1013" s="223"/>
      <c r="E1013" s="223"/>
      <c r="F1013" s="276"/>
      <c r="G1013" s="226"/>
      <c r="H1013" s="223"/>
      <c r="I1013" s="223"/>
      <c r="J1013" s="223"/>
      <c r="K1013" s="223"/>
      <c r="L1013" s="223"/>
      <c r="M1013" s="223"/>
      <c r="N1013" s="223"/>
      <c r="O1013" s="223"/>
      <c r="P1013" s="223"/>
      <c r="Q1013" s="223"/>
      <c r="R1013" s="890"/>
      <c r="S1013" s="890"/>
      <c r="T1013" s="223"/>
      <c r="U1013" s="223"/>
      <c r="V1013" s="223"/>
      <c r="W1013" s="223"/>
      <c r="X1013" s="223"/>
      <c r="Y1013" s="223"/>
      <c r="Z1013" s="223"/>
      <c r="AA1013" s="223"/>
      <c r="AB1013" s="223"/>
      <c r="AC1013" s="223"/>
    </row>
    <row r="1014" spans="1:29" x14ac:dyDescent="0.25">
      <c r="A1014" s="223"/>
      <c r="B1014" s="223"/>
      <c r="C1014" s="223"/>
      <c r="D1014" s="223"/>
      <c r="E1014" s="223"/>
      <c r="F1014" s="276"/>
      <c r="G1014" s="226"/>
      <c r="H1014" s="223"/>
      <c r="I1014" s="223"/>
      <c r="J1014" s="223"/>
      <c r="K1014" s="223"/>
      <c r="L1014" s="223"/>
      <c r="M1014" s="223"/>
      <c r="N1014" s="223"/>
      <c r="O1014" s="223"/>
      <c r="P1014" s="223"/>
      <c r="Q1014" s="223"/>
      <c r="R1014" s="890"/>
      <c r="S1014" s="890"/>
      <c r="T1014" s="223"/>
      <c r="U1014" s="223"/>
      <c r="V1014" s="223"/>
      <c r="W1014" s="223"/>
      <c r="X1014" s="223"/>
      <c r="Y1014" s="223"/>
      <c r="Z1014" s="223"/>
      <c r="AA1014" s="223"/>
      <c r="AB1014" s="223"/>
      <c r="AC1014" s="223"/>
    </row>
    <row r="1015" spans="1:29" x14ac:dyDescent="0.25">
      <c r="A1015" s="223"/>
      <c r="B1015" s="223"/>
      <c r="C1015" s="223"/>
      <c r="D1015" s="223"/>
      <c r="E1015" s="223"/>
      <c r="F1015" s="276"/>
      <c r="G1015" s="226"/>
      <c r="H1015" s="223"/>
      <c r="I1015" s="223"/>
      <c r="J1015" s="223"/>
      <c r="K1015" s="223"/>
      <c r="L1015" s="223"/>
      <c r="M1015" s="223"/>
      <c r="N1015" s="223"/>
      <c r="O1015" s="223"/>
      <c r="P1015" s="223"/>
      <c r="Q1015" s="223"/>
      <c r="R1015" s="890"/>
      <c r="S1015" s="890"/>
      <c r="T1015" s="223"/>
      <c r="U1015" s="223"/>
      <c r="V1015" s="223"/>
      <c r="W1015" s="223"/>
      <c r="X1015" s="223"/>
      <c r="Y1015" s="223"/>
      <c r="Z1015" s="223"/>
      <c r="AA1015" s="223"/>
      <c r="AB1015" s="223"/>
      <c r="AC1015" s="223"/>
    </row>
    <row r="1016" spans="1:29" x14ac:dyDescent="0.25">
      <c r="A1016" s="223"/>
      <c r="B1016" s="223"/>
      <c r="C1016" s="223"/>
      <c r="D1016" s="223"/>
      <c r="E1016" s="223"/>
      <c r="F1016" s="276"/>
      <c r="G1016" s="226"/>
      <c r="H1016" s="223"/>
      <c r="I1016" s="223"/>
      <c r="J1016" s="223"/>
      <c r="K1016" s="223"/>
      <c r="L1016" s="223"/>
      <c r="M1016" s="223"/>
      <c r="N1016" s="223"/>
      <c r="O1016" s="223"/>
      <c r="P1016" s="223"/>
      <c r="Q1016" s="223"/>
      <c r="R1016" s="890"/>
      <c r="S1016" s="890"/>
      <c r="T1016" s="223"/>
      <c r="U1016" s="223"/>
      <c r="V1016" s="223"/>
      <c r="W1016" s="223"/>
      <c r="X1016" s="223"/>
      <c r="Y1016" s="223"/>
      <c r="Z1016" s="223"/>
      <c r="AA1016" s="223"/>
      <c r="AB1016" s="223"/>
      <c r="AC1016" s="223"/>
    </row>
  </sheetData>
  <autoFilter ref="C5:F49" xr:uid="{00000000-0009-0000-0000-00000B000000}"/>
  <mergeCells count="7">
    <mergeCell ref="S6:S7"/>
    <mergeCell ref="C5:C7"/>
    <mergeCell ref="D5:D7"/>
    <mergeCell ref="E5:E7"/>
    <mergeCell ref="F5:F7"/>
    <mergeCell ref="H5:R5"/>
    <mergeCell ref="R6:R7"/>
  </mergeCells>
  <pageMargins left="0.511811024" right="0.511811024" top="0.78740157499999996" bottom="0.78740157499999996" header="0" footer="0"/>
  <pageSetup paperSize="9" scale="49" fitToHeight="0" orientation="landscape" r:id="rId1"/>
  <ignoredErrors>
    <ignoredError sqref="S37"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333FF"/>
    <pageSetUpPr fitToPage="1"/>
  </sheetPr>
  <dimension ref="A1:S20"/>
  <sheetViews>
    <sheetView showGridLines="0" view="pageBreakPreview" zoomScale="80" zoomScaleNormal="90" zoomScaleSheetLayoutView="80" workbookViewId="0">
      <pane ySplit="7" topLeftCell="A8" activePane="bottomLeft" state="frozen"/>
      <selection activeCell="C1" sqref="C1:C3"/>
      <selection pane="bottomLeft" activeCell="Q9" sqref="Q9"/>
    </sheetView>
  </sheetViews>
  <sheetFormatPr defaultRowHeight="11.25" x14ac:dyDescent="0.25"/>
  <cols>
    <col min="1" max="1" width="31.85546875" style="551" customWidth="1"/>
    <col min="2" max="2" width="15.28515625" style="551" customWidth="1"/>
    <col min="3" max="3" width="7.5703125" style="551" customWidth="1"/>
    <col min="4" max="4" width="10.5703125" style="551" customWidth="1"/>
    <col min="5" max="5" width="10.140625" style="551" customWidth="1"/>
    <col min="6" max="6" width="14.5703125" style="551" customWidth="1"/>
    <col min="7" max="7" width="9" style="551" customWidth="1"/>
    <col min="8" max="8" width="10.42578125" style="551" customWidth="1"/>
    <col min="9" max="9" width="11" style="551" customWidth="1"/>
    <col min="10" max="10" width="10" style="551" customWidth="1"/>
    <col min="11" max="11" width="9" style="551" customWidth="1"/>
    <col min="12" max="12" width="10.7109375" style="551" customWidth="1"/>
    <col min="13" max="13" width="16.42578125" style="591" customWidth="1"/>
    <col min="14" max="15" width="12.140625" style="591" customWidth="1"/>
    <col min="16" max="16" width="13.140625" style="551" customWidth="1"/>
    <col min="17" max="17" width="12.85546875" style="551" customWidth="1"/>
    <col min="18" max="258" width="9.140625" style="551"/>
    <col min="259" max="260" width="11" style="551" customWidth="1"/>
    <col min="261" max="261" width="17.85546875" style="551" customWidth="1"/>
    <col min="262" max="262" width="7.140625" style="551" customWidth="1"/>
    <col min="263" max="264" width="9.140625" style="551"/>
    <col min="265" max="266" width="6.7109375" style="551" customWidth="1"/>
    <col min="267" max="268" width="8.42578125" style="551" customWidth="1"/>
    <col min="269" max="269" width="10" style="551" customWidth="1"/>
    <col min="270" max="270" width="8.42578125" style="551" customWidth="1"/>
    <col min="271" max="271" width="10.7109375" style="551" customWidth="1"/>
    <col min="272" max="272" width="9.7109375" style="551" customWidth="1"/>
    <col min="273" max="514" width="9.140625" style="551"/>
    <col min="515" max="516" width="11" style="551" customWidth="1"/>
    <col min="517" max="517" width="17.85546875" style="551" customWidth="1"/>
    <col min="518" max="518" width="7.140625" style="551" customWidth="1"/>
    <col min="519" max="520" width="9.140625" style="551"/>
    <col min="521" max="522" width="6.7109375" style="551" customWidth="1"/>
    <col min="523" max="524" width="8.42578125" style="551" customWidth="1"/>
    <col min="525" max="525" width="10" style="551" customWidth="1"/>
    <col min="526" max="526" width="8.42578125" style="551" customWidth="1"/>
    <col min="527" max="527" width="10.7109375" style="551" customWidth="1"/>
    <col min="528" max="528" width="9.7109375" style="551" customWidth="1"/>
    <col min="529" max="770" width="9.140625" style="551"/>
    <col min="771" max="772" width="11" style="551" customWidth="1"/>
    <col min="773" max="773" width="17.85546875" style="551" customWidth="1"/>
    <col min="774" max="774" width="7.140625" style="551" customWidth="1"/>
    <col min="775" max="776" width="9.140625" style="551"/>
    <col min="777" max="778" width="6.7109375" style="551" customWidth="1"/>
    <col min="779" max="780" width="8.42578125" style="551" customWidth="1"/>
    <col min="781" max="781" width="10" style="551" customWidth="1"/>
    <col min="782" max="782" width="8.42578125" style="551" customWidth="1"/>
    <col min="783" max="783" width="10.7109375" style="551" customWidth="1"/>
    <col min="784" max="784" width="9.7109375" style="551" customWidth="1"/>
    <col min="785" max="1026" width="9.140625" style="551"/>
    <col min="1027" max="1028" width="11" style="551" customWidth="1"/>
    <col min="1029" max="1029" width="17.85546875" style="551" customWidth="1"/>
    <col min="1030" max="1030" width="7.140625" style="551" customWidth="1"/>
    <col min="1031" max="1032" width="9.140625" style="551"/>
    <col min="1033" max="1034" width="6.7109375" style="551" customWidth="1"/>
    <col min="1035" max="1036" width="8.42578125" style="551" customWidth="1"/>
    <col min="1037" max="1037" width="10" style="551" customWidth="1"/>
    <col min="1038" max="1038" width="8.42578125" style="551" customWidth="1"/>
    <col min="1039" max="1039" width="10.7109375" style="551" customWidth="1"/>
    <col min="1040" max="1040" width="9.7109375" style="551" customWidth="1"/>
    <col min="1041" max="1282" width="9.140625" style="551"/>
    <col min="1283" max="1284" width="11" style="551" customWidth="1"/>
    <col min="1285" max="1285" width="17.85546875" style="551" customWidth="1"/>
    <col min="1286" max="1286" width="7.140625" style="551" customWidth="1"/>
    <col min="1287" max="1288" width="9.140625" style="551"/>
    <col min="1289" max="1290" width="6.7109375" style="551" customWidth="1"/>
    <col min="1291" max="1292" width="8.42578125" style="551" customWidth="1"/>
    <col min="1293" max="1293" width="10" style="551" customWidth="1"/>
    <col min="1294" max="1294" width="8.42578125" style="551" customWidth="1"/>
    <col min="1295" max="1295" width="10.7109375" style="551" customWidth="1"/>
    <col min="1296" max="1296" width="9.7109375" style="551" customWidth="1"/>
    <col min="1297" max="1538" width="9.140625" style="551"/>
    <col min="1539" max="1540" width="11" style="551" customWidth="1"/>
    <col min="1541" max="1541" width="17.85546875" style="551" customWidth="1"/>
    <col min="1542" max="1542" width="7.140625" style="551" customWidth="1"/>
    <col min="1543" max="1544" width="9.140625" style="551"/>
    <col min="1545" max="1546" width="6.7109375" style="551" customWidth="1"/>
    <col min="1547" max="1548" width="8.42578125" style="551" customWidth="1"/>
    <col min="1549" max="1549" width="10" style="551" customWidth="1"/>
    <col min="1550" max="1550" width="8.42578125" style="551" customWidth="1"/>
    <col min="1551" max="1551" width="10.7109375" style="551" customWidth="1"/>
    <col min="1552" max="1552" width="9.7109375" style="551" customWidth="1"/>
    <col min="1553" max="1794" width="9.140625" style="551"/>
    <col min="1795" max="1796" width="11" style="551" customWidth="1"/>
    <col min="1797" max="1797" width="17.85546875" style="551" customWidth="1"/>
    <col min="1798" max="1798" width="7.140625" style="551" customWidth="1"/>
    <col min="1799" max="1800" width="9.140625" style="551"/>
    <col min="1801" max="1802" width="6.7109375" style="551" customWidth="1"/>
    <col min="1803" max="1804" width="8.42578125" style="551" customWidth="1"/>
    <col min="1805" max="1805" width="10" style="551" customWidth="1"/>
    <col min="1806" max="1806" width="8.42578125" style="551" customWidth="1"/>
    <col min="1807" max="1807" width="10.7109375" style="551" customWidth="1"/>
    <col min="1808" max="1808" width="9.7109375" style="551" customWidth="1"/>
    <col min="1809" max="2050" width="9.140625" style="551"/>
    <col min="2051" max="2052" width="11" style="551" customWidth="1"/>
    <col min="2053" max="2053" width="17.85546875" style="551" customWidth="1"/>
    <col min="2054" max="2054" width="7.140625" style="551" customWidth="1"/>
    <col min="2055" max="2056" width="9.140625" style="551"/>
    <col min="2057" max="2058" width="6.7109375" style="551" customWidth="1"/>
    <col min="2059" max="2060" width="8.42578125" style="551" customWidth="1"/>
    <col min="2061" max="2061" width="10" style="551" customWidth="1"/>
    <col min="2062" max="2062" width="8.42578125" style="551" customWidth="1"/>
    <col min="2063" max="2063" width="10.7109375" style="551" customWidth="1"/>
    <col min="2064" max="2064" width="9.7109375" style="551" customWidth="1"/>
    <col min="2065" max="2306" width="9.140625" style="551"/>
    <col min="2307" max="2308" width="11" style="551" customWidth="1"/>
    <col min="2309" max="2309" width="17.85546875" style="551" customWidth="1"/>
    <col min="2310" max="2310" width="7.140625" style="551" customWidth="1"/>
    <col min="2311" max="2312" width="9.140625" style="551"/>
    <col min="2313" max="2314" width="6.7109375" style="551" customWidth="1"/>
    <col min="2315" max="2316" width="8.42578125" style="551" customWidth="1"/>
    <col min="2317" max="2317" width="10" style="551" customWidth="1"/>
    <col min="2318" max="2318" width="8.42578125" style="551" customWidth="1"/>
    <col min="2319" max="2319" width="10.7109375" style="551" customWidth="1"/>
    <col min="2320" max="2320" width="9.7109375" style="551" customWidth="1"/>
    <col min="2321" max="2562" width="9.140625" style="551"/>
    <col min="2563" max="2564" width="11" style="551" customWidth="1"/>
    <col min="2565" max="2565" width="17.85546875" style="551" customWidth="1"/>
    <col min="2566" max="2566" width="7.140625" style="551" customWidth="1"/>
    <col min="2567" max="2568" width="9.140625" style="551"/>
    <col min="2569" max="2570" width="6.7109375" style="551" customWidth="1"/>
    <col min="2571" max="2572" width="8.42578125" style="551" customWidth="1"/>
    <col min="2573" max="2573" width="10" style="551" customWidth="1"/>
    <col min="2574" max="2574" width="8.42578125" style="551" customWidth="1"/>
    <col min="2575" max="2575" width="10.7109375" style="551" customWidth="1"/>
    <col min="2576" max="2576" width="9.7109375" style="551" customWidth="1"/>
    <col min="2577" max="2818" width="9.140625" style="551"/>
    <col min="2819" max="2820" width="11" style="551" customWidth="1"/>
    <col min="2821" max="2821" width="17.85546875" style="551" customWidth="1"/>
    <col min="2822" max="2822" width="7.140625" style="551" customWidth="1"/>
    <col min="2823" max="2824" width="9.140625" style="551"/>
    <col min="2825" max="2826" width="6.7109375" style="551" customWidth="1"/>
    <col min="2827" max="2828" width="8.42578125" style="551" customWidth="1"/>
    <col min="2829" max="2829" width="10" style="551" customWidth="1"/>
    <col min="2830" max="2830" width="8.42578125" style="551" customWidth="1"/>
    <col min="2831" max="2831" width="10.7109375" style="551" customWidth="1"/>
    <col min="2832" max="2832" width="9.7109375" style="551" customWidth="1"/>
    <col min="2833" max="3074" width="9.140625" style="551"/>
    <col min="3075" max="3076" width="11" style="551" customWidth="1"/>
    <col min="3077" max="3077" width="17.85546875" style="551" customWidth="1"/>
    <col min="3078" max="3078" width="7.140625" style="551" customWidth="1"/>
    <col min="3079" max="3080" width="9.140625" style="551"/>
    <col min="3081" max="3082" width="6.7109375" style="551" customWidth="1"/>
    <col min="3083" max="3084" width="8.42578125" style="551" customWidth="1"/>
    <col min="3085" max="3085" width="10" style="551" customWidth="1"/>
    <col min="3086" max="3086" width="8.42578125" style="551" customWidth="1"/>
    <col min="3087" max="3087" width="10.7109375" style="551" customWidth="1"/>
    <col min="3088" max="3088" width="9.7109375" style="551" customWidth="1"/>
    <col min="3089" max="3330" width="9.140625" style="551"/>
    <col min="3331" max="3332" width="11" style="551" customWidth="1"/>
    <col min="3333" max="3333" width="17.85546875" style="551" customWidth="1"/>
    <col min="3334" max="3334" width="7.140625" style="551" customWidth="1"/>
    <col min="3335" max="3336" width="9.140625" style="551"/>
    <col min="3337" max="3338" width="6.7109375" style="551" customWidth="1"/>
    <col min="3339" max="3340" width="8.42578125" style="551" customWidth="1"/>
    <col min="3341" max="3341" width="10" style="551" customWidth="1"/>
    <col min="3342" max="3342" width="8.42578125" style="551" customWidth="1"/>
    <col min="3343" max="3343" width="10.7109375" style="551" customWidth="1"/>
    <col min="3344" max="3344" width="9.7109375" style="551" customWidth="1"/>
    <col min="3345" max="3586" width="9.140625" style="551"/>
    <col min="3587" max="3588" width="11" style="551" customWidth="1"/>
    <col min="3589" max="3589" width="17.85546875" style="551" customWidth="1"/>
    <col min="3590" max="3590" width="7.140625" style="551" customWidth="1"/>
    <col min="3591" max="3592" width="9.140625" style="551"/>
    <col min="3593" max="3594" width="6.7109375" style="551" customWidth="1"/>
    <col min="3595" max="3596" width="8.42578125" style="551" customWidth="1"/>
    <col min="3597" max="3597" width="10" style="551" customWidth="1"/>
    <col min="3598" max="3598" width="8.42578125" style="551" customWidth="1"/>
    <col min="3599" max="3599" width="10.7109375" style="551" customWidth="1"/>
    <col min="3600" max="3600" width="9.7109375" style="551" customWidth="1"/>
    <col min="3601" max="3842" width="9.140625" style="551"/>
    <col min="3843" max="3844" width="11" style="551" customWidth="1"/>
    <col min="3845" max="3845" width="17.85546875" style="551" customWidth="1"/>
    <col min="3846" max="3846" width="7.140625" style="551" customWidth="1"/>
    <col min="3847" max="3848" width="9.140625" style="551"/>
    <col min="3849" max="3850" width="6.7109375" style="551" customWidth="1"/>
    <col min="3851" max="3852" width="8.42578125" style="551" customWidth="1"/>
    <col min="3853" max="3853" width="10" style="551" customWidth="1"/>
    <col min="3854" max="3854" width="8.42578125" style="551" customWidth="1"/>
    <col min="3855" max="3855" width="10.7109375" style="551" customWidth="1"/>
    <col min="3856" max="3856" width="9.7109375" style="551" customWidth="1"/>
    <col min="3857" max="4098" width="9.140625" style="551"/>
    <col min="4099" max="4100" width="11" style="551" customWidth="1"/>
    <col min="4101" max="4101" width="17.85546875" style="551" customWidth="1"/>
    <col min="4102" max="4102" width="7.140625" style="551" customWidth="1"/>
    <col min="4103" max="4104" width="9.140625" style="551"/>
    <col min="4105" max="4106" width="6.7109375" style="551" customWidth="1"/>
    <col min="4107" max="4108" width="8.42578125" style="551" customWidth="1"/>
    <col min="4109" max="4109" width="10" style="551" customWidth="1"/>
    <col min="4110" max="4110" width="8.42578125" style="551" customWidth="1"/>
    <col min="4111" max="4111" width="10.7109375" style="551" customWidth="1"/>
    <col min="4112" max="4112" width="9.7109375" style="551" customWidth="1"/>
    <col min="4113" max="4354" width="9.140625" style="551"/>
    <col min="4355" max="4356" width="11" style="551" customWidth="1"/>
    <col min="4357" max="4357" width="17.85546875" style="551" customWidth="1"/>
    <col min="4358" max="4358" width="7.140625" style="551" customWidth="1"/>
    <col min="4359" max="4360" width="9.140625" style="551"/>
    <col min="4361" max="4362" width="6.7109375" style="551" customWidth="1"/>
    <col min="4363" max="4364" width="8.42578125" style="551" customWidth="1"/>
    <col min="4365" max="4365" width="10" style="551" customWidth="1"/>
    <col min="4366" max="4366" width="8.42578125" style="551" customWidth="1"/>
    <col min="4367" max="4367" width="10.7109375" style="551" customWidth="1"/>
    <col min="4368" max="4368" width="9.7109375" style="551" customWidth="1"/>
    <col min="4369" max="4610" width="9.140625" style="551"/>
    <col min="4611" max="4612" width="11" style="551" customWidth="1"/>
    <col min="4613" max="4613" width="17.85546875" style="551" customWidth="1"/>
    <col min="4614" max="4614" width="7.140625" style="551" customWidth="1"/>
    <col min="4615" max="4616" width="9.140625" style="551"/>
    <col min="4617" max="4618" width="6.7109375" style="551" customWidth="1"/>
    <col min="4619" max="4620" width="8.42578125" style="551" customWidth="1"/>
    <col min="4621" max="4621" width="10" style="551" customWidth="1"/>
    <col min="4622" max="4622" width="8.42578125" style="551" customWidth="1"/>
    <col min="4623" max="4623" width="10.7109375" style="551" customWidth="1"/>
    <col min="4624" max="4624" width="9.7109375" style="551" customWidth="1"/>
    <col min="4625" max="4866" width="9.140625" style="551"/>
    <col min="4867" max="4868" width="11" style="551" customWidth="1"/>
    <col min="4869" max="4869" width="17.85546875" style="551" customWidth="1"/>
    <col min="4870" max="4870" width="7.140625" style="551" customWidth="1"/>
    <col min="4871" max="4872" width="9.140625" style="551"/>
    <col min="4873" max="4874" width="6.7109375" style="551" customWidth="1"/>
    <col min="4875" max="4876" width="8.42578125" style="551" customWidth="1"/>
    <col min="4877" max="4877" width="10" style="551" customWidth="1"/>
    <col min="4878" max="4878" width="8.42578125" style="551" customWidth="1"/>
    <col min="4879" max="4879" width="10.7109375" style="551" customWidth="1"/>
    <col min="4880" max="4880" width="9.7109375" style="551" customWidth="1"/>
    <col min="4881" max="5122" width="9.140625" style="551"/>
    <col min="5123" max="5124" width="11" style="551" customWidth="1"/>
    <col min="5125" max="5125" width="17.85546875" style="551" customWidth="1"/>
    <col min="5126" max="5126" width="7.140625" style="551" customWidth="1"/>
    <col min="5127" max="5128" width="9.140625" style="551"/>
    <col min="5129" max="5130" width="6.7109375" style="551" customWidth="1"/>
    <col min="5131" max="5132" width="8.42578125" style="551" customWidth="1"/>
    <col min="5133" max="5133" width="10" style="551" customWidth="1"/>
    <col min="5134" max="5134" width="8.42578125" style="551" customWidth="1"/>
    <col min="5135" max="5135" width="10.7109375" style="551" customWidth="1"/>
    <col min="5136" max="5136" width="9.7109375" style="551" customWidth="1"/>
    <col min="5137" max="5378" width="9.140625" style="551"/>
    <col min="5379" max="5380" width="11" style="551" customWidth="1"/>
    <col min="5381" max="5381" width="17.85546875" style="551" customWidth="1"/>
    <col min="5382" max="5382" width="7.140625" style="551" customWidth="1"/>
    <col min="5383" max="5384" width="9.140625" style="551"/>
    <col min="5385" max="5386" width="6.7109375" style="551" customWidth="1"/>
    <col min="5387" max="5388" width="8.42578125" style="551" customWidth="1"/>
    <col min="5389" max="5389" width="10" style="551" customWidth="1"/>
    <col min="5390" max="5390" width="8.42578125" style="551" customWidth="1"/>
    <col min="5391" max="5391" width="10.7109375" style="551" customWidth="1"/>
    <col min="5392" max="5392" width="9.7109375" style="551" customWidth="1"/>
    <col min="5393" max="5634" width="9.140625" style="551"/>
    <col min="5635" max="5636" width="11" style="551" customWidth="1"/>
    <col min="5637" max="5637" width="17.85546875" style="551" customWidth="1"/>
    <col min="5638" max="5638" width="7.140625" style="551" customWidth="1"/>
    <col min="5639" max="5640" width="9.140625" style="551"/>
    <col min="5641" max="5642" width="6.7109375" style="551" customWidth="1"/>
    <col min="5643" max="5644" width="8.42578125" style="551" customWidth="1"/>
    <col min="5645" max="5645" width="10" style="551" customWidth="1"/>
    <col min="5646" max="5646" width="8.42578125" style="551" customWidth="1"/>
    <col min="5647" max="5647" width="10.7109375" style="551" customWidth="1"/>
    <col min="5648" max="5648" width="9.7109375" style="551" customWidth="1"/>
    <col min="5649" max="5890" width="9.140625" style="551"/>
    <col min="5891" max="5892" width="11" style="551" customWidth="1"/>
    <col min="5893" max="5893" width="17.85546875" style="551" customWidth="1"/>
    <col min="5894" max="5894" width="7.140625" style="551" customWidth="1"/>
    <col min="5895" max="5896" width="9.140625" style="551"/>
    <col min="5897" max="5898" width="6.7109375" style="551" customWidth="1"/>
    <col min="5899" max="5900" width="8.42578125" style="551" customWidth="1"/>
    <col min="5901" max="5901" width="10" style="551" customWidth="1"/>
    <col min="5902" max="5902" width="8.42578125" style="551" customWidth="1"/>
    <col min="5903" max="5903" width="10.7109375" style="551" customWidth="1"/>
    <col min="5904" max="5904" width="9.7109375" style="551" customWidth="1"/>
    <col min="5905" max="6146" width="9.140625" style="551"/>
    <col min="6147" max="6148" width="11" style="551" customWidth="1"/>
    <col min="6149" max="6149" width="17.85546875" style="551" customWidth="1"/>
    <col min="6150" max="6150" width="7.140625" style="551" customWidth="1"/>
    <col min="6151" max="6152" width="9.140625" style="551"/>
    <col min="6153" max="6154" width="6.7109375" style="551" customWidth="1"/>
    <col min="6155" max="6156" width="8.42578125" style="551" customWidth="1"/>
    <col min="6157" max="6157" width="10" style="551" customWidth="1"/>
    <col min="6158" max="6158" width="8.42578125" style="551" customWidth="1"/>
    <col min="6159" max="6159" width="10.7109375" style="551" customWidth="1"/>
    <col min="6160" max="6160" width="9.7109375" style="551" customWidth="1"/>
    <col min="6161" max="6402" width="9.140625" style="551"/>
    <col min="6403" max="6404" width="11" style="551" customWidth="1"/>
    <col min="6405" max="6405" width="17.85546875" style="551" customWidth="1"/>
    <col min="6406" max="6406" width="7.140625" style="551" customWidth="1"/>
    <col min="6407" max="6408" width="9.140625" style="551"/>
    <col min="6409" max="6410" width="6.7109375" style="551" customWidth="1"/>
    <col min="6411" max="6412" width="8.42578125" style="551" customWidth="1"/>
    <col min="6413" max="6413" width="10" style="551" customWidth="1"/>
    <col min="6414" max="6414" width="8.42578125" style="551" customWidth="1"/>
    <col min="6415" max="6415" width="10.7109375" style="551" customWidth="1"/>
    <col min="6416" max="6416" width="9.7109375" style="551" customWidth="1"/>
    <col min="6417" max="6658" width="9.140625" style="551"/>
    <col min="6659" max="6660" width="11" style="551" customWidth="1"/>
    <col min="6661" max="6661" width="17.85546875" style="551" customWidth="1"/>
    <col min="6662" max="6662" width="7.140625" style="551" customWidth="1"/>
    <col min="6663" max="6664" width="9.140625" style="551"/>
    <col min="6665" max="6666" width="6.7109375" style="551" customWidth="1"/>
    <col min="6667" max="6668" width="8.42578125" style="551" customWidth="1"/>
    <col min="6669" max="6669" width="10" style="551" customWidth="1"/>
    <col min="6670" max="6670" width="8.42578125" style="551" customWidth="1"/>
    <col min="6671" max="6671" width="10.7109375" style="551" customWidth="1"/>
    <col min="6672" max="6672" width="9.7109375" style="551" customWidth="1"/>
    <col min="6673" max="6914" width="9.140625" style="551"/>
    <col min="6915" max="6916" width="11" style="551" customWidth="1"/>
    <col min="6917" max="6917" width="17.85546875" style="551" customWidth="1"/>
    <col min="6918" max="6918" width="7.140625" style="551" customWidth="1"/>
    <col min="6919" max="6920" width="9.140625" style="551"/>
    <col min="6921" max="6922" width="6.7109375" style="551" customWidth="1"/>
    <col min="6923" max="6924" width="8.42578125" style="551" customWidth="1"/>
    <col min="6925" max="6925" width="10" style="551" customWidth="1"/>
    <col min="6926" max="6926" width="8.42578125" style="551" customWidth="1"/>
    <col min="6927" max="6927" width="10.7109375" style="551" customWidth="1"/>
    <col min="6928" max="6928" width="9.7109375" style="551" customWidth="1"/>
    <col min="6929" max="7170" width="9.140625" style="551"/>
    <col min="7171" max="7172" width="11" style="551" customWidth="1"/>
    <col min="7173" max="7173" width="17.85546875" style="551" customWidth="1"/>
    <col min="7174" max="7174" width="7.140625" style="551" customWidth="1"/>
    <col min="7175" max="7176" width="9.140625" style="551"/>
    <col min="7177" max="7178" width="6.7109375" style="551" customWidth="1"/>
    <col min="7179" max="7180" width="8.42578125" style="551" customWidth="1"/>
    <col min="7181" max="7181" width="10" style="551" customWidth="1"/>
    <col min="7182" max="7182" width="8.42578125" style="551" customWidth="1"/>
    <col min="7183" max="7183" width="10.7109375" style="551" customWidth="1"/>
    <col min="7184" max="7184" width="9.7109375" style="551" customWidth="1"/>
    <col min="7185" max="7426" width="9.140625" style="551"/>
    <col min="7427" max="7428" width="11" style="551" customWidth="1"/>
    <col min="7429" max="7429" width="17.85546875" style="551" customWidth="1"/>
    <col min="7430" max="7430" width="7.140625" style="551" customWidth="1"/>
    <col min="7431" max="7432" width="9.140625" style="551"/>
    <col min="7433" max="7434" width="6.7109375" style="551" customWidth="1"/>
    <col min="7435" max="7436" width="8.42578125" style="551" customWidth="1"/>
    <col min="7437" max="7437" width="10" style="551" customWidth="1"/>
    <col min="7438" max="7438" width="8.42578125" style="551" customWidth="1"/>
    <col min="7439" max="7439" width="10.7109375" style="551" customWidth="1"/>
    <col min="7440" max="7440" width="9.7109375" style="551" customWidth="1"/>
    <col min="7441" max="7682" width="9.140625" style="551"/>
    <col min="7683" max="7684" width="11" style="551" customWidth="1"/>
    <col min="7685" max="7685" width="17.85546875" style="551" customWidth="1"/>
    <col min="7686" max="7686" width="7.140625" style="551" customWidth="1"/>
    <col min="7687" max="7688" width="9.140625" style="551"/>
    <col min="7689" max="7690" width="6.7109375" style="551" customWidth="1"/>
    <col min="7691" max="7692" width="8.42578125" style="551" customWidth="1"/>
    <col min="7693" max="7693" width="10" style="551" customWidth="1"/>
    <col min="7694" max="7694" width="8.42578125" style="551" customWidth="1"/>
    <col min="7695" max="7695" width="10.7109375" style="551" customWidth="1"/>
    <col min="7696" max="7696" width="9.7109375" style="551" customWidth="1"/>
    <col min="7697" max="7938" width="9.140625" style="551"/>
    <col min="7939" max="7940" width="11" style="551" customWidth="1"/>
    <col min="7941" max="7941" width="17.85546875" style="551" customWidth="1"/>
    <col min="7942" max="7942" width="7.140625" style="551" customWidth="1"/>
    <col min="7943" max="7944" width="9.140625" style="551"/>
    <col min="7945" max="7946" width="6.7109375" style="551" customWidth="1"/>
    <col min="7947" max="7948" width="8.42578125" style="551" customWidth="1"/>
    <col min="7949" max="7949" width="10" style="551" customWidth="1"/>
    <col min="7950" max="7950" width="8.42578125" style="551" customWidth="1"/>
    <col min="7951" max="7951" width="10.7109375" style="551" customWidth="1"/>
    <col min="7952" max="7952" width="9.7109375" style="551" customWidth="1"/>
    <col min="7953" max="8194" width="9.140625" style="551"/>
    <col min="8195" max="8196" width="11" style="551" customWidth="1"/>
    <col min="8197" max="8197" width="17.85546875" style="551" customWidth="1"/>
    <col min="8198" max="8198" width="7.140625" style="551" customWidth="1"/>
    <col min="8199" max="8200" width="9.140625" style="551"/>
    <col min="8201" max="8202" width="6.7109375" style="551" customWidth="1"/>
    <col min="8203" max="8204" width="8.42578125" style="551" customWidth="1"/>
    <col min="8205" max="8205" width="10" style="551" customWidth="1"/>
    <col min="8206" max="8206" width="8.42578125" style="551" customWidth="1"/>
    <col min="8207" max="8207" width="10.7109375" style="551" customWidth="1"/>
    <col min="8208" max="8208" width="9.7109375" style="551" customWidth="1"/>
    <col min="8209" max="8450" width="9.140625" style="551"/>
    <col min="8451" max="8452" width="11" style="551" customWidth="1"/>
    <col min="8453" max="8453" width="17.85546875" style="551" customWidth="1"/>
    <col min="8454" max="8454" width="7.140625" style="551" customWidth="1"/>
    <col min="8455" max="8456" width="9.140625" style="551"/>
    <col min="8457" max="8458" width="6.7109375" style="551" customWidth="1"/>
    <col min="8459" max="8460" width="8.42578125" style="551" customWidth="1"/>
    <col min="8461" max="8461" width="10" style="551" customWidth="1"/>
    <col min="8462" max="8462" width="8.42578125" style="551" customWidth="1"/>
    <col min="8463" max="8463" width="10.7109375" style="551" customWidth="1"/>
    <col min="8464" max="8464" width="9.7109375" style="551" customWidth="1"/>
    <col min="8465" max="8706" width="9.140625" style="551"/>
    <col min="8707" max="8708" width="11" style="551" customWidth="1"/>
    <col min="8709" max="8709" width="17.85546875" style="551" customWidth="1"/>
    <col min="8710" max="8710" width="7.140625" style="551" customWidth="1"/>
    <col min="8711" max="8712" width="9.140625" style="551"/>
    <col min="8713" max="8714" width="6.7109375" style="551" customWidth="1"/>
    <col min="8715" max="8716" width="8.42578125" style="551" customWidth="1"/>
    <col min="8717" max="8717" width="10" style="551" customWidth="1"/>
    <col min="8718" max="8718" width="8.42578125" style="551" customWidth="1"/>
    <col min="8719" max="8719" width="10.7109375" style="551" customWidth="1"/>
    <col min="8720" max="8720" width="9.7109375" style="551" customWidth="1"/>
    <col min="8721" max="8962" width="9.140625" style="551"/>
    <col min="8963" max="8964" width="11" style="551" customWidth="1"/>
    <col min="8965" max="8965" width="17.85546875" style="551" customWidth="1"/>
    <col min="8966" max="8966" width="7.140625" style="551" customWidth="1"/>
    <col min="8967" max="8968" width="9.140625" style="551"/>
    <col min="8969" max="8970" width="6.7109375" style="551" customWidth="1"/>
    <col min="8971" max="8972" width="8.42578125" style="551" customWidth="1"/>
    <col min="8973" max="8973" width="10" style="551" customWidth="1"/>
    <col min="8974" max="8974" width="8.42578125" style="551" customWidth="1"/>
    <col min="8975" max="8975" width="10.7109375" style="551" customWidth="1"/>
    <col min="8976" max="8976" width="9.7109375" style="551" customWidth="1"/>
    <col min="8977" max="9218" width="9.140625" style="551"/>
    <col min="9219" max="9220" width="11" style="551" customWidth="1"/>
    <col min="9221" max="9221" width="17.85546875" style="551" customWidth="1"/>
    <col min="9222" max="9222" width="7.140625" style="551" customWidth="1"/>
    <col min="9223" max="9224" width="9.140625" style="551"/>
    <col min="9225" max="9226" width="6.7109375" style="551" customWidth="1"/>
    <col min="9227" max="9228" width="8.42578125" style="551" customWidth="1"/>
    <col min="9229" max="9229" width="10" style="551" customWidth="1"/>
    <col min="9230" max="9230" width="8.42578125" style="551" customWidth="1"/>
    <col min="9231" max="9231" width="10.7109375" style="551" customWidth="1"/>
    <col min="9232" max="9232" width="9.7109375" style="551" customWidth="1"/>
    <col min="9233" max="9474" width="9.140625" style="551"/>
    <col min="9475" max="9476" width="11" style="551" customWidth="1"/>
    <col min="9477" max="9477" width="17.85546875" style="551" customWidth="1"/>
    <col min="9478" max="9478" width="7.140625" style="551" customWidth="1"/>
    <col min="9479" max="9480" width="9.140625" style="551"/>
    <col min="9481" max="9482" width="6.7109375" style="551" customWidth="1"/>
    <col min="9483" max="9484" width="8.42578125" style="551" customWidth="1"/>
    <col min="9485" max="9485" width="10" style="551" customWidth="1"/>
    <col min="9486" max="9486" width="8.42578125" style="551" customWidth="1"/>
    <col min="9487" max="9487" width="10.7109375" style="551" customWidth="1"/>
    <col min="9488" max="9488" width="9.7109375" style="551" customWidth="1"/>
    <col min="9489" max="9730" width="9.140625" style="551"/>
    <col min="9731" max="9732" width="11" style="551" customWidth="1"/>
    <col min="9733" max="9733" width="17.85546875" style="551" customWidth="1"/>
    <col min="9734" max="9734" width="7.140625" style="551" customWidth="1"/>
    <col min="9735" max="9736" width="9.140625" style="551"/>
    <col min="9737" max="9738" width="6.7109375" style="551" customWidth="1"/>
    <col min="9739" max="9740" width="8.42578125" style="551" customWidth="1"/>
    <col min="9741" max="9741" width="10" style="551" customWidth="1"/>
    <col min="9742" max="9742" width="8.42578125" style="551" customWidth="1"/>
    <col min="9743" max="9743" width="10.7109375" style="551" customWidth="1"/>
    <col min="9744" max="9744" width="9.7109375" style="551" customWidth="1"/>
    <col min="9745" max="9986" width="9.140625" style="551"/>
    <col min="9987" max="9988" width="11" style="551" customWidth="1"/>
    <col min="9989" max="9989" width="17.85546875" style="551" customWidth="1"/>
    <col min="9990" max="9990" width="7.140625" style="551" customWidth="1"/>
    <col min="9991" max="9992" width="9.140625" style="551"/>
    <col min="9993" max="9994" width="6.7109375" style="551" customWidth="1"/>
    <col min="9995" max="9996" width="8.42578125" style="551" customWidth="1"/>
    <col min="9997" max="9997" width="10" style="551" customWidth="1"/>
    <col min="9998" max="9998" width="8.42578125" style="551" customWidth="1"/>
    <col min="9999" max="9999" width="10.7109375" style="551" customWidth="1"/>
    <col min="10000" max="10000" width="9.7109375" style="551" customWidth="1"/>
    <col min="10001" max="10242" width="9.140625" style="551"/>
    <col min="10243" max="10244" width="11" style="551" customWidth="1"/>
    <col min="10245" max="10245" width="17.85546875" style="551" customWidth="1"/>
    <col min="10246" max="10246" width="7.140625" style="551" customWidth="1"/>
    <col min="10247" max="10248" width="9.140625" style="551"/>
    <col min="10249" max="10250" width="6.7109375" style="551" customWidth="1"/>
    <col min="10251" max="10252" width="8.42578125" style="551" customWidth="1"/>
    <col min="10253" max="10253" width="10" style="551" customWidth="1"/>
    <col min="10254" max="10254" width="8.42578125" style="551" customWidth="1"/>
    <col min="10255" max="10255" width="10.7109375" style="551" customWidth="1"/>
    <col min="10256" max="10256" width="9.7109375" style="551" customWidth="1"/>
    <col min="10257" max="10498" width="9.140625" style="551"/>
    <col min="10499" max="10500" width="11" style="551" customWidth="1"/>
    <col min="10501" max="10501" width="17.85546875" style="551" customWidth="1"/>
    <col min="10502" max="10502" width="7.140625" style="551" customWidth="1"/>
    <col min="10503" max="10504" width="9.140625" style="551"/>
    <col min="10505" max="10506" width="6.7109375" style="551" customWidth="1"/>
    <col min="10507" max="10508" width="8.42578125" style="551" customWidth="1"/>
    <col min="10509" max="10509" width="10" style="551" customWidth="1"/>
    <col min="10510" max="10510" width="8.42578125" style="551" customWidth="1"/>
    <col min="10511" max="10511" width="10.7109375" style="551" customWidth="1"/>
    <col min="10512" max="10512" width="9.7109375" style="551" customWidth="1"/>
    <col min="10513" max="10754" width="9.140625" style="551"/>
    <col min="10755" max="10756" width="11" style="551" customWidth="1"/>
    <col min="10757" max="10757" width="17.85546875" style="551" customWidth="1"/>
    <col min="10758" max="10758" width="7.140625" style="551" customWidth="1"/>
    <col min="10759" max="10760" width="9.140625" style="551"/>
    <col min="10761" max="10762" width="6.7109375" style="551" customWidth="1"/>
    <col min="10763" max="10764" width="8.42578125" style="551" customWidth="1"/>
    <col min="10765" max="10765" width="10" style="551" customWidth="1"/>
    <col min="10766" max="10766" width="8.42578125" style="551" customWidth="1"/>
    <col min="10767" max="10767" width="10.7109375" style="551" customWidth="1"/>
    <col min="10768" max="10768" width="9.7109375" style="551" customWidth="1"/>
    <col min="10769" max="11010" width="9.140625" style="551"/>
    <col min="11011" max="11012" width="11" style="551" customWidth="1"/>
    <col min="11013" max="11013" width="17.85546875" style="551" customWidth="1"/>
    <col min="11014" max="11014" width="7.140625" style="551" customWidth="1"/>
    <col min="11015" max="11016" width="9.140625" style="551"/>
    <col min="11017" max="11018" width="6.7109375" style="551" customWidth="1"/>
    <col min="11019" max="11020" width="8.42578125" style="551" customWidth="1"/>
    <col min="11021" max="11021" width="10" style="551" customWidth="1"/>
    <col min="11022" max="11022" width="8.42578125" style="551" customWidth="1"/>
    <col min="11023" max="11023" width="10.7109375" style="551" customWidth="1"/>
    <col min="11024" max="11024" width="9.7109375" style="551" customWidth="1"/>
    <col min="11025" max="11266" width="9.140625" style="551"/>
    <col min="11267" max="11268" width="11" style="551" customWidth="1"/>
    <col min="11269" max="11269" width="17.85546875" style="551" customWidth="1"/>
    <col min="11270" max="11270" width="7.140625" style="551" customWidth="1"/>
    <col min="11271" max="11272" width="9.140625" style="551"/>
    <col min="11273" max="11274" width="6.7109375" style="551" customWidth="1"/>
    <col min="11275" max="11276" width="8.42578125" style="551" customWidth="1"/>
    <col min="11277" max="11277" width="10" style="551" customWidth="1"/>
    <col min="11278" max="11278" width="8.42578125" style="551" customWidth="1"/>
    <col min="11279" max="11279" width="10.7109375" style="551" customWidth="1"/>
    <col min="11280" max="11280" width="9.7109375" style="551" customWidth="1"/>
    <col min="11281" max="11522" width="9.140625" style="551"/>
    <col min="11523" max="11524" width="11" style="551" customWidth="1"/>
    <col min="11525" max="11525" width="17.85546875" style="551" customWidth="1"/>
    <col min="11526" max="11526" width="7.140625" style="551" customWidth="1"/>
    <col min="11527" max="11528" width="9.140625" style="551"/>
    <col min="11529" max="11530" width="6.7109375" style="551" customWidth="1"/>
    <col min="11531" max="11532" width="8.42578125" style="551" customWidth="1"/>
    <col min="11533" max="11533" width="10" style="551" customWidth="1"/>
    <col min="11534" max="11534" width="8.42578125" style="551" customWidth="1"/>
    <col min="11535" max="11535" width="10.7109375" style="551" customWidth="1"/>
    <col min="11536" max="11536" width="9.7109375" style="551" customWidth="1"/>
    <col min="11537" max="11778" width="9.140625" style="551"/>
    <col min="11779" max="11780" width="11" style="551" customWidth="1"/>
    <col min="11781" max="11781" width="17.85546875" style="551" customWidth="1"/>
    <col min="11782" max="11782" width="7.140625" style="551" customWidth="1"/>
    <col min="11783" max="11784" width="9.140625" style="551"/>
    <col min="11785" max="11786" width="6.7109375" style="551" customWidth="1"/>
    <col min="11787" max="11788" width="8.42578125" style="551" customWidth="1"/>
    <col min="11789" max="11789" width="10" style="551" customWidth="1"/>
    <col min="11790" max="11790" width="8.42578125" style="551" customWidth="1"/>
    <col min="11791" max="11791" width="10.7109375" style="551" customWidth="1"/>
    <col min="11792" max="11792" width="9.7109375" style="551" customWidth="1"/>
    <col min="11793" max="12034" width="9.140625" style="551"/>
    <col min="12035" max="12036" width="11" style="551" customWidth="1"/>
    <col min="12037" max="12037" width="17.85546875" style="551" customWidth="1"/>
    <col min="12038" max="12038" width="7.140625" style="551" customWidth="1"/>
    <col min="12039" max="12040" width="9.140625" style="551"/>
    <col min="12041" max="12042" width="6.7109375" style="551" customWidth="1"/>
    <col min="12043" max="12044" width="8.42578125" style="551" customWidth="1"/>
    <col min="12045" max="12045" width="10" style="551" customWidth="1"/>
    <col min="12046" max="12046" width="8.42578125" style="551" customWidth="1"/>
    <col min="12047" max="12047" width="10.7109375" style="551" customWidth="1"/>
    <col min="12048" max="12048" width="9.7109375" style="551" customWidth="1"/>
    <col min="12049" max="12290" width="9.140625" style="551"/>
    <col min="12291" max="12292" width="11" style="551" customWidth="1"/>
    <col min="12293" max="12293" width="17.85546875" style="551" customWidth="1"/>
    <col min="12294" max="12294" width="7.140625" style="551" customWidth="1"/>
    <col min="12295" max="12296" width="9.140625" style="551"/>
    <col min="12297" max="12298" width="6.7109375" style="551" customWidth="1"/>
    <col min="12299" max="12300" width="8.42578125" style="551" customWidth="1"/>
    <col min="12301" max="12301" width="10" style="551" customWidth="1"/>
    <col min="12302" max="12302" width="8.42578125" style="551" customWidth="1"/>
    <col min="12303" max="12303" width="10.7109375" style="551" customWidth="1"/>
    <col min="12304" max="12304" width="9.7109375" style="551" customWidth="1"/>
    <col min="12305" max="12546" width="9.140625" style="551"/>
    <col min="12547" max="12548" width="11" style="551" customWidth="1"/>
    <col min="12549" max="12549" width="17.85546875" style="551" customWidth="1"/>
    <col min="12550" max="12550" width="7.140625" style="551" customWidth="1"/>
    <col min="12551" max="12552" width="9.140625" style="551"/>
    <col min="12553" max="12554" width="6.7109375" style="551" customWidth="1"/>
    <col min="12555" max="12556" width="8.42578125" style="551" customWidth="1"/>
    <col min="12557" max="12557" width="10" style="551" customWidth="1"/>
    <col min="12558" max="12558" width="8.42578125" style="551" customWidth="1"/>
    <col min="12559" max="12559" width="10.7109375" style="551" customWidth="1"/>
    <col min="12560" max="12560" width="9.7109375" style="551" customWidth="1"/>
    <col min="12561" max="12802" width="9.140625" style="551"/>
    <col min="12803" max="12804" width="11" style="551" customWidth="1"/>
    <col min="12805" max="12805" width="17.85546875" style="551" customWidth="1"/>
    <col min="12806" max="12806" width="7.140625" style="551" customWidth="1"/>
    <col min="12807" max="12808" width="9.140625" style="551"/>
    <col min="12809" max="12810" width="6.7109375" style="551" customWidth="1"/>
    <col min="12811" max="12812" width="8.42578125" style="551" customWidth="1"/>
    <col min="12813" max="12813" width="10" style="551" customWidth="1"/>
    <col min="12814" max="12814" width="8.42578125" style="551" customWidth="1"/>
    <col min="12815" max="12815" width="10.7109375" style="551" customWidth="1"/>
    <col min="12816" max="12816" width="9.7109375" style="551" customWidth="1"/>
    <col min="12817" max="13058" width="9.140625" style="551"/>
    <col min="13059" max="13060" width="11" style="551" customWidth="1"/>
    <col min="13061" max="13061" width="17.85546875" style="551" customWidth="1"/>
    <col min="13062" max="13062" width="7.140625" style="551" customWidth="1"/>
    <col min="13063" max="13064" width="9.140625" style="551"/>
    <col min="13065" max="13066" width="6.7109375" style="551" customWidth="1"/>
    <col min="13067" max="13068" width="8.42578125" style="551" customWidth="1"/>
    <col min="13069" max="13069" width="10" style="551" customWidth="1"/>
    <col min="13070" max="13070" width="8.42578125" style="551" customWidth="1"/>
    <col min="13071" max="13071" width="10.7109375" style="551" customWidth="1"/>
    <col min="13072" max="13072" width="9.7109375" style="551" customWidth="1"/>
    <col min="13073" max="13314" width="9.140625" style="551"/>
    <col min="13315" max="13316" width="11" style="551" customWidth="1"/>
    <col min="13317" max="13317" width="17.85546875" style="551" customWidth="1"/>
    <col min="13318" max="13318" width="7.140625" style="551" customWidth="1"/>
    <col min="13319" max="13320" width="9.140625" style="551"/>
    <col min="13321" max="13322" width="6.7109375" style="551" customWidth="1"/>
    <col min="13323" max="13324" width="8.42578125" style="551" customWidth="1"/>
    <col min="13325" max="13325" width="10" style="551" customWidth="1"/>
    <col min="13326" max="13326" width="8.42578125" style="551" customWidth="1"/>
    <col min="13327" max="13327" width="10.7109375" style="551" customWidth="1"/>
    <col min="13328" max="13328" width="9.7109375" style="551" customWidth="1"/>
    <col min="13329" max="13570" width="9.140625" style="551"/>
    <col min="13571" max="13572" width="11" style="551" customWidth="1"/>
    <col min="13573" max="13573" width="17.85546875" style="551" customWidth="1"/>
    <col min="13574" max="13574" width="7.140625" style="551" customWidth="1"/>
    <col min="13575" max="13576" width="9.140625" style="551"/>
    <col min="13577" max="13578" width="6.7109375" style="551" customWidth="1"/>
    <col min="13579" max="13580" width="8.42578125" style="551" customWidth="1"/>
    <col min="13581" max="13581" width="10" style="551" customWidth="1"/>
    <col min="13582" max="13582" width="8.42578125" style="551" customWidth="1"/>
    <col min="13583" max="13583" width="10.7109375" style="551" customWidth="1"/>
    <col min="13584" max="13584" width="9.7109375" style="551" customWidth="1"/>
    <col min="13585" max="13826" width="9.140625" style="551"/>
    <col min="13827" max="13828" width="11" style="551" customWidth="1"/>
    <col min="13829" max="13829" width="17.85546875" style="551" customWidth="1"/>
    <col min="13830" max="13830" width="7.140625" style="551" customWidth="1"/>
    <col min="13831" max="13832" width="9.140625" style="551"/>
    <col min="13833" max="13834" width="6.7109375" style="551" customWidth="1"/>
    <col min="13835" max="13836" width="8.42578125" style="551" customWidth="1"/>
    <col min="13837" max="13837" width="10" style="551" customWidth="1"/>
    <col min="13838" max="13838" width="8.42578125" style="551" customWidth="1"/>
    <col min="13839" max="13839" width="10.7109375" style="551" customWidth="1"/>
    <col min="13840" max="13840" width="9.7109375" style="551" customWidth="1"/>
    <col min="13841" max="14082" width="9.140625" style="551"/>
    <col min="14083" max="14084" width="11" style="551" customWidth="1"/>
    <col min="14085" max="14085" width="17.85546875" style="551" customWidth="1"/>
    <col min="14086" max="14086" width="7.140625" style="551" customWidth="1"/>
    <col min="14087" max="14088" width="9.140625" style="551"/>
    <col min="14089" max="14090" width="6.7109375" style="551" customWidth="1"/>
    <col min="14091" max="14092" width="8.42578125" style="551" customWidth="1"/>
    <col min="14093" max="14093" width="10" style="551" customWidth="1"/>
    <col min="14094" max="14094" width="8.42578125" style="551" customWidth="1"/>
    <col min="14095" max="14095" width="10.7109375" style="551" customWidth="1"/>
    <col min="14096" max="14096" width="9.7109375" style="551" customWidth="1"/>
    <col min="14097" max="14338" width="9.140625" style="551"/>
    <col min="14339" max="14340" width="11" style="551" customWidth="1"/>
    <col min="14341" max="14341" width="17.85546875" style="551" customWidth="1"/>
    <col min="14342" max="14342" width="7.140625" style="551" customWidth="1"/>
    <col min="14343" max="14344" width="9.140625" style="551"/>
    <col min="14345" max="14346" width="6.7109375" style="551" customWidth="1"/>
    <col min="14347" max="14348" width="8.42578125" style="551" customWidth="1"/>
    <col min="14349" max="14349" width="10" style="551" customWidth="1"/>
    <col min="14350" max="14350" width="8.42578125" style="551" customWidth="1"/>
    <col min="14351" max="14351" width="10.7109375" style="551" customWidth="1"/>
    <col min="14352" max="14352" width="9.7109375" style="551" customWidth="1"/>
    <col min="14353" max="14594" width="9.140625" style="551"/>
    <col min="14595" max="14596" width="11" style="551" customWidth="1"/>
    <col min="14597" max="14597" width="17.85546875" style="551" customWidth="1"/>
    <col min="14598" max="14598" width="7.140625" style="551" customWidth="1"/>
    <col min="14599" max="14600" width="9.140625" style="551"/>
    <col min="14601" max="14602" width="6.7109375" style="551" customWidth="1"/>
    <col min="14603" max="14604" width="8.42578125" style="551" customWidth="1"/>
    <col min="14605" max="14605" width="10" style="551" customWidth="1"/>
    <col min="14606" max="14606" width="8.42578125" style="551" customWidth="1"/>
    <col min="14607" max="14607" width="10.7109375" style="551" customWidth="1"/>
    <col min="14608" max="14608" width="9.7109375" style="551" customWidth="1"/>
    <col min="14609" max="14850" width="9.140625" style="551"/>
    <col min="14851" max="14852" width="11" style="551" customWidth="1"/>
    <col min="14853" max="14853" width="17.85546875" style="551" customWidth="1"/>
    <col min="14854" max="14854" width="7.140625" style="551" customWidth="1"/>
    <col min="14855" max="14856" width="9.140625" style="551"/>
    <col min="14857" max="14858" width="6.7109375" style="551" customWidth="1"/>
    <col min="14859" max="14860" width="8.42578125" style="551" customWidth="1"/>
    <col min="14861" max="14861" width="10" style="551" customWidth="1"/>
    <col min="14862" max="14862" width="8.42578125" style="551" customWidth="1"/>
    <col min="14863" max="14863" width="10.7109375" style="551" customWidth="1"/>
    <col min="14864" max="14864" width="9.7109375" style="551" customWidth="1"/>
    <col min="14865" max="15106" width="9.140625" style="551"/>
    <col min="15107" max="15108" width="11" style="551" customWidth="1"/>
    <col min="15109" max="15109" width="17.85546875" style="551" customWidth="1"/>
    <col min="15110" max="15110" width="7.140625" style="551" customWidth="1"/>
    <col min="15111" max="15112" width="9.140625" style="551"/>
    <col min="15113" max="15114" width="6.7109375" style="551" customWidth="1"/>
    <col min="15115" max="15116" width="8.42578125" style="551" customWidth="1"/>
    <col min="15117" max="15117" width="10" style="551" customWidth="1"/>
    <col min="15118" max="15118" width="8.42578125" style="551" customWidth="1"/>
    <col min="15119" max="15119" width="10.7109375" style="551" customWidth="1"/>
    <col min="15120" max="15120" width="9.7109375" style="551" customWidth="1"/>
    <col min="15121" max="15362" width="9.140625" style="551"/>
    <col min="15363" max="15364" width="11" style="551" customWidth="1"/>
    <col min="15365" max="15365" width="17.85546875" style="551" customWidth="1"/>
    <col min="15366" max="15366" width="7.140625" style="551" customWidth="1"/>
    <col min="15367" max="15368" width="9.140625" style="551"/>
    <col min="15369" max="15370" width="6.7109375" style="551" customWidth="1"/>
    <col min="15371" max="15372" width="8.42578125" style="551" customWidth="1"/>
    <col min="15373" max="15373" width="10" style="551" customWidth="1"/>
    <col min="15374" max="15374" width="8.42578125" style="551" customWidth="1"/>
    <col min="15375" max="15375" width="10.7109375" style="551" customWidth="1"/>
    <col min="15376" max="15376" width="9.7109375" style="551" customWidth="1"/>
    <col min="15377" max="15618" width="9.140625" style="551"/>
    <col min="15619" max="15620" width="11" style="551" customWidth="1"/>
    <col min="15621" max="15621" width="17.85546875" style="551" customWidth="1"/>
    <col min="15622" max="15622" width="7.140625" style="551" customWidth="1"/>
    <col min="15623" max="15624" width="9.140625" style="551"/>
    <col min="15625" max="15626" width="6.7109375" style="551" customWidth="1"/>
    <col min="15627" max="15628" width="8.42578125" style="551" customWidth="1"/>
    <col min="15629" max="15629" width="10" style="551" customWidth="1"/>
    <col min="15630" max="15630" width="8.42578125" style="551" customWidth="1"/>
    <col min="15631" max="15631" width="10.7109375" style="551" customWidth="1"/>
    <col min="15632" max="15632" width="9.7109375" style="551" customWidth="1"/>
    <col min="15633" max="15874" width="9.140625" style="551"/>
    <col min="15875" max="15876" width="11" style="551" customWidth="1"/>
    <col min="15877" max="15877" width="17.85546875" style="551" customWidth="1"/>
    <col min="15878" max="15878" width="7.140625" style="551" customWidth="1"/>
    <col min="15879" max="15880" width="9.140625" style="551"/>
    <col min="15881" max="15882" width="6.7109375" style="551" customWidth="1"/>
    <col min="15883" max="15884" width="8.42578125" style="551" customWidth="1"/>
    <col min="15885" max="15885" width="10" style="551" customWidth="1"/>
    <col min="15886" max="15886" width="8.42578125" style="551" customWidth="1"/>
    <col min="15887" max="15887" width="10.7109375" style="551" customWidth="1"/>
    <col min="15888" max="15888" width="9.7109375" style="551" customWidth="1"/>
    <col min="15889" max="16130" width="9.140625" style="551"/>
    <col min="16131" max="16132" width="11" style="551" customWidth="1"/>
    <col min="16133" max="16133" width="17.85546875" style="551" customWidth="1"/>
    <col min="16134" max="16134" width="7.140625" style="551" customWidth="1"/>
    <col min="16135" max="16136" width="9.140625" style="551"/>
    <col min="16137" max="16138" width="6.7109375" style="551" customWidth="1"/>
    <col min="16139" max="16140" width="8.42578125" style="551" customWidth="1"/>
    <col min="16141" max="16141" width="10" style="551" customWidth="1"/>
    <col min="16142" max="16142" width="8.42578125" style="551" customWidth="1"/>
    <col min="16143" max="16143" width="10.7109375" style="551" customWidth="1"/>
    <col min="16144" max="16144" width="9.7109375" style="551" customWidth="1"/>
    <col min="16145" max="16384" width="9.140625" style="551"/>
  </cols>
  <sheetData>
    <row r="1" spans="1:19" s="165" customFormat="1" ht="15" customHeight="1" x14ac:dyDescent="0.25">
      <c r="A1" s="535"/>
      <c r="B1" s="160" t="s">
        <v>220</v>
      </c>
      <c r="C1" s="161" t="str">
        <f>Obra!D1</f>
        <v>Atlantia</v>
      </c>
      <c r="D1" s="536"/>
      <c r="E1" s="536"/>
      <c r="F1" s="536"/>
      <c r="G1" s="536"/>
      <c r="H1" s="536"/>
      <c r="I1" s="536"/>
      <c r="J1" s="536"/>
      <c r="K1" s="536"/>
      <c r="L1" s="536"/>
      <c r="M1" s="536"/>
      <c r="N1" s="537"/>
      <c r="O1" s="538"/>
      <c r="P1" s="539"/>
      <c r="Q1" s="164"/>
      <c r="R1" s="164"/>
      <c r="S1" s="164"/>
    </row>
    <row r="2" spans="1:19" s="116" customFormat="1" ht="15" customHeight="1" x14ac:dyDescent="0.25">
      <c r="A2" s="540"/>
      <c r="B2" s="160" t="s">
        <v>1</v>
      </c>
      <c r="C2" s="166" t="str">
        <f>Obra!D2</f>
        <v>H empreendimentos</v>
      </c>
      <c r="D2" s="161"/>
      <c r="E2" s="161"/>
      <c r="F2" s="161"/>
      <c r="G2" s="161"/>
      <c r="H2" s="161"/>
      <c r="I2" s="161"/>
      <c r="J2" s="161"/>
      <c r="K2" s="161"/>
      <c r="L2" s="161"/>
      <c r="M2" s="161"/>
      <c r="N2" s="541"/>
      <c r="O2" s="542"/>
      <c r="P2" s="543"/>
    </row>
    <row r="3" spans="1:19" s="116" customFormat="1" ht="15" customHeight="1" x14ac:dyDescent="0.25">
      <c r="A3" s="544"/>
      <c r="B3" s="160" t="s">
        <v>675</v>
      </c>
      <c r="C3" s="161" t="str">
        <f>Obra!D3</f>
        <v>R03 - Valquiria</v>
      </c>
      <c r="D3" s="161"/>
      <c r="E3" s="161"/>
      <c r="F3" s="161"/>
      <c r="G3" s="161"/>
      <c r="H3" s="161"/>
      <c r="I3" s="161"/>
      <c r="L3" s="545"/>
      <c r="M3" s="546"/>
      <c r="N3" s="547"/>
      <c r="O3" s="548"/>
      <c r="P3" s="549"/>
    </row>
    <row r="4" spans="1:19" s="172" customFormat="1" ht="20.45" customHeight="1" x14ac:dyDescent="0.2">
      <c r="A4" s="1025" t="s">
        <v>676</v>
      </c>
      <c r="B4" s="1025"/>
      <c r="C4" s="1025"/>
      <c r="D4" s="1025"/>
      <c r="E4" s="1025"/>
      <c r="F4" s="1025"/>
      <c r="G4" s="1025"/>
      <c r="H4" s="1025"/>
      <c r="I4" s="1025"/>
      <c r="J4" s="1025"/>
      <c r="K4" s="1025"/>
      <c r="L4" s="1088"/>
      <c r="M4" s="1088"/>
      <c r="N4" s="1088"/>
      <c r="O4" s="1088"/>
      <c r="P4" s="1088"/>
    </row>
    <row r="5" spans="1:19" ht="12" customHeight="1" x14ac:dyDescent="0.25">
      <c r="A5" s="1089" t="s">
        <v>677</v>
      </c>
      <c r="B5" s="1090" t="s">
        <v>678</v>
      </c>
      <c r="C5" s="1090" t="s">
        <v>679</v>
      </c>
      <c r="D5" s="1091" t="s">
        <v>680</v>
      </c>
      <c r="E5" s="1092"/>
      <c r="F5" s="1092"/>
      <c r="G5" s="1093"/>
      <c r="H5" s="1094" t="s">
        <v>56</v>
      </c>
      <c r="I5" s="1090" t="s">
        <v>681</v>
      </c>
      <c r="J5" s="1090" t="s">
        <v>682</v>
      </c>
      <c r="K5" s="1097" t="s">
        <v>683</v>
      </c>
      <c r="L5" s="1089"/>
      <c r="M5" s="1100" t="s">
        <v>684</v>
      </c>
      <c r="N5" s="1101"/>
      <c r="O5" s="1101"/>
      <c r="P5" s="550" t="s">
        <v>685</v>
      </c>
    </row>
    <row r="6" spans="1:19" ht="11.25" customHeight="1" x14ac:dyDescent="0.25">
      <c r="A6" s="1089"/>
      <c r="B6" s="1090"/>
      <c r="C6" s="1090"/>
      <c r="D6" s="552" t="s">
        <v>686</v>
      </c>
      <c r="E6" s="552" t="s">
        <v>687</v>
      </c>
      <c r="F6" s="552" t="s">
        <v>688</v>
      </c>
      <c r="G6" s="552" t="s">
        <v>689</v>
      </c>
      <c r="H6" s="1095"/>
      <c r="I6" s="1096"/>
      <c r="J6" s="1096"/>
      <c r="K6" s="1098"/>
      <c r="L6" s="1099"/>
      <c r="M6" s="553">
        <v>1.5</v>
      </c>
      <c r="N6" s="554">
        <v>11</v>
      </c>
      <c r="O6" s="554">
        <v>11</v>
      </c>
      <c r="P6" s="555" t="s">
        <v>690</v>
      </c>
    </row>
    <row r="7" spans="1:19" ht="12" customHeight="1" x14ac:dyDescent="0.25">
      <c r="A7" s="1089"/>
      <c r="B7" s="1090"/>
      <c r="C7" s="1090"/>
      <c r="D7" s="556" t="s">
        <v>54</v>
      </c>
      <c r="E7" s="556" t="s">
        <v>54</v>
      </c>
      <c r="F7" s="556" t="s">
        <v>54</v>
      </c>
      <c r="G7" s="556" t="s">
        <v>54</v>
      </c>
      <c r="H7" s="557" t="s">
        <v>54</v>
      </c>
      <c r="I7" s="557" t="s">
        <v>434</v>
      </c>
      <c r="J7" s="557" t="s">
        <v>434</v>
      </c>
      <c r="K7" s="558" t="s">
        <v>434</v>
      </c>
      <c r="L7" s="552" t="s">
        <v>678</v>
      </c>
      <c r="M7" s="559">
        <v>6.3</v>
      </c>
      <c r="N7" s="559">
        <v>16</v>
      </c>
      <c r="O7" s="559">
        <v>20</v>
      </c>
      <c r="P7" s="560">
        <f>SUM(M9:O10)</f>
        <v>14620</v>
      </c>
    </row>
    <row r="8" spans="1:19" s="564" customFormat="1" ht="17.45" customHeight="1" x14ac:dyDescent="0.25">
      <c r="A8" s="561" t="s">
        <v>783</v>
      </c>
      <c r="B8" s="561"/>
      <c r="C8" s="561"/>
      <c r="D8" s="561"/>
      <c r="E8" s="561"/>
      <c r="F8" s="562"/>
      <c r="G8" s="562"/>
      <c r="H8" s="562"/>
      <c r="I8" s="562"/>
      <c r="J8" s="562"/>
      <c r="K8" s="562"/>
      <c r="L8" s="562"/>
      <c r="M8" s="562"/>
      <c r="N8" s="562"/>
      <c r="O8" s="562"/>
      <c r="P8" s="562"/>
      <c r="Q8" s="563"/>
    </row>
    <row r="9" spans="1:19" s="564" customFormat="1" ht="12" x14ac:dyDescent="0.25">
      <c r="A9" s="565" t="s">
        <v>190</v>
      </c>
      <c r="B9" s="566" t="s">
        <v>691</v>
      </c>
      <c r="C9" s="567">
        <v>29</v>
      </c>
      <c r="D9" s="568"/>
      <c r="E9" s="569">
        <v>28</v>
      </c>
      <c r="F9" s="570">
        <f>IF(B9="","",VLOOKUP(B9,$F$12:$G$20,2,0))</f>
        <v>0.5</v>
      </c>
      <c r="G9" s="570">
        <f>IF(C9="","",ROUNDUP((E9-D9),1))</f>
        <v>28</v>
      </c>
      <c r="H9" s="570">
        <f>IF(C9="","",C9*G9)</f>
        <v>812</v>
      </c>
      <c r="I9" s="570">
        <f>IF(C9="","",PI()*((F9/2)^2)*H9)</f>
        <v>159.435827169682</v>
      </c>
      <c r="J9" s="570">
        <f>IF(C9="","",I9*1.3)</f>
        <v>207.26657532058661</v>
      </c>
      <c r="K9" s="571">
        <f>IF(C9="","",I9)</f>
        <v>159.435827169682</v>
      </c>
      <c r="L9" s="572" t="s">
        <v>692</v>
      </c>
      <c r="M9" s="573">
        <v>1657</v>
      </c>
      <c r="N9" s="573">
        <v>970</v>
      </c>
      <c r="O9" s="573">
        <v>11993</v>
      </c>
      <c r="P9" s="570">
        <f>(O9+M9)/K9</f>
        <v>85.61438318046784</v>
      </c>
    </row>
    <row r="10" spans="1:19" s="564" customFormat="1" ht="12.75" thickBot="1" x14ac:dyDescent="0.3">
      <c r="A10" s="565" t="s">
        <v>190</v>
      </c>
      <c r="B10" s="566" t="s">
        <v>693</v>
      </c>
      <c r="C10" s="567">
        <v>103</v>
      </c>
      <c r="D10" s="568"/>
      <c r="E10" s="569">
        <v>28</v>
      </c>
      <c r="F10" s="570">
        <f>IF(B10="","",VLOOKUP(B10,$F$12:$G$20,2,0))</f>
        <v>0.6</v>
      </c>
      <c r="G10" s="570">
        <f t="shared" ref="G10" si="0">IF(C10="","",ROUNDUP((E10-D10),1))</f>
        <v>28</v>
      </c>
      <c r="H10" s="570">
        <f t="shared" ref="H10" si="1">IF(C10="","",C10*G10)</f>
        <v>2884</v>
      </c>
      <c r="I10" s="570">
        <f t="shared" ref="I10" si="2">IF(C10="","",PI()*((F10/2)^2)*H10)</f>
        <v>815.43178916576676</v>
      </c>
      <c r="J10" s="570">
        <f t="shared" ref="J10" si="3">IF(C10="","",I10*1.3)</f>
        <v>1060.0613259154968</v>
      </c>
      <c r="K10" s="571">
        <f t="shared" ref="K10" si="4">IF(C10="","",I10)</f>
        <v>815.43178916576676</v>
      </c>
      <c r="L10" s="572" t="s">
        <v>692</v>
      </c>
      <c r="M10" s="573"/>
      <c r="N10" s="573"/>
      <c r="O10" s="573"/>
      <c r="P10" s="570">
        <f>(O10+M10)/K10</f>
        <v>0</v>
      </c>
    </row>
    <row r="11" spans="1:19" s="564" customFormat="1" ht="15" customHeight="1" thickTop="1" thickBot="1" x14ac:dyDescent="0.3">
      <c r="A11" s="574" t="s">
        <v>694</v>
      </c>
      <c r="B11" s="575" t="s">
        <v>695</v>
      </c>
      <c r="C11" s="576">
        <f>SUM(C8:C10)</f>
        <v>132</v>
      </c>
      <c r="D11" s="576"/>
      <c r="E11" s="577"/>
      <c r="F11" s="578"/>
      <c r="G11" s="577"/>
      <c r="H11" s="579">
        <f>SUM(H8:H10)</f>
        <v>3696</v>
      </c>
      <c r="I11" s="579">
        <f>SUM(I$8:I10)</f>
        <v>974.8676163354487</v>
      </c>
      <c r="J11" s="579">
        <f>SUM(J$8:J10)</f>
        <v>1267.3279012360833</v>
      </c>
      <c r="K11" s="579">
        <f>SUM(K$8:K10)</f>
        <v>974.8676163354487</v>
      </c>
      <c r="L11" s="579"/>
      <c r="M11" s="579">
        <f>SUM(M$8:M10)</f>
        <v>1657</v>
      </c>
      <c r="N11" s="579">
        <f>SUM(N$8:N10)</f>
        <v>970</v>
      </c>
      <c r="O11" s="579">
        <f>SUM(O$8:O10)</f>
        <v>11993</v>
      </c>
      <c r="P11" s="580">
        <f>SUM(P$8:P10)</f>
        <v>85.61438318046784</v>
      </c>
    </row>
    <row r="12" spans="1:19" s="564" customFormat="1" ht="15" customHeight="1" thickTop="1" x14ac:dyDescent="0.25">
      <c r="A12" s="581" t="s">
        <v>696</v>
      </c>
      <c r="C12" s="582"/>
      <c r="F12" s="583" t="s">
        <v>697</v>
      </c>
      <c r="G12" s="584">
        <v>0.35</v>
      </c>
      <c r="H12" s="585">
        <f t="shared" ref="H12:H20" si="5">SUMIF($B$8:$B$10,$F12,$H$8:$H$10)</f>
        <v>0</v>
      </c>
      <c r="I12" s="586"/>
      <c r="J12" s="586"/>
      <c r="K12" s="587">
        <f t="shared" ref="K12:K20" si="6">SUMIF($L$8:$L$10,$L12,$K$8:$K$10)</f>
        <v>0</v>
      </c>
      <c r="L12" s="588" t="s">
        <v>698</v>
      </c>
      <c r="M12" s="589"/>
      <c r="N12" s="589"/>
      <c r="O12" s="589"/>
      <c r="P12" s="586"/>
    </row>
    <row r="13" spans="1:19" s="564" customFormat="1" ht="15" customHeight="1" x14ac:dyDescent="0.25">
      <c r="A13" s="586"/>
      <c r="B13" s="586"/>
      <c r="C13" s="586"/>
      <c r="D13" s="586"/>
      <c r="F13" s="583" t="s">
        <v>699</v>
      </c>
      <c r="G13" s="584">
        <v>0.4</v>
      </c>
      <c r="H13" s="587">
        <f t="shared" si="5"/>
        <v>0</v>
      </c>
      <c r="I13" s="586"/>
      <c r="J13" s="586"/>
      <c r="K13" s="587">
        <f t="shared" si="6"/>
        <v>0</v>
      </c>
      <c r="L13" s="588" t="s">
        <v>700</v>
      </c>
      <c r="M13" s="589"/>
      <c r="N13" s="589"/>
      <c r="O13" s="589"/>
      <c r="P13" s="586"/>
    </row>
    <row r="14" spans="1:19" s="564" customFormat="1" ht="15" customHeight="1" x14ac:dyDescent="0.25">
      <c r="A14" s="586"/>
      <c r="B14" s="586"/>
      <c r="C14" s="586"/>
      <c r="D14" s="586"/>
      <c r="F14" s="583" t="s">
        <v>691</v>
      </c>
      <c r="G14" s="584">
        <v>0.5</v>
      </c>
      <c r="H14" s="587">
        <f t="shared" si="5"/>
        <v>812</v>
      </c>
      <c r="I14" s="586"/>
      <c r="J14" s="586"/>
      <c r="K14" s="587">
        <f t="shared" si="6"/>
        <v>0</v>
      </c>
      <c r="L14" s="588" t="s">
        <v>701</v>
      </c>
      <c r="M14" s="589"/>
      <c r="N14" s="589"/>
      <c r="O14" s="589"/>
      <c r="P14" s="586"/>
    </row>
    <row r="15" spans="1:19" s="564" customFormat="1" ht="15" customHeight="1" x14ac:dyDescent="0.25">
      <c r="A15" s="586"/>
      <c r="B15" s="586"/>
      <c r="C15" s="586"/>
      <c r="D15" s="586"/>
      <c r="F15" s="583" t="s">
        <v>693</v>
      </c>
      <c r="G15" s="584">
        <v>0.6</v>
      </c>
      <c r="H15" s="587">
        <f t="shared" si="5"/>
        <v>2884</v>
      </c>
      <c r="I15" s="586"/>
      <c r="J15" s="586"/>
      <c r="K15" s="587">
        <f t="shared" si="6"/>
        <v>0</v>
      </c>
      <c r="L15" s="588" t="s">
        <v>702</v>
      </c>
      <c r="M15" s="589"/>
      <c r="N15" s="589"/>
      <c r="O15" s="589"/>
      <c r="P15" s="586"/>
    </row>
    <row r="16" spans="1:19" s="564" customFormat="1" ht="15" customHeight="1" x14ac:dyDescent="0.25">
      <c r="A16" s="586"/>
      <c r="B16" s="586"/>
      <c r="C16" s="586"/>
      <c r="D16" s="586"/>
      <c r="F16" s="583" t="s">
        <v>703</v>
      </c>
      <c r="G16" s="584">
        <v>0.7</v>
      </c>
      <c r="H16" s="587">
        <f t="shared" si="5"/>
        <v>0</v>
      </c>
      <c r="I16" s="586"/>
      <c r="J16" s="586"/>
      <c r="K16" s="587">
        <f t="shared" si="6"/>
        <v>0</v>
      </c>
      <c r="L16" s="588" t="s">
        <v>704</v>
      </c>
      <c r="M16" s="589"/>
      <c r="N16" s="589"/>
      <c r="O16" s="589"/>
      <c r="P16" s="586"/>
    </row>
    <row r="17" spans="1:16" s="564" customFormat="1" ht="15" customHeight="1" x14ac:dyDescent="0.25">
      <c r="A17" s="586"/>
      <c r="B17" s="586"/>
      <c r="C17" s="586"/>
      <c r="D17" s="586"/>
      <c r="F17" s="583" t="s">
        <v>705</v>
      </c>
      <c r="G17" s="584">
        <v>0.8</v>
      </c>
      <c r="H17" s="587">
        <f t="shared" si="5"/>
        <v>0</v>
      </c>
      <c r="I17" s="586"/>
      <c r="J17" s="586"/>
      <c r="K17" s="587">
        <f t="shared" si="6"/>
        <v>974.8676163354487</v>
      </c>
      <c r="L17" s="588" t="s">
        <v>692</v>
      </c>
      <c r="M17" s="589"/>
      <c r="N17" s="589"/>
      <c r="O17" s="589"/>
      <c r="P17" s="586"/>
    </row>
    <row r="18" spans="1:16" s="564" customFormat="1" ht="15" customHeight="1" x14ac:dyDescent="0.25">
      <c r="A18" s="586"/>
      <c r="B18" s="586"/>
      <c r="C18" s="586"/>
      <c r="D18" s="586"/>
      <c r="F18" s="583" t="s">
        <v>706</v>
      </c>
      <c r="G18" s="584">
        <v>0.9</v>
      </c>
      <c r="H18" s="587">
        <f t="shared" si="5"/>
        <v>0</v>
      </c>
      <c r="I18" s="586"/>
      <c r="J18" s="586"/>
      <c r="K18" s="587">
        <f t="shared" si="6"/>
        <v>0</v>
      </c>
      <c r="L18" s="588" t="s">
        <v>707</v>
      </c>
      <c r="M18" s="589"/>
      <c r="N18" s="589"/>
      <c r="O18" s="589"/>
      <c r="P18" s="586"/>
    </row>
    <row r="19" spans="1:16" ht="12" x14ac:dyDescent="0.25">
      <c r="F19" s="583" t="s">
        <v>708</v>
      </c>
      <c r="G19" s="584">
        <v>0.7</v>
      </c>
      <c r="H19" s="587">
        <f t="shared" si="5"/>
        <v>0</v>
      </c>
      <c r="I19" s="586"/>
      <c r="K19" s="587">
        <f t="shared" si="6"/>
        <v>0</v>
      </c>
      <c r="L19" s="588" t="s">
        <v>707</v>
      </c>
      <c r="M19" s="589"/>
      <c r="N19" s="589"/>
      <c r="O19" s="589"/>
    </row>
    <row r="20" spans="1:16" ht="12" x14ac:dyDescent="0.25">
      <c r="F20" s="583" t="s">
        <v>188</v>
      </c>
      <c r="G20" s="590"/>
      <c r="H20" s="587">
        <f t="shared" si="5"/>
        <v>0</v>
      </c>
      <c r="I20" s="586"/>
      <c r="K20" s="587">
        <f t="shared" si="6"/>
        <v>0</v>
      </c>
      <c r="L20" s="588" t="s">
        <v>707</v>
      </c>
      <c r="M20" s="589"/>
      <c r="N20" s="589"/>
      <c r="O20" s="589"/>
    </row>
  </sheetData>
  <mergeCells count="10">
    <mergeCell ref="A4:P4"/>
    <mergeCell ref="A5:A7"/>
    <mergeCell ref="B5:B7"/>
    <mergeCell ref="C5:C7"/>
    <mergeCell ref="D5:G5"/>
    <mergeCell ref="H5:H6"/>
    <mergeCell ref="I5:I6"/>
    <mergeCell ref="J5:J6"/>
    <mergeCell ref="K5:L6"/>
    <mergeCell ref="M5:O5"/>
  </mergeCells>
  <dataValidations count="3">
    <dataValidation type="list" allowBlank="1" showInputMessage="1" showErrorMessage="1" sqref="L8:O8" xr:uid="{00000000-0002-0000-0C00-000000000000}">
      <formula1>$L$12:$L$17</formula1>
    </dataValidation>
    <dataValidation type="list" allowBlank="1" showInputMessage="1" showErrorMessage="1" sqref="L9:L10" xr:uid="{00000000-0002-0000-0C00-000001000000}">
      <formula1>$L$12:$L$20</formula1>
    </dataValidation>
    <dataValidation type="list" allowBlank="1" showInputMessage="1" showErrorMessage="1" sqref="B9:B10" xr:uid="{00000000-0002-0000-0C00-000002000000}">
      <formula1>$F$12:$F$20</formula1>
    </dataValidation>
  </dataValidations>
  <printOptions horizontalCentered="1"/>
  <pageMargins left="0.39370078740157483" right="0" top="0.39370078740157483" bottom="0.39370078740157483" header="0" footer="0.19685039370078741"/>
  <pageSetup paperSize="9" scale="42" orientation="portrait" r:id="rId1"/>
  <headerFooter alignWithMargins="0">
    <oddFooter>&amp;L&amp;F - &amp;A&amp;R&amp;P / &amp;N</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pageSetUpPr fitToPage="1"/>
  </sheetPr>
  <dimension ref="A1:AG268"/>
  <sheetViews>
    <sheetView showGridLines="0" view="pageBreakPreview" zoomScale="85" zoomScaleNormal="70" zoomScaleSheetLayoutView="85" workbookViewId="0">
      <pane xSplit="9" ySplit="9" topLeftCell="K10" activePane="bottomRight" state="frozen"/>
      <selection activeCell="K26" sqref="K26"/>
      <selection pane="topRight" activeCell="K26" sqref="K26"/>
      <selection pane="bottomLeft" activeCell="K26" sqref="K26"/>
      <selection pane="bottomRight" activeCell="G11" sqref="G11"/>
    </sheetView>
  </sheetViews>
  <sheetFormatPr defaultRowHeight="11.25" x14ac:dyDescent="0.25"/>
  <cols>
    <col min="1" max="1" width="13.7109375" style="551" customWidth="1"/>
    <col min="2" max="2" width="8" style="551" customWidth="1"/>
    <col min="3" max="3" width="7.28515625" style="551" customWidth="1"/>
    <col min="4" max="4" width="11.42578125" style="551" customWidth="1"/>
    <col min="5" max="5" width="20.7109375" style="551" bestFit="1" customWidth="1"/>
    <col min="6" max="7" width="11.42578125" style="551" customWidth="1"/>
    <col min="8" max="8" width="16.5703125" style="551" bestFit="1" customWidth="1"/>
    <col min="9" max="13" width="11.42578125" style="551" customWidth="1"/>
    <col min="14" max="14" width="8.7109375" style="551" bestFit="1" customWidth="1"/>
    <col min="15" max="15" width="11.42578125" style="551" customWidth="1"/>
    <col min="16" max="16" width="14.7109375" style="551" bestFit="1" customWidth="1"/>
    <col min="17" max="20" width="11.42578125" style="551" customWidth="1"/>
    <col min="21" max="21" width="10.28515625" style="551" customWidth="1"/>
    <col min="22" max="22" width="6.85546875" style="551" bestFit="1" customWidth="1"/>
    <col min="23" max="23" width="6.5703125" style="551" customWidth="1"/>
    <col min="24" max="28" width="9.140625" style="551"/>
    <col min="29" max="29" width="1.5703125" style="551" customWidth="1"/>
    <col min="30" max="254" width="9.140625" style="551"/>
    <col min="255" max="255" width="18.7109375" style="551" customWidth="1"/>
    <col min="256" max="256" width="25.140625" style="551" customWidth="1"/>
    <col min="257" max="259" width="7.5703125" style="551" customWidth="1"/>
    <col min="260" max="262" width="6.7109375" style="551" customWidth="1"/>
    <col min="263" max="266" width="7.5703125" style="551" customWidth="1"/>
    <col min="267" max="267" width="8.140625" style="551" customWidth="1"/>
    <col min="268" max="268" width="8.42578125" style="551" customWidth="1"/>
    <col min="269" max="269" width="9.28515625" style="551" customWidth="1"/>
    <col min="270" max="270" width="8.42578125" style="551" customWidth="1"/>
    <col min="271" max="271" width="11.28515625" style="551" customWidth="1"/>
    <col min="272" max="272" width="9.28515625" style="551" customWidth="1"/>
    <col min="273" max="510" width="9.140625" style="551"/>
    <col min="511" max="511" width="18.7109375" style="551" customWidth="1"/>
    <col min="512" max="512" width="25.140625" style="551" customWidth="1"/>
    <col min="513" max="515" width="7.5703125" style="551" customWidth="1"/>
    <col min="516" max="518" width="6.7109375" style="551" customWidth="1"/>
    <col min="519" max="522" width="7.5703125" style="551" customWidth="1"/>
    <col min="523" max="523" width="8.140625" style="551" customWidth="1"/>
    <col min="524" max="524" width="8.42578125" style="551" customWidth="1"/>
    <col min="525" max="525" width="9.28515625" style="551" customWidth="1"/>
    <col min="526" max="526" width="8.42578125" style="551" customWidth="1"/>
    <col min="527" max="527" width="11.28515625" style="551" customWidth="1"/>
    <col min="528" max="528" width="9.28515625" style="551" customWidth="1"/>
    <col min="529" max="766" width="9.140625" style="551"/>
    <col min="767" max="767" width="18.7109375" style="551" customWidth="1"/>
    <col min="768" max="768" width="25.140625" style="551" customWidth="1"/>
    <col min="769" max="771" width="7.5703125" style="551" customWidth="1"/>
    <col min="772" max="774" width="6.7109375" style="551" customWidth="1"/>
    <col min="775" max="778" width="7.5703125" style="551" customWidth="1"/>
    <col min="779" max="779" width="8.140625" style="551" customWidth="1"/>
    <col min="780" max="780" width="8.42578125" style="551" customWidth="1"/>
    <col min="781" max="781" width="9.28515625" style="551" customWidth="1"/>
    <col min="782" max="782" width="8.42578125" style="551" customWidth="1"/>
    <col min="783" max="783" width="11.28515625" style="551" customWidth="1"/>
    <col min="784" max="784" width="9.28515625" style="551" customWidth="1"/>
    <col min="785" max="1022" width="9.140625" style="551"/>
    <col min="1023" max="1023" width="18.7109375" style="551" customWidth="1"/>
    <col min="1024" max="1024" width="25.140625" style="551" customWidth="1"/>
    <col min="1025" max="1027" width="7.5703125" style="551" customWidth="1"/>
    <col min="1028" max="1030" width="6.7109375" style="551" customWidth="1"/>
    <col min="1031" max="1034" width="7.5703125" style="551" customWidth="1"/>
    <col min="1035" max="1035" width="8.140625" style="551" customWidth="1"/>
    <col min="1036" max="1036" width="8.42578125" style="551" customWidth="1"/>
    <col min="1037" max="1037" width="9.28515625" style="551" customWidth="1"/>
    <col min="1038" max="1038" width="8.42578125" style="551" customWidth="1"/>
    <col min="1039" max="1039" width="11.28515625" style="551" customWidth="1"/>
    <col min="1040" max="1040" width="9.28515625" style="551" customWidth="1"/>
    <col min="1041" max="1278" width="9.140625" style="551"/>
    <col min="1279" max="1279" width="18.7109375" style="551" customWidth="1"/>
    <col min="1280" max="1280" width="25.140625" style="551" customWidth="1"/>
    <col min="1281" max="1283" width="7.5703125" style="551" customWidth="1"/>
    <col min="1284" max="1286" width="6.7109375" style="551" customWidth="1"/>
    <col min="1287" max="1290" width="7.5703125" style="551" customWidth="1"/>
    <col min="1291" max="1291" width="8.140625" style="551" customWidth="1"/>
    <col min="1292" max="1292" width="8.42578125" style="551" customWidth="1"/>
    <col min="1293" max="1293" width="9.28515625" style="551" customWidth="1"/>
    <col min="1294" max="1294" width="8.42578125" style="551" customWidth="1"/>
    <col min="1295" max="1295" width="11.28515625" style="551" customWidth="1"/>
    <col min="1296" max="1296" width="9.28515625" style="551" customWidth="1"/>
    <col min="1297" max="1534" width="9.140625" style="551"/>
    <col min="1535" max="1535" width="18.7109375" style="551" customWidth="1"/>
    <col min="1536" max="1536" width="25.140625" style="551" customWidth="1"/>
    <col min="1537" max="1539" width="7.5703125" style="551" customWidth="1"/>
    <col min="1540" max="1542" width="6.7109375" style="551" customWidth="1"/>
    <col min="1543" max="1546" width="7.5703125" style="551" customWidth="1"/>
    <col min="1547" max="1547" width="8.140625" style="551" customWidth="1"/>
    <col min="1548" max="1548" width="8.42578125" style="551" customWidth="1"/>
    <col min="1549" max="1549" width="9.28515625" style="551" customWidth="1"/>
    <col min="1550" max="1550" width="8.42578125" style="551" customWidth="1"/>
    <col min="1551" max="1551" width="11.28515625" style="551" customWidth="1"/>
    <col min="1552" max="1552" width="9.28515625" style="551" customWidth="1"/>
    <col min="1553" max="1790" width="9.140625" style="551"/>
    <col min="1791" max="1791" width="18.7109375" style="551" customWidth="1"/>
    <col min="1792" max="1792" width="25.140625" style="551" customWidth="1"/>
    <col min="1793" max="1795" width="7.5703125" style="551" customWidth="1"/>
    <col min="1796" max="1798" width="6.7109375" style="551" customWidth="1"/>
    <col min="1799" max="1802" width="7.5703125" style="551" customWidth="1"/>
    <col min="1803" max="1803" width="8.140625" style="551" customWidth="1"/>
    <col min="1804" max="1804" width="8.42578125" style="551" customWidth="1"/>
    <col min="1805" max="1805" width="9.28515625" style="551" customWidth="1"/>
    <col min="1806" max="1806" width="8.42578125" style="551" customWidth="1"/>
    <col min="1807" max="1807" width="11.28515625" style="551" customWidth="1"/>
    <col min="1808" max="1808" width="9.28515625" style="551" customWidth="1"/>
    <col min="1809" max="2046" width="9.140625" style="551"/>
    <col min="2047" max="2047" width="18.7109375" style="551" customWidth="1"/>
    <col min="2048" max="2048" width="25.140625" style="551" customWidth="1"/>
    <col min="2049" max="2051" width="7.5703125" style="551" customWidth="1"/>
    <col min="2052" max="2054" width="6.7109375" style="551" customWidth="1"/>
    <col min="2055" max="2058" width="7.5703125" style="551" customWidth="1"/>
    <col min="2059" max="2059" width="8.140625" style="551" customWidth="1"/>
    <col min="2060" max="2060" width="8.42578125" style="551" customWidth="1"/>
    <col min="2061" max="2061" width="9.28515625" style="551" customWidth="1"/>
    <col min="2062" max="2062" width="8.42578125" style="551" customWidth="1"/>
    <col min="2063" max="2063" width="11.28515625" style="551" customWidth="1"/>
    <col min="2064" max="2064" width="9.28515625" style="551" customWidth="1"/>
    <col min="2065" max="2302" width="9.140625" style="551"/>
    <col min="2303" max="2303" width="18.7109375" style="551" customWidth="1"/>
    <col min="2304" max="2304" width="25.140625" style="551" customWidth="1"/>
    <col min="2305" max="2307" width="7.5703125" style="551" customWidth="1"/>
    <col min="2308" max="2310" width="6.7109375" style="551" customWidth="1"/>
    <col min="2311" max="2314" width="7.5703125" style="551" customWidth="1"/>
    <col min="2315" max="2315" width="8.140625" style="551" customWidth="1"/>
    <col min="2316" max="2316" width="8.42578125" style="551" customWidth="1"/>
    <col min="2317" max="2317" width="9.28515625" style="551" customWidth="1"/>
    <col min="2318" max="2318" width="8.42578125" style="551" customWidth="1"/>
    <col min="2319" max="2319" width="11.28515625" style="551" customWidth="1"/>
    <col min="2320" max="2320" width="9.28515625" style="551" customWidth="1"/>
    <col min="2321" max="2558" width="9.140625" style="551"/>
    <col min="2559" max="2559" width="18.7109375" style="551" customWidth="1"/>
    <col min="2560" max="2560" width="25.140625" style="551" customWidth="1"/>
    <col min="2561" max="2563" width="7.5703125" style="551" customWidth="1"/>
    <col min="2564" max="2566" width="6.7109375" style="551" customWidth="1"/>
    <col min="2567" max="2570" width="7.5703125" style="551" customWidth="1"/>
    <col min="2571" max="2571" width="8.140625" style="551" customWidth="1"/>
    <col min="2572" max="2572" width="8.42578125" style="551" customWidth="1"/>
    <col min="2573" max="2573" width="9.28515625" style="551" customWidth="1"/>
    <col min="2574" max="2574" width="8.42578125" style="551" customWidth="1"/>
    <col min="2575" max="2575" width="11.28515625" style="551" customWidth="1"/>
    <col min="2576" max="2576" width="9.28515625" style="551" customWidth="1"/>
    <col min="2577" max="2814" width="9.140625" style="551"/>
    <col min="2815" max="2815" width="18.7109375" style="551" customWidth="1"/>
    <col min="2816" max="2816" width="25.140625" style="551" customWidth="1"/>
    <col min="2817" max="2819" width="7.5703125" style="551" customWidth="1"/>
    <col min="2820" max="2822" width="6.7109375" style="551" customWidth="1"/>
    <col min="2823" max="2826" width="7.5703125" style="551" customWidth="1"/>
    <col min="2827" max="2827" width="8.140625" style="551" customWidth="1"/>
    <col min="2828" max="2828" width="8.42578125" style="551" customWidth="1"/>
    <col min="2829" max="2829" width="9.28515625" style="551" customWidth="1"/>
    <col min="2830" max="2830" width="8.42578125" style="551" customWidth="1"/>
    <col min="2831" max="2831" width="11.28515625" style="551" customWidth="1"/>
    <col min="2832" max="2832" width="9.28515625" style="551" customWidth="1"/>
    <col min="2833" max="3070" width="9.140625" style="551"/>
    <col min="3071" max="3071" width="18.7109375" style="551" customWidth="1"/>
    <col min="3072" max="3072" width="25.140625" style="551" customWidth="1"/>
    <col min="3073" max="3075" width="7.5703125" style="551" customWidth="1"/>
    <col min="3076" max="3078" width="6.7109375" style="551" customWidth="1"/>
    <col min="3079" max="3082" width="7.5703125" style="551" customWidth="1"/>
    <col min="3083" max="3083" width="8.140625" style="551" customWidth="1"/>
    <col min="3084" max="3084" width="8.42578125" style="551" customWidth="1"/>
    <col min="3085" max="3085" width="9.28515625" style="551" customWidth="1"/>
    <col min="3086" max="3086" width="8.42578125" style="551" customWidth="1"/>
    <col min="3087" max="3087" width="11.28515625" style="551" customWidth="1"/>
    <col min="3088" max="3088" width="9.28515625" style="551" customWidth="1"/>
    <col min="3089" max="3326" width="9.140625" style="551"/>
    <col min="3327" max="3327" width="18.7109375" style="551" customWidth="1"/>
    <col min="3328" max="3328" width="25.140625" style="551" customWidth="1"/>
    <col min="3329" max="3331" width="7.5703125" style="551" customWidth="1"/>
    <col min="3332" max="3334" width="6.7109375" style="551" customWidth="1"/>
    <col min="3335" max="3338" width="7.5703125" style="551" customWidth="1"/>
    <col min="3339" max="3339" width="8.140625" style="551" customWidth="1"/>
    <col min="3340" max="3340" width="8.42578125" style="551" customWidth="1"/>
    <col min="3341" max="3341" width="9.28515625" style="551" customWidth="1"/>
    <col min="3342" max="3342" width="8.42578125" style="551" customWidth="1"/>
    <col min="3343" max="3343" width="11.28515625" style="551" customWidth="1"/>
    <col min="3344" max="3344" width="9.28515625" style="551" customWidth="1"/>
    <col min="3345" max="3582" width="9.140625" style="551"/>
    <col min="3583" max="3583" width="18.7109375" style="551" customWidth="1"/>
    <col min="3584" max="3584" width="25.140625" style="551" customWidth="1"/>
    <col min="3585" max="3587" width="7.5703125" style="551" customWidth="1"/>
    <col min="3588" max="3590" width="6.7109375" style="551" customWidth="1"/>
    <col min="3591" max="3594" width="7.5703125" style="551" customWidth="1"/>
    <col min="3595" max="3595" width="8.140625" style="551" customWidth="1"/>
    <col min="3596" max="3596" width="8.42578125" style="551" customWidth="1"/>
    <col min="3597" max="3597" width="9.28515625" style="551" customWidth="1"/>
    <col min="3598" max="3598" width="8.42578125" style="551" customWidth="1"/>
    <col min="3599" max="3599" width="11.28515625" style="551" customWidth="1"/>
    <col min="3600" max="3600" width="9.28515625" style="551" customWidth="1"/>
    <col min="3601" max="3838" width="9.140625" style="551"/>
    <col min="3839" max="3839" width="18.7109375" style="551" customWidth="1"/>
    <col min="3840" max="3840" width="25.140625" style="551" customWidth="1"/>
    <col min="3841" max="3843" width="7.5703125" style="551" customWidth="1"/>
    <col min="3844" max="3846" width="6.7109375" style="551" customWidth="1"/>
    <col min="3847" max="3850" width="7.5703125" style="551" customWidth="1"/>
    <col min="3851" max="3851" width="8.140625" style="551" customWidth="1"/>
    <col min="3852" max="3852" width="8.42578125" style="551" customWidth="1"/>
    <col min="3853" max="3853" width="9.28515625" style="551" customWidth="1"/>
    <col min="3854" max="3854" width="8.42578125" style="551" customWidth="1"/>
    <col min="3855" max="3855" width="11.28515625" style="551" customWidth="1"/>
    <col min="3856" max="3856" width="9.28515625" style="551" customWidth="1"/>
    <col min="3857" max="4094" width="9.140625" style="551"/>
    <col min="4095" max="4095" width="18.7109375" style="551" customWidth="1"/>
    <col min="4096" max="4096" width="25.140625" style="551" customWidth="1"/>
    <col min="4097" max="4099" width="7.5703125" style="551" customWidth="1"/>
    <col min="4100" max="4102" width="6.7109375" style="551" customWidth="1"/>
    <col min="4103" max="4106" width="7.5703125" style="551" customWidth="1"/>
    <col min="4107" max="4107" width="8.140625" style="551" customWidth="1"/>
    <col min="4108" max="4108" width="8.42578125" style="551" customWidth="1"/>
    <col min="4109" max="4109" width="9.28515625" style="551" customWidth="1"/>
    <col min="4110" max="4110" width="8.42578125" style="551" customWidth="1"/>
    <col min="4111" max="4111" width="11.28515625" style="551" customWidth="1"/>
    <col min="4112" max="4112" width="9.28515625" style="551" customWidth="1"/>
    <col min="4113" max="4350" width="9.140625" style="551"/>
    <col min="4351" max="4351" width="18.7109375" style="551" customWidth="1"/>
    <col min="4352" max="4352" width="25.140625" style="551" customWidth="1"/>
    <col min="4353" max="4355" width="7.5703125" style="551" customWidth="1"/>
    <col min="4356" max="4358" width="6.7109375" style="551" customWidth="1"/>
    <col min="4359" max="4362" width="7.5703125" style="551" customWidth="1"/>
    <col min="4363" max="4363" width="8.140625" style="551" customWidth="1"/>
    <col min="4364" max="4364" width="8.42578125" style="551" customWidth="1"/>
    <col min="4365" max="4365" width="9.28515625" style="551" customWidth="1"/>
    <col min="4366" max="4366" width="8.42578125" style="551" customWidth="1"/>
    <col min="4367" max="4367" width="11.28515625" style="551" customWidth="1"/>
    <col min="4368" max="4368" width="9.28515625" style="551" customWidth="1"/>
    <col min="4369" max="4606" width="9.140625" style="551"/>
    <col min="4607" max="4607" width="18.7109375" style="551" customWidth="1"/>
    <col min="4608" max="4608" width="25.140625" style="551" customWidth="1"/>
    <col min="4609" max="4611" width="7.5703125" style="551" customWidth="1"/>
    <col min="4612" max="4614" width="6.7109375" style="551" customWidth="1"/>
    <col min="4615" max="4618" width="7.5703125" style="551" customWidth="1"/>
    <col min="4619" max="4619" width="8.140625" style="551" customWidth="1"/>
    <col min="4620" max="4620" width="8.42578125" style="551" customWidth="1"/>
    <col min="4621" max="4621" width="9.28515625" style="551" customWidth="1"/>
    <col min="4622" max="4622" width="8.42578125" style="551" customWidth="1"/>
    <col min="4623" max="4623" width="11.28515625" style="551" customWidth="1"/>
    <col min="4624" max="4624" width="9.28515625" style="551" customWidth="1"/>
    <col min="4625" max="4862" width="9.140625" style="551"/>
    <col min="4863" max="4863" width="18.7109375" style="551" customWidth="1"/>
    <col min="4864" max="4864" width="25.140625" style="551" customWidth="1"/>
    <col min="4865" max="4867" width="7.5703125" style="551" customWidth="1"/>
    <col min="4868" max="4870" width="6.7109375" style="551" customWidth="1"/>
    <col min="4871" max="4874" width="7.5703125" style="551" customWidth="1"/>
    <col min="4875" max="4875" width="8.140625" style="551" customWidth="1"/>
    <col min="4876" max="4876" width="8.42578125" style="551" customWidth="1"/>
    <col min="4877" max="4877" width="9.28515625" style="551" customWidth="1"/>
    <col min="4878" max="4878" width="8.42578125" style="551" customWidth="1"/>
    <col min="4879" max="4879" width="11.28515625" style="551" customWidth="1"/>
    <col min="4880" max="4880" width="9.28515625" style="551" customWidth="1"/>
    <col min="4881" max="5118" width="9.140625" style="551"/>
    <col min="5119" max="5119" width="18.7109375" style="551" customWidth="1"/>
    <col min="5120" max="5120" width="25.140625" style="551" customWidth="1"/>
    <col min="5121" max="5123" width="7.5703125" style="551" customWidth="1"/>
    <col min="5124" max="5126" width="6.7109375" style="551" customWidth="1"/>
    <col min="5127" max="5130" width="7.5703125" style="551" customWidth="1"/>
    <col min="5131" max="5131" width="8.140625" style="551" customWidth="1"/>
    <col min="5132" max="5132" width="8.42578125" style="551" customWidth="1"/>
    <col min="5133" max="5133" width="9.28515625" style="551" customWidth="1"/>
    <col min="5134" max="5134" width="8.42578125" style="551" customWidth="1"/>
    <col min="5135" max="5135" width="11.28515625" style="551" customWidth="1"/>
    <col min="5136" max="5136" width="9.28515625" style="551" customWidth="1"/>
    <col min="5137" max="5374" width="9.140625" style="551"/>
    <col min="5375" max="5375" width="18.7109375" style="551" customWidth="1"/>
    <col min="5376" max="5376" width="25.140625" style="551" customWidth="1"/>
    <col min="5377" max="5379" width="7.5703125" style="551" customWidth="1"/>
    <col min="5380" max="5382" width="6.7109375" style="551" customWidth="1"/>
    <col min="5383" max="5386" width="7.5703125" style="551" customWidth="1"/>
    <col min="5387" max="5387" width="8.140625" style="551" customWidth="1"/>
    <col min="5388" max="5388" width="8.42578125" style="551" customWidth="1"/>
    <col min="5389" max="5389" width="9.28515625" style="551" customWidth="1"/>
    <col min="5390" max="5390" width="8.42578125" style="551" customWidth="1"/>
    <col min="5391" max="5391" width="11.28515625" style="551" customWidth="1"/>
    <col min="5392" max="5392" width="9.28515625" style="551" customWidth="1"/>
    <col min="5393" max="5630" width="9.140625" style="551"/>
    <col min="5631" max="5631" width="18.7109375" style="551" customWidth="1"/>
    <col min="5632" max="5632" width="25.140625" style="551" customWidth="1"/>
    <col min="5633" max="5635" width="7.5703125" style="551" customWidth="1"/>
    <col min="5636" max="5638" width="6.7109375" style="551" customWidth="1"/>
    <col min="5639" max="5642" width="7.5703125" style="551" customWidth="1"/>
    <col min="5643" max="5643" width="8.140625" style="551" customWidth="1"/>
    <col min="5644" max="5644" width="8.42578125" style="551" customWidth="1"/>
    <col min="5645" max="5645" width="9.28515625" style="551" customWidth="1"/>
    <col min="5646" max="5646" width="8.42578125" style="551" customWidth="1"/>
    <col min="5647" max="5647" width="11.28515625" style="551" customWidth="1"/>
    <col min="5648" max="5648" width="9.28515625" style="551" customWidth="1"/>
    <col min="5649" max="5886" width="9.140625" style="551"/>
    <col min="5887" max="5887" width="18.7109375" style="551" customWidth="1"/>
    <col min="5888" max="5888" width="25.140625" style="551" customWidth="1"/>
    <col min="5889" max="5891" width="7.5703125" style="551" customWidth="1"/>
    <col min="5892" max="5894" width="6.7109375" style="551" customWidth="1"/>
    <col min="5895" max="5898" width="7.5703125" style="551" customWidth="1"/>
    <col min="5899" max="5899" width="8.140625" style="551" customWidth="1"/>
    <col min="5900" max="5900" width="8.42578125" style="551" customWidth="1"/>
    <col min="5901" max="5901" width="9.28515625" style="551" customWidth="1"/>
    <col min="5902" max="5902" width="8.42578125" style="551" customWidth="1"/>
    <col min="5903" max="5903" width="11.28515625" style="551" customWidth="1"/>
    <col min="5904" max="5904" width="9.28515625" style="551" customWidth="1"/>
    <col min="5905" max="6142" width="9.140625" style="551"/>
    <col min="6143" max="6143" width="18.7109375" style="551" customWidth="1"/>
    <col min="6144" max="6144" width="25.140625" style="551" customWidth="1"/>
    <col min="6145" max="6147" width="7.5703125" style="551" customWidth="1"/>
    <col min="6148" max="6150" width="6.7109375" style="551" customWidth="1"/>
    <col min="6151" max="6154" width="7.5703125" style="551" customWidth="1"/>
    <col min="6155" max="6155" width="8.140625" style="551" customWidth="1"/>
    <col min="6156" max="6156" width="8.42578125" style="551" customWidth="1"/>
    <col min="6157" max="6157" width="9.28515625" style="551" customWidth="1"/>
    <col min="6158" max="6158" width="8.42578125" style="551" customWidth="1"/>
    <col min="6159" max="6159" width="11.28515625" style="551" customWidth="1"/>
    <col min="6160" max="6160" width="9.28515625" style="551" customWidth="1"/>
    <col min="6161" max="6398" width="9.140625" style="551"/>
    <col min="6399" max="6399" width="18.7109375" style="551" customWidth="1"/>
    <col min="6400" max="6400" width="25.140625" style="551" customWidth="1"/>
    <col min="6401" max="6403" width="7.5703125" style="551" customWidth="1"/>
    <col min="6404" max="6406" width="6.7109375" style="551" customWidth="1"/>
    <col min="6407" max="6410" width="7.5703125" style="551" customWidth="1"/>
    <col min="6411" max="6411" width="8.140625" style="551" customWidth="1"/>
    <col min="6412" max="6412" width="8.42578125" style="551" customWidth="1"/>
    <col min="6413" max="6413" width="9.28515625" style="551" customWidth="1"/>
    <col min="6414" max="6414" width="8.42578125" style="551" customWidth="1"/>
    <col min="6415" max="6415" width="11.28515625" style="551" customWidth="1"/>
    <col min="6416" max="6416" width="9.28515625" style="551" customWidth="1"/>
    <col min="6417" max="6654" width="9.140625" style="551"/>
    <col min="6655" max="6655" width="18.7109375" style="551" customWidth="1"/>
    <col min="6656" max="6656" width="25.140625" style="551" customWidth="1"/>
    <col min="6657" max="6659" width="7.5703125" style="551" customWidth="1"/>
    <col min="6660" max="6662" width="6.7109375" style="551" customWidth="1"/>
    <col min="6663" max="6666" width="7.5703125" style="551" customWidth="1"/>
    <col min="6667" max="6667" width="8.140625" style="551" customWidth="1"/>
    <col min="6668" max="6668" width="8.42578125" style="551" customWidth="1"/>
    <col min="6669" max="6669" width="9.28515625" style="551" customWidth="1"/>
    <col min="6670" max="6670" width="8.42578125" style="551" customWidth="1"/>
    <col min="6671" max="6671" width="11.28515625" style="551" customWidth="1"/>
    <col min="6672" max="6672" width="9.28515625" style="551" customWidth="1"/>
    <col min="6673" max="6910" width="9.140625" style="551"/>
    <col min="6911" max="6911" width="18.7109375" style="551" customWidth="1"/>
    <col min="6912" max="6912" width="25.140625" style="551" customWidth="1"/>
    <col min="6913" max="6915" width="7.5703125" style="551" customWidth="1"/>
    <col min="6916" max="6918" width="6.7109375" style="551" customWidth="1"/>
    <col min="6919" max="6922" width="7.5703125" style="551" customWidth="1"/>
    <col min="6923" max="6923" width="8.140625" style="551" customWidth="1"/>
    <col min="6924" max="6924" width="8.42578125" style="551" customWidth="1"/>
    <col min="6925" max="6925" width="9.28515625" style="551" customWidth="1"/>
    <col min="6926" max="6926" width="8.42578125" style="551" customWidth="1"/>
    <col min="6927" max="6927" width="11.28515625" style="551" customWidth="1"/>
    <col min="6928" max="6928" width="9.28515625" style="551" customWidth="1"/>
    <col min="6929" max="7166" width="9.140625" style="551"/>
    <col min="7167" max="7167" width="18.7109375" style="551" customWidth="1"/>
    <col min="7168" max="7168" width="25.140625" style="551" customWidth="1"/>
    <col min="7169" max="7171" width="7.5703125" style="551" customWidth="1"/>
    <col min="7172" max="7174" width="6.7109375" style="551" customWidth="1"/>
    <col min="7175" max="7178" width="7.5703125" style="551" customWidth="1"/>
    <col min="7179" max="7179" width="8.140625" style="551" customWidth="1"/>
    <col min="7180" max="7180" width="8.42578125" style="551" customWidth="1"/>
    <col min="7181" max="7181" width="9.28515625" style="551" customWidth="1"/>
    <col min="7182" max="7182" width="8.42578125" style="551" customWidth="1"/>
    <col min="7183" max="7183" width="11.28515625" style="551" customWidth="1"/>
    <col min="7184" max="7184" width="9.28515625" style="551" customWidth="1"/>
    <col min="7185" max="7422" width="9.140625" style="551"/>
    <col min="7423" max="7423" width="18.7109375" style="551" customWidth="1"/>
    <col min="7424" max="7424" width="25.140625" style="551" customWidth="1"/>
    <col min="7425" max="7427" width="7.5703125" style="551" customWidth="1"/>
    <col min="7428" max="7430" width="6.7109375" style="551" customWidth="1"/>
    <col min="7431" max="7434" width="7.5703125" style="551" customWidth="1"/>
    <col min="7435" max="7435" width="8.140625" style="551" customWidth="1"/>
    <col min="7436" max="7436" width="8.42578125" style="551" customWidth="1"/>
    <col min="7437" max="7437" width="9.28515625" style="551" customWidth="1"/>
    <col min="7438" max="7438" width="8.42578125" style="551" customWidth="1"/>
    <col min="7439" max="7439" width="11.28515625" style="551" customWidth="1"/>
    <col min="7440" max="7440" width="9.28515625" style="551" customWidth="1"/>
    <col min="7441" max="7678" width="9.140625" style="551"/>
    <col min="7679" max="7679" width="18.7109375" style="551" customWidth="1"/>
    <col min="7680" max="7680" width="25.140625" style="551" customWidth="1"/>
    <col min="7681" max="7683" width="7.5703125" style="551" customWidth="1"/>
    <col min="7684" max="7686" width="6.7109375" style="551" customWidth="1"/>
    <col min="7687" max="7690" width="7.5703125" style="551" customWidth="1"/>
    <col min="7691" max="7691" width="8.140625" style="551" customWidth="1"/>
    <col min="7692" max="7692" width="8.42578125" style="551" customWidth="1"/>
    <col min="7693" max="7693" width="9.28515625" style="551" customWidth="1"/>
    <col min="7694" max="7694" width="8.42578125" style="551" customWidth="1"/>
    <col min="7695" max="7695" width="11.28515625" style="551" customWidth="1"/>
    <col min="7696" max="7696" width="9.28515625" style="551" customWidth="1"/>
    <col min="7697" max="7934" width="9.140625" style="551"/>
    <col min="7935" max="7935" width="18.7109375" style="551" customWidth="1"/>
    <col min="7936" max="7936" width="25.140625" style="551" customWidth="1"/>
    <col min="7937" max="7939" width="7.5703125" style="551" customWidth="1"/>
    <col min="7940" max="7942" width="6.7109375" style="551" customWidth="1"/>
    <col min="7943" max="7946" width="7.5703125" style="551" customWidth="1"/>
    <col min="7947" max="7947" width="8.140625" style="551" customWidth="1"/>
    <col min="7948" max="7948" width="8.42578125" style="551" customWidth="1"/>
    <col min="7949" max="7949" width="9.28515625" style="551" customWidth="1"/>
    <col min="7950" max="7950" width="8.42578125" style="551" customWidth="1"/>
    <col min="7951" max="7951" width="11.28515625" style="551" customWidth="1"/>
    <col min="7952" max="7952" width="9.28515625" style="551" customWidth="1"/>
    <col min="7953" max="8190" width="9.140625" style="551"/>
    <col min="8191" max="8191" width="18.7109375" style="551" customWidth="1"/>
    <col min="8192" max="8192" width="25.140625" style="551" customWidth="1"/>
    <col min="8193" max="8195" width="7.5703125" style="551" customWidth="1"/>
    <col min="8196" max="8198" width="6.7109375" style="551" customWidth="1"/>
    <col min="8199" max="8202" width="7.5703125" style="551" customWidth="1"/>
    <col min="8203" max="8203" width="8.140625" style="551" customWidth="1"/>
    <col min="8204" max="8204" width="8.42578125" style="551" customWidth="1"/>
    <col min="8205" max="8205" width="9.28515625" style="551" customWidth="1"/>
    <col min="8206" max="8206" width="8.42578125" style="551" customWidth="1"/>
    <col min="8207" max="8207" width="11.28515625" style="551" customWidth="1"/>
    <col min="8208" max="8208" width="9.28515625" style="551" customWidth="1"/>
    <col min="8209" max="8446" width="9.140625" style="551"/>
    <col min="8447" max="8447" width="18.7109375" style="551" customWidth="1"/>
    <col min="8448" max="8448" width="25.140625" style="551" customWidth="1"/>
    <col min="8449" max="8451" width="7.5703125" style="551" customWidth="1"/>
    <col min="8452" max="8454" width="6.7109375" style="551" customWidth="1"/>
    <col min="8455" max="8458" width="7.5703125" style="551" customWidth="1"/>
    <col min="8459" max="8459" width="8.140625" style="551" customWidth="1"/>
    <col min="8460" max="8460" width="8.42578125" style="551" customWidth="1"/>
    <col min="8461" max="8461" width="9.28515625" style="551" customWidth="1"/>
    <col min="8462" max="8462" width="8.42578125" style="551" customWidth="1"/>
    <col min="8463" max="8463" width="11.28515625" style="551" customWidth="1"/>
    <col min="8464" max="8464" width="9.28515625" style="551" customWidth="1"/>
    <col min="8465" max="8702" width="9.140625" style="551"/>
    <col min="8703" max="8703" width="18.7109375" style="551" customWidth="1"/>
    <col min="8704" max="8704" width="25.140625" style="551" customWidth="1"/>
    <col min="8705" max="8707" width="7.5703125" style="551" customWidth="1"/>
    <col min="8708" max="8710" width="6.7109375" style="551" customWidth="1"/>
    <col min="8711" max="8714" width="7.5703125" style="551" customWidth="1"/>
    <col min="8715" max="8715" width="8.140625" style="551" customWidth="1"/>
    <col min="8716" max="8716" width="8.42578125" style="551" customWidth="1"/>
    <col min="8717" max="8717" width="9.28515625" style="551" customWidth="1"/>
    <col min="8718" max="8718" width="8.42578125" style="551" customWidth="1"/>
    <col min="8719" max="8719" width="11.28515625" style="551" customWidth="1"/>
    <col min="8720" max="8720" width="9.28515625" style="551" customWidth="1"/>
    <col min="8721" max="8958" width="9.140625" style="551"/>
    <col min="8959" max="8959" width="18.7109375" style="551" customWidth="1"/>
    <col min="8960" max="8960" width="25.140625" style="551" customWidth="1"/>
    <col min="8961" max="8963" width="7.5703125" style="551" customWidth="1"/>
    <col min="8964" max="8966" width="6.7109375" style="551" customWidth="1"/>
    <col min="8967" max="8970" width="7.5703125" style="551" customWidth="1"/>
    <col min="8971" max="8971" width="8.140625" style="551" customWidth="1"/>
    <col min="8972" max="8972" width="8.42578125" style="551" customWidth="1"/>
    <col min="8973" max="8973" width="9.28515625" style="551" customWidth="1"/>
    <col min="8974" max="8974" width="8.42578125" style="551" customWidth="1"/>
    <col min="8975" max="8975" width="11.28515625" style="551" customWidth="1"/>
    <col min="8976" max="8976" width="9.28515625" style="551" customWidth="1"/>
    <col min="8977" max="9214" width="9.140625" style="551"/>
    <col min="9215" max="9215" width="18.7109375" style="551" customWidth="1"/>
    <col min="9216" max="9216" width="25.140625" style="551" customWidth="1"/>
    <col min="9217" max="9219" width="7.5703125" style="551" customWidth="1"/>
    <col min="9220" max="9222" width="6.7109375" style="551" customWidth="1"/>
    <col min="9223" max="9226" width="7.5703125" style="551" customWidth="1"/>
    <col min="9227" max="9227" width="8.140625" style="551" customWidth="1"/>
    <col min="9228" max="9228" width="8.42578125" style="551" customWidth="1"/>
    <col min="9229" max="9229" width="9.28515625" style="551" customWidth="1"/>
    <col min="9230" max="9230" width="8.42578125" style="551" customWidth="1"/>
    <col min="9231" max="9231" width="11.28515625" style="551" customWidth="1"/>
    <col min="9232" max="9232" width="9.28515625" style="551" customWidth="1"/>
    <col min="9233" max="9470" width="9.140625" style="551"/>
    <col min="9471" max="9471" width="18.7109375" style="551" customWidth="1"/>
    <col min="9472" max="9472" width="25.140625" style="551" customWidth="1"/>
    <col min="9473" max="9475" width="7.5703125" style="551" customWidth="1"/>
    <col min="9476" max="9478" width="6.7109375" style="551" customWidth="1"/>
    <col min="9479" max="9482" width="7.5703125" style="551" customWidth="1"/>
    <col min="9483" max="9483" width="8.140625" style="551" customWidth="1"/>
    <col min="9484" max="9484" width="8.42578125" style="551" customWidth="1"/>
    <col min="9485" max="9485" width="9.28515625" style="551" customWidth="1"/>
    <col min="9486" max="9486" width="8.42578125" style="551" customWidth="1"/>
    <col min="9487" max="9487" width="11.28515625" style="551" customWidth="1"/>
    <col min="9488" max="9488" width="9.28515625" style="551" customWidth="1"/>
    <col min="9489" max="9726" width="9.140625" style="551"/>
    <col min="9727" max="9727" width="18.7109375" style="551" customWidth="1"/>
    <col min="9728" max="9728" width="25.140625" style="551" customWidth="1"/>
    <col min="9729" max="9731" width="7.5703125" style="551" customWidth="1"/>
    <col min="9732" max="9734" width="6.7109375" style="551" customWidth="1"/>
    <col min="9735" max="9738" width="7.5703125" style="551" customWidth="1"/>
    <col min="9739" max="9739" width="8.140625" style="551" customWidth="1"/>
    <col min="9740" max="9740" width="8.42578125" style="551" customWidth="1"/>
    <col min="9741" max="9741" width="9.28515625" style="551" customWidth="1"/>
    <col min="9742" max="9742" width="8.42578125" style="551" customWidth="1"/>
    <col min="9743" max="9743" width="11.28515625" style="551" customWidth="1"/>
    <col min="9744" max="9744" width="9.28515625" style="551" customWidth="1"/>
    <col min="9745" max="9982" width="9.140625" style="551"/>
    <col min="9983" max="9983" width="18.7109375" style="551" customWidth="1"/>
    <col min="9984" max="9984" width="25.140625" style="551" customWidth="1"/>
    <col min="9985" max="9987" width="7.5703125" style="551" customWidth="1"/>
    <col min="9988" max="9990" width="6.7109375" style="551" customWidth="1"/>
    <col min="9991" max="9994" width="7.5703125" style="551" customWidth="1"/>
    <col min="9995" max="9995" width="8.140625" style="551" customWidth="1"/>
    <col min="9996" max="9996" width="8.42578125" style="551" customWidth="1"/>
    <col min="9997" max="9997" width="9.28515625" style="551" customWidth="1"/>
    <col min="9998" max="9998" width="8.42578125" style="551" customWidth="1"/>
    <col min="9999" max="9999" width="11.28515625" style="551" customWidth="1"/>
    <col min="10000" max="10000" width="9.28515625" style="551" customWidth="1"/>
    <col min="10001" max="10238" width="9.140625" style="551"/>
    <col min="10239" max="10239" width="18.7109375" style="551" customWidth="1"/>
    <col min="10240" max="10240" width="25.140625" style="551" customWidth="1"/>
    <col min="10241" max="10243" width="7.5703125" style="551" customWidth="1"/>
    <col min="10244" max="10246" width="6.7109375" style="551" customWidth="1"/>
    <col min="10247" max="10250" width="7.5703125" style="551" customWidth="1"/>
    <col min="10251" max="10251" width="8.140625" style="551" customWidth="1"/>
    <col min="10252" max="10252" width="8.42578125" style="551" customWidth="1"/>
    <col min="10253" max="10253" width="9.28515625" style="551" customWidth="1"/>
    <col min="10254" max="10254" width="8.42578125" style="551" customWidth="1"/>
    <col min="10255" max="10255" width="11.28515625" style="551" customWidth="1"/>
    <col min="10256" max="10256" width="9.28515625" style="551" customWidth="1"/>
    <col min="10257" max="10494" width="9.140625" style="551"/>
    <col min="10495" max="10495" width="18.7109375" style="551" customWidth="1"/>
    <col min="10496" max="10496" width="25.140625" style="551" customWidth="1"/>
    <col min="10497" max="10499" width="7.5703125" style="551" customWidth="1"/>
    <col min="10500" max="10502" width="6.7109375" style="551" customWidth="1"/>
    <col min="10503" max="10506" width="7.5703125" style="551" customWidth="1"/>
    <col min="10507" max="10507" width="8.140625" style="551" customWidth="1"/>
    <col min="10508" max="10508" width="8.42578125" style="551" customWidth="1"/>
    <col min="10509" max="10509" width="9.28515625" style="551" customWidth="1"/>
    <col min="10510" max="10510" width="8.42578125" style="551" customWidth="1"/>
    <col min="10511" max="10511" width="11.28515625" style="551" customWidth="1"/>
    <col min="10512" max="10512" width="9.28515625" style="551" customWidth="1"/>
    <col min="10513" max="10750" width="9.140625" style="551"/>
    <col min="10751" max="10751" width="18.7109375" style="551" customWidth="1"/>
    <col min="10752" max="10752" width="25.140625" style="551" customWidth="1"/>
    <col min="10753" max="10755" width="7.5703125" style="551" customWidth="1"/>
    <col min="10756" max="10758" width="6.7109375" style="551" customWidth="1"/>
    <col min="10759" max="10762" width="7.5703125" style="551" customWidth="1"/>
    <col min="10763" max="10763" width="8.140625" style="551" customWidth="1"/>
    <col min="10764" max="10764" width="8.42578125" style="551" customWidth="1"/>
    <col min="10765" max="10765" width="9.28515625" style="551" customWidth="1"/>
    <col min="10766" max="10766" width="8.42578125" style="551" customWidth="1"/>
    <col min="10767" max="10767" width="11.28515625" style="551" customWidth="1"/>
    <col min="10768" max="10768" width="9.28515625" style="551" customWidth="1"/>
    <col min="10769" max="11006" width="9.140625" style="551"/>
    <col min="11007" max="11007" width="18.7109375" style="551" customWidth="1"/>
    <col min="11008" max="11008" width="25.140625" style="551" customWidth="1"/>
    <col min="11009" max="11011" width="7.5703125" style="551" customWidth="1"/>
    <col min="11012" max="11014" width="6.7109375" style="551" customWidth="1"/>
    <col min="11015" max="11018" width="7.5703125" style="551" customWidth="1"/>
    <col min="11019" max="11019" width="8.140625" style="551" customWidth="1"/>
    <col min="11020" max="11020" width="8.42578125" style="551" customWidth="1"/>
    <col min="11021" max="11021" width="9.28515625" style="551" customWidth="1"/>
    <col min="11022" max="11022" width="8.42578125" style="551" customWidth="1"/>
    <col min="11023" max="11023" width="11.28515625" style="551" customWidth="1"/>
    <col min="11024" max="11024" width="9.28515625" style="551" customWidth="1"/>
    <col min="11025" max="11262" width="9.140625" style="551"/>
    <col min="11263" max="11263" width="18.7109375" style="551" customWidth="1"/>
    <col min="11264" max="11264" width="25.140625" style="551" customWidth="1"/>
    <col min="11265" max="11267" width="7.5703125" style="551" customWidth="1"/>
    <col min="11268" max="11270" width="6.7109375" style="551" customWidth="1"/>
    <col min="11271" max="11274" width="7.5703125" style="551" customWidth="1"/>
    <col min="11275" max="11275" width="8.140625" style="551" customWidth="1"/>
    <col min="11276" max="11276" width="8.42578125" style="551" customWidth="1"/>
    <col min="11277" max="11277" width="9.28515625" style="551" customWidth="1"/>
    <col min="11278" max="11278" width="8.42578125" style="551" customWidth="1"/>
    <col min="11279" max="11279" width="11.28515625" style="551" customWidth="1"/>
    <col min="11280" max="11280" width="9.28515625" style="551" customWidth="1"/>
    <col min="11281" max="11518" width="9.140625" style="551"/>
    <col min="11519" max="11519" width="18.7109375" style="551" customWidth="1"/>
    <col min="11520" max="11520" width="25.140625" style="551" customWidth="1"/>
    <col min="11521" max="11523" width="7.5703125" style="551" customWidth="1"/>
    <col min="11524" max="11526" width="6.7109375" style="551" customWidth="1"/>
    <col min="11527" max="11530" width="7.5703125" style="551" customWidth="1"/>
    <col min="11531" max="11531" width="8.140625" style="551" customWidth="1"/>
    <col min="11532" max="11532" width="8.42578125" style="551" customWidth="1"/>
    <col min="11533" max="11533" width="9.28515625" style="551" customWidth="1"/>
    <col min="11534" max="11534" width="8.42578125" style="551" customWidth="1"/>
    <col min="11535" max="11535" width="11.28515625" style="551" customWidth="1"/>
    <col min="11536" max="11536" width="9.28515625" style="551" customWidth="1"/>
    <col min="11537" max="11774" width="9.140625" style="551"/>
    <col min="11775" max="11775" width="18.7109375" style="551" customWidth="1"/>
    <col min="11776" max="11776" width="25.140625" style="551" customWidth="1"/>
    <col min="11777" max="11779" width="7.5703125" style="551" customWidth="1"/>
    <col min="11780" max="11782" width="6.7109375" style="551" customWidth="1"/>
    <col min="11783" max="11786" width="7.5703125" style="551" customWidth="1"/>
    <col min="11787" max="11787" width="8.140625" style="551" customWidth="1"/>
    <col min="11788" max="11788" width="8.42578125" style="551" customWidth="1"/>
    <col min="11789" max="11789" width="9.28515625" style="551" customWidth="1"/>
    <col min="11790" max="11790" width="8.42578125" style="551" customWidth="1"/>
    <col min="11791" max="11791" width="11.28515625" style="551" customWidth="1"/>
    <col min="11792" max="11792" width="9.28515625" style="551" customWidth="1"/>
    <col min="11793" max="12030" width="9.140625" style="551"/>
    <col min="12031" max="12031" width="18.7109375" style="551" customWidth="1"/>
    <col min="12032" max="12032" width="25.140625" style="551" customWidth="1"/>
    <col min="12033" max="12035" width="7.5703125" style="551" customWidth="1"/>
    <col min="12036" max="12038" width="6.7109375" style="551" customWidth="1"/>
    <col min="12039" max="12042" width="7.5703125" style="551" customWidth="1"/>
    <col min="12043" max="12043" width="8.140625" style="551" customWidth="1"/>
    <col min="12044" max="12044" width="8.42578125" style="551" customWidth="1"/>
    <col min="12045" max="12045" width="9.28515625" style="551" customWidth="1"/>
    <col min="12046" max="12046" width="8.42578125" style="551" customWidth="1"/>
    <col min="12047" max="12047" width="11.28515625" style="551" customWidth="1"/>
    <col min="12048" max="12048" width="9.28515625" style="551" customWidth="1"/>
    <col min="12049" max="12286" width="9.140625" style="551"/>
    <col min="12287" max="12287" width="18.7109375" style="551" customWidth="1"/>
    <col min="12288" max="12288" width="25.140625" style="551" customWidth="1"/>
    <col min="12289" max="12291" width="7.5703125" style="551" customWidth="1"/>
    <col min="12292" max="12294" width="6.7109375" style="551" customWidth="1"/>
    <col min="12295" max="12298" width="7.5703125" style="551" customWidth="1"/>
    <col min="12299" max="12299" width="8.140625" style="551" customWidth="1"/>
    <col min="12300" max="12300" width="8.42578125" style="551" customWidth="1"/>
    <col min="12301" max="12301" width="9.28515625" style="551" customWidth="1"/>
    <col min="12302" max="12302" width="8.42578125" style="551" customWidth="1"/>
    <col min="12303" max="12303" width="11.28515625" style="551" customWidth="1"/>
    <col min="12304" max="12304" width="9.28515625" style="551" customWidth="1"/>
    <col min="12305" max="12542" width="9.140625" style="551"/>
    <col min="12543" max="12543" width="18.7109375" style="551" customWidth="1"/>
    <col min="12544" max="12544" width="25.140625" style="551" customWidth="1"/>
    <col min="12545" max="12547" width="7.5703125" style="551" customWidth="1"/>
    <col min="12548" max="12550" width="6.7109375" style="551" customWidth="1"/>
    <col min="12551" max="12554" width="7.5703125" style="551" customWidth="1"/>
    <col min="12555" max="12555" width="8.140625" style="551" customWidth="1"/>
    <col min="12556" max="12556" width="8.42578125" style="551" customWidth="1"/>
    <col min="12557" max="12557" width="9.28515625" style="551" customWidth="1"/>
    <col min="12558" max="12558" width="8.42578125" style="551" customWidth="1"/>
    <col min="12559" max="12559" width="11.28515625" style="551" customWidth="1"/>
    <col min="12560" max="12560" width="9.28515625" style="551" customWidth="1"/>
    <col min="12561" max="12798" width="9.140625" style="551"/>
    <col min="12799" max="12799" width="18.7109375" style="551" customWidth="1"/>
    <col min="12800" max="12800" width="25.140625" style="551" customWidth="1"/>
    <col min="12801" max="12803" width="7.5703125" style="551" customWidth="1"/>
    <col min="12804" max="12806" width="6.7109375" style="551" customWidth="1"/>
    <col min="12807" max="12810" width="7.5703125" style="551" customWidth="1"/>
    <col min="12811" max="12811" width="8.140625" style="551" customWidth="1"/>
    <col min="12812" max="12812" width="8.42578125" style="551" customWidth="1"/>
    <col min="12813" max="12813" width="9.28515625" style="551" customWidth="1"/>
    <col min="12814" max="12814" width="8.42578125" style="551" customWidth="1"/>
    <col min="12815" max="12815" width="11.28515625" style="551" customWidth="1"/>
    <col min="12816" max="12816" width="9.28515625" style="551" customWidth="1"/>
    <col min="12817" max="13054" width="9.140625" style="551"/>
    <col min="13055" max="13055" width="18.7109375" style="551" customWidth="1"/>
    <col min="13056" max="13056" width="25.140625" style="551" customWidth="1"/>
    <col min="13057" max="13059" width="7.5703125" style="551" customWidth="1"/>
    <col min="13060" max="13062" width="6.7109375" style="551" customWidth="1"/>
    <col min="13063" max="13066" width="7.5703125" style="551" customWidth="1"/>
    <col min="13067" max="13067" width="8.140625" style="551" customWidth="1"/>
    <col min="13068" max="13068" width="8.42578125" style="551" customWidth="1"/>
    <col min="13069" max="13069" width="9.28515625" style="551" customWidth="1"/>
    <col min="13070" max="13070" width="8.42578125" style="551" customWidth="1"/>
    <col min="13071" max="13071" width="11.28515625" style="551" customWidth="1"/>
    <col min="13072" max="13072" width="9.28515625" style="551" customWidth="1"/>
    <col min="13073" max="13310" width="9.140625" style="551"/>
    <col min="13311" max="13311" width="18.7109375" style="551" customWidth="1"/>
    <col min="13312" max="13312" width="25.140625" style="551" customWidth="1"/>
    <col min="13313" max="13315" width="7.5703125" style="551" customWidth="1"/>
    <col min="13316" max="13318" width="6.7109375" style="551" customWidth="1"/>
    <col min="13319" max="13322" width="7.5703125" style="551" customWidth="1"/>
    <col min="13323" max="13323" width="8.140625" style="551" customWidth="1"/>
    <col min="13324" max="13324" width="8.42578125" style="551" customWidth="1"/>
    <col min="13325" max="13325" width="9.28515625" style="551" customWidth="1"/>
    <col min="13326" max="13326" width="8.42578125" style="551" customWidth="1"/>
    <col min="13327" max="13327" width="11.28515625" style="551" customWidth="1"/>
    <col min="13328" max="13328" width="9.28515625" style="551" customWidth="1"/>
    <col min="13329" max="13566" width="9.140625" style="551"/>
    <col min="13567" max="13567" width="18.7109375" style="551" customWidth="1"/>
    <col min="13568" max="13568" width="25.140625" style="551" customWidth="1"/>
    <col min="13569" max="13571" width="7.5703125" style="551" customWidth="1"/>
    <col min="13572" max="13574" width="6.7109375" style="551" customWidth="1"/>
    <col min="13575" max="13578" width="7.5703125" style="551" customWidth="1"/>
    <col min="13579" max="13579" width="8.140625" style="551" customWidth="1"/>
    <col min="13580" max="13580" width="8.42578125" style="551" customWidth="1"/>
    <col min="13581" max="13581" width="9.28515625" style="551" customWidth="1"/>
    <col min="13582" max="13582" width="8.42578125" style="551" customWidth="1"/>
    <col min="13583" max="13583" width="11.28515625" style="551" customWidth="1"/>
    <col min="13584" max="13584" width="9.28515625" style="551" customWidth="1"/>
    <col min="13585" max="13822" width="9.140625" style="551"/>
    <col min="13823" max="13823" width="18.7109375" style="551" customWidth="1"/>
    <col min="13824" max="13824" width="25.140625" style="551" customWidth="1"/>
    <col min="13825" max="13827" width="7.5703125" style="551" customWidth="1"/>
    <col min="13828" max="13830" width="6.7109375" style="551" customWidth="1"/>
    <col min="13831" max="13834" width="7.5703125" style="551" customWidth="1"/>
    <col min="13835" max="13835" width="8.140625" style="551" customWidth="1"/>
    <col min="13836" max="13836" width="8.42578125" style="551" customWidth="1"/>
    <col min="13837" max="13837" width="9.28515625" style="551" customWidth="1"/>
    <col min="13838" max="13838" width="8.42578125" style="551" customWidth="1"/>
    <col min="13839" max="13839" width="11.28515625" style="551" customWidth="1"/>
    <col min="13840" max="13840" width="9.28515625" style="551" customWidth="1"/>
    <col min="13841" max="14078" width="9.140625" style="551"/>
    <col min="14079" max="14079" width="18.7109375" style="551" customWidth="1"/>
    <col min="14080" max="14080" width="25.140625" style="551" customWidth="1"/>
    <col min="14081" max="14083" width="7.5703125" style="551" customWidth="1"/>
    <col min="14084" max="14086" width="6.7109375" style="551" customWidth="1"/>
    <col min="14087" max="14090" width="7.5703125" style="551" customWidth="1"/>
    <col min="14091" max="14091" width="8.140625" style="551" customWidth="1"/>
    <col min="14092" max="14092" width="8.42578125" style="551" customWidth="1"/>
    <col min="14093" max="14093" width="9.28515625" style="551" customWidth="1"/>
    <col min="14094" max="14094" width="8.42578125" style="551" customWidth="1"/>
    <col min="14095" max="14095" width="11.28515625" style="551" customWidth="1"/>
    <col min="14096" max="14096" width="9.28515625" style="551" customWidth="1"/>
    <col min="14097" max="14334" width="9.140625" style="551"/>
    <col min="14335" max="14335" width="18.7109375" style="551" customWidth="1"/>
    <col min="14336" max="14336" width="25.140625" style="551" customWidth="1"/>
    <col min="14337" max="14339" width="7.5703125" style="551" customWidth="1"/>
    <col min="14340" max="14342" width="6.7109375" style="551" customWidth="1"/>
    <col min="14343" max="14346" width="7.5703125" style="551" customWidth="1"/>
    <col min="14347" max="14347" width="8.140625" style="551" customWidth="1"/>
    <col min="14348" max="14348" width="8.42578125" style="551" customWidth="1"/>
    <col min="14349" max="14349" width="9.28515625" style="551" customWidth="1"/>
    <col min="14350" max="14350" width="8.42578125" style="551" customWidth="1"/>
    <col min="14351" max="14351" width="11.28515625" style="551" customWidth="1"/>
    <col min="14352" max="14352" width="9.28515625" style="551" customWidth="1"/>
    <col min="14353" max="14590" width="9.140625" style="551"/>
    <col min="14591" max="14591" width="18.7109375" style="551" customWidth="1"/>
    <col min="14592" max="14592" width="25.140625" style="551" customWidth="1"/>
    <col min="14593" max="14595" width="7.5703125" style="551" customWidth="1"/>
    <col min="14596" max="14598" width="6.7109375" style="551" customWidth="1"/>
    <col min="14599" max="14602" width="7.5703125" style="551" customWidth="1"/>
    <col min="14603" max="14603" width="8.140625" style="551" customWidth="1"/>
    <col min="14604" max="14604" width="8.42578125" style="551" customWidth="1"/>
    <col min="14605" max="14605" width="9.28515625" style="551" customWidth="1"/>
    <col min="14606" max="14606" width="8.42578125" style="551" customWidth="1"/>
    <col min="14607" max="14607" width="11.28515625" style="551" customWidth="1"/>
    <col min="14608" max="14608" width="9.28515625" style="551" customWidth="1"/>
    <col min="14609" max="14846" width="9.140625" style="551"/>
    <col min="14847" max="14847" width="18.7109375" style="551" customWidth="1"/>
    <col min="14848" max="14848" width="25.140625" style="551" customWidth="1"/>
    <col min="14849" max="14851" width="7.5703125" style="551" customWidth="1"/>
    <col min="14852" max="14854" width="6.7109375" style="551" customWidth="1"/>
    <col min="14855" max="14858" width="7.5703125" style="551" customWidth="1"/>
    <col min="14859" max="14859" width="8.140625" style="551" customWidth="1"/>
    <col min="14860" max="14860" width="8.42578125" style="551" customWidth="1"/>
    <col min="14861" max="14861" width="9.28515625" style="551" customWidth="1"/>
    <col min="14862" max="14862" width="8.42578125" style="551" customWidth="1"/>
    <col min="14863" max="14863" width="11.28515625" style="551" customWidth="1"/>
    <col min="14864" max="14864" width="9.28515625" style="551" customWidth="1"/>
    <col min="14865" max="15102" width="9.140625" style="551"/>
    <col min="15103" max="15103" width="18.7109375" style="551" customWidth="1"/>
    <col min="15104" max="15104" width="25.140625" style="551" customWidth="1"/>
    <col min="15105" max="15107" width="7.5703125" style="551" customWidth="1"/>
    <col min="15108" max="15110" width="6.7109375" style="551" customWidth="1"/>
    <col min="15111" max="15114" width="7.5703125" style="551" customWidth="1"/>
    <col min="15115" max="15115" width="8.140625" style="551" customWidth="1"/>
    <col min="15116" max="15116" width="8.42578125" style="551" customWidth="1"/>
    <col min="15117" max="15117" width="9.28515625" style="551" customWidth="1"/>
    <col min="15118" max="15118" width="8.42578125" style="551" customWidth="1"/>
    <col min="15119" max="15119" width="11.28515625" style="551" customWidth="1"/>
    <col min="15120" max="15120" width="9.28515625" style="551" customWidth="1"/>
    <col min="15121" max="15358" width="9.140625" style="551"/>
    <col min="15359" max="15359" width="18.7109375" style="551" customWidth="1"/>
    <col min="15360" max="15360" width="25.140625" style="551" customWidth="1"/>
    <col min="15361" max="15363" width="7.5703125" style="551" customWidth="1"/>
    <col min="15364" max="15366" width="6.7109375" style="551" customWidth="1"/>
    <col min="15367" max="15370" width="7.5703125" style="551" customWidth="1"/>
    <col min="15371" max="15371" width="8.140625" style="551" customWidth="1"/>
    <col min="15372" max="15372" width="8.42578125" style="551" customWidth="1"/>
    <col min="15373" max="15373" width="9.28515625" style="551" customWidth="1"/>
    <col min="15374" max="15374" width="8.42578125" style="551" customWidth="1"/>
    <col min="15375" max="15375" width="11.28515625" style="551" customWidth="1"/>
    <col min="15376" max="15376" width="9.28515625" style="551" customWidth="1"/>
    <col min="15377" max="15614" width="9.140625" style="551"/>
    <col min="15615" max="15615" width="18.7109375" style="551" customWidth="1"/>
    <col min="15616" max="15616" width="25.140625" style="551" customWidth="1"/>
    <col min="15617" max="15619" width="7.5703125" style="551" customWidth="1"/>
    <col min="15620" max="15622" width="6.7109375" style="551" customWidth="1"/>
    <col min="15623" max="15626" width="7.5703125" style="551" customWidth="1"/>
    <col min="15627" max="15627" width="8.140625" style="551" customWidth="1"/>
    <col min="15628" max="15628" width="8.42578125" style="551" customWidth="1"/>
    <col min="15629" max="15629" width="9.28515625" style="551" customWidth="1"/>
    <col min="15630" max="15630" width="8.42578125" style="551" customWidth="1"/>
    <col min="15631" max="15631" width="11.28515625" style="551" customWidth="1"/>
    <col min="15632" max="15632" width="9.28515625" style="551" customWidth="1"/>
    <col min="15633" max="15870" width="9.140625" style="551"/>
    <col min="15871" max="15871" width="18.7109375" style="551" customWidth="1"/>
    <col min="15872" max="15872" width="25.140625" style="551" customWidth="1"/>
    <col min="15873" max="15875" width="7.5703125" style="551" customWidth="1"/>
    <col min="15876" max="15878" width="6.7109375" style="551" customWidth="1"/>
    <col min="15879" max="15882" width="7.5703125" style="551" customWidth="1"/>
    <col min="15883" max="15883" width="8.140625" style="551" customWidth="1"/>
    <col min="15884" max="15884" width="8.42578125" style="551" customWidth="1"/>
    <col min="15885" max="15885" width="9.28515625" style="551" customWidth="1"/>
    <col min="15886" max="15886" width="8.42578125" style="551" customWidth="1"/>
    <col min="15887" max="15887" width="11.28515625" style="551" customWidth="1"/>
    <col min="15888" max="15888" width="9.28515625" style="551" customWidth="1"/>
    <col min="15889" max="16126" width="9.140625" style="551"/>
    <col min="16127" max="16127" width="18.7109375" style="551" customWidth="1"/>
    <col min="16128" max="16128" width="25.140625" style="551" customWidth="1"/>
    <col min="16129" max="16131" width="7.5703125" style="551" customWidth="1"/>
    <col min="16132" max="16134" width="6.7109375" style="551" customWidth="1"/>
    <col min="16135" max="16138" width="7.5703125" style="551" customWidth="1"/>
    <col min="16139" max="16139" width="8.140625" style="551" customWidth="1"/>
    <col min="16140" max="16140" width="8.42578125" style="551" customWidth="1"/>
    <col min="16141" max="16141" width="9.28515625" style="551" customWidth="1"/>
    <col min="16142" max="16142" width="8.42578125" style="551" customWidth="1"/>
    <col min="16143" max="16143" width="11.28515625" style="551" customWidth="1"/>
    <col min="16144" max="16144" width="9.28515625" style="551" customWidth="1"/>
    <col min="16145" max="16384" width="9.140625" style="551"/>
  </cols>
  <sheetData>
    <row r="1" spans="1:33" s="165" customFormat="1" ht="15" customHeight="1" x14ac:dyDescent="0.25">
      <c r="A1" s="162"/>
      <c r="B1" s="592"/>
      <c r="C1" s="593"/>
      <c r="D1" s="160" t="s">
        <v>709</v>
      </c>
      <c r="E1" s="161" t="str">
        <f>Obra!D1</f>
        <v>Atlantia</v>
      </c>
      <c r="F1" s="161"/>
      <c r="G1" s="536"/>
      <c r="H1" s="536"/>
      <c r="I1" s="536"/>
      <c r="J1" s="536"/>
      <c r="K1" s="536"/>
      <c r="L1" s="536"/>
      <c r="M1" s="536"/>
      <c r="N1" s="594"/>
      <c r="O1" s="594"/>
      <c r="P1" s="594"/>
      <c r="Q1" s="594"/>
      <c r="R1" s="594"/>
      <c r="S1" s="594"/>
      <c r="T1" s="594"/>
      <c r="U1" s="594"/>
      <c r="V1" s="595"/>
      <c r="W1" s="593"/>
      <c r="Y1" s="596"/>
    </row>
    <row r="2" spans="1:33" s="116" customFormat="1" ht="15" customHeight="1" x14ac:dyDescent="0.25">
      <c r="A2" s="167"/>
      <c r="C2" s="597"/>
      <c r="D2" s="160" t="s">
        <v>710</v>
      </c>
      <c r="E2" s="166" t="str">
        <f>Obra!D2</f>
        <v>H empreendimentos</v>
      </c>
      <c r="F2" s="161"/>
      <c r="G2" s="161"/>
      <c r="H2" s="161"/>
      <c r="I2" s="161"/>
      <c r="J2" s="161"/>
      <c r="K2" s="161"/>
      <c r="L2" s="161"/>
      <c r="M2" s="161"/>
      <c r="N2" s="598"/>
      <c r="O2" s="598"/>
      <c r="P2" s="598"/>
      <c r="Q2" s="598"/>
      <c r="R2" s="598"/>
      <c r="S2" s="598"/>
      <c r="T2" s="598"/>
      <c r="U2" s="598"/>
      <c r="V2" s="599"/>
      <c r="W2" s="597"/>
    </row>
    <row r="3" spans="1:33" s="116" customFormat="1" ht="15" customHeight="1" x14ac:dyDescent="0.25">
      <c r="A3" s="600"/>
      <c r="B3" s="601"/>
      <c r="C3" s="602"/>
      <c r="D3" s="160" t="s">
        <v>675</v>
      </c>
      <c r="E3" s="161" t="str">
        <f>Obra!D3</f>
        <v>R03 - Valquiria</v>
      </c>
      <c r="F3" s="161"/>
      <c r="G3" s="161"/>
      <c r="H3" s="161"/>
      <c r="I3" s="161"/>
      <c r="J3" s="161"/>
      <c r="K3" s="603"/>
      <c r="L3" s="604"/>
      <c r="M3" s="605"/>
      <c r="N3" s="598"/>
      <c r="O3" s="598"/>
      <c r="P3" s="598"/>
      <c r="Q3" s="598"/>
      <c r="R3" s="598"/>
      <c r="S3" s="545"/>
      <c r="T3" s="546"/>
      <c r="U3" s="546"/>
      <c r="V3" s="606"/>
      <c r="W3" s="602"/>
    </row>
    <row r="4" spans="1:33" s="385" customFormat="1" ht="22.15" customHeight="1" x14ac:dyDescent="0.2">
      <c r="A4" s="607" t="s">
        <v>194</v>
      </c>
      <c r="B4" s="608"/>
      <c r="C4" s="608"/>
      <c r="D4" s="608"/>
      <c r="E4" s="608"/>
      <c r="F4" s="608"/>
      <c r="G4" s="608"/>
      <c r="H4" s="608"/>
      <c r="I4" s="608"/>
      <c r="J4" s="608"/>
      <c r="K4" s="608"/>
      <c r="L4" s="608"/>
      <c r="M4" s="608"/>
      <c r="N4" s="608"/>
      <c r="O4" s="608"/>
      <c r="P4" s="608"/>
      <c r="Q4" s="608"/>
      <c r="R4" s="608"/>
      <c r="S4" s="608"/>
      <c r="T4" s="608"/>
      <c r="U4" s="608"/>
      <c r="V4" s="608"/>
      <c r="W4" s="609"/>
    </row>
    <row r="5" spans="1:33" ht="24" x14ac:dyDescent="0.25">
      <c r="E5" s="1129"/>
      <c r="F5" s="610" t="s">
        <v>883</v>
      </c>
      <c r="G5" s="610" t="s">
        <v>890</v>
      </c>
      <c r="H5" s="610" t="s">
        <v>891</v>
      </c>
      <c r="I5" s="610" t="s">
        <v>734</v>
      </c>
      <c r="J5" s="611" t="s">
        <v>892</v>
      </c>
      <c r="K5" s="557" t="s">
        <v>888</v>
      </c>
      <c r="L5" s="557" t="s">
        <v>889</v>
      </c>
      <c r="M5" s="610" t="s">
        <v>438</v>
      </c>
      <c r="N5" s="612" t="s">
        <v>893</v>
      </c>
      <c r="O5" s="613" t="s">
        <v>717</v>
      </c>
      <c r="P5" s="613" t="s">
        <v>718</v>
      </c>
      <c r="Q5" s="613" t="s">
        <v>719</v>
      </c>
      <c r="R5" s="613" t="s">
        <v>720</v>
      </c>
      <c r="S5" s="613" t="s">
        <v>721</v>
      </c>
      <c r="T5" s="1146" t="s">
        <v>974</v>
      </c>
    </row>
    <row r="6" spans="1:33" ht="15.75" customHeight="1" x14ac:dyDescent="0.25">
      <c r="E6" s="1130"/>
      <c r="F6" s="610" t="s">
        <v>66</v>
      </c>
      <c r="G6" s="610" t="s">
        <v>434</v>
      </c>
      <c r="H6" s="610" t="s">
        <v>66</v>
      </c>
      <c r="I6" s="610" t="s">
        <v>434</v>
      </c>
      <c r="J6" s="610" t="s">
        <v>434</v>
      </c>
      <c r="K6" s="610" t="s">
        <v>434</v>
      </c>
      <c r="L6" s="610" t="s">
        <v>434</v>
      </c>
      <c r="M6" s="610" t="s">
        <v>66</v>
      </c>
      <c r="N6" s="610" t="s">
        <v>66</v>
      </c>
      <c r="O6" s="610" t="s">
        <v>434</v>
      </c>
      <c r="P6" s="610" t="s">
        <v>434</v>
      </c>
      <c r="Q6" s="610" t="s">
        <v>434</v>
      </c>
      <c r="R6" s="610" t="s">
        <v>434</v>
      </c>
      <c r="S6" s="610" t="s">
        <v>434</v>
      </c>
      <c r="T6" s="1097"/>
    </row>
    <row r="7" spans="1:33" ht="24.75" customHeight="1" x14ac:dyDescent="0.25">
      <c r="A7" s="614"/>
      <c r="B7" s="614"/>
      <c r="C7" s="614"/>
      <c r="E7" s="615" t="s">
        <v>886</v>
      </c>
      <c r="F7" s="615"/>
      <c r="G7" s="615">
        <f>L53+L70+L88+L178+L243+L255</f>
        <v>1030.8284142499999</v>
      </c>
      <c r="H7" s="615">
        <f>M53+M70+M88+M178+M243+M255</f>
        <v>394.53142499999996</v>
      </c>
      <c r="I7" s="615">
        <f>N53+N70+N88+N178+N243+N255</f>
        <v>532.36323749999997</v>
      </c>
      <c r="J7" s="615">
        <f>O53+O70+O88+O178+O243+O255</f>
        <v>648.00472977499999</v>
      </c>
      <c r="K7" s="615">
        <f>Q53+Q70+Q88+Q178+Q243+Q255</f>
        <v>0</v>
      </c>
      <c r="L7" s="615">
        <f>R53+R70+R88+R178+R243+R255</f>
        <v>39.453142499999998</v>
      </c>
      <c r="M7" s="615">
        <f>S53+S70+S88+S178+S243+S255</f>
        <v>764.66065498709781</v>
      </c>
      <c r="N7" s="615">
        <f>T53+T70+T88+T178+T243+T255</f>
        <v>950.78829999999994</v>
      </c>
      <c r="O7" s="615">
        <f>SUMIF($V$11:$V$255,O$5,$U$11:$U$255)</f>
        <v>0</v>
      </c>
      <c r="P7" s="615">
        <f>SUMIF($V$11:$V$255,P$5,$U$11:$U$255)</f>
        <v>0</v>
      </c>
      <c r="Q7" s="615">
        <f>SUMIF($V$11:$V$255,Q$5,$U$11:$U$255)*0+SUPRAESTRUTURA!H5</f>
        <v>19.600000000000001</v>
      </c>
      <c r="R7" s="615">
        <f>SUMIF($V$11:$V$255,R$5,$U$11:$U$255)</f>
        <v>0</v>
      </c>
      <c r="S7" s="615">
        <f>SUMIF($V$11:$V$255,S$5,$U$11:$U$255)</f>
        <v>477.6675417500004</v>
      </c>
      <c r="T7" s="615">
        <f>SUPRAESTRUTURA!$I$5</f>
        <v>485.80000000000007</v>
      </c>
    </row>
    <row r="8" spans="1:33" ht="24.75" customHeight="1" x14ac:dyDescent="0.25">
      <c r="A8" s="614"/>
      <c r="B8" s="614"/>
      <c r="C8" s="614"/>
      <c r="E8" s="615" t="s">
        <v>887</v>
      </c>
      <c r="F8" s="615">
        <f>$K$267</f>
        <v>1390.37</v>
      </c>
      <c r="G8" s="615">
        <f>L267</f>
        <v>0</v>
      </c>
      <c r="H8" s="615">
        <f>M267</f>
        <v>0</v>
      </c>
      <c r="I8" s="615">
        <f>N267</f>
        <v>0</v>
      </c>
      <c r="J8" s="615">
        <f>O267</f>
        <v>0</v>
      </c>
      <c r="K8" s="615">
        <f>Q267</f>
        <v>69.518500000000003</v>
      </c>
      <c r="L8" s="615">
        <f>R267</f>
        <v>0</v>
      </c>
      <c r="M8" s="615">
        <f>S267</f>
        <v>20.155320000000003</v>
      </c>
      <c r="N8" s="615">
        <f>T267</f>
        <v>1410.52532</v>
      </c>
      <c r="O8" s="615">
        <f>SUMIF($V$259:$V$267,O$5,$U$259:$U$267)</f>
        <v>139.03700000000001</v>
      </c>
      <c r="P8" s="615">
        <f>SUMIF($V$259:$V$267,P$5,$U$259:$U$267)</f>
        <v>0</v>
      </c>
      <c r="Q8" s="615">
        <f>SUMIF($V$259:$V$267,Q$5,$U$259:$U$267)</f>
        <v>0</v>
      </c>
      <c r="R8" s="615">
        <f>SUMIF($V$259:$V$267,R$5,$U$259:$U$267)</f>
        <v>0</v>
      </c>
      <c r="S8" s="615">
        <f>SUMIF($V$259:$V$267,S$5,$U$259:$U$267)</f>
        <v>0</v>
      </c>
      <c r="T8" s="615"/>
    </row>
    <row r="9" spans="1:33" x14ac:dyDescent="0.25">
      <c r="A9" s="614"/>
      <c r="B9" s="614"/>
      <c r="C9" s="614"/>
      <c r="D9" s="614"/>
      <c r="E9" s="614"/>
      <c r="F9" s="614"/>
      <c r="G9" s="614"/>
      <c r="H9" s="614"/>
      <c r="I9" s="614"/>
      <c r="J9" s="614"/>
      <c r="K9" s="614"/>
      <c r="L9" s="614"/>
      <c r="M9" s="614"/>
      <c r="N9" s="614"/>
      <c r="O9" s="614"/>
    </row>
    <row r="10" spans="1:33" s="385" customFormat="1" ht="22.15" customHeight="1" x14ac:dyDescent="0.2">
      <c r="A10" s="1138" t="s">
        <v>722</v>
      </c>
      <c r="B10" s="1139"/>
      <c r="C10" s="1139"/>
      <c r="D10" s="1139"/>
      <c r="E10" s="1139"/>
      <c r="F10" s="1139"/>
      <c r="G10" s="1139"/>
      <c r="H10" s="1139"/>
      <c r="I10" s="1139"/>
      <c r="J10" s="1139"/>
      <c r="K10" s="1139"/>
      <c r="L10" s="1139"/>
      <c r="M10" s="1139"/>
      <c r="N10" s="1139"/>
      <c r="O10" s="1139"/>
      <c r="P10" s="1139"/>
      <c r="Q10" s="1139"/>
      <c r="R10" s="1139"/>
      <c r="S10" s="1139"/>
      <c r="T10" s="1139"/>
      <c r="U10" s="1139"/>
      <c r="V10" s="1140"/>
      <c r="AC10" s="551"/>
      <c r="AD10" s="551"/>
      <c r="AE10" s="551"/>
      <c r="AF10" s="551"/>
      <c r="AG10" s="551"/>
    </row>
    <row r="11" spans="1:33" s="564" customFormat="1" ht="15" customHeight="1" x14ac:dyDescent="0.25">
      <c r="A11" s="1117" t="s">
        <v>677</v>
      </c>
      <c r="B11" s="616"/>
      <c r="C11" s="616"/>
      <c r="D11" s="616"/>
      <c r="E11" s="617"/>
      <c r="F11" s="618" t="s">
        <v>679</v>
      </c>
      <c r="G11" s="619" t="s">
        <v>723</v>
      </c>
      <c r="H11" s="620"/>
      <c r="I11" s="620"/>
      <c r="J11" s="1113" t="s">
        <v>724</v>
      </c>
      <c r="K11" s="1114"/>
      <c r="L11" s="621" t="s">
        <v>725</v>
      </c>
      <c r="M11" s="622"/>
      <c r="N11" s="622"/>
      <c r="O11" s="622"/>
      <c r="P11" s="622"/>
      <c r="Q11" s="622"/>
      <c r="R11" s="622"/>
      <c r="S11" s="622"/>
      <c r="T11" s="623"/>
      <c r="U11" s="622"/>
      <c r="V11" s="624"/>
      <c r="X11" s="551" t="s">
        <v>726</v>
      </c>
      <c r="Y11" s="551"/>
      <c r="Z11" s="551"/>
      <c r="AA11" s="551"/>
      <c r="AC11" s="551"/>
      <c r="AD11" s="551"/>
      <c r="AE11" s="551"/>
      <c r="AF11" s="551"/>
      <c r="AG11" s="551"/>
    </row>
    <row r="12" spans="1:33" s="564" customFormat="1" ht="12.75" customHeight="1" x14ac:dyDescent="0.25">
      <c r="A12" s="1118"/>
      <c r="B12" s="616"/>
      <c r="C12" s="616"/>
      <c r="D12" s="616"/>
      <c r="E12" s="617"/>
      <c r="F12" s="618"/>
      <c r="G12" s="625" t="s">
        <v>727</v>
      </c>
      <c r="H12" s="626" t="s">
        <v>728</v>
      </c>
      <c r="I12" s="626" t="s">
        <v>729</v>
      </c>
      <c r="J12" s="627" t="s">
        <v>730</v>
      </c>
      <c r="K12" s="627" t="s">
        <v>731</v>
      </c>
      <c r="L12" s="628" t="s">
        <v>732</v>
      </c>
      <c r="M12" s="628" t="s">
        <v>733</v>
      </c>
      <c r="N12" s="628" t="s">
        <v>734</v>
      </c>
      <c r="O12" s="628" t="s">
        <v>735</v>
      </c>
      <c r="P12" s="1147" t="s">
        <v>885</v>
      </c>
      <c r="Q12" s="1148"/>
      <c r="R12" s="1149"/>
      <c r="S12" s="628" t="s">
        <v>736</v>
      </c>
      <c r="T12" s="628" t="s">
        <v>716</v>
      </c>
      <c r="U12" s="628" t="s">
        <v>439</v>
      </c>
      <c r="V12" s="629" t="s">
        <v>737</v>
      </c>
      <c r="X12" s="551"/>
      <c r="Y12" s="551"/>
      <c r="Z12" s="551"/>
      <c r="AA12" s="551"/>
      <c r="AC12" s="551"/>
      <c r="AD12" s="551"/>
      <c r="AE12" s="551"/>
      <c r="AF12" s="551"/>
      <c r="AG12" s="551"/>
    </row>
    <row r="13" spans="1:33" s="564" customFormat="1" ht="12.75" customHeight="1" x14ac:dyDescent="0.25">
      <c r="A13" s="1119"/>
      <c r="B13" s="616"/>
      <c r="C13" s="616"/>
      <c r="D13" s="616"/>
      <c r="E13" s="617"/>
      <c r="F13" s="618"/>
      <c r="G13" s="630" t="s">
        <v>738</v>
      </c>
      <c r="H13" s="631" t="s">
        <v>739</v>
      </c>
      <c r="I13" s="631" t="s">
        <v>740</v>
      </c>
      <c r="J13" s="632" t="s">
        <v>54</v>
      </c>
      <c r="K13" s="632" t="s">
        <v>54</v>
      </c>
      <c r="L13" s="632" t="s">
        <v>434</v>
      </c>
      <c r="M13" s="632" t="s">
        <v>66</v>
      </c>
      <c r="N13" s="632" t="s">
        <v>434</v>
      </c>
      <c r="O13" s="632" t="s">
        <v>434</v>
      </c>
      <c r="P13" s="633" t="s">
        <v>741</v>
      </c>
      <c r="Q13" s="721" t="s">
        <v>434</v>
      </c>
      <c r="R13" s="721" t="s">
        <v>434</v>
      </c>
      <c r="S13" s="632" t="s">
        <v>66</v>
      </c>
      <c r="T13" s="632" t="s">
        <v>66</v>
      </c>
      <c r="U13" s="632" t="s">
        <v>434</v>
      </c>
      <c r="V13" s="634"/>
      <c r="X13" s="551"/>
      <c r="Y13" s="551"/>
      <c r="Z13" s="551"/>
      <c r="AA13" s="551"/>
      <c r="AC13" s="551"/>
      <c r="AD13" s="551"/>
      <c r="AE13" s="551"/>
      <c r="AF13" s="551"/>
      <c r="AG13" s="551"/>
    </row>
    <row r="14" spans="1:33" s="636" customFormat="1" ht="16.149999999999999" customHeight="1" x14ac:dyDescent="0.25">
      <c r="A14" s="635" t="s">
        <v>742</v>
      </c>
      <c r="B14" s="635"/>
      <c r="C14" s="635"/>
      <c r="D14" s="635"/>
      <c r="E14" s="635"/>
      <c r="F14" s="635"/>
      <c r="G14" s="635"/>
      <c r="H14" s="635"/>
      <c r="I14" s="635"/>
      <c r="J14" s="635"/>
      <c r="K14" s="635"/>
      <c r="L14" s="635"/>
      <c r="M14" s="635"/>
      <c r="N14" s="635"/>
      <c r="O14" s="635"/>
      <c r="P14" s="665"/>
      <c r="Q14" s="724" t="s">
        <v>884</v>
      </c>
      <c r="R14" s="724" t="s">
        <v>439</v>
      </c>
      <c r="S14" s="635"/>
      <c r="T14" s="635"/>
      <c r="U14" s="635"/>
      <c r="V14" s="635"/>
      <c r="X14" s="551"/>
      <c r="Y14" s="551"/>
      <c r="Z14" s="551"/>
      <c r="AA14" s="551"/>
      <c r="AC14" s="551"/>
      <c r="AD14" s="551"/>
      <c r="AE14" s="551"/>
      <c r="AF14" s="551"/>
      <c r="AG14" s="551"/>
    </row>
    <row r="15" spans="1:33" s="636" customFormat="1" ht="15" customHeight="1" x14ac:dyDescent="0.25">
      <c r="A15" s="645" t="s">
        <v>784</v>
      </c>
      <c r="B15" s="637"/>
      <c r="C15" s="637"/>
      <c r="D15" s="637" t="s">
        <v>785</v>
      </c>
      <c r="E15" s="637"/>
      <c r="F15" s="638">
        <v>1</v>
      </c>
      <c r="G15" s="639">
        <v>2.5</v>
      </c>
      <c r="H15" s="639">
        <v>2.5</v>
      </c>
      <c r="I15" s="639">
        <v>0.9</v>
      </c>
      <c r="J15" s="640">
        <f t="shared" ref="J15:J52" si="0">IF(I15&lt;=1,0.6,1.2)</f>
        <v>0.6</v>
      </c>
      <c r="K15" s="641"/>
      <c r="L15" s="640">
        <f>(G15+J15)*(I15+K15+P15)*(H15+J15)*F15</f>
        <v>9.6100000000000012</v>
      </c>
      <c r="M15" s="640">
        <f>(G15)*(H15)*F15</f>
        <v>6.25</v>
      </c>
      <c r="N15" s="640">
        <f t="shared" ref="N15:N34" si="1">+L15-U15</f>
        <v>3.9850000000000012</v>
      </c>
      <c r="O15" s="640">
        <f>(L15-N15)*1.3</f>
        <v>7.3125</v>
      </c>
      <c r="P15" s="642">
        <v>0.1</v>
      </c>
      <c r="Q15" s="643"/>
      <c r="R15" s="643">
        <f t="shared" ref="R15:R52" si="2">M15*$P$15</f>
        <v>0.625</v>
      </c>
      <c r="S15" s="641">
        <f t="shared" ref="S15:S34" si="3">(2*G15+H15*2)*I15*F15</f>
        <v>9</v>
      </c>
      <c r="T15" s="641">
        <f>(M15+((G15+H15)*I15)*2)*F15</f>
        <v>15.25</v>
      </c>
      <c r="U15" s="641">
        <f t="shared" ref="U15:U34" si="4">G15*I15*H15*F15</f>
        <v>5.625</v>
      </c>
      <c r="V15" s="644" t="s">
        <v>721</v>
      </c>
      <c r="X15" s="551"/>
      <c r="Y15" s="551"/>
      <c r="Z15" s="551"/>
      <c r="AA15" s="551"/>
      <c r="AC15" s="551"/>
      <c r="AD15" s="551"/>
      <c r="AE15" s="551"/>
      <c r="AF15" s="551"/>
      <c r="AG15" s="551"/>
    </row>
    <row r="16" spans="1:33" s="636" customFormat="1" ht="15" customHeight="1" x14ac:dyDescent="0.25">
      <c r="A16" s="645" t="s">
        <v>784</v>
      </c>
      <c r="B16" s="646"/>
      <c r="C16" s="646"/>
      <c r="D16" s="646" t="s">
        <v>786</v>
      </c>
      <c r="E16" s="646"/>
      <c r="F16" s="647">
        <v>1</v>
      </c>
      <c r="G16" s="568">
        <v>2.6</v>
      </c>
      <c r="H16" s="568">
        <v>0.95</v>
      </c>
      <c r="I16" s="568">
        <v>0.9</v>
      </c>
      <c r="J16" s="641">
        <f t="shared" si="0"/>
        <v>0.6</v>
      </c>
      <c r="K16" s="648"/>
      <c r="L16" s="640">
        <f t="shared" ref="L16:L51" si="5">(G16+J16)*(I16+K16+P16)*(H16+J16)*F16</f>
        <v>4.96</v>
      </c>
      <c r="M16" s="641">
        <f t="shared" ref="M16:M51" si="6">(G16)*(H16)*F16</f>
        <v>2.4699999999999998</v>
      </c>
      <c r="N16" s="641">
        <f t="shared" si="1"/>
        <v>2.7369999999999997</v>
      </c>
      <c r="O16" s="641">
        <f t="shared" ref="O16:O51" si="7">(L16-N16)*1.3</f>
        <v>2.8899000000000004</v>
      </c>
      <c r="P16" s="642">
        <v>0.1</v>
      </c>
      <c r="Q16" s="643"/>
      <c r="R16" s="643">
        <f t="shared" si="2"/>
        <v>0.247</v>
      </c>
      <c r="S16" s="648">
        <f t="shared" si="3"/>
        <v>6.39</v>
      </c>
      <c r="T16" s="648">
        <f t="shared" ref="T16:T52" si="8">(M16+((G16+H16)*I16)*2)*F16</f>
        <v>8.86</v>
      </c>
      <c r="U16" s="648">
        <f t="shared" si="4"/>
        <v>2.2230000000000003</v>
      </c>
      <c r="V16" s="644" t="s">
        <v>721</v>
      </c>
      <c r="X16" s="551"/>
      <c r="Y16" s="551"/>
      <c r="Z16" s="551"/>
      <c r="AA16" s="551"/>
      <c r="AC16" s="551"/>
      <c r="AD16" s="551"/>
      <c r="AE16" s="551"/>
      <c r="AF16" s="551"/>
      <c r="AG16" s="551"/>
    </row>
    <row r="17" spans="1:33" s="636" customFormat="1" ht="15" customHeight="1" x14ac:dyDescent="0.25">
      <c r="A17" s="645" t="s">
        <v>784</v>
      </c>
      <c r="B17" s="637"/>
      <c r="C17" s="637"/>
      <c r="D17" s="637" t="s">
        <v>792</v>
      </c>
      <c r="E17" s="637"/>
      <c r="F17" s="638">
        <v>1</v>
      </c>
      <c r="G17" s="639">
        <v>2.2000000000000002</v>
      </c>
      <c r="H17" s="639">
        <v>0.7</v>
      </c>
      <c r="I17" s="639">
        <v>0.9</v>
      </c>
      <c r="J17" s="649">
        <f t="shared" si="0"/>
        <v>0.6</v>
      </c>
      <c r="K17" s="640"/>
      <c r="L17" s="640">
        <f t="shared" si="5"/>
        <v>3.6399999999999997</v>
      </c>
      <c r="M17" s="648">
        <f t="shared" si="6"/>
        <v>1.54</v>
      </c>
      <c r="N17" s="648">
        <f t="shared" si="1"/>
        <v>2.2539999999999996</v>
      </c>
      <c r="O17" s="648">
        <f t="shared" si="7"/>
        <v>1.8018000000000003</v>
      </c>
      <c r="P17" s="642">
        <v>0.1</v>
      </c>
      <c r="Q17" s="643"/>
      <c r="R17" s="643">
        <f t="shared" si="2"/>
        <v>0.15400000000000003</v>
      </c>
      <c r="S17" s="648">
        <f t="shared" si="3"/>
        <v>5.2200000000000006</v>
      </c>
      <c r="T17" s="648">
        <f t="shared" si="8"/>
        <v>6.7600000000000007</v>
      </c>
      <c r="U17" s="648">
        <f t="shared" si="4"/>
        <v>1.3860000000000001</v>
      </c>
      <c r="V17" s="644" t="s">
        <v>721</v>
      </c>
      <c r="X17" s="551"/>
      <c r="Y17" s="551"/>
      <c r="Z17" s="551"/>
      <c r="AA17" s="551"/>
      <c r="AC17" s="551"/>
      <c r="AD17" s="551"/>
      <c r="AE17" s="551"/>
      <c r="AF17" s="551"/>
      <c r="AG17" s="551"/>
    </row>
    <row r="18" spans="1:33" s="636" customFormat="1" ht="15" customHeight="1" x14ac:dyDescent="0.25">
      <c r="A18" s="645" t="s">
        <v>784</v>
      </c>
      <c r="B18" s="646"/>
      <c r="C18" s="646"/>
      <c r="D18" s="646" t="s">
        <v>793</v>
      </c>
      <c r="E18" s="646"/>
      <c r="F18" s="647">
        <v>1</v>
      </c>
      <c r="G18" s="568">
        <v>0.7</v>
      </c>
      <c r="H18" s="568">
        <v>0.7</v>
      </c>
      <c r="I18" s="568">
        <v>0.7</v>
      </c>
      <c r="J18" s="648">
        <f t="shared" si="0"/>
        <v>0.6</v>
      </c>
      <c r="K18" s="648"/>
      <c r="L18" s="640">
        <f t="shared" si="5"/>
        <v>1.3519999999999996</v>
      </c>
      <c r="M18" s="648">
        <f t="shared" si="6"/>
        <v>0.48999999999999994</v>
      </c>
      <c r="N18" s="648">
        <f t="shared" si="1"/>
        <v>1.0089999999999997</v>
      </c>
      <c r="O18" s="648">
        <f t="shared" si="7"/>
        <v>0.44589999999999996</v>
      </c>
      <c r="P18" s="642">
        <v>0.1</v>
      </c>
      <c r="Q18" s="643"/>
      <c r="R18" s="643">
        <f t="shared" si="2"/>
        <v>4.8999999999999995E-2</v>
      </c>
      <c r="S18" s="648">
        <f t="shared" si="3"/>
        <v>1.9599999999999997</v>
      </c>
      <c r="T18" s="648">
        <f t="shared" si="8"/>
        <v>2.4499999999999997</v>
      </c>
      <c r="U18" s="648">
        <f t="shared" si="4"/>
        <v>0.34299999999999992</v>
      </c>
      <c r="V18" s="644" t="s">
        <v>721</v>
      </c>
      <c r="X18" s="551"/>
      <c r="Y18" s="551"/>
      <c r="Z18" s="551"/>
      <c r="AA18" s="551"/>
      <c r="AC18" s="551"/>
      <c r="AD18" s="551"/>
      <c r="AE18" s="551"/>
      <c r="AF18" s="551"/>
      <c r="AG18" s="551"/>
    </row>
    <row r="19" spans="1:33" s="636" customFormat="1" ht="15" customHeight="1" x14ac:dyDescent="0.25">
      <c r="A19" s="645" t="s">
        <v>784</v>
      </c>
      <c r="B19" s="646"/>
      <c r="C19" s="646"/>
      <c r="D19" s="646" t="s">
        <v>794</v>
      </c>
      <c r="E19" s="646"/>
      <c r="F19" s="647">
        <v>1</v>
      </c>
      <c r="G19" s="568">
        <v>3.7</v>
      </c>
      <c r="H19" s="568">
        <v>2.2000000000000002</v>
      </c>
      <c r="I19" s="568">
        <v>1.3</v>
      </c>
      <c r="J19" s="649">
        <f t="shared" si="0"/>
        <v>1.2</v>
      </c>
      <c r="K19" s="648"/>
      <c r="L19" s="640">
        <f t="shared" si="5"/>
        <v>23.324000000000005</v>
      </c>
      <c r="M19" s="648">
        <f t="shared" si="6"/>
        <v>8.14</v>
      </c>
      <c r="N19" s="648">
        <f t="shared" si="1"/>
        <v>12.742000000000003</v>
      </c>
      <c r="O19" s="648">
        <f t="shared" si="7"/>
        <v>13.756600000000004</v>
      </c>
      <c r="P19" s="642">
        <v>0.1</v>
      </c>
      <c r="Q19" s="643"/>
      <c r="R19" s="643">
        <f t="shared" si="2"/>
        <v>0.81400000000000006</v>
      </c>
      <c r="S19" s="648">
        <f t="shared" si="3"/>
        <v>15.340000000000002</v>
      </c>
      <c r="T19" s="648">
        <f t="shared" si="8"/>
        <v>23.480000000000004</v>
      </c>
      <c r="U19" s="648">
        <f t="shared" si="4"/>
        <v>10.582000000000003</v>
      </c>
      <c r="V19" s="644" t="s">
        <v>721</v>
      </c>
      <c r="X19" s="551"/>
      <c r="Y19" s="551"/>
      <c r="Z19" s="551"/>
      <c r="AA19" s="551"/>
    </row>
    <row r="20" spans="1:33" s="636" customFormat="1" ht="15" customHeight="1" x14ac:dyDescent="0.25">
      <c r="A20" s="645" t="s">
        <v>784</v>
      </c>
      <c r="B20" s="646"/>
      <c r="C20" s="646"/>
      <c r="D20" s="646" t="s">
        <v>795</v>
      </c>
      <c r="E20" s="646"/>
      <c r="F20" s="647">
        <v>1</v>
      </c>
      <c r="G20" s="568">
        <v>3.8</v>
      </c>
      <c r="H20" s="568">
        <v>0.8</v>
      </c>
      <c r="I20" s="568">
        <v>1.1000000000000001</v>
      </c>
      <c r="J20" s="649">
        <f t="shared" ref="J20:J33" si="9">IF(I20&lt;=1,0.6,1.2)</f>
        <v>1.2</v>
      </c>
      <c r="K20" s="640"/>
      <c r="L20" s="640">
        <f t="shared" ref="L20:L33" si="10">(G20+J20)*(I20+K20+P20)*(H20+J20)*F20</f>
        <v>12.000000000000002</v>
      </c>
      <c r="M20" s="648">
        <f t="shared" ref="M20:M33" si="11">(G20)*(H20)*F20</f>
        <v>3.04</v>
      </c>
      <c r="N20" s="648">
        <f t="shared" ref="N20:N33" si="12">+L20-U20</f>
        <v>8.6560000000000024</v>
      </c>
      <c r="O20" s="648">
        <f t="shared" ref="O20:O33" si="13">(L20-N20)*1.3</f>
        <v>4.3471999999999991</v>
      </c>
      <c r="P20" s="642">
        <v>0.1</v>
      </c>
      <c r="Q20" s="643"/>
      <c r="R20" s="643">
        <f t="shared" si="2"/>
        <v>0.30400000000000005</v>
      </c>
      <c r="S20" s="648">
        <f t="shared" ref="S20:S33" si="14">(2*G20+H20*2)*I20*F20</f>
        <v>10.119999999999999</v>
      </c>
      <c r="T20" s="648">
        <f t="shared" ref="T20:T33" si="15">(M20+((G20+H20)*I20)*2)*F20</f>
        <v>13.16</v>
      </c>
      <c r="U20" s="648">
        <f t="shared" ref="U20:U33" si="16">G20*I20*H20*F20</f>
        <v>3.3439999999999999</v>
      </c>
      <c r="V20" s="644" t="s">
        <v>721</v>
      </c>
      <c r="X20" s="551"/>
      <c r="Y20" s="551"/>
      <c r="Z20" s="551"/>
      <c r="AA20" s="551"/>
    </row>
    <row r="21" spans="1:33" s="636" customFormat="1" ht="15" customHeight="1" x14ac:dyDescent="0.25">
      <c r="A21" s="645" t="s">
        <v>784</v>
      </c>
      <c r="B21" s="646"/>
      <c r="C21" s="646"/>
      <c r="D21" s="646" t="s">
        <v>796</v>
      </c>
      <c r="E21" s="646"/>
      <c r="F21" s="647">
        <v>0.8</v>
      </c>
      <c r="G21" s="568">
        <v>2.6</v>
      </c>
      <c r="H21" s="568">
        <v>0.8</v>
      </c>
      <c r="I21" s="568">
        <v>1.1000000000000001</v>
      </c>
      <c r="J21" s="649">
        <f t="shared" si="9"/>
        <v>1.2</v>
      </c>
      <c r="K21" s="640"/>
      <c r="L21" s="640">
        <f t="shared" si="10"/>
        <v>7.2960000000000012</v>
      </c>
      <c r="M21" s="648">
        <f t="shared" si="11"/>
        <v>1.6640000000000001</v>
      </c>
      <c r="N21" s="648">
        <f t="shared" si="12"/>
        <v>5.4656000000000011</v>
      </c>
      <c r="O21" s="648">
        <f t="shared" si="13"/>
        <v>2.3795200000000003</v>
      </c>
      <c r="P21" s="642">
        <v>0.1</v>
      </c>
      <c r="Q21" s="643"/>
      <c r="R21" s="643">
        <f t="shared" si="2"/>
        <v>0.16640000000000002</v>
      </c>
      <c r="S21" s="648">
        <f t="shared" si="14"/>
        <v>5.9840000000000018</v>
      </c>
      <c r="T21" s="648">
        <f t="shared" si="15"/>
        <v>7.3152000000000017</v>
      </c>
      <c r="U21" s="648">
        <f t="shared" si="16"/>
        <v>1.8304000000000002</v>
      </c>
      <c r="V21" s="644" t="s">
        <v>721</v>
      </c>
      <c r="X21" s="551"/>
      <c r="Y21" s="551"/>
      <c r="Z21" s="551"/>
      <c r="AA21" s="551"/>
    </row>
    <row r="22" spans="1:33" s="636" customFormat="1" ht="15" customHeight="1" x14ac:dyDescent="0.25">
      <c r="A22" s="645" t="s">
        <v>784</v>
      </c>
      <c r="B22" s="646"/>
      <c r="C22" s="646"/>
      <c r="D22" s="646" t="s">
        <v>797</v>
      </c>
      <c r="E22" s="646"/>
      <c r="F22" s="647">
        <v>1</v>
      </c>
      <c r="G22" s="568">
        <v>2.6</v>
      </c>
      <c r="H22" s="568">
        <v>0.8</v>
      </c>
      <c r="I22" s="568">
        <v>0.9</v>
      </c>
      <c r="J22" s="649">
        <f t="shared" si="9"/>
        <v>0.6</v>
      </c>
      <c r="K22" s="640"/>
      <c r="L22" s="640">
        <f t="shared" si="10"/>
        <v>4.4799999999999995</v>
      </c>
      <c r="M22" s="648">
        <f t="shared" si="11"/>
        <v>2.08</v>
      </c>
      <c r="N22" s="648">
        <f t="shared" si="12"/>
        <v>2.6079999999999992</v>
      </c>
      <c r="O22" s="648">
        <f t="shared" si="13"/>
        <v>2.4336000000000007</v>
      </c>
      <c r="P22" s="642">
        <v>0.1</v>
      </c>
      <c r="Q22" s="643"/>
      <c r="R22" s="643">
        <f t="shared" si="2"/>
        <v>0.20800000000000002</v>
      </c>
      <c r="S22" s="648">
        <f t="shared" si="14"/>
        <v>6.120000000000001</v>
      </c>
      <c r="T22" s="648">
        <f t="shared" si="15"/>
        <v>8.2000000000000011</v>
      </c>
      <c r="U22" s="648">
        <f t="shared" si="16"/>
        <v>1.8720000000000003</v>
      </c>
      <c r="V22" s="644" t="s">
        <v>721</v>
      </c>
      <c r="X22" s="551"/>
      <c r="Y22" s="551"/>
      <c r="Z22" s="551"/>
      <c r="AA22" s="551"/>
    </row>
    <row r="23" spans="1:33" s="636" customFormat="1" ht="15" customHeight="1" x14ac:dyDescent="0.25">
      <c r="A23" s="645" t="s">
        <v>784</v>
      </c>
      <c r="B23" s="646"/>
      <c r="C23" s="646"/>
      <c r="D23" s="646" t="s">
        <v>798</v>
      </c>
      <c r="E23" s="646"/>
      <c r="F23" s="647">
        <v>1</v>
      </c>
      <c r="G23" s="568">
        <v>0.7</v>
      </c>
      <c r="H23" s="568">
        <v>0.7</v>
      </c>
      <c r="I23" s="568">
        <v>0.7</v>
      </c>
      <c r="J23" s="649">
        <f t="shared" si="9"/>
        <v>0.6</v>
      </c>
      <c r="K23" s="640"/>
      <c r="L23" s="640">
        <f t="shared" si="10"/>
        <v>1.3519999999999996</v>
      </c>
      <c r="M23" s="648">
        <f t="shared" si="11"/>
        <v>0.48999999999999994</v>
      </c>
      <c r="N23" s="648">
        <f t="shared" si="12"/>
        <v>1.0089999999999997</v>
      </c>
      <c r="O23" s="648">
        <f t="shared" si="13"/>
        <v>0.44589999999999996</v>
      </c>
      <c r="P23" s="642">
        <v>0.1</v>
      </c>
      <c r="Q23" s="643"/>
      <c r="R23" s="643">
        <f t="shared" si="2"/>
        <v>4.8999999999999995E-2</v>
      </c>
      <c r="S23" s="648">
        <f t="shared" si="14"/>
        <v>1.9599999999999997</v>
      </c>
      <c r="T23" s="648">
        <f t="shared" si="15"/>
        <v>2.4499999999999997</v>
      </c>
      <c r="U23" s="648">
        <f t="shared" si="16"/>
        <v>0.34299999999999992</v>
      </c>
      <c r="V23" s="644" t="s">
        <v>721</v>
      </c>
      <c r="X23" s="551"/>
      <c r="Y23" s="551"/>
      <c r="Z23" s="551"/>
      <c r="AA23" s="551"/>
    </row>
    <row r="24" spans="1:33" s="636" customFormat="1" ht="15" customHeight="1" x14ac:dyDescent="0.25">
      <c r="A24" s="645" t="s">
        <v>784</v>
      </c>
      <c r="B24" s="646"/>
      <c r="C24" s="646"/>
      <c r="D24" s="646" t="s">
        <v>799</v>
      </c>
      <c r="E24" s="646"/>
      <c r="F24" s="647">
        <v>1</v>
      </c>
      <c r="G24" s="568">
        <v>0.7</v>
      </c>
      <c r="H24" s="568">
        <v>0.7</v>
      </c>
      <c r="I24" s="568">
        <v>0.7</v>
      </c>
      <c r="J24" s="649">
        <f t="shared" si="9"/>
        <v>0.6</v>
      </c>
      <c r="K24" s="640"/>
      <c r="L24" s="640">
        <f t="shared" si="10"/>
        <v>1.3519999999999996</v>
      </c>
      <c r="M24" s="648">
        <f t="shared" si="11"/>
        <v>0.48999999999999994</v>
      </c>
      <c r="N24" s="648">
        <f t="shared" si="12"/>
        <v>1.0089999999999997</v>
      </c>
      <c r="O24" s="648">
        <f t="shared" si="13"/>
        <v>0.44589999999999996</v>
      </c>
      <c r="P24" s="642">
        <v>0.1</v>
      </c>
      <c r="Q24" s="643"/>
      <c r="R24" s="643">
        <f t="shared" si="2"/>
        <v>4.8999999999999995E-2</v>
      </c>
      <c r="S24" s="648">
        <f t="shared" si="14"/>
        <v>1.9599999999999997</v>
      </c>
      <c r="T24" s="648">
        <f t="shared" si="15"/>
        <v>2.4499999999999997</v>
      </c>
      <c r="U24" s="648">
        <f t="shared" si="16"/>
        <v>0.34299999999999992</v>
      </c>
      <c r="V24" s="644" t="s">
        <v>721</v>
      </c>
      <c r="X24" s="551"/>
      <c r="Y24" s="551"/>
      <c r="Z24" s="551"/>
      <c r="AA24" s="551"/>
    </row>
    <row r="25" spans="1:33" s="636" customFormat="1" ht="15" customHeight="1" x14ac:dyDescent="0.25">
      <c r="A25" s="645" t="s">
        <v>784</v>
      </c>
      <c r="B25" s="646"/>
      <c r="C25" s="646"/>
      <c r="D25" s="646" t="s">
        <v>800</v>
      </c>
      <c r="E25" s="646"/>
      <c r="F25" s="647">
        <v>1</v>
      </c>
      <c r="G25" s="568">
        <v>0.7</v>
      </c>
      <c r="H25" s="568">
        <v>0.7</v>
      </c>
      <c r="I25" s="568">
        <v>0.7</v>
      </c>
      <c r="J25" s="649">
        <f t="shared" si="9"/>
        <v>0.6</v>
      </c>
      <c r="K25" s="640"/>
      <c r="L25" s="640">
        <f t="shared" si="10"/>
        <v>1.3519999999999996</v>
      </c>
      <c r="M25" s="648">
        <f t="shared" si="11"/>
        <v>0.48999999999999994</v>
      </c>
      <c r="N25" s="648">
        <f t="shared" si="12"/>
        <v>1.0089999999999997</v>
      </c>
      <c r="O25" s="648">
        <f t="shared" si="13"/>
        <v>0.44589999999999996</v>
      </c>
      <c r="P25" s="642">
        <v>0.1</v>
      </c>
      <c r="Q25" s="643"/>
      <c r="R25" s="643">
        <f t="shared" si="2"/>
        <v>4.8999999999999995E-2</v>
      </c>
      <c r="S25" s="648">
        <f t="shared" si="14"/>
        <v>1.9599999999999997</v>
      </c>
      <c r="T25" s="648">
        <f t="shared" si="15"/>
        <v>2.4499999999999997</v>
      </c>
      <c r="U25" s="648">
        <f t="shared" si="16"/>
        <v>0.34299999999999992</v>
      </c>
      <c r="V25" s="644" t="s">
        <v>721</v>
      </c>
      <c r="X25" s="551"/>
      <c r="Y25" s="551"/>
      <c r="Z25" s="551"/>
      <c r="AA25" s="551"/>
    </row>
    <row r="26" spans="1:33" s="636" customFormat="1" ht="15" customHeight="1" x14ac:dyDescent="0.25">
      <c r="A26" s="645" t="s">
        <v>784</v>
      </c>
      <c r="B26" s="646"/>
      <c r="C26" s="646"/>
      <c r="D26" s="646" t="s">
        <v>801</v>
      </c>
      <c r="E26" s="646"/>
      <c r="F26" s="647">
        <v>1</v>
      </c>
      <c r="G26" s="568">
        <v>0.7</v>
      </c>
      <c r="H26" s="568">
        <v>0.7</v>
      </c>
      <c r="I26" s="568">
        <v>0.7</v>
      </c>
      <c r="J26" s="649">
        <f t="shared" si="9"/>
        <v>0.6</v>
      </c>
      <c r="K26" s="640"/>
      <c r="L26" s="640">
        <f t="shared" si="10"/>
        <v>1.3519999999999996</v>
      </c>
      <c r="M26" s="648">
        <f t="shared" si="11"/>
        <v>0.48999999999999994</v>
      </c>
      <c r="N26" s="648">
        <f t="shared" si="12"/>
        <v>1.0089999999999997</v>
      </c>
      <c r="O26" s="648">
        <f t="shared" si="13"/>
        <v>0.44589999999999996</v>
      </c>
      <c r="P26" s="642">
        <v>0.1</v>
      </c>
      <c r="Q26" s="643"/>
      <c r="R26" s="643">
        <f t="shared" si="2"/>
        <v>4.8999999999999995E-2</v>
      </c>
      <c r="S26" s="648">
        <f t="shared" si="14"/>
        <v>1.9599999999999997</v>
      </c>
      <c r="T26" s="648">
        <f t="shared" si="15"/>
        <v>2.4499999999999997</v>
      </c>
      <c r="U26" s="648">
        <f t="shared" si="16"/>
        <v>0.34299999999999992</v>
      </c>
      <c r="V26" s="644" t="s">
        <v>721</v>
      </c>
      <c r="X26" s="551"/>
      <c r="Y26" s="551"/>
      <c r="Z26" s="551"/>
      <c r="AA26" s="551"/>
    </row>
    <row r="27" spans="1:33" s="636" customFormat="1" ht="15" customHeight="1" x14ac:dyDescent="0.25">
      <c r="A27" s="645" t="s">
        <v>784</v>
      </c>
      <c r="B27" s="646"/>
      <c r="C27" s="646"/>
      <c r="D27" s="646" t="s">
        <v>802</v>
      </c>
      <c r="E27" s="646"/>
      <c r="F27" s="647">
        <v>1</v>
      </c>
      <c r="G27" s="568">
        <v>0.7</v>
      </c>
      <c r="H27" s="568">
        <v>0.7</v>
      </c>
      <c r="I27" s="568">
        <v>0.7</v>
      </c>
      <c r="J27" s="649">
        <f t="shared" si="9"/>
        <v>0.6</v>
      </c>
      <c r="K27" s="640"/>
      <c r="L27" s="640">
        <f t="shared" si="10"/>
        <v>1.3519999999999996</v>
      </c>
      <c r="M27" s="648">
        <f t="shared" si="11"/>
        <v>0.48999999999999994</v>
      </c>
      <c r="N27" s="648">
        <f t="shared" si="12"/>
        <v>1.0089999999999997</v>
      </c>
      <c r="O27" s="648">
        <f t="shared" si="13"/>
        <v>0.44589999999999996</v>
      </c>
      <c r="P27" s="642">
        <v>0.1</v>
      </c>
      <c r="Q27" s="643"/>
      <c r="R27" s="643">
        <f t="shared" si="2"/>
        <v>4.8999999999999995E-2</v>
      </c>
      <c r="S27" s="648">
        <f t="shared" si="14"/>
        <v>1.9599999999999997</v>
      </c>
      <c r="T27" s="648">
        <f t="shared" si="15"/>
        <v>2.4499999999999997</v>
      </c>
      <c r="U27" s="648">
        <f t="shared" si="16"/>
        <v>0.34299999999999992</v>
      </c>
      <c r="V27" s="644" t="s">
        <v>721</v>
      </c>
      <c r="X27" s="551"/>
      <c r="Y27" s="551"/>
      <c r="Z27" s="551"/>
      <c r="AA27" s="551"/>
    </row>
    <row r="28" spans="1:33" s="636" customFormat="1" ht="15" customHeight="1" x14ac:dyDescent="0.25">
      <c r="A28" s="645" t="s">
        <v>784</v>
      </c>
      <c r="B28" s="646"/>
      <c r="C28" s="646"/>
      <c r="D28" s="646" t="s">
        <v>803</v>
      </c>
      <c r="E28" s="646"/>
      <c r="F28" s="647">
        <v>1</v>
      </c>
      <c r="G28" s="568">
        <v>0.7</v>
      </c>
      <c r="H28" s="568">
        <v>0.7</v>
      </c>
      <c r="I28" s="568">
        <v>0.7</v>
      </c>
      <c r="J28" s="649">
        <f t="shared" si="9"/>
        <v>0.6</v>
      </c>
      <c r="K28" s="640"/>
      <c r="L28" s="640">
        <f t="shared" si="10"/>
        <v>1.3519999999999996</v>
      </c>
      <c r="M28" s="648">
        <f t="shared" si="11"/>
        <v>0.48999999999999994</v>
      </c>
      <c r="N28" s="648">
        <f t="shared" si="12"/>
        <v>1.0089999999999997</v>
      </c>
      <c r="O28" s="648">
        <f t="shared" si="13"/>
        <v>0.44589999999999996</v>
      </c>
      <c r="P28" s="642">
        <v>0.1</v>
      </c>
      <c r="Q28" s="643"/>
      <c r="R28" s="643">
        <f t="shared" si="2"/>
        <v>4.8999999999999995E-2</v>
      </c>
      <c r="S28" s="648">
        <f t="shared" si="14"/>
        <v>1.9599999999999997</v>
      </c>
      <c r="T28" s="648">
        <f t="shared" si="15"/>
        <v>2.4499999999999997</v>
      </c>
      <c r="U28" s="648">
        <f t="shared" si="16"/>
        <v>0.34299999999999992</v>
      </c>
      <c r="V28" s="644" t="s">
        <v>721</v>
      </c>
      <c r="X28" s="551"/>
      <c r="Y28" s="551"/>
      <c r="Z28" s="551"/>
      <c r="AA28" s="551"/>
    </row>
    <row r="29" spans="1:33" s="636" customFormat="1" ht="15" customHeight="1" x14ac:dyDescent="0.25">
      <c r="A29" s="645" t="s">
        <v>784</v>
      </c>
      <c r="B29" s="646"/>
      <c r="C29" s="646"/>
      <c r="D29" s="646" t="s">
        <v>804</v>
      </c>
      <c r="E29" s="646"/>
      <c r="F29" s="647">
        <v>1</v>
      </c>
      <c r="G29" s="568">
        <v>0.7</v>
      </c>
      <c r="H29" s="568">
        <v>0.7</v>
      </c>
      <c r="I29" s="568">
        <v>0.7</v>
      </c>
      <c r="J29" s="649">
        <f t="shared" si="9"/>
        <v>0.6</v>
      </c>
      <c r="K29" s="640"/>
      <c r="L29" s="640">
        <f t="shared" si="10"/>
        <v>1.3519999999999996</v>
      </c>
      <c r="M29" s="648">
        <f t="shared" si="11"/>
        <v>0.48999999999999994</v>
      </c>
      <c r="N29" s="648">
        <f t="shared" si="12"/>
        <v>1.0089999999999997</v>
      </c>
      <c r="O29" s="648">
        <f t="shared" si="13"/>
        <v>0.44589999999999996</v>
      </c>
      <c r="P29" s="642">
        <v>0.1</v>
      </c>
      <c r="Q29" s="643"/>
      <c r="R29" s="643">
        <f t="shared" si="2"/>
        <v>4.8999999999999995E-2</v>
      </c>
      <c r="S29" s="648">
        <f t="shared" si="14"/>
        <v>1.9599999999999997</v>
      </c>
      <c r="T29" s="648">
        <f t="shared" si="15"/>
        <v>2.4499999999999997</v>
      </c>
      <c r="U29" s="648">
        <f t="shared" si="16"/>
        <v>0.34299999999999992</v>
      </c>
      <c r="V29" s="644" t="s">
        <v>721</v>
      </c>
      <c r="X29" s="551"/>
      <c r="Y29" s="551"/>
      <c r="Z29" s="551"/>
      <c r="AA29" s="551"/>
    </row>
    <row r="30" spans="1:33" s="636" customFormat="1" ht="15" customHeight="1" x14ac:dyDescent="0.25">
      <c r="A30" s="645" t="s">
        <v>784</v>
      </c>
      <c r="B30" s="646"/>
      <c r="C30" s="646"/>
      <c r="D30" s="646" t="s">
        <v>805</v>
      </c>
      <c r="E30" s="646"/>
      <c r="F30" s="647">
        <v>1</v>
      </c>
      <c r="G30" s="568">
        <v>0.7</v>
      </c>
      <c r="H30" s="568">
        <v>0.7</v>
      </c>
      <c r="I30" s="568">
        <v>0.7</v>
      </c>
      <c r="J30" s="649">
        <f t="shared" si="9"/>
        <v>0.6</v>
      </c>
      <c r="K30" s="640"/>
      <c r="L30" s="640">
        <f t="shared" si="10"/>
        <v>1.3519999999999996</v>
      </c>
      <c r="M30" s="648">
        <f t="shared" si="11"/>
        <v>0.48999999999999994</v>
      </c>
      <c r="N30" s="648">
        <f t="shared" si="12"/>
        <v>1.0089999999999997</v>
      </c>
      <c r="O30" s="648">
        <f t="shared" si="13"/>
        <v>0.44589999999999996</v>
      </c>
      <c r="P30" s="642">
        <v>0.1</v>
      </c>
      <c r="Q30" s="643"/>
      <c r="R30" s="643">
        <f t="shared" si="2"/>
        <v>4.8999999999999995E-2</v>
      </c>
      <c r="S30" s="648">
        <f t="shared" si="14"/>
        <v>1.9599999999999997</v>
      </c>
      <c r="T30" s="648">
        <f t="shared" si="15"/>
        <v>2.4499999999999997</v>
      </c>
      <c r="U30" s="648">
        <f t="shared" si="16"/>
        <v>0.34299999999999992</v>
      </c>
      <c r="V30" s="644" t="s">
        <v>721</v>
      </c>
      <c r="X30" s="551"/>
      <c r="Y30" s="551"/>
      <c r="Z30" s="551"/>
      <c r="AA30" s="551"/>
    </row>
    <row r="31" spans="1:33" s="636" customFormat="1" ht="15" customHeight="1" x14ac:dyDescent="0.25">
      <c r="A31" s="645" t="s">
        <v>784</v>
      </c>
      <c r="B31" s="646"/>
      <c r="C31" s="646"/>
      <c r="D31" s="646" t="s">
        <v>806</v>
      </c>
      <c r="E31" s="646"/>
      <c r="F31" s="647">
        <v>1</v>
      </c>
      <c r="G31" s="568">
        <v>0.7</v>
      </c>
      <c r="H31" s="568">
        <v>0.7</v>
      </c>
      <c r="I31" s="568">
        <v>0.7</v>
      </c>
      <c r="J31" s="649">
        <f t="shared" si="9"/>
        <v>0.6</v>
      </c>
      <c r="K31" s="640"/>
      <c r="L31" s="640">
        <f t="shared" si="10"/>
        <v>1.3519999999999996</v>
      </c>
      <c r="M31" s="648">
        <f t="shared" si="11"/>
        <v>0.48999999999999994</v>
      </c>
      <c r="N31" s="648">
        <f t="shared" si="12"/>
        <v>1.0089999999999997</v>
      </c>
      <c r="O31" s="648">
        <f t="shared" si="13"/>
        <v>0.44589999999999996</v>
      </c>
      <c r="P31" s="642">
        <v>0.1</v>
      </c>
      <c r="Q31" s="643"/>
      <c r="R31" s="643">
        <f t="shared" si="2"/>
        <v>4.8999999999999995E-2</v>
      </c>
      <c r="S31" s="648">
        <f t="shared" si="14"/>
        <v>1.9599999999999997</v>
      </c>
      <c r="T31" s="648">
        <f t="shared" si="15"/>
        <v>2.4499999999999997</v>
      </c>
      <c r="U31" s="648">
        <f t="shared" si="16"/>
        <v>0.34299999999999992</v>
      </c>
      <c r="V31" s="644" t="s">
        <v>721</v>
      </c>
      <c r="X31" s="551"/>
      <c r="Y31" s="551"/>
      <c r="Z31" s="551"/>
      <c r="AA31" s="551"/>
    </row>
    <row r="32" spans="1:33" s="636" customFormat="1" ht="15" customHeight="1" x14ac:dyDescent="0.25">
      <c r="A32" s="645" t="s">
        <v>784</v>
      </c>
      <c r="B32" s="646"/>
      <c r="C32" s="646"/>
      <c r="D32" s="646" t="s">
        <v>807</v>
      </c>
      <c r="E32" s="646"/>
      <c r="F32" s="647">
        <v>1</v>
      </c>
      <c r="G32" s="568">
        <v>2.72</v>
      </c>
      <c r="H32" s="568">
        <v>2.36</v>
      </c>
      <c r="I32" s="568">
        <v>0.9</v>
      </c>
      <c r="J32" s="649">
        <f t="shared" si="9"/>
        <v>0.6</v>
      </c>
      <c r="K32" s="640"/>
      <c r="L32" s="640">
        <f t="shared" si="10"/>
        <v>9.8272000000000013</v>
      </c>
      <c r="M32" s="648">
        <f t="shared" si="11"/>
        <v>6.4192</v>
      </c>
      <c r="N32" s="648">
        <f t="shared" si="12"/>
        <v>4.0499200000000011</v>
      </c>
      <c r="O32" s="648">
        <f t="shared" si="13"/>
        <v>7.5104640000000007</v>
      </c>
      <c r="P32" s="642">
        <v>0.1</v>
      </c>
      <c r="Q32" s="643"/>
      <c r="R32" s="643">
        <f t="shared" si="2"/>
        <v>0.64192000000000005</v>
      </c>
      <c r="S32" s="648">
        <f t="shared" si="14"/>
        <v>9.1440000000000001</v>
      </c>
      <c r="T32" s="648">
        <f t="shared" si="15"/>
        <v>15.5632</v>
      </c>
      <c r="U32" s="648">
        <f t="shared" si="16"/>
        <v>5.7772800000000002</v>
      </c>
      <c r="V32" s="644" t="s">
        <v>721</v>
      </c>
      <c r="X32" s="551"/>
      <c r="Y32" s="551"/>
      <c r="Z32" s="551"/>
      <c r="AA32" s="551"/>
    </row>
    <row r="33" spans="1:27" s="636" customFormat="1" ht="15" customHeight="1" x14ac:dyDescent="0.25">
      <c r="A33" s="645" t="s">
        <v>784</v>
      </c>
      <c r="B33" s="646"/>
      <c r="C33" s="646"/>
      <c r="D33" s="646" t="s">
        <v>808</v>
      </c>
      <c r="E33" s="646"/>
      <c r="F33" s="647">
        <v>1</v>
      </c>
      <c r="G33" s="568">
        <v>0.8</v>
      </c>
      <c r="H33" s="568">
        <v>0.8</v>
      </c>
      <c r="I33" s="568">
        <v>0.9</v>
      </c>
      <c r="J33" s="649">
        <f t="shared" si="9"/>
        <v>0.6</v>
      </c>
      <c r="K33" s="640"/>
      <c r="L33" s="640">
        <f t="shared" si="10"/>
        <v>1.9599999999999997</v>
      </c>
      <c r="M33" s="648">
        <f t="shared" si="11"/>
        <v>0.64000000000000012</v>
      </c>
      <c r="N33" s="648">
        <f t="shared" si="12"/>
        <v>1.3839999999999997</v>
      </c>
      <c r="O33" s="648">
        <f t="shared" si="13"/>
        <v>0.74880000000000013</v>
      </c>
      <c r="P33" s="642">
        <v>0.1</v>
      </c>
      <c r="Q33" s="643"/>
      <c r="R33" s="643">
        <f t="shared" si="2"/>
        <v>6.4000000000000015E-2</v>
      </c>
      <c r="S33" s="648">
        <f t="shared" si="14"/>
        <v>2.8800000000000003</v>
      </c>
      <c r="T33" s="648">
        <f t="shared" si="15"/>
        <v>3.5200000000000005</v>
      </c>
      <c r="U33" s="648">
        <f t="shared" si="16"/>
        <v>0.57600000000000007</v>
      </c>
      <c r="V33" s="644" t="s">
        <v>721</v>
      </c>
      <c r="X33" s="551"/>
      <c r="Y33" s="551"/>
      <c r="Z33" s="551"/>
      <c r="AA33" s="551"/>
    </row>
    <row r="34" spans="1:27" s="636" customFormat="1" ht="15" customHeight="1" x14ac:dyDescent="0.25">
      <c r="A34" s="645" t="s">
        <v>784</v>
      </c>
      <c r="B34" s="646"/>
      <c r="C34" s="646"/>
      <c r="D34" s="646" t="s">
        <v>809</v>
      </c>
      <c r="E34" s="646"/>
      <c r="F34" s="647">
        <v>1</v>
      </c>
      <c r="G34" s="568">
        <v>2.2000000000000002</v>
      </c>
      <c r="H34" s="568">
        <v>0.7</v>
      </c>
      <c r="I34" s="568">
        <v>0.9</v>
      </c>
      <c r="J34" s="649">
        <f t="shared" si="0"/>
        <v>0.6</v>
      </c>
      <c r="K34" s="640"/>
      <c r="L34" s="640">
        <f t="shared" si="5"/>
        <v>3.6399999999999997</v>
      </c>
      <c r="M34" s="648">
        <f t="shared" si="6"/>
        <v>1.54</v>
      </c>
      <c r="N34" s="648">
        <f t="shared" si="1"/>
        <v>2.2539999999999996</v>
      </c>
      <c r="O34" s="648">
        <f t="shared" si="7"/>
        <v>1.8018000000000003</v>
      </c>
      <c r="P34" s="642">
        <v>0.1</v>
      </c>
      <c r="Q34" s="643"/>
      <c r="R34" s="643">
        <f t="shared" si="2"/>
        <v>0.15400000000000003</v>
      </c>
      <c r="S34" s="648">
        <f t="shared" si="3"/>
        <v>5.2200000000000006</v>
      </c>
      <c r="T34" s="648">
        <f t="shared" si="8"/>
        <v>6.7600000000000007</v>
      </c>
      <c r="U34" s="648">
        <f t="shared" si="4"/>
        <v>1.3860000000000001</v>
      </c>
      <c r="V34" s="644" t="s">
        <v>721</v>
      </c>
      <c r="X34" s="551"/>
      <c r="Y34" s="551"/>
      <c r="Z34" s="551"/>
      <c r="AA34" s="551"/>
    </row>
    <row r="35" spans="1:27" s="636" customFormat="1" ht="15" customHeight="1" x14ac:dyDescent="0.2">
      <c r="A35" s="645" t="s">
        <v>784</v>
      </c>
      <c r="B35" s="646"/>
      <c r="C35" s="646"/>
      <c r="D35" s="646" t="s">
        <v>810</v>
      </c>
      <c r="E35" s="646"/>
      <c r="F35" s="647">
        <v>1</v>
      </c>
      <c r="G35" s="568">
        <v>0.8</v>
      </c>
      <c r="H35" s="568">
        <v>0.8</v>
      </c>
      <c r="I35" s="568">
        <v>0.7</v>
      </c>
      <c r="J35" s="649">
        <f t="shared" si="0"/>
        <v>0.6</v>
      </c>
      <c r="K35" s="640"/>
      <c r="L35" s="640">
        <f t="shared" si="5"/>
        <v>1.5679999999999998</v>
      </c>
      <c r="M35" s="648">
        <f t="shared" si="6"/>
        <v>0.64000000000000012</v>
      </c>
      <c r="N35" s="648">
        <f t="shared" ref="N35:N50" si="17">+L35-U35</f>
        <v>1.1199999999999999</v>
      </c>
      <c r="O35" s="648">
        <f t="shared" si="7"/>
        <v>0.58239999999999992</v>
      </c>
      <c r="P35" s="642">
        <v>0.1</v>
      </c>
      <c r="Q35" s="643"/>
      <c r="R35" s="643">
        <f t="shared" si="2"/>
        <v>6.4000000000000015E-2</v>
      </c>
      <c r="S35" s="648">
        <f t="shared" ref="S35:S50" si="18">(2*G35+H35*2)*I35*F35</f>
        <v>2.2399999999999998</v>
      </c>
      <c r="T35" s="648">
        <f t="shared" si="8"/>
        <v>2.88</v>
      </c>
      <c r="U35" s="648">
        <f t="shared" ref="U35:U50" si="19">G35*I35*H35*F35</f>
        <v>0.44799999999999995</v>
      </c>
      <c r="V35" s="644" t="s">
        <v>721</v>
      </c>
      <c r="X35" s="385"/>
      <c r="Y35" s="385"/>
    </row>
    <row r="36" spans="1:27" s="636" customFormat="1" ht="15" customHeight="1" x14ac:dyDescent="0.2">
      <c r="A36" s="645" t="s">
        <v>784</v>
      </c>
      <c r="B36" s="646"/>
      <c r="C36" s="646"/>
      <c r="D36" s="646" t="s">
        <v>811</v>
      </c>
      <c r="E36" s="646"/>
      <c r="F36" s="647">
        <v>1</v>
      </c>
      <c r="G36" s="568">
        <v>2.72</v>
      </c>
      <c r="H36" s="568">
        <v>2.36</v>
      </c>
      <c r="I36" s="568">
        <v>1.1000000000000001</v>
      </c>
      <c r="J36" s="649">
        <f t="shared" ref="J36:J46" si="20">IF(I36&lt;=1,0.6,1.2)</f>
        <v>1.2</v>
      </c>
      <c r="K36" s="640"/>
      <c r="L36" s="640">
        <f t="shared" ref="L36:L46" si="21">(G36+J36)*(I36+K36+P36)*(H36+J36)*F36</f>
        <v>16.74624</v>
      </c>
      <c r="M36" s="648">
        <f t="shared" ref="M36:M46" si="22">(G36)*(H36)*F36</f>
        <v>6.4192</v>
      </c>
      <c r="N36" s="648">
        <f t="shared" ref="N36:N46" si="23">+L36-U36</f>
        <v>9.6851199999999995</v>
      </c>
      <c r="O36" s="648">
        <f t="shared" ref="O36:O46" si="24">(L36-N36)*1.3</f>
        <v>9.1794560000000018</v>
      </c>
      <c r="P36" s="642">
        <v>0.1</v>
      </c>
      <c r="Q36" s="643"/>
      <c r="R36" s="643">
        <f t="shared" si="2"/>
        <v>0.64192000000000005</v>
      </c>
      <c r="S36" s="648">
        <f t="shared" ref="S36:S46" si="25">(2*G36+H36*2)*I36*F36</f>
        <v>11.176000000000002</v>
      </c>
      <c r="T36" s="648">
        <f t="shared" ref="T36:T46" si="26">(M36+((G36+H36)*I36)*2)*F36</f>
        <v>17.595200000000002</v>
      </c>
      <c r="U36" s="648">
        <f t="shared" ref="U36:U46" si="27">G36*I36*H36*F36</f>
        <v>7.0611200000000007</v>
      </c>
      <c r="V36" s="644" t="s">
        <v>721</v>
      </c>
      <c r="X36" s="385"/>
      <c r="Y36" s="385"/>
    </row>
    <row r="37" spans="1:27" s="636" customFormat="1" ht="15" customHeight="1" x14ac:dyDescent="0.2">
      <c r="A37" s="645" t="s">
        <v>784</v>
      </c>
      <c r="B37" s="646"/>
      <c r="C37" s="646"/>
      <c r="D37" s="646" t="s">
        <v>812</v>
      </c>
      <c r="E37" s="646"/>
      <c r="F37" s="647">
        <v>1</v>
      </c>
      <c r="G37" s="568">
        <v>2.6</v>
      </c>
      <c r="H37" s="568">
        <v>0.8</v>
      </c>
      <c r="I37" s="568">
        <v>0.9</v>
      </c>
      <c r="J37" s="649">
        <f t="shared" si="20"/>
        <v>0.6</v>
      </c>
      <c r="K37" s="640"/>
      <c r="L37" s="640">
        <f t="shared" si="21"/>
        <v>4.4799999999999995</v>
      </c>
      <c r="M37" s="648">
        <f t="shared" si="22"/>
        <v>2.08</v>
      </c>
      <c r="N37" s="648">
        <f t="shared" si="23"/>
        <v>2.6079999999999992</v>
      </c>
      <c r="O37" s="648">
        <f t="shared" si="24"/>
        <v>2.4336000000000007</v>
      </c>
      <c r="P37" s="642">
        <v>0.1</v>
      </c>
      <c r="Q37" s="643"/>
      <c r="R37" s="643">
        <f t="shared" si="2"/>
        <v>0.20800000000000002</v>
      </c>
      <c r="S37" s="648">
        <f t="shared" si="25"/>
        <v>6.120000000000001</v>
      </c>
      <c r="T37" s="648">
        <f t="shared" si="26"/>
        <v>8.2000000000000011</v>
      </c>
      <c r="U37" s="648">
        <f t="shared" si="27"/>
        <v>1.8720000000000003</v>
      </c>
      <c r="V37" s="644" t="s">
        <v>721</v>
      </c>
      <c r="X37" s="385"/>
      <c r="Y37" s="385"/>
    </row>
    <row r="38" spans="1:27" s="636" customFormat="1" ht="15" customHeight="1" x14ac:dyDescent="0.2">
      <c r="A38" s="645" t="s">
        <v>784</v>
      </c>
      <c r="B38" s="646"/>
      <c r="C38" s="646"/>
      <c r="D38" s="646" t="s">
        <v>813</v>
      </c>
      <c r="E38" s="646"/>
      <c r="F38" s="647">
        <v>1</v>
      </c>
      <c r="G38" s="568">
        <v>2.2000000000000002</v>
      </c>
      <c r="H38" s="568">
        <v>0.7</v>
      </c>
      <c r="I38" s="568">
        <v>0.9</v>
      </c>
      <c r="J38" s="649">
        <f t="shared" si="20"/>
        <v>0.6</v>
      </c>
      <c r="K38" s="640"/>
      <c r="L38" s="640">
        <f t="shared" si="21"/>
        <v>3.6399999999999997</v>
      </c>
      <c r="M38" s="648">
        <f t="shared" si="22"/>
        <v>1.54</v>
      </c>
      <c r="N38" s="648">
        <f t="shared" si="23"/>
        <v>2.2539999999999996</v>
      </c>
      <c r="O38" s="648">
        <f t="shared" si="24"/>
        <v>1.8018000000000003</v>
      </c>
      <c r="P38" s="642">
        <v>0.1</v>
      </c>
      <c r="Q38" s="643"/>
      <c r="R38" s="643">
        <f t="shared" si="2"/>
        <v>0.15400000000000003</v>
      </c>
      <c r="S38" s="648">
        <f t="shared" si="25"/>
        <v>5.2200000000000006</v>
      </c>
      <c r="T38" s="648">
        <f t="shared" si="26"/>
        <v>6.7600000000000007</v>
      </c>
      <c r="U38" s="648">
        <f t="shared" si="27"/>
        <v>1.3860000000000001</v>
      </c>
      <c r="V38" s="644" t="s">
        <v>721</v>
      </c>
      <c r="X38" s="385"/>
      <c r="Y38" s="385"/>
    </row>
    <row r="39" spans="1:27" s="636" customFormat="1" ht="15" customHeight="1" x14ac:dyDescent="0.2">
      <c r="A39" s="645" t="s">
        <v>784</v>
      </c>
      <c r="B39" s="646"/>
      <c r="C39" s="646"/>
      <c r="D39" s="646" t="s">
        <v>814</v>
      </c>
      <c r="E39" s="646"/>
      <c r="F39" s="647">
        <v>1</v>
      </c>
      <c r="G39" s="568">
        <v>0.86</v>
      </c>
      <c r="H39" s="568">
        <v>0.86</v>
      </c>
      <c r="I39" s="568">
        <v>0.9</v>
      </c>
      <c r="J39" s="649">
        <f t="shared" si="20"/>
        <v>0.6</v>
      </c>
      <c r="K39" s="640"/>
      <c r="L39" s="640">
        <f t="shared" si="21"/>
        <v>2.1315999999999997</v>
      </c>
      <c r="M39" s="648">
        <f t="shared" si="22"/>
        <v>0.73959999999999992</v>
      </c>
      <c r="N39" s="648">
        <f t="shared" si="23"/>
        <v>1.4659599999999997</v>
      </c>
      <c r="O39" s="648">
        <f t="shared" si="24"/>
        <v>0.86533199999999999</v>
      </c>
      <c r="P39" s="642">
        <v>0.1</v>
      </c>
      <c r="Q39" s="643"/>
      <c r="R39" s="643">
        <f t="shared" si="2"/>
        <v>7.3959999999999998E-2</v>
      </c>
      <c r="S39" s="648">
        <f t="shared" si="25"/>
        <v>3.0960000000000001</v>
      </c>
      <c r="T39" s="648">
        <f t="shared" si="26"/>
        <v>3.8355999999999999</v>
      </c>
      <c r="U39" s="648">
        <f t="shared" si="27"/>
        <v>0.66564000000000001</v>
      </c>
      <c r="V39" s="644" t="s">
        <v>721</v>
      </c>
      <c r="X39" s="385"/>
      <c r="Y39" s="385"/>
    </row>
    <row r="40" spans="1:27" s="636" customFormat="1" ht="15" customHeight="1" x14ac:dyDescent="0.2">
      <c r="A40" s="645" t="s">
        <v>784</v>
      </c>
      <c r="B40" s="646"/>
      <c r="C40" s="646"/>
      <c r="D40" s="646" t="s">
        <v>815</v>
      </c>
      <c r="E40" s="646"/>
      <c r="F40" s="647">
        <v>1</v>
      </c>
      <c r="G40" s="568">
        <v>1</v>
      </c>
      <c r="H40" s="568">
        <v>1</v>
      </c>
      <c r="I40" s="568">
        <v>0.9</v>
      </c>
      <c r="J40" s="649">
        <f t="shared" si="20"/>
        <v>0.6</v>
      </c>
      <c r="K40" s="640"/>
      <c r="L40" s="640">
        <f t="shared" si="21"/>
        <v>2.5600000000000005</v>
      </c>
      <c r="M40" s="648">
        <f t="shared" si="22"/>
        <v>1</v>
      </c>
      <c r="N40" s="648">
        <f t="shared" si="23"/>
        <v>1.6600000000000006</v>
      </c>
      <c r="O40" s="648">
        <f t="shared" si="24"/>
        <v>1.17</v>
      </c>
      <c r="P40" s="642">
        <v>0.1</v>
      </c>
      <c r="Q40" s="643"/>
      <c r="R40" s="643">
        <f t="shared" si="2"/>
        <v>0.1</v>
      </c>
      <c r="S40" s="648">
        <f t="shared" si="25"/>
        <v>3.6</v>
      </c>
      <c r="T40" s="648">
        <f t="shared" si="26"/>
        <v>4.5999999999999996</v>
      </c>
      <c r="U40" s="648">
        <f t="shared" si="27"/>
        <v>0.9</v>
      </c>
      <c r="V40" s="644" t="s">
        <v>721</v>
      </c>
      <c r="X40" s="385"/>
      <c r="Y40" s="385"/>
    </row>
    <row r="41" spans="1:27" s="636" customFormat="1" ht="15" customHeight="1" x14ac:dyDescent="0.2">
      <c r="A41" s="645" t="s">
        <v>784</v>
      </c>
      <c r="B41" s="646"/>
      <c r="C41" s="646"/>
      <c r="D41" s="646" t="s">
        <v>816</v>
      </c>
      <c r="E41" s="646"/>
      <c r="F41" s="647">
        <v>1</v>
      </c>
      <c r="G41" s="568">
        <v>0.8</v>
      </c>
      <c r="H41" s="568">
        <v>0.8</v>
      </c>
      <c r="I41" s="568">
        <v>0.7</v>
      </c>
      <c r="J41" s="649">
        <f t="shared" si="20"/>
        <v>0.6</v>
      </c>
      <c r="K41" s="640"/>
      <c r="L41" s="640">
        <f t="shared" si="21"/>
        <v>1.5679999999999998</v>
      </c>
      <c r="M41" s="648">
        <f t="shared" si="22"/>
        <v>0.64000000000000012</v>
      </c>
      <c r="N41" s="648">
        <f t="shared" si="23"/>
        <v>1.1199999999999999</v>
      </c>
      <c r="O41" s="648">
        <f t="shared" si="24"/>
        <v>0.58239999999999992</v>
      </c>
      <c r="P41" s="642">
        <v>0.1</v>
      </c>
      <c r="Q41" s="643"/>
      <c r="R41" s="643">
        <f t="shared" si="2"/>
        <v>6.4000000000000015E-2</v>
      </c>
      <c r="S41" s="648">
        <f t="shared" si="25"/>
        <v>2.2399999999999998</v>
      </c>
      <c r="T41" s="648">
        <f t="shared" si="26"/>
        <v>2.88</v>
      </c>
      <c r="U41" s="648">
        <f t="shared" si="27"/>
        <v>0.44799999999999995</v>
      </c>
      <c r="V41" s="644" t="s">
        <v>721</v>
      </c>
      <c r="X41" s="385"/>
      <c r="Y41" s="385"/>
    </row>
    <row r="42" spans="1:27" s="636" customFormat="1" ht="15" customHeight="1" x14ac:dyDescent="0.2">
      <c r="A42" s="645" t="s">
        <v>784</v>
      </c>
      <c r="B42" s="646"/>
      <c r="C42" s="646"/>
      <c r="D42" s="646" t="s">
        <v>817</v>
      </c>
      <c r="E42" s="646"/>
      <c r="F42" s="647">
        <v>1</v>
      </c>
      <c r="G42" s="568">
        <v>0.96</v>
      </c>
      <c r="H42" s="568">
        <v>0.96</v>
      </c>
      <c r="I42" s="568">
        <v>0.9</v>
      </c>
      <c r="J42" s="649">
        <f t="shared" si="20"/>
        <v>0.6</v>
      </c>
      <c r="K42" s="640"/>
      <c r="L42" s="640">
        <f t="shared" si="21"/>
        <v>2.4336000000000002</v>
      </c>
      <c r="M42" s="648">
        <f t="shared" si="22"/>
        <v>0.92159999999999997</v>
      </c>
      <c r="N42" s="648">
        <f t="shared" si="23"/>
        <v>1.6041600000000003</v>
      </c>
      <c r="O42" s="648">
        <f t="shared" si="24"/>
        <v>1.0782719999999999</v>
      </c>
      <c r="P42" s="642">
        <v>0.1</v>
      </c>
      <c r="Q42" s="643"/>
      <c r="R42" s="643">
        <f t="shared" si="2"/>
        <v>9.2160000000000006E-2</v>
      </c>
      <c r="S42" s="648">
        <f t="shared" si="25"/>
        <v>3.456</v>
      </c>
      <c r="T42" s="648">
        <f t="shared" si="26"/>
        <v>4.3776000000000002</v>
      </c>
      <c r="U42" s="648">
        <f t="shared" si="27"/>
        <v>0.82943999999999996</v>
      </c>
      <c r="V42" s="644" t="s">
        <v>721</v>
      </c>
      <c r="X42" s="385"/>
      <c r="Y42" s="385"/>
    </row>
    <row r="43" spans="1:27" s="636" customFormat="1" ht="15" customHeight="1" x14ac:dyDescent="0.2">
      <c r="A43" s="645" t="s">
        <v>784</v>
      </c>
      <c r="B43" s="646"/>
      <c r="C43" s="646"/>
      <c r="D43" s="646" t="s">
        <v>818</v>
      </c>
      <c r="E43" s="646"/>
      <c r="F43" s="647">
        <v>1</v>
      </c>
      <c r="G43" s="568">
        <v>0.8</v>
      </c>
      <c r="H43" s="568">
        <v>0.8</v>
      </c>
      <c r="I43" s="568">
        <v>0.9</v>
      </c>
      <c r="J43" s="649">
        <f t="shared" si="20"/>
        <v>0.6</v>
      </c>
      <c r="K43" s="640"/>
      <c r="L43" s="640">
        <f t="shared" si="21"/>
        <v>1.9599999999999997</v>
      </c>
      <c r="M43" s="648">
        <f t="shared" si="22"/>
        <v>0.64000000000000012</v>
      </c>
      <c r="N43" s="648">
        <f t="shared" si="23"/>
        <v>1.3839999999999997</v>
      </c>
      <c r="O43" s="648">
        <f t="shared" si="24"/>
        <v>0.74880000000000013</v>
      </c>
      <c r="P43" s="642">
        <v>0.1</v>
      </c>
      <c r="Q43" s="643"/>
      <c r="R43" s="643">
        <f t="shared" si="2"/>
        <v>6.4000000000000015E-2</v>
      </c>
      <c r="S43" s="648">
        <f t="shared" si="25"/>
        <v>2.8800000000000003</v>
      </c>
      <c r="T43" s="648">
        <f t="shared" si="26"/>
        <v>3.5200000000000005</v>
      </c>
      <c r="U43" s="648">
        <f t="shared" si="27"/>
        <v>0.57600000000000007</v>
      </c>
      <c r="V43" s="644" t="s">
        <v>721</v>
      </c>
      <c r="X43" s="385"/>
      <c r="Y43" s="385"/>
    </row>
    <row r="44" spans="1:27" s="636" customFormat="1" ht="15" customHeight="1" x14ac:dyDescent="0.2">
      <c r="A44" s="645" t="s">
        <v>784</v>
      </c>
      <c r="B44" s="646"/>
      <c r="C44" s="646"/>
      <c r="D44" s="646" t="s">
        <v>819</v>
      </c>
      <c r="E44" s="646"/>
      <c r="F44" s="647">
        <v>1</v>
      </c>
      <c r="G44" s="568">
        <v>0.8</v>
      </c>
      <c r="H44" s="568">
        <v>0.8</v>
      </c>
      <c r="I44" s="568">
        <v>0.7</v>
      </c>
      <c r="J44" s="649">
        <f t="shared" si="20"/>
        <v>0.6</v>
      </c>
      <c r="K44" s="640"/>
      <c r="L44" s="640">
        <f t="shared" si="21"/>
        <v>1.5679999999999998</v>
      </c>
      <c r="M44" s="648">
        <f t="shared" si="22"/>
        <v>0.64000000000000012</v>
      </c>
      <c r="N44" s="648">
        <f t="shared" si="23"/>
        <v>1.1199999999999999</v>
      </c>
      <c r="O44" s="648">
        <f t="shared" si="24"/>
        <v>0.58239999999999992</v>
      </c>
      <c r="P44" s="642">
        <v>0.1</v>
      </c>
      <c r="Q44" s="643"/>
      <c r="R44" s="643">
        <f t="shared" si="2"/>
        <v>6.4000000000000015E-2</v>
      </c>
      <c r="S44" s="648">
        <f t="shared" si="25"/>
        <v>2.2399999999999998</v>
      </c>
      <c r="T44" s="648">
        <f t="shared" si="26"/>
        <v>2.88</v>
      </c>
      <c r="U44" s="648">
        <f t="shared" si="27"/>
        <v>0.44799999999999995</v>
      </c>
      <c r="V44" s="644" t="s">
        <v>721</v>
      </c>
      <c r="X44" s="385"/>
      <c r="Y44" s="385"/>
    </row>
    <row r="45" spans="1:27" s="636" customFormat="1" ht="15" customHeight="1" x14ac:dyDescent="0.2">
      <c r="A45" s="645" t="s">
        <v>784</v>
      </c>
      <c r="B45" s="646"/>
      <c r="C45" s="646"/>
      <c r="D45" s="646" t="s">
        <v>820</v>
      </c>
      <c r="E45" s="646"/>
      <c r="F45" s="647">
        <v>1</v>
      </c>
      <c r="G45" s="568">
        <v>5</v>
      </c>
      <c r="H45" s="568">
        <v>3.4</v>
      </c>
      <c r="I45" s="568">
        <v>1.8</v>
      </c>
      <c r="J45" s="649">
        <f t="shared" si="20"/>
        <v>1.2</v>
      </c>
      <c r="K45" s="640"/>
      <c r="L45" s="640">
        <f t="shared" si="21"/>
        <v>54.188000000000002</v>
      </c>
      <c r="M45" s="648">
        <f t="shared" si="22"/>
        <v>17</v>
      </c>
      <c r="N45" s="648">
        <f t="shared" si="23"/>
        <v>23.588000000000005</v>
      </c>
      <c r="O45" s="648">
        <f t="shared" si="24"/>
        <v>39.78</v>
      </c>
      <c r="P45" s="642">
        <v>0.1</v>
      </c>
      <c r="Q45" s="643"/>
      <c r="R45" s="643">
        <f t="shared" si="2"/>
        <v>1.7000000000000002</v>
      </c>
      <c r="S45" s="648">
        <f t="shared" si="25"/>
        <v>30.240000000000002</v>
      </c>
      <c r="T45" s="648">
        <f t="shared" si="26"/>
        <v>47.24</v>
      </c>
      <c r="U45" s="648">
        <f t="shared" si="27"/>
        <v>30.599999999999998</v>
      </c>
      <c r="V45" s="644" t="s">
        <v>721</v>
      </c>
      <c r="X45" s="385"/>
      <c r="Y45" s="385"/>
    </row>
    <row r="46" spans="1:27" s="636" customFormat="1" ht="15" customHeight="1" x14ac:dyDescent="0.2">
      <c r="A46" s="645" t="s">
        <v>784</v>
      </c>
      <c r="B46" s="646"/>
      <c r="C46" s="646"/>
      <c r="D46" s="646" t="s">
        <v>821</v>
      </c>
      <c r="E46" s="646"/>
      <c r="F46" s="647">
        <v>1</v>
      </c>
      <c r="G46" s="568">
        <v>4.4000000000000004</v>
      </c>
      <c r="H46" s="568">
        <v>3.92</v>
      </c>
      <c r="I46" s="568">
        <v>1.65</v>
      </c>
      <c r="J46" s="649">
        <f t="shared" si="20"/>
        <v>1.2</v>
      </c>
      <c r="K46" s="640"/>
      <c r="L46" s="640">
        <f t="shared" si="21"/>
        <v>50.176000000000002</v>
      </c>
      <c r="M46" s="648">
        <f t="shared" si="22"/>
        <v>17.248000000000001</v>
      </c>
      <c r="N46" s="648">
        <f t="shared" si="23"/>
        <v>21.716800000000003</v>
      </c>
      <c r="O46" s="648">
        <f t="shared" si="24"/>
        <v>36.996960000000001</v>
      </c>
      <c r="P46" s="642">
        <v>0.1</v>
      </c>
      <c r="Q46" s="643"/>
      <c r="R46" s="643">
        <f t="shared" si="2"/>
        <v>1.7248000000000001</v>
      </c>
      <c r="S46" s="648">
        <f t="shared" si="25"/>
        <v>27.456</v>
      </c>
      <c r="T46" s="648">
        <f t="shared" si="26"/>
        <v>44.704000000000001</v>
      </c>
      <c r="U46" s="648">
        <f t="shared" si="27"/>
        <v>28.459199999999999</v>
      </c>
      <c r="V46" s="644" t="s">
        <v>721</v>
      </c>
      <c r="X46" s="385"/>
      <c r="Y46" s="385"/>
    </row>
    <row r="47" spans="1:27" s="636" customFormat="1" ht="15" customHeight="1" x14ac:dyDescent="0.2">
      <c r="A47" s="645" t="s">
        <v>784</v>
      </c>
      <c r="B47" s="646"/>
      <c r="C47" s="646"/>
      <c r="D47" s="646" t="s">
        <v>822</v>
      </c>
      <c r="E47" s="646"/>
      <c r="F47" s="647">
        <v>1</v>
      </c>
      <c r="G47" s="568">
        <v>5</v>
      </c>
      <c r="H47" s="568">
        <v>3.92</v>
      </c>
      <c r="I47" s="568">
        <v>1.8</v>
      </c>
      <c r="J47" s="649">
        <f t="shared" si="0"/>
        <v>1.2</v>
      </c>
      <c r="K47" s="640"/>
      <c r="L47" s="640">
        <f t="shared" si="5"/>
        <v>60.313600000000008</v>
      </c>
      <c r="M47" s="648">
        <f t="shared" si="6"/>
        <v>19.600000000000001</v>
      </c>
      <c r="N47" s="648">
        <f t="shared" si="17"/>
        <v>25.033600000000007</v>
      </c>
      <c r="O47" s="648">
        <f t="shared" si="7"/>
        <v>45.864000000000004</v>
      </c>
      <c r="P47" s="642">
        <v>0.1</v>
      </c>
      <c r="Q47" s="643"/>
      <c r="R47" s="643">
        <f t="shared" si="2"/>
        <v>1.9600000000000002</v>
      </c>
      <c r="S47" s="648">
        <f t="shared" si="18"/>
        <v>32.112000000000002</v>
      </c>
      <c r="T47" s="648">
        <f t="shared" si="8"/>
        <v>51.712000000000003</v>
      </c>
      <c r="U47" s="648">
        <f t="shared" si="19"/>
        <v>35.28</v>
      </c>
      <c r="V47" s="644" t="s">
        <v>721</v>
      </c>
      <c r="X47" s="385"/>
      <c r="Y47" s="385"/>
    </row>
    <row r="48" spans="1:27" s="636" customFormat="1" ht="15" customHeight="1" x14ac:dyDescent="0.2">
      <c r="A48" s="645" t="s">
        <v>784</v>
      </c>
      <c r="B48" s="646"/>
      <c r="C48" s="646"/>
      <c r="D48" s="646" t="s">
        <v>823</v>
      </c>
      <c r="E48" s="646"/>
      <c r="F48" s="647">
        <v>1</v>
      </c>
      <c r="G48" s="568">
        <v>4</v>
      </c>
      <c r="H48" s="568">
        <v>3.92</v>
      </c>
      <c r="I48" s="568">
        <v>1.8</v>
      </c>
      <c r="J48" s="649">
        <f t="shared" ref="J48:J50" si="28">IF(I48&lt;=1,0.6,1.2)</f>
        <v>1.2</v>
      </c>
      <c r="K48" s="640"/>
      <c r="L48" s="640">
        <f t="shared" ref="L48:L50" si="29">(G48+J48)*(I48+K48+P48)*(H48+J48)*F48</f>
        <v>50.585600000000007</v>
      </c>
      <c r="M48" s="648">
        <f t="shared" ref="M48:M50" si="30">(G48)*(H48)*F48</f>
        <v>15.68</v>
      </c>
      <c r="N48" s="648">
        <f t="shared" si="17"/>
        <v>22.361600000000006</v>
      </c>
      <c r="O48" s="648">
        <f t="shared" ref="O48:O50" si="31">(L48-N48)*1.3</f>
        <v>36.691200000000002</v>
      </c>
      <c r="P48" s="642">
        <v>0.1</v>
      </c>
      <c r="Q48" s="643"/>
      <c r="R48" s="643">
        <f t="shared" si="2"/>
        <v>1.5680000000000001</v>
      </c>
      <c r="S48" s="648">
        <f t="shared" si="18"/>
        <v>28.512</v>
      </c>
      <c r="T48" s="648">
        <f t="shared" ref="T48:T50" si="32">(M48+((G48+H48)*I48)*2)*F48</f>
        <v>44.192</v>
      </c>
      <c r="U48" s="648">
        <f t="shared" si="19"/>
        <v>28.224</v>
      </c>
      <c r="V48" s="644" t="s">
        <v>721</v>
      </c>
      <c r="X48" s="385"/>
      <c r="Y48" s="385"/>
    </row>
    <row r="49" spans="1:25" s="636" customFormat="1" ht="15" customHeight="1" x14ac:dyDescent="0.2">
      <c r="A49" s="645" t="s">
        <v>784</v>
      </c>
      <c r="B49" s="646"/>
      <c r="C49" s="646"/>
      <c r="D49" s="646" t="s">
        <v>824</v>
      </c>
      <c r="E49" s="646"/>
      <c r="F49" s="647">
        <v>1</v>
      </c>
      <c r="G49" s="568">
        <v>5</v>
      </c>
      <c r="H49" s="568">
        <v>2.6</v>
      </c>
      <c r="I49" s="568">
        <v>1.7</v>
      </c>
      <c r="J49" s="649">
        <f t="shared" si="28"/>
        <v>1.2</v>
      </c>
      <c r="K49" s="640"/>
      <c r="L49" s="640">
        <f t="shared" si="29"/>
        <v>42.408000000000001</v>
      </c>
      <c r="M49" s="648">
        <f t="shared" si="30"/>
        <v>13</v>
      </c>
      <c r="N49" s="648">
        <f t="shared" si="17"/>
        <v>20.308</v>
      </c>
      <c r="O49" s="648">
        <f t="shared" si="31"/>
        <v>28.730000000000004</v>
      </c>
      <c r="P49" s="642">
        <v>0.1</v>
      </c>
      <c r="Q49" s="643"/>
      <c r="R49" s="643">
        <f t="shared" si="2"/>
        <v>1.3</v>
      </c>
      <c r="S49" s="648">
        <f t="shared" si="18"/>
        <v>25.84</v>
      </c>
      <c r="T49" s="648">
        <f t="shared" si="32"/>
        <v>38.840000000000003</v>
      </c>
      <c r="U49" s="648">
        <f t="shared" si="19"/>
        <v>22.1</v>
      </c>
      <c r="V49" s="644" t="s">
        <v>721</v>
      </c>
      <c r="X49" s="385"/>
      <c r="Y49" s="385"/>
    </row>
    <row r="50" spans="1:25" s="636" customFormat="1" ht="15" customHeight="1" x14ac:dyDescent="0.2">
      <c r="A50" s="645" t="s">
        <v>784</v>
      </c>
      <c r="B50" s="646"/>
      <c r="C50" s="646"/>
      <c r="D50" s="646" t="s">
        <v>825</v>
      </c>
      <c r="E50" s="646"/>
      <c r="F50" s="647">
        <v>1</v>
      </c>
      <c r="G50" s="568">
        <v>4.4000000000000004</v>
      </c>
      <c r="H50" s="568">
        <v>4.4000000000000004</v>
      </c>
      <c r="I50" s="568">
        <v>1.85</v>
      </c>
      <c r="J50" s="649">
        <f t="shared" si="28"/>
        <v>1.2</v>
      </c>
      <c r="K50" s="640"/>
      <c r="L50" s="640">
        <f t="shared" si="29"/>
        <v>61.152000000000015</v>
      </c>
      <c r="M50" s="648">
        <f t="shared" si="30"/>
        <v>19.360000000000003</v>
      </c>
      <c r="N50" s="648">
        <f t="shared" si="17"/>
        <v>25.336000000000013</v>
      </c>
      <c r="O50" s="648">
        <f t="shared" si="31"/>
        <v>46.560800000000008</v>
      </c>
      <c r="P50" s="642">
        <v>0.1</v>
      </c>
      <c r="Q50" s="643"/>
      <c r="R50" s="643">
        <f t="shared" si="2"/>
        <v>1.9360000000000004</v>
      </c>
      <c r="S50" s="648">
        <f t="shared" si="18"/>
        <v>32.56</v>
      </c>
      <c r="T50" s="648">
        <f t="shared" si="32"/>
        <v>51.92</v>
      </c>
      <c r="U50" s="648">
        <f t="shared" si="19"/>
        <v>35.816000000000003</v>
      </c>
      <c r="V50" s="644" t="s">
        <v>721</v>
      </c>
      <c r="X50" s="385"/>
      <c r="Y50" s="385"/>
    </row>
    <row r="51" spans="1:25" s="636" customFormat="1" ht="15" customHeight="1" x14ac:dyDescent="0.2">
      <c r="A51" s="645" t="s">
        <v>784</v>
      </c>
      <c r="B51" s="646"/>
      <c r="C51" s="646"/>
      <c r="D51" s="646" t="s">
        <v>826</v>
      </c>
      <c r="E51" s="646"/>
      <c r="F51" s="647">
        <v>1</v>
      </c>
      <c r="G51" s="568">
        <v>8.31</v>
      </c>
      <c r="H51" s="568">
        <v>4.4000000000000004</v>
      </c>
      <c r="I51" s="568">
        <v>2.65</v>
      </c>
      <c r="J51" s="649">
        <f t="shared" si="0"/>
        <v>1.2</v>
      </c>
      <c r="K51" s="640"/>
      <c r="L51" s="640">
        <f t="shared" si="5"/>
        <v>146.45400000000001</v>
      </c>
      <c r="M51" s="648">
        <f t="shared" si="6"/>
        <v>36.564000000000007</v>
      </c>
      <c r="N51" s="648">
        <f>+L51-U51</f>
        <v>49.559399999999997</v>
      </c>
      <c r="O51" s="648">
        <f t="shared" si="7"/>
        <v>125.96298000000002</v>
      </c>
      <c r="P51" s="642">
        <v>0.1</v>
      </c>
      <c r="Q51" s="643"/>
      <c r="R51" s="643">
        <f t="shared" si="2"/>
        <v>3.656400000000001</v>
      </c>
      <c r="S51" s="648">
        <f>(2*G51+H51*2)*I51*F51</f>
        <v>67.363</v>
      </c>
      <c r="T51" s="648">
        <f t="shared" si="8"/>
        <v>103.92700000000001</v>
      </c>
      <c r="U51" s="648">
        <f>G51*I51*H51*F51</f>
        <v>96.894600000000011</v>
      </c>
      <c r="V51" s="644" t="s">
        <v>721</v>
      </c>
      <c r="X51" s="385"/>
      <c r="Y51" s="385"/>
    </row>
    <row r="52" spans="1:25" s="636" customFormat="1" ht="13.5" thickBot="1" x14ac:dyDescent="0.25">
      <c r="A52" s="645" t="s">
        <v>784</v>
      </c>
      <c r="B52" s="646"/>
      <c r="C52" s="646"/>
      <c r="D52" s="646"/>
      <c r="E52" s="646"/>
      <c r="F52" s="647"/>
      <c r="G52" s="568"/>
      <c r="H52" s="568"/>
      <c r="I52" s="568"/>
      <c r="J52" s="649">
        <f t="shared" si="0"/>
        <v>0.6</v>
      </c>
      <c r="K52" s="640"/>
      <c r="L52" s="640">
        <f>(G52+J52)*(I52+K52+P52)*(H52+J52)*F52</f>
        <v>0</v>
      </c>
      <c r="M52" s="648">
        <f>(G52)*(H52)*F52</f>
        <v>0</v>
      </c>
      <c r="N52" s="648">
        <f>+L52-U52</f>
        <v>0</v>
      </c>
      <c r="O52" s="648">
        <f>(L52-N52)*1.3</f>
        <v>0</v>
      </c>
      <c r="P52" s="642">
        <v>0.1</v>
      </c>
      <c r="Q52" s="643"/>
      <c r="R52" s="643">
        <f t="shared" si="2"/>
        <v>0</v>
      </c>
      <c r="S52" s="648">
        <f>(2*G52+H52*2)*I52*F52</f>
        <v>0</v>
      </c>
      <c r="T52" s="648">
        <f t="shared" si="8"/>
        <v>0</v>
      </c>
      <c r="U52" s="648">
        <f>G52*I52*H52*F52</f>
        <v>0</v>
      </c>
      <c r="V52" s="644" t="s">
        <v>721</v>
      </c>
      <c r="X52" s="385"/>
      <c r="Y52" s="385"/>
    </row>
    <row r="53" spans="1:25" ht="14.25" thickTop="1" thickBot="1" x14ac:dyDescent="0.25">
      <c r="A53" s="575" t="str">
        <f>"TOTAL GERAL - "&amp;A10</f>
        <v>TOTAL GERAL - BLOCOS QUADRADOS RETANGULARES</v>
      </c>
      <c r="B53" s="575"/>
      <c r="C53" s="575"/>
      <c r="D53" s="575"/>
      <c r="E53" s="575"/>
      <c r="F53" s="650"/>
      <c r="G53" s="575"/>
      <c r="H53" s="575"/>
      <c r="I53" s="577"/>
      <c r="J53" s="577"/>
      <c r="K53" s="577"/>
      <c r="L53" s="579">
        <f>SUM(L15:L52)</f>
        <v>598.18984</v>
      </c>
      <c r="M53" s="579">
        <f>SUM(M15:M52)</f>
        <v>192.3956</v>
      </c>
      <c r="N53" s="579">
        <f>SUM(N15:N52)</f>
        <v>268.15016000000003</v>
      </c>
      <c r="O53" s="579">
        <f>SUM(O15:O52)</f>
        <v>429.0515840000001</v>
      </c>
      <c r="P53" s="579"/>
      <c r="Q53" s="579">
        <f>SUM(Q15:Q52)</f>
        <v>0</v>
      </c>
      <c r="R53" s="579">
        <f>SUM(R15:R52)</f>
        <v>19.239560000000001</v>
      </c>
      <c r="S53" s="579">
        <f>SUM(S15:S52)</f>
        <v>381.36899999999991</v>
      </c>
      <c r="T53" s="579">
        <f>SUM(T15:T52)</f>
        <v>573.43179999999995</v>
      </c>
      <c r="U53" s="579">
        <f>SUM(U15:U52)</f>
        <v>330.03968000000003</v>
      </c>
      <c r="V53" s="651"/>
      <c r="X53" s="385"/>
      <c r="Y53" s="385"/>
    </row>
    <row r="54" spans="1:25" ht="12" thickTop="1" x14ac:dyDescent="0.25">
      <c r="A54" s="614"/>
      <c r="B54" s="614"/>
      <c r="C54" s="614"/>
      <c r="D54" s="614"/>
      <c r="E54" s="614"/>
      <c r="F54" s="614"/>
      <c r="G54" s="614"/>
      <c r="H54" s="614"/>
      <c r="I54" s="614"/>
      <c r="J54" s="614"/>
      <c r="K54" s="614"/>
      <c r="L54" s="614"/>
      <c r="M54" s="614"/>
      <c r="N54" s="614"/>
      <c r="O54" s="614"/>
      <c r="P54" s="614"/>
    </row>
    <row r="55" spans="1:25" ht="22.9" customHeight="1" x14ac:dyDescent="0.25">
      <c r="A55" s="1141" t="s">
        <v>743</v>
      </c>
      <c r="B55" s="1142"/>
      <c r="C55" s="1142"/>
      <c r="D55" s="1142"/>
      <c r="E55" s="1142"/>
      <c r="F55" s="1142"/>
      <c r="G55" s="1142"/>
      <c r="H55" s="1142"/>
      <c r="I55" s="1142"/>
      <c r="J55" s="1142"/>
      <c r="K55" s="1142"/>
      <c r="L55" s="1142"/>
      <c r="M55" s="1142"/>
      <c r="N55" s="1142"/>
      <c r="O55" s="1142"/>
      <c r="P55" s="1142"/>
      <c r="Q55" s="1142"/>
      <c r="R55" s="1142"/>
      <c r="S55" s="1142"/>
      <c r="T55" s="1142"/>
      <c r="U55" s="1142"/>
      <c r="V55" s="1143"/>
      <c r="X55" s="551" t="s">
        <v>726</v>
      </c>
    </row>
    <row r="56" spans="1:25" ht="24" x14ac:dyDescent="0.25">
      <c r="A56" s="1117" t="s">
        <v>677</v>
      </c>
      <c r="B56" s="1121"/>
      <c r="C56" s="652" t="s">
        <v>679</v>
      </c>
      <c r="D56" s="652" t="s">
        <v>744</v>
      </c>
      <c r="E56" s="652" t="s">
        <v>745</v>
      </c>
      <c r="F56" s="652" t="s">
        <v>746</v>
      </c>
      <c r="G56" s="652" t="s">
        <v>747</v>
      </c>
      <c r="H56" s="652" t="s">
        <v>748</v>
      </c>
      <c r="I56" s="652" t="s">
        <v>749</v>
      </c>
      <c r="J56" s="1144" t="s">
        <v>724</v>
      </c>
      <c r="K56" s="1114"/>
      <c r="L56" s="735" t="s">
        <v>725</v>
      </c>
      <c r="M56" s="736"/>
      <c r="N56" s="736"/>
      <c r="O56" s="736"/>
      <c r="P56" s="622"/>
      <c r="Q56" s="622"/>
      <c r="R56" s="622"/>
      <c r="S56" s="622"/>
      <c r="T56" s="623"/>
      <c r="U56" s="622"/>
      <c r="V56" s="622"/>
    </row>
    <row r="57" spans="1:25" ht="12.75" x14ac:dyDescent="0.25">
      <c r="A57" s="1118"/>
      <c r="B57" s="1122"/>
      <c r="C57" s="653" t="s">
        <v>750</v>
      </c>
      <c r="D57" s="653" t="s">
        <v>751</v>
      </c>
      <c r="E57" s="653" t="s">
        <v>752</v>
      </c>
      <c r="F57" s="653" t="s">
        <v>739</v>
      </c>
      <c r="G57" s="653" t="s">
        <v>753</v>
      </c>
      <c r="H57" s="653" t="s">
        <v>754</v>
      </c>
      <c r="I57" s="653" t="s">
        <v>755</v>
      </c>
      <c r="J57" s="627" t="s">
        <v>730</v>
      </c>
      <c r="K57" s="627" t="s">
        <v>731</v>
      </c>
      <c r="L57" s="628" t="s">
        <v>732</v>
      </c>
      <c r="M57" s="628" t="s">
        <v>733</v>
      </c>
      <c r="N57" s="628" t="s">
        <v>734</v>
      </c>
      <c r="O57" s="628" t="s">
        <v>735</v>
      </c>
      <c r="P57" s="1135" t="s">
        <v>885</v>
      </c>
      <c r="Q57" s="1136"/>
      <c r="R57" s="1137"/>
      <c r="S57" s="628" t="s">
        <v>736</v>
      </c>
      <c r="T57" s="628" t="s">
        <v>716</v>
      </c>
      <c r="U57" s="628" t="s">
        <v>439</v>
      </c>
      <c r="V57" s="628" t="s">
        <v>737</v>
      </c>
    </row>
    <row r="58" spans="1:25" ht="12.75" x14ac:dyDescent="0.25">
      <c r="A58" s="1119"/>
      <c r="B58" s="1123"/>
      <c r="C58" s="654" t="s">
        <v>756</v>
      </c>
      <c r="D58" s="654" t="s">
        <v>54</v>
      </c>
      <c r="E58" s="654" t="s">
        <v>54</v>
      </c>
      <c r="F58" s="654" t="s">
        <v>54</v>
      </c>
      <c r="G58" s="654" t="s">
        <v>54</v>
      </c>
      <c r="H58" s="654" t="s">
        <v>54</v>
      </c>
      <c r="I58" s="654" t="s">
        <v>54</v>
      </c>
      <c r="J58" s="632" t="s">
        <v>54</v>
      </c>
      <c r="K58" s="632" t="s">
        <v>54</v>
      </c>
      <c r="L58" s="632" t="s">
        <v>434</v>
      </c>
      <c r="M58" s="632" t="s">
        <v>66</v>
      </c>
      <c r="N58" s="632" t="s">
        <v>434</v>
      </c>
      <c r="O58" s="632" t="s">
        <v>434</v>
      </c>
      <c r="P58" s="633" t="s">
        <v>741</v>
      </c>
      <c r="Q58" s="721" t="s">
        <v>434</v>
      </c>
      <c r="R58" s="721" t="s">
        <v>434</v>
      </c>
      <c r="S58" s="632" t="s">
        <v>66</v>
      </c>
      <c r="T58" s="632" t="s">
        <v>66</v>
      </c>
      <c r="U58" s="632" t="s">
        <v>434</v>
      </c>
      <c r="V58" s="632"/>
    </row>
    <row r="59" spans="1:25" ht="12" x14ac:dyDescent="0.25">
      <c r="A59" s="635" t="s">
        <v>742</v>
      </c>
      <c r="B59" s="635"/>
      <c r="C59" s="635"/>
      <c r="D59" s="635"/>
      <c r="E59" s="635"/>
      <c r="F59" s="635"/>
      <c r="G59" s="635"/>
      <c r="H59" s="635"/>
      <c r="I59" s="635"/>
      <c r="J59" s="635"/>
      <c r="K59" s="635"/>
      <c r="L59" s="635"/>
      <c r="M59" s="635"/>
      <c r="N59" s="635"/>
      <c r="O59" s="635"/>
      <c r="P59" s="665"/>
      <c r="Q59" s="724" t="s">
        <v>884</v>
      </c>
      <c r="R59" s="724" t="s">
        <v>439</v>
      </c>
      <c r="S59" s="635"/>
      <c r="T59" s="635"/>
      <c r="U59" s="635"/>
      <c r="V59" s="635"/>
    </row>
    <row r="60" spans="1:25" ht="12" x14ac:dyDescent="0.25">
      <c r="A60" s="645" t="s">
        <v>784</v>
      </c>
      <c r="B60" s="645" t="s">
        <v>788</v>
      </c>
      <c r="C60" s="655">
        <v>4</v>
      </c>
      <c r="D60" s="656">
        <v>2.36</v>
      </c>
      <c r="E60" s="656">
        <v>0.4</v>
      </c>
      <c r="F60" s="656">
        <v>2.7250000000000001</v>
      </c>
      <c r="G60" s="656">
        <f>0.9+0.9</f>
        <v>1.8</v>
      </c>
      <c r="H60" s="656">
        <v>0.46</v>
      </c>
      <c r="I60" s="656">
        <v>0.9</v>
      </c>
      <c r="J60" s="648">
        <v>0.6</v>
      </c>
      <c r="K60" s="643"/>
      <c r="L60" s="643">
        <f>(D60+J60)*(F60+J60)*(I60+P60+K60)*C60</f>
        <v>39.368000000000002</v>
      </c>
      <c r="M60" s="643">
        <f>(((F60+G60)*E60/2)+((F60+H60)*(D60-E60))/2)*C60</f>
        <v>16.1052</v>
      </c>
      <c r="N60" s="643">
        <f>L60-U60</f>
        <v>24.87332</v>
      </c>
      <c r="O60" s="643">
        <f>(L60-N60)*1.3</f>
        <v>18.843084000000005</v>
      </c>
      <c r="P60" s="642">
        <v>0.1</v>
      </c>
      <c r="Q60" s="643"/>
      <c r="R60" s="643">
        <f>M60*P60</f>
        <v>1.6105200000000002</v>
      </c>
      <c r="S60" s="643">
        <f>(G60*I60+H60*I60+(((D60-E60)^2+((F60-H60)/2)^2)^(1/2))*I60*2+(((E60^2)+((F60-G60)/2)^2)^(1/2))*I60*2)*C60</f>
        <v>28.836998381485419</v>
      </c>
      <c r="T60" s="643"/>
      <c r="U60" s="643">
        <f>(((F60+G60)*E60/2)+((F60+H60)*(D60-E60))/2)*I60*C60</f>
        <v>14.494680000000001</v>
      </c>
      <c r="V60" s="644" t="s">
        <v>721</v>
      </c>
    </row>
    <row r="61" spans="1:25" ht="12" x14ac:dyDescent="0.25">
      <c r="A61" s="645" t="s">
        <v>784</v>
      </c>
      <c r="B61" s="645" t="s">
        <v>787</v>
      </c>
      <c r="C61" s="655">
        <v>1</v>
      </c>
      <c r="D61" s="656">
        <v>2.4</v>
      </c>
      <c r="E61" s="656">
        <v>0.42</v>
      </c>
      <c r="F61" s="656">
        <v>2.77</v>
      </c>
      <c r="G61" s="656">
        <f>0.9+0.9</f>
        <v>1.8</v>
      </c>
      <c r="H61" s="656">
        <v>0.49</v>
      </c>
      <c r="I61" s="656">
        <v>1.1000000000000001</v>
      </c>
      <c r="J61" s="648">
        <v>0.6</v>
      </c>
      <c r="K61" s="643"/>
      <c r="L61" s="643">
        <f t="shared" ref="L61:L68" si="33">(D61+J61)*(F61+J61)*(I61+P61+K61)*C61</f>
        <v>12.132000000000001</v>
      </c>
      <c r="M61" s="643">
        <f>(((F61+G61)*E61/2)+((F61+H61)*(D61-E61))/2)*C61</f>
        <v>4.1871</v>
      </c>
      <c r="N61" s="643">
        <f>L61-U61</f>
        <v>7.5261900000000006</v>
      </c>
      <c r="O61" s="643">
        <f t="shared" ref="O61:O69" si="34">(L61-N61)*1.3</f>
        <v>5.987553000000001</v>
      </c>
      <c r="P61" s="642">
        <v>0.1</v>
      </c>
      <c r="Q61" s="643"/>
      <c r="R61" s="643">
        <f t="shared" ref="R61:R69" si="35">M61*P61</f>
        <v>0.41871000000000003</v>
      </c>
      <c r="S61" s="643">
        <f>(G61*I61+H61*I61+(((D61-E61)^2+((F61-H61)/2)^2)^(1/2))*I61*2+(((E61^2)+((F61-G61)/2)^2)^(1/2))*I61*2)*C61</f>
        <v>8.95688642749416</v>
      </c>
      <c r="T61" s="643"/>
      <c r="U61" s="643">
        <f>(((F61+G61)*E61/2)+((F61+H61)*(D61-E61))/2)*I61*C61</f>
        <v>4.6058100000000008</v>
      </c>
      <c r="V61" s="644" t="s">
        <v>721</v>
      </c>
    </row>
    <row r="62" spans="1:25" ht="12" x14ac:dyDescent="0.25">
      <c r="A62" s="645" t="s">
        <v>784</v>
      </c>
      <c r="B62" s="645" t="s">
        <v>789</v>
      </c>
      <c r="C62" s="655">
        <v>1</v>
      </c>
      <c r="D62" s="656">
        <f>0.475+0.495+1.03+0.46</f>
        <v>2.46</v>
      </c>
      <c r="E62" s="656">
        <v>0.47499999999999998</v>
      </c>
      <c r="F62" s="656">
        <f>0.505+0.915+0.895+0.52</f>
        <v>2.835</v>
      </c>
      <c r="G62" s="656">
        <v>2.3199999999999998</v>
      </c>
      <c r="H62" s="656">
        <v>0.51</v>
      </c>
      <c r="I62" s="656">
        <v>1.1000000000000001</v>
      </c>
      <c r="J62" s="648">
        <v>0.6</v>
      </c>
      <c r="K62" s="643"/>
      <c r="L62" s="643">
        <f t="shared" si="33"/>
        <v>12.613320000000003</v>
      </c>
      <c r="M62" s="643">
        <f t="shared" ref="M62:M67" si="36">(((F62+G62)*E62/2)+((F62+H62)*(D62-E62))/2)*C62</f>
        <v>4.5442249999999991</v>
      </c>
      <c r="N62" s="643">
        <f t="shared" ref="N62:N67" si="37">L62-U62</f>
        <v>7.6146725000000037</v>
      </c>
      <c r="O62" s="643">
        <f t="shared" si="34"/>
        <v>6.49824175</v>
      </c>
      <c r="P62" s="642">
        <v>0.1</v>
      </c>
      <c r="Q62" s="643"/>
      <c r="R62" s="643">
        <f t="shared" si="35"/>
        <v>0.45442249999999995</v>
      </c>
      <c r="S62" s="643">
        <f t="shared" ref="S62:S67" si="38">(G62*I62+H62*I62+(((D62-E62)^2+((F62-H62)/2)^2)^(1/2))*I62*2+(((E62^2)+((F62-G62)/2)^2)^(1/2))*I62*2)*C62</f>
        <v>9.3624546799064596</v>
      </c>
      <c r="T62" s="643"/>
      <c r="U62" s="643">
        <f t="shared" ref="U62:U67" si="39">(((F62+G62)*E62/2)+((F62+H62)*(D62-E62))/2)*I62*C62</f>
        <v>4.9986474999999997</v>
      </c>
      <c r="V62" s="644" t="s">
        <v>721</v>
      </c>
    </row>
    <row r="63" spans="1:25" ht="12" x14ac:dyDescent="0.25">
      <c r="A63" s="645" t="s">
        <v>784</v>
      </c>
      <c r="B63" s="645" t="s">
        <v>790</v>
      </c>
      <c r="C63" s="655">
        <v>1</v>
      </c>
      <c r="D63" s="656">
        <v>2.36</v>
      </c>
      <c r="E63" s="656">
        <v>0.4</v>
      </c>
      <c r="F63" s="656">
        <v>4.5250000000000004</v>
      </c>
      <c r="G63" s="656">
        <f>(0.23+1.8)*2</f>
        <v>4.0600000000000005</v>
      </c>
      <c r="H63" s="656">
        <v>2.2599999999999998</v>
      </c>
      <c r="I63" s="656">
        <v>1.6</v>
      </c>
      <c r="J63" s="648">
        <v>0.6</v>
      </c>
      <c r="K63" s="643"/>
      <c r="L63" s="643">
        <f t="shared" si="33"/>
        <v>25.789000000000001</v>
      </c>
      <c r="M63" s="643">
        <f t="shared" si="36"/>
        <v>8.3663000000000007</v>
      </c>
      <c r="N63" s="643">
        <f t="shared" si="37"/>
        <v>12.40292</v>
      </c>
      <c r="O63" s="643">
        <f t="shared" si="34"/>
        <v>17.401904000000002</v>
      </c>
      <c r="P63" s="642">
        <v>0.1</v>
      </c>
      <c r="Q63" s="643"/>
      <c r="R63" s="643">
        <f t="shared" si="35"/>
        <v>0.8366300000000001</v>
      </c>
      <c r="S63" s="643">
        <f t="shared" si="38"/>
        <v>18.836230583701926</v>
      </c>
      <c r="T63" s="643"/>
      <c r="U63" s="643">
        <f t="shared" si="39"/>
        <v>13.386080000000002</v>
      </c>
      <c r="V63" s="644" t="s">
        <v>721</v>
      </c>
    </row>
    <row r="64" spans="1:25" ht="12" x14ac:dyDescent="0.25">
      <c r="A64" s="645" t="s">
        <v>784</v>
      </c>
      <c r="B64" s="645" t="s">
        <v>791</v>
      </c>
      <c r="C64" s="655">
        <v>1</v>
      </c>
      <c r="D64" s="656">
        <f>(2.08+0.4)*2</f>
        <v>4.96</v>
      </c>
      <c r="E64" s="656">
        <f>(0.4)*2</f>
        <v>0.8</v>
      </c>
      <c r="F64" s="656">
        <v>4.4800000000000004</v>
      </c>
      <c r="G64" s="656">
        <v>2.33</v>
      </c>
      <c r="H64" s="656">
        <v>2.33</v>
      </c>
      <c r="I64" s="656">
        <v>1.65</v>
      </c>
      <c r="J64" s="648">
        <v>0.6</v>
      </c>
      <c r="K64" s="643"/>
      <c r="L64" s="643">
        <f t="shared" si="33"/>
        <v>49.428399999999996</v>
      </c>
      <c r="M64" s="643">
        <f t="shared" si="36"/>
        <v>16.888800000000003</v>
      </c>
      <c r="N64" s="643">
        <f t="shared" si="37"/>
        <v>21.561879999999991</v>
      </c>
      <c r="O64" s="643">
        <f t="shared" si="34"/>
        <v>36.226476000000005</v>
      </c>
      <c r="P64" s="642">
        <v>0.1</v>
      </c>
      <c r="Q64" s="643"/>
      <c r="R64" s="643">
        <f t="shared" si="35"/>
        <v>1.6888800000000004</v>
      </c>
      <c r="S64" s="643">
        <f t="shared" si="38"/>
        <v>26.289984914510132</v>
      </c>
      <c r="T64" s="643"/>
      <c r="U64" s="643">
        <f t="shared" si="39"/>
        <v>27.866520000000005</v>
      </c>
      <c r="V64" s="644" t="s">
        <v>721</v>
      </c>
    </row>
    <row r="65" spans="1:27" ht="12" x14ac:dyDescent="0.25">
      <c r="A65" s="645"/>
      <c r="B65" s="645"/>
      <c r="C65" s="655"/>
      <c r="D65" s="656"/>
      <c r="E65" s="656"/>
      <c r="F65" s="656"/>
      <c r="G65" s="656"/>
      <c r="H65" s="656"/>
      <c r="I65" s="656"/>
      <c r="J65" s="648">
        <v>0.6</v>
      </c>
      <c r="K65" s="643"/>
      <c r="L65" s="643">
        <f t="shared" si="33"/>
        <v>0</v>
      </c>
      <c r="M65" s="643">
        <f t="shared" si="36"/>
        <v>0</v>
      </c>
      <c r="N65" s="643">
        <f t="shared" si="37"/>
        <v>0</v>
      </c>
      <c r="O65" s="643">
        <f t="shared" si="34"/>
        <v>0</v>
      </c>
      <c r="P65" s="642">
        <v>0.1</v>
      </c>
      <c r="Q65" s="643"/>
      <c r="R65" s="643">
        <f t="shared" si="35"/>
        <v>0</v>
      </c>
      <c r="S65" s="643">
        <f t="shared" si="38"/>
        <v>0</v>
      </c>
      <c r="T65" s="643"/>
      <c r="U65" s="643">
        <f t="shared" si="39"/>
        <v>0</v>
      </c>
      <c r="V65" s="644" t="s">
        <v>721</v>
      </c>
    </row>
    <row r="66" spans="1:27" ht="12" x14ac:dyDescent="0.25">
      <c r="A66" s="645"/>
      <c r="B66" s="645"/>
      <c r="C66" s="655"/>
      <c r="D66" s="656"/>
      <c r="E66" s="656"/>
      <c r="F66" s="656"/>
      <c r="G66" s="656"/>
      <c r="H66" s="656"/>
      <c r="I66" s="656"/>
      <c r="J66" s="648">
        <v>0.6</v>
      </c>
      <c r="K66" s="643"/>
      <c r="L66" s="643">
        <f t="shared" si="33"/>
        <v>0</v>
      </c>
      <c r="M66" s="643">
        <f t="shared" si="36"/>
        <v>0</v>
      </c>
      <c r="N66" s="643">
        <f t="shared" si="37"/>
        <v>0</v>
      </c>
      <c r="O66" s="643">
        <f t="shared" si="34"/>
        <v>0</v>
      </c>
      <c r="P66" s="642">
        <v>0.1</v>
      </c>
      <c r="Q66" s="643"/>
      <c r="R66" s="643">
        <f t="shared" si="35"/>
        <v>0</v>
      </c>
      <c r="S66" s="643">
        <f t="shared" si="38"/>
        <v>0</v>
      </c>
      <c r="T66" s="643"/>
      <c r="U66" s="643">
        <f t="shared" si="39"/>
        <v>0</v>
      </c>
      <c r="V66" s="644" t="s">
        <v>721</v>
      </c>
    </row>
    <row r="67" spans="1:27" ht="12" x14ac:dyDescent="0.25">
      <c r="A67" s="645"/>
      <c r="B67" s="645"/>
      <c r="C67" s="655"/>
      <c r="D67" s="656"/>
      <c r="E67" s="656"/>
      <c r="F67" s="656"/>
      <c r="G67" s="656"/>
      <c r="H67" s="656"/>
      <c r="I67" s="656"/>
      <c r="J67" s="648">
        <v>0.6</v>
      </c>
      <c r="K67" s="643"/>
      <c r="L67" s="643">
        <f t="shared" si="33"/>
        <v>0</v>
      </c>
      <c r="M67" s="643">
        <f t="shared" si="36"/>
        <v>0</v>
      </c>
      <c r="N67" s="643">
        <f t="shared" si="37"/>
        <v>0</v>
      </c>
      <c r="O67" s="643">
        <f t="shared" si="34"/>
        <v>0</v>
      </c>
      <c r="P67" s="642">
        <v>0.1</v>
      </c>
      <c r="Q67" s="643"/>
      <c r="R67" s="643">
        <f t="shared" si="35"/>
        <v>0</v>
      </c>
      <c r="S67" s="643">
        <f t="shared" si="38"/>
        <v>0</v>
      </c>
      <c r="T67" s="643"/>
      <c r="U67" s="643">
        <f t="shared" si="39"/>
        <v>0</v>
      </c>
      <c r="V67" s="644" t="s">
        <v>721</v>
      </c>
    </row>
    <row r="68" spans="1:27" ht="12" x14ac:dyDescent="0.25">
      <c r="A68" s="645"/>
      <c r="B68" s="645"/>
      <c r="C68" s="655"/>
      <c r="D68" s="656"/>
      <c r="E68" s="656"/>
      <c r="F68" s="656"/>
      <c r="G68" s="656"/>
      <c r="H68" s="656"/>
      <c r="I68" s="656"/>
      <c r="J68" s="648">
        <v>0.6</v>
      </c>
      <c r="K68" s="643"/>
      <c r="L68" s="643">
        <f t="shared" si="33"/>
        <v>0</v>
      </c>
      <c r="M68" s="643">
        <f>(((F68+G68)*E68/2)+((F68+H68)*(D68-E68))/2)*C68</f>
        <v>0</v>
      </c>
      <c r="N68" s="643">
        <f>L68-U68</f>
        <v>0</v>
      </c>
      <c r="O68" s="643">
        <f t="shared" si="34"/>
        <v>0</v>
      </c>
      <c r="P68" s="642">
        <v>0.1</v>
      </c>
      <c r="Q68" s="643"/>
      <c r="R68" s="643">
        <f t="shared" si="35"/>
        <v>0</v>
      </c>
      <c r="S68" s="643">
        <f>(G68*I68+H68*I68+(((D68-E68)^2+((F68-H68)/2)^2)^(1/2))*I68*2+(((E68^2)+((F68-G68)/2)^2)^(1/2))*I68*2)*C68</f>
        <v>0</v>
      </c>
      <c r="T68" s="643"/>
      <c r="U68" s="643">
        <f>(((F68+G68)*E68/2)+((F68+H68)*(D68-E68))/2)*I68*C68</f>
        <v>0</v>
      </c>
      <c r="V68" s="644" t="s">
        <v>721</v>
      </c>
    </row>
    <row r="69" spans="1:27" ht="12.75" thickBot="1" x14ac:dyDescent="0.3">
      <c r="A69" s="645"/>
      <c r="B69" s="645"/>
      <c r="C69" s="655"/>
      <c r="D69" s="656"/>
      <c r="E69" s="656"/>
      <c r="F69" s="656"/>
      <c r="G69" s="656"/>
      <c r="H69" s="656"/>
      <c r="I69" s="656"/>
      <c r="J69" s="648">
        <v>0.6</v>
      </c>
      <c r="K69" s="643"/>
      <c r="L69" s="643">
        <f>(D69+J69)*(F69+J69)*(I69+P69+K69)*C69</f>
        <v>0</v>
      </c>
      <c r="M69" s="643">
        <f>(((F69+G69)*E69/2)+((F69+H69)*(D69-E69))/2)*C69</f>
        <v>0</v>
      </c>
      <c r="N69" s="643">
        <f>L69-U69</f>
        <v>0</v>
      </c>
      <c r="O69" s="643">
        <f t="shared" si="34"/>
        <v>0</v>
      </c>
      <c r="P69" s="642">
        <v>0.1</v>
      </c>
      <c r="Q69" s="643"/>
      <c r="R69" s="643">
        <f t="shared" si="35"/>
        <v>0</v>
      </c>
      <c r="S69" s="643">
        <f>(G69*I69+H69*I69+(((D69-E69)^2+((F69-H69)/2)^2)^(1/2))*I69*2+(((E69^2)+((F69-G69)/2)^2)^(1/2))*I69*2)*C69</f>
        <v>0</v>
      </c>
      <c r="T69" s="643"/>
      <c r="U69" s="643">
        <f>(((F69+G69)*E69/2)+((F69+H69)*(D69-E69))/2)*I69*C69</f>
        <v>0</v>
      </c>
      <c r="V69" s="644" t="s">
        <v>721</v>
      </c>
    </row>
    <row r="70" spans="1:27" ht="13.5" thickTop="1" thickBot="1" x14ac:dyDescent="0.3">
      <c r="A70" s="575" t="str">
        <f>"TOTAL GERAL - "&amp;A55</f>
        <v>TOTAL GERAL - BLOCOS TRIANGULARES</v>
      </c>
      <c r="B70" s="657"/>
      <c r="C70" s="650"/>
      <c r="D70" s="575"/>
      <c r="E70" s="575"/>
      <c r="F70" s="575"/>
      <c r="G70" s="575"/>
      <c r="H70" s="575"/>
      <c r="I70" s="575"/>
      <c r="J70" s="575"/>
      <c r="K70" s="575"/>
      <c r="L70" s="579">
        <f>SUM(L60:L69)</f>
        <v>139.33071999999999</v>
      </c>
      <c r="M70" s="579">
        <f>SUM(M60:M69)</f>
        <v>50.091625000000008</v>
      </c>
      <c r="N70" s="579">
        <f>SUM(N60:N69)</f>
        <v>73.978982500000001</v>
      </c>
      <c r="O70" s="579">
        <f>SUM(O60:O69)</f>
        <v>84.957258750000022</v>
      </c>
      <c r="P70" s="579"/>
      <c r="Q70" s="579">
        <f>SUM(Q60:Q69)</f>
        <v>0</v>
      </c>
      <c r="R70" s="579">
        <f>SUM(R60:R69)</f>
        <v>5.0091625000000004</v>
      </c>
      <c r="S70" s="579">
        <f>SUM(S60:S69)</f>
        <v>92.282554987098095</v>
      </c>
      <c r="T70" s="579">
        <f>SUM(T60:T69)</f>
        <v>0</v>
      </c>
      <c r="U70" s="579">
        <f>SUM(U60:U69)</f>
        <v>65.351737500000013</v>
      </c>
      <c r="V70" s="575"/>
    </row>
    <row r="71" spans="1:27" ht="12" thickTop="1" x14ac:dyDescent="0.25"/>
    <row r="73" spans="1:27" s="172" customFormat="1" ht="23.45" customHeight="1" x14ac:dyDescent="0.2">
      <c r="A73" s="1145" t="s">
        <v>757</v>
      </c>
      <c r="B73" s="1116"/>
      <c r="C73" s="1116"/>
      <c r="D73" s="1116"/>
      <c r="E73" s="1116"/>
      <c r="F73" s="1116"/>
      <c r="G73" s="1116"/>
      <c r="H73" s="1116"/>
      <c r="I73" s="1116"/>
      <c r="J73" s="1116"/>
      <c r="K73" s="1116"/>
      <c r="L73" s="1116"/>
      <c r="M73" s="1116"/>
      <c r="N73" s="1116"/>
      <c r="O73" s="1116"/>
      <c r="P73" s="1116"/>
      <c r="Q73" s="1116"/>
      <c r="R73" s="1116"/>
      <c r="S73" s="1116"/>
      <c r="T73" s="1116"/>
      <c r="U73" s="1116"/>
      <c r="V73" s="1116"/>
      <c r="W73" s="658"/>
      <c r="X73" s="551" t="s">
        <v>726</v>
      </c>
      <c r="Y73" s="551"/>
      <c r="Z73" s="551"/>
      <c r="AA73" s="551"/>
    </row>
    <row r="74" spans="1:27" s="564" customFormat="1" ht="15" customHeight="1" x14ac:dyDescent="0.25">
      <c r="A74" s="1117" t="s">
        <v>677</v>
      </c>
      <c r="B74" s="1117"/>
      <c r="C74" s="1124" t="s">
        <v>758</v>
      </c>
      <c r="D74" s="659" t="s">
        <v>723</v>
      </c>
      <c r="E74" s="624"/>
      <c r="F74" s="624"/>
      <c r="G74" s="624"/>
      <c r="H74" s="624"/>
      <c r="I74" s="624"/>
      <c r="J74" s="1127" t="s">
        <v>724</v>
      </c>
      <c r="K74" s="1128"/>
      <c r="L74" s="737" t="s">
        <v>725</v>
      </c>
      <c r="M74" s="738"/>
      <c r="N74" s="738"/>
      <c r="O74" s="738"/>
      <c r="P74" s="624"/>
      <c r="Q74" s="624"/>
      <c r="R74" s="624"/>
      <c r="S74" s="624"/>
      <c r="T74" s="660"/>
      <c r="U74" s="624"/>
      <c r="V74" s="624"/>
      <c r="X74" s="551"/>
      <c r="Y74" s="551"/>
      <c r="Z74" s="551"/>
      <c r="AA74" s="551"/>
    </row>
    <row r="75" spans="1:27" s="564" customFormat="1" ht="15" customHeight="1" x14ac:dyDescent="0.25">
      <c r="A75" s="1118"/>
      <c r="B75" s="1118"/>
      <c r="C75" s="1125"/>
      <c r="D75" s="629" t="s">
        <v>738</v>
      </c>
      <c r="E75" s="629" t="s">
        <v>739</v>
      </c>
      <c r="F75" s="629" t="s">
        <v>759</v>
      </c>
      <c r="G75" s="629" t="s">
        <v>740</v>
      </c>
      <c r="H75" s="629" t="s">
        <v>760</v>
      </c>
      <c r="I75" s="629" t="s">
        <v>761</v>
      </c>
      <c r="J75" s="661" t="s">
        <v>730</v>
      </c>
      <c r="K75" s="661" t="s">
        <v>731</v>
      </c>
      <c r="L75" s="629" t="s">
        <v>732</v>
      </c>
      <c r="M75" s="629" t="s">
        <v>733</v>
      </c>
      <c r="N75" s="629" t="s">
        <v>734</v>
      </c>
      <c r="O75" s="629" t="s">
        <v>735</v>
      </c>
      <c r="P75" s="1135" t="s">
        <v>885</v>
      </c>
      <c r="Q75" s="1136"/>
      <c r="R75" s="1137"/>
      <c r="S75" s="629" t="s">
        <v>736</v>
      </c>
      <c r="T75" s="629" t="s">
        <v>716</v>
      </c>
      <c r="U75" s="629" t="s">
        <v>439</v>
      </c>
      <c r="V75" s="629" t="s">
        <v>737</v>
      </c>
      <c r="X75" s="551"/>
      <c r="Y75" s="551"/>
      <c r="Z75" s="551"/>
      <c r="AA75" s="551"/>
    </row>
    <row r="76" spans="1:27" s="564" customFormat="1" ht="12.75" x14ac:dyDescent="0.25">
      <c r="A76" s="1119"/>
      <c r="B76" s="1119"/>
      <c r="C76" s="1126"/>
      <c r="D76" s="662" t="s">
        <v>54</v>
      </c>
      <c r="E76" s="662" t="s">
        <v>54</v>
      </c>
      <c r="F76" s="662" t="s">
        <v>54</v>
      </c>
      <c r="G76" s="634" t="s">
        <v>54</v>
      </c>
      <c r="H76" s="634" t="s">
        <v>54</v>
      </c>
      <c r="I76" s="634" t="s">
        <v>54</v>
      </c>
      <c r="J76" s="634" t="s">
        <v>54</v>
      </c>
      <c r="K76" s="634" t="s">
        <v>54</v>
      </c>
      <c r="L76" s="634" t="s">
        <v>434</v>
      </c>
      <c r="M76" s="634" t="s">
        <v>66</v>
      </c>
      <c r="N76" s="634" t="s">
        <v>434</v>
      </c>
      <c r="O76" s="634" t="s">
        <v>434</v>
      </c>
      <c r="P76" s="633" t="s">
        <v>741</v>
      </c>
      <c r="Q76" s="721" t="s">
        <v>434</v>
      </c>
      <c r="R76" s="721" t="s">
        <v>434</v>
      </c>
      <c r="S76" s="634" t="s">
        <v>66</v>
      </c>
      <c r="T76" s="634" t="s">
        <v>66</v>
      </c>
      <c r="U76" s="634" t="s">
        <v>434</v>
      </c>
      <c r="V76" s="634"/>
      <c r="X76" s="551"/>
      <c r="Y76" s="551"/>
      <c r="Z76" s="551"/>
      <c r="AA76" s="551"/>
    </row>
    <row r="77" spans="1:27" s="564" customFormat="1" ht="14.45" customHeight="1" x14ac:dyDescent="0.25">
      <c r="A77" s="663" t="s">
        <v>742</v>
      </c>
      <c r="B77" s="664"/>
      <c r="C77" s="665"/>
      <c r="D77" s="666"/>
      <c r="E77" s="665"/>
      <c r="F77" s="667"/>
      <c r="G77" s="666"/>
      <c r="H77" s="665"/>
      <c r="I77" s="667"/>
      <c r="J77" s="666"/>
      <c r="K77" s="666"/>
      <c r="L77" s="665"/>
      <c r="M77" s="666"/>
      <c r="N77" s="666"/>
      <c r="O77" s="666"/>
      <c r="P77" s="665"/>
      <c r="Q77" s="724" t="s">
        <v>884</v>
      </c>
      <c r="R77" s="724" t="s">
        <v>439</v>
      </c>
      <c r="S77" s="666">
        <f t="shared" ref="S77:S87" si="40">(((($D77+$E77)*2)*$F77)*$C77)+(((K77-0.1)*4*G77)*C77)</f>
        <v>0</v>
      </c>
      <c r="T77" s="666"/>
      <c r="U77" s="666">
        <f t="shared" ref="U77:U87" si="41">((($D77*$E77*$F77)+(($I77/6)*(($D77*$E77)+($G77*$H77)+(($D77+$G77)*($E77+$H77)))))*$C77)+((K77-0.1)*G77*H77*C77)</f>
        <v>0</v>
      </c>
      <c r="V77" s="666"/>
      <c r="X77" s="551"/>
      <c r="Y77" s="551"/>
      <c r="Z77" s="551"/>
      <c r="AA77" s="551"/>
    </row>
    <row r="78" spans="1:27" s="564" customFormat="1" ht="14.45" customHeight="1" x14ac:dyDescent="0.25">
      <c r="A78" s="668"/>
      <c r="B78" s="669"/>
      <c r="C78" s="670"/>
      <c r="D78" s="671"/>
      <c r="E78" s="671"/>
      <c r="F78" s="671"/>
      <c r="G78" s="671"/>
      <c r="H78" s="671"/>
      <c r="I78" s="671"/>
      <c r="J78" s="640">
        <f t="shared" ref="J78:J87" si="42">IF((D78+E78)&lt;=1,0.6,1.2)</f>
        <v>0.6</v>
      </c>
      <c r="K78" s="640"/>
      <c r="L78" s="640">
        <f t="shared" ref="L78:L87" si="43">(D78+J78)*(E78+J78)*(F78+I78+P78+K78)*C78</f>
        <v>0</v>
      </c>
      <c r="M78" s="640">
        <f>$D78*$E78*$C78</f>
        <v>0</v>
      </c>
      <c r="N78" s="640">
        <f>$L78-$U78-R78</f>
        <v>0</v>
      </c>
      <c r="O78" s="640">
        <f>(L78-N78)*1.3</f>
        <v>0</v>
      </c>
      <c r="P78" s="642">
        <v>0.1</v>
      </c>
      <c r="Q78" s="640"/>
      <c r="R78" s="640">
        <f>($D78*$E78*$P78)*$C78</f>
        <v>0</v>
      </c>
      <c r="S78" s="640">
        <f t="shared" si="40"/>
        <v>0</v>
      </c>
      <c r="T78" s="640"/>
      <c r="U78" s="640">
        <f t="shared" si="41"/>
        <v>0</v>
      </c>
      <c r="V78" s="644" t="s">
        <v>721</v>
      </c>
      <c r="X78" s="551"/>
      <c r="Y78" s="551"/>
      <c r="Z78" s="551"/>
      <c r="AA78" s="551"/>
    </row>
    <row r="79" spans="1:27" s="564" customFormat="1" ht="14.45" customHeight="1" x14ac:dyDescent="0.25">
      <c r="A79" s="668"/>
      <c r="B79" s="669"/>
      <c r="C79" s="670"/>
      <c r="D79" s="671"/>
      <c r="E79" s="671"/>
      <c r="F79" s="671"/>
      <c r="G79" s="671"/>
      <c r="H79" s="671"/>
      <c r="I79" s="671"/>
      <c r="J79" s="640">
        <f t="shared" si="42"/>
        <v>0.6</v>
      </c>
      <c r="K79" s="640"/>
      <c r="L79" s="640">
        <f t="shared" si="43"/>
        <v>0</v>
      </c>
      <c r="M79" s="640">
        <f>$D79*$E79*$C79</f>
        <v>0</v>
      </c>
      <c r="N79" s="640">
        <f>$L79-$U79-R79</f>
        <v>0</v>
      </c>
      <c r="O79" s="640">
        <f>(L79-N79)*1.3</f>
        <v>0</v>
      </c>
      <c r="P79" s="642">
        <v>0.1</v>
      </c>
      <c r="Q79" s="640"/>
      <c r="R79" s="640">
        <f t="shared" ref="R79:R87" si="44">($D79*$E79*$P79)*$C79</f>
        <v>0</v>
      </c>
      <c r="S79" s="640">
        <f t="shared" si="40"/>
        <v>0</v>
      </c>
      <c r="T79" s="640"/>
      <c r="U79" s="640">
        <f t="shared" si="41"/>
        <v>0</v>
      </c>
      <c r="V79" s="644" t="s">
        <v>721</v>
      </c>
      <c r="X79" s="551"/>
      <c r="Y79" s="551"/>
      <c r="Z79" s="551"/>
      <c r="AA79" s="551"/>
    </row>
    <row r="80" spans="1:27" s="564" customFormat="1" ht="14.45" customHeight="1" x14ac:dyDescent="0.25">
      <c r="A80" s="668"/>
      <c r="B80" s="669"/>
      <c r="C80" s="670"/>
      <c r="D80" s="671"/>
      <c r="E80" s="671"/>
      <c r="F80" s="671"/>
      <c r="G80" s="671"/>
      <c r="H80" s="671"/>
      <c r="I80" s="671"/>
      <c r="J80" s="640">
        <f t="shared" si="42"/>
        <v>0.6</v>
      </c>
      <c r="K80" s="640"/>
      <c r="L80" s="640">
        <f t="shared" si="43"/>
        <v>0</v>
      </c>
      <c r="M80" s="640">
        <f t="shared" ref="M80" si="45">$D80*$E80*$C80</f>
        <v>0</v>
      </c>
      <c r="N80" s="640">
        <f t="shared" ref="N80" si="46">$L80-$U80-R80</f>
        <v>0</v>
      </c>
      <c r="O80" s="640">
        <f t="shared" ref="O80" si="47">(L80-N80)*1.3</f>
        <v>0</v>
      </c>
      <c r="P80" s="642">
        <v>0.1</v>
      </c>
      <c r="Q80" s="640"/>
      <c r="R80" s="640">
        <f t="shared" si="44"/>
        <v>0</v>
      </c>
      <c r="S80" s="640">
        <f t="shared" si="40"/>
        <v>0</v>
      </c>
      <c r="T80" s="640"/>
      <c r="U80" s="640">
        <f t="shared" si="41"/>
        <v>0</v>
      </c>
      <c r="V80" s="644" t="s">
        <v>721</v>
      </c>
      <c r="X80" s="551"/>
      <c r="Y80" s="551"/>
      <c r="Z80" s="551"/>
      <c r="AA80" s="551"/>
    </row>
    <row r="81" spans="1:31" s="564" customFormat="1" ht="14.45" customHeight="1" x14ac:dyDescent="0.25">
      <c r="A81" s="668"/>
      <c r="B81" s="669"/>
      <c r="C81" s="670"/>
      <c r="D81" s="671"/>
      <c r="E81" s="671"/>
      <c r="F81" s="671"/>
      <c r="G81" s="671"/>
      <c r="H81" s="671"/>
      <c r="I81" s="671"/>
      <c r="J81" s="640">
        <f t="shared" si="42"/>
        <v>0.6</v>
      </c>
      <c r="K81" s="640"/>
      <c r="L81" s="640">
        <f t="shared" si="43"/>
        <v>0</v>
      </c>
      <c r="M81" s="640">
        <f>$D81*$E81*$C81</f>
        <v>0</v>
      </c>
      <c r="N81" s="640">
        <f>$L81-$U81-R81</f>
        <v>0</v>
      </c>
      <c r="O81" s="640">
        <f>(L81-N81)*1.3</f>
        <v>0</v>
      </c>
      <c r="P81" s="642">
        <v>0.1</v>
      </c>
      <c r="Q81" s="640"/>
      <c r="R81" s="640">
        <f t="shared" si="44"/>
        <v>0</v>
      </c>
      <c r="S81" s="640">
        <f t="shared" si="40"/>
        <v>0</v>
      </c>
      <c r="T81" s="640"/>
      <c r="U81" s="640">
        <f t="shared" si="41"/>
        <v>0</v>
      </c>
      <c r="V81" s="644" t="s">
        <v>721</v>
      </c>
      <c r="X81" s="551"/>
      <c r="Y81" s="551"/>
      <c r="Z81" s="551"/>
      <c r="AA81" s="551"/>
    </row>
    <row r="82" spans="1:31" s="564" customFormat="1" ht="14.45" customHeight="1" x14ac:dyDescent="0.25">
      <c r="A82" s="668"/>
      <c r="B82" s="669"/>
      <c r="C82" s="670"/>
      <c r="D82" s="671"/>
      <c r="E82" s="671"/>
      <c r="F82" s="671"/>
      <c r="G82" s="671"/>
      <c r="H82" s="671"/>
      <c r="I82" s="671"/>
      <c r="J82" s="640">
        <f t="shared" si="42"/>
        <v>0.6</v>
      </c>
      <c r="K82" s="640"/>
      <c r="L82" s="640">
        <f t="shared" si="43"/>
        <v>0</v>
      </c>
      <c r="M82" s="640">
        <f t="shared" ref="M82:M85" si="48">$D82*$E82*$C82</f>
        <v>0</v>
      </c>
      <c r="N82" s="640">
        <f t="shared" ref="N82:N85" si="49">$L82-$U82-R82</f>
        <v>0</v>
      </c>
      <c r="O82" s="640">
        <f t="shared" ref="O82:O85" si="50">(L82-N82)*1.3</f>
        <v>0</v>
      </c>
      <c r="P82" s="642">
        <v>0.1</v>
      </c>
      <c r="Q82" s="640"/>
      <c r="R82" s="640">
        <f t="shared" si="44"/>
        <v>0</v>
      </c>
      <c r="S82" s="640">
        <f t="shared" si="40"/>
        <v>0</v>
      </c>
      <c r="T82" s="640"/>
      <c r="U82" s="640">
        <f t="shared" si="41"/>
        <v>0</v>
      </c>
      <c r="V82" s="644" t="s">
        <v>721</v>
      </c>
      <c r="X82" s="551"/>
      <c r="Y82" s="551"/>
      <c r="Z82" s="551"/>
      <c r="AA82" s="551"/>
    </row>
    <row r="83" spans="1:31" s="564" customFormat="1" ht="14.45" customHeight="1" x14ac:dyDescent="0.25">
      <c r="A83" s="668"/>
      <c r="B83" s="669"/>
      <c r="C83" s="670"/>
      <c r="D83" s="671"/>
      <c r="E83" s="671"/>
      <c r="F83" s="671"/>
      <c r="G83" s="671"/>
      <c r="H83" s="671"/>
      <c r="I83" s="671"/>
      <c r="J83" s="640">
        <f t="shared" si="42"/>
        <v>0.6</v>
      </c>
      <c r="K83" s="640"/>
      <c r="L83" s="640">
        <f t="shared" si="43"/>
        <v>0</v>
      </c>
      <c r="M83" s="640">
        <f t="shared" si="48"/>
        <v>0</v>
      </c>
      <c r="N83" s="640">
        <f t="shared" si="49"/>
        <v>0</v>
      </c>
      <c r="O83" s="640">
        <f t="shared" si="50"/>
        <v>0</v>
      </c>
      <c r="P83" s="642">
        <v>0.1</v>
      </c>
      <c r="Q83" s="640"/>
      <c r="R83" s="640">
        <f t="shared" si="44"/>
        <v>0</v>
      </c>
      <c r="S83" s="640">
        <f t="shared" si="40"/>
        <v>0</v>
      </c>
      <c r="T83" s="640"/>
      <c r="U83" s="640">
        <f t="shared" si="41"/>
        <v>0</v>
      </c>
      <c r="V83" s="644" t="s">
        <v>721</v>
      </c>
      <c r="X83" s="551"/>
      <c r="Y83" s="551"/>
      <c r="Z83" s="551"/>
      <c r="AA83" s="551"/>
    </row>
    <row r="84" spans="1:31" s="564" customFormat="1" ht="14.45" customHeight="1" x14ac:dyDescent="0.25">
      <c r="A84" s="668"/>
      <c r="B84" s="669"/>
      <c r="C84" s="670"/>
      <c r="D84" s="671"/>
      <c r="E84" s="671"/>
      <c r="F84" s="671"/>
      <c r="G84" s="671"/>
      <c r="H84" s="671"/>
      <c r="I84" s="671"/>
      <c r="J84" s="640">
        <f t="shared" si="42"/>
        <v>0.6</v>
      </c>
      <c r="K84" s="640"/>
      <c r="L84" s="640">
        <f t="shared" si="43"/>
        <v>0</v>
      </c>
      <c r="M84" s="640">
        <f t="shared" si="48"/>
        <v>0</v>
      </c>
      <c r="N84" s="640">
        <f t="shared" si="49"/>
        <v>0</v>
      </c>
      <c r="O84" s="640">
        <f t="shared" si="50"/>
        <v>0</v>
      </c>
      <c r="P84" s="642">
        <v>0.1</v>
      </c>
      <c r="Q84" s="640"/>
      <c r="R84" s="640">
        <f t="shared" si="44"/>
        <v>0</v>
      </c>
      <c r="S84" s="640">
        <f t="shared" si="40"/>
        <v>0</v>
      </c>
      <c r="T84" s="640"/>
      <c r="U84" s="640">
        <f t="shared" si="41"/>
        <v>0</v>
      </c>
      <c r="V84" s="644" t="s">
        <v>721</v>
      </c>
      <c r="X84" s="551"/>
      <c r="Y84" s="551"/>
      <c r="Z84" s="551"/>
      <c r="AA84" s="551"/>
    </row>
    <row r="85" spans="1:31" s="564" customFormat="1" ht="14.45" customHeight="1" x14ac:dyDescent="0.25">
      <c r="A85" s="668"/>
      <c r="B85" s="669"/>
      <c r="C85" s="670"/>
      <c r="D85" s="671"/>
      <c r="E85" s="671"/>
      <c r="F85" s="672"/>
      <c r="G85" s="671"/>
      <c r="H85" s="671"/>
      <c r="I85" s="672"/>
      <c r="J85" s="640">
        <f t="shared" si="42"/>
        <v>0.6</v>
      </c>
      <c r="K85" s="640"/>
      <c r="L85" s="640">
        <f t="shared" si="43"/>
        <v>0</v>
      </c>
      <c r="M85" s="640">
        <f t="shared" si="48"/>
        <v>0</v>
      </c>
      <c r="N85" s="640">
        <f t="shared" si="49"/>
        <v>0</v>
      </c>
      <c r="O85" s="640">
        <f t="shared" si="50"/>
        <v>0</v>
      </c>
      <c r="P85" s="642">
        <v>0.1</v>
      </c>
      <c r="Q85" s="640"/>
      <c r="R85" s="640">
        <f t="shared" si="44"/>
        <v>0</v>
      </c>
      <c r="S85" s="640">
        <f t="shared" si="40"/>
        <v>0</v>
      </c>
      <c r="T85" s="640"/>
      <c r="U85" s="640">
        <f t="shared" si="41"/>
        <v>0</v>
      </c>
      <c r="V85" s="644" t="s">
        <v>721</v>
      </c>
      <c r="X85" s="551"/>
      <c r="Y85" s="551"/>
      <c r="Z85" s="551"/>
      <c r="AA85" s="551"/>
    </row>
    <row r="86" spans="1:31" s="564" customFormat="1" ht="14.45" customHeight="1" x14ac:dyDescent="0.25">
      <c r="A86" s="668"/>
      <c r="B86" s="669"/>
      <c r="C86" s="670"/>
      <c r="D86" s="671"/>
      <c r="E86" s="671"/>
      <c r="F86" s="672"/>
      <c r="G86" s="671"/>
      <c r="H86" s="671"/>
      <c r="I86" s="672"/>
      <c r="J86" s="640">
        <f t="shared" si="42"/>
        <v>0.6</v>
      </c>
      <c r="K86" s="640"/>
      <c r="L86" s="640">
        <f t="shared" si="43"/>
        <v>0</v>
      </c>
      <c r="M86" s="640">
        <f>$D86*$E86*$C86</f>
        <v>0</v>
      </c>
      <c r="N86" s="640">
        <f>$L86-$U86-R86</f>
        <v>0</v>
      </c>
      <c r="O86" s="640">
        <f>(L86-N86)*1.3</f>
        <v>0</v>
      </c>
      <c r="P86" s="642">
        <v>0.1</v>
      </c>
      <c r="Q86" s="640"/>
      <c r="R86" s="640">
        <f t="shared" si="44"/>
        <v>0</v>
      </c>
      <c r="S86" s="640">
        <f t="shared" si="40"/>
        <v>0</v>
      </c>
      <c r="T86" s="640"/>
      <c r="U86" s="640">
        <f t="shared" si="41"/>
        <v>0</v>
      </c>
      <c r="V86" s="644" t="s">
        <v>721</v>
      </c>
      <c r="X86" s="551"/>
      <c r="Y86" s="551"/>
      <c r="Z86" s="551"/>
      <c r="AA86" s="551"/>
    </row>
    <row r="87" spans="1:31" s="564" customFormat="1" ht="14.45" customHeight="1" thickBot="1" x14ac:dyDescent="0.3">
      <c r="A87" s="668"/>
      <c r="B87" s="669"/>
      <c r="C87" s="670"/>
      <c r="D87" s="671"/>
      <c r="E87" s="671"/>
      <c r="F87" s="671"/>
      <c r="G87" s="671"/>
      <c r="H87" s="671"/>
      <c r="I87" s="671"/>
      <c r="J87" s="640">
        <f t="shared" si="42"/>
        <v>0.6</v>
      </c>
      <c r="K87" s="640"/>
      <c r="L87" s="640">
        <f t="shared" si="43"/>
        <v>0</v>
      </c>
      <c r="M87" s="640">
        <f>$D87*$E87*$C87</f>
        <v>0</v>
      </c>
      <c r="N87" s="640">
        <f>$L87-$U87-R87</f>
        <v>0</v>
      </c>
      <c r="O87" s="640">
        <f>(L87-N87)*1.3</f>
        <v>0</v>
      </c>
      <c r="P87" s="642">
        <v>0.1</v>
      </c>
      <c r="Q87" s="640"/>
      <c r="R87" s="640">
        <f t="shared" si="44"/>
        <v>0</v>
      </c>
      <c r="S87" s="640">
        <f t="shared" si="40"/>
        <v>0</v>
      </c>
      <c r="T87" s="640"/>
      <c r="U87" s="640">
        <f t="shared" si="41"/>
        <v>0</v>
      </c>
      <c r="V87" s="644" t="s">
        <v>721</v>
      </c>
      <c r="X87" s="551"/>
      <c r="Y87" s="551"/>
      <c r="Z87" s="551"/>
      <c r="AA87" s="551"/>
    </row>
    <row r="88" spans="1:31" s="564" customFormat="1" ht="14.45" customHeight="1" thickTop="1" thickBot="1" x14ac:dyDescent="0.3">
      <c r="A88" s="575" t="str">
        <f>"TOTAL GERAL - "&amp;A73</f>
        <v>TOTAL GERAL - SAPATAS</v>
      </c>
      <c r="B88" s="657"/>
      <c r="C88" s="650"/>
      <c r="D88" s="650"/>
      <c r="E88" s="650"/>
      <c r="F88" s="650"/>
      <c r="G88" s="650"/>
      <c r="H88" s="650"/>
      <c r="I88" s="650"/>
      <c r="J88" s="650"/>
      <c r="K88" s="650"/>
      <c r="L88" s="650">
        <f>SUM(L77:L87)</f>
        <v>0</v>
      </c>
      <c r="M88" s="650">
        <f>SUM(M77:M87)</f>
        <v>0</v>
      </c>
      <c r="N88" s="650">
        <f>SUM(N77:N87)</f>
        <v>0</v>
      </c>
      <c r="O88" s="650">
        <f>SUM(O77:O87)</f>
        <v>0</v>
      </c>
      <c r="P88" s="650"/>
      <c r="Q88" s="650">
        <f>SUM(Q77:Q87)</f>
        <v>0</v>
      </c>
      <c r="R88" s="650">
        <f>SUM(R77:R87)</f>
        <v>0</v>
      </c>
      <c r="S88" s="650">
        <f>SUM(S77:S87)</f>
        <v>0</v>
      </c>
      <c r="T88" s="650">
        <f>SUM(T77:T87)</f>
        <v>0</v>
      </c>
      <c r="U88" s="650">
        <f>SUM(U77:U87)</f>
        <v>0</v>
      </c>
      <c r="V88" s="650"/>
      <c r="X88" s="551"/>
      <c r="Y88" s="551"/>
      <c r="Z88" s="551"/>
      <c r="AA88" s="551"/>
    </row>
    <row r="89" spans="1:31" s="564" customFormat="1" ht="12.75" thickTop="1" x14ac:dyDescent="0.25">
      <c r="C89" s="586"/>
      <c r="D89" s="586"/>
      <c r="E89" s="586"/>
      <c r="F89" s="586"/>
      <c r="G89" s="586"/>
      <c r="H89" s="586"/>
      <c r="I89" s="586"/>
      <c r="J89" s="586"/>
      <c r="K89" s="673" t="s">
        <v>762</v>
      </c>
      <c r="L89" s="586"/>
      <c r="M89" s="586"/>
      <c r="N89" s="586"/>
      <c r="O89" s="586"/>
      <c r="P89" s="586"/>
      <c r="Q89" s="586"/>
      <c r="R89" s="586"/>
      <c r="S89" s="586"/>
      <c r="T89" s="586"/>
      <c r="U89" s="674"/>
    </row>
    <row r="90" spans="1:31" s="564" customFormat="1" ht="12" x14ac:dyDescent="0.25">
      <c r="C90" s="586"/>
      <c r="D90" s="586"/>
      <c r="E90" s="586"/>
      <c r="F90" s="586"/>
      <c r="G90" s="586"/>
      <c r="H90" s="586"/>
      <c r="I90" s="586"/>
      <c r="J90" s="586"/>
      <c r="K90" s="673"/>
      <c r="L90" s="586"/>
      <c r="M90" s="586"/>
      <c r="N90" s="586"/>
      <c r="O90" s="586"/>
      <c r="P90" s="586"/>
      <c r="Q90" s="586"/>
      <c r="R90" s="586"/>
      <c r="S90" s="586"/>
      <c r="T90" s="586"/>
      <c r="U90" s="674"/>
    </row>
    <row r="91" spans="1:31" s="564" customFormat="1" ht="12" x14ac:dyDescent="0.25">
      <c r="C91" s="586"/>
      <c r="D91" s="586"/>
      <c r="E91" s="586"/>
      <c r="F91" s="586"/>
      <c r="G91" s="586"/>
      <c r="H91" s="586"/>
      <c r="I91" s="586"/>
      <c r="J91" s="586"/>
      <c r="K91" s="673"/>
      <c r="L91" s="586"/>
      <c r="M91" s="586"/>
      <c r="N91" s="586"/>
      <c r="O91" s="586"/>
      <c r="P91" s="586"/>
      <c r="Q91" s="586"/>
      <c r="R91" s="586"/>
      <c r="S91" s="586"/>
      <c r="T91" s="586"/>
      <c r="U91" s="674"/>
    </row>
    <row r="92" spans="1:31" ht="18.75" x14ac:dyDescent="0.25">
      <c r="A92" s="732" t="s">
        <v>763</v>
      </c>
      <c r="B92" s="732"/>
      <c r="C92" s="732"/>
      <c r="D92" s="732"/>
      <c r="E92" s="732"/>
      <c r="F92" s="732"/>
      <c r="G92" s="732"/>
      <c r="H92" s="732"/>
      <c r="I92" s="732"/>
      <c r="J92" s="732"/>
      <c r="K92" s="732"/>
      <c r="L92" s="732"/>
      <c r="M92" s="732"/>
      <c r="N92" s="732"/>
      <c r="O92" s="732"/>
      <c r="P92" s="732"/>
      <c r="Q92" s="732"/>
      <c r="R92" s="732"/>
      <c r="S92" s="732"/>
      <c r="T92" s="732"/>
      <c r="U92" s="732"/>
      <c r="V92" s="732"/>
      <c r="W92" s="564"/>
      <c r="X92" s="564"/>
      <c r="Y92" s="564"/>
      <c r="Z92" s="564"/>
    </row>
    <row r="93" spans="1:31" ht="12.75" x14ac:dyDescent="0.25">
      <c r="A93" s="1117" t="s">
        <v>677</v>
      </c>
      <c r="B93" s="1109"/>
      <c r="C93" s="1109"/>
      <c r="D93" s="1109"/>
      <c r="E93" s="1121" t="s">
        <v>758</v>
      </c>
      <c r="F93" s="622" t="s">
        <v>723</v>
      </c>
      <c r="G93" s="622"/>
      <c r="H93" s="622"/>
      <c r="I93" s="675"/>
      <c r="J93" s="1113" t="s">
        <v>724</v>
      </c>
      <c r="K93" s="1114"/>
      <c r="L93" s="621" t="s">
        <v>725</v>
      </c>
      <c r="M93" s="622"/>
      <c r="N93" s="622"/>
      <c r="O93" s="622"/>
      <c r="P93" s="622"/>
      <c r="Q93" s="622"/>
      <c r="R93" s="622"/>
      <c r="S93" s="622"/>
      <c r="T93" s="623"/>
      <c r="U93" s="622"/>
      <c r="V93" s="622"/>
      <c r="X93" s="676"/>
      <c r="Y93" s="676"/>
      <c r="AE93" s="564"/>
    </row>
    <row r="94" spans="1:31" ht="12.75" x14ac:dyDescent="0.25">
      <c r="A94" s="1118"/>
      <c r="B94" s="1120"/>
      <c r="C94" s="1120"/>
      <c r="D94" s="1120"/>
      <c r="E94" s="1122"/>
      <c r="F94" s="625" t="s">
        <v>764</v>
      </c>
      <c r="G94" s="626" t="s">
        <v>765</v>
      </c>
      <c r="H94" s="626" t="s">
        <v>766</v>
      </c>
      <c r="I94" s="677"/>
      <c r="J94" s="627" t="s">
        <v>730</v>
      </c>
      <c r="K94" s="627" t="s">
        <v>731</v>
      </c>
      <c r="L94" s="628" t="s">
        <v>732</v>
      </c>
      <c r="M94" s="628" t="s">
        <v>733</v>
      </c>
      <c r="N94" s="628" t="s">
        <v>734</v>
      </c>
      <c r="O94" s="628" t="s">
        <v>735</v>
      </c>
      <c r="P94" s="1135" t="s">
        <v>885</v>
      </c>
      <c r="Q94" s="1136"/>
      <c r="R94" s="1137"/>
      <c r="S94" s="628" t="s">
        <v>736</v>
      </c>
      <c r="T94" s="628" t="s">
        <v>716</v>
      </c>
      <c r="U94" s="628" t="s">
        <v>439</v>
      </c>
      <c r="V94" s="628" t="s">
        <v>737</v>
      </c>
      <c r="X94" s="676"/>
      <c r="Y94" s="676"/>
      <c r="AE94" s="564"/>
    </row>
    <row r="95" spans="1:31" ht="12.75" x14ac:dyDescent="0.25">
      <c r="A95" s="1119"/>
      <c r="B95" s="1110"/>
      <c r="C95" s="1110"/>
      <c r="D95" s="1110"/>
      <c r="E95" s="1123"/>
      <c r="F95" s="630" t="s">
        <v>738</v>
      </c>
      <c r="G95" s="631" t="s">
        <v>740</v>
      </c>
      <c r="H95" s="631" t="s">
        <v>739</v>
      </c>
      <c r="I95" s="631" t="s">
        <v>767</v>
      </c>
      <c r="J95" s="632" t="s">
        <v>54</v>
      </c>
      <c r="K95" s="632" t="s">
        <v>54</v>
      </c>
      <c r="L95" s="632" t="s">
        <v>434</v>
      </c>
      <c r="M95" s="632" t="s">
        <v>66</v>
      </c>
      <c r="N95" s="632" t="s">
        <v>434</v>
      </c>
      <c r="O95" s="632" t="s">
        <v>434</v>
      </c>
      <c r="P95" s="633" t="s">
        <v>741</v>
      </c>
      <c r="Q95" s="721" t="s">
        <v>434</v>
      </c>
      <c r="R95" s="721" t="s">
        <v>434</v>
      </c>
      <c r="S95" s="632" t="s">
        <v>66</v>
      </c>
      <c r="T95" s="632" t="s">
        <v>66</v>
      </c>
      <c r="U95" s="632" t="s">
        <v>434</v>
      </c>
      <c r="V95" s="632"/>
    </row>
    <row r="96" spans="1:31" ht="12" x14ac:dyDescent="0.25">
      <c r="A96" s="678" t="s">
        <v>742</v>
      </c>
      <c r="B96" s="679"/>
      <c r="C96" s="679"/>
      <c r="D96" s="679"/>
      <c r="E96" s="679"/>
      <c r="F96" s="680"/>
      <c r="G96" s="680"/>
      <c r="H96" s="680"/>
      <c r="I96" s="679"/>
      <c r="J96" s="680"/>
      <c r="K96" s="679"/>
      <c r="L96" s="679"/>
      <c r="M96" s="679"/>
      <c r="N96" s="679"/>
      <c r="O96" s="679"/>
      <c r="P96" s="665"/>
      <c r="Q96" s="724" t="s">
        <v>884</v>
      </c>
      <c r="R96" s="724" t="s">
        <v>439</v>
      </c>
      <c r="S96" s="679"/>
      <c r="T96" s="681"/>
      <c r="U96" s="679"/>
      <c r="V96" s="680"/>
    </row>
    <row r="97" spans="1:22" ht="12" x14ac:dyDescent="0.25">
      <c r="A97" s="682" t="s">
        <v>894</v>
      </c>
      <c r="B97" s="682"/>
      <c r="C97" s="682"/>
      <c r="D97" s="682" t="s">
        <v>895</v>
      </c>
      <c r="E97" s="683">
        <v>1</v>
      </c>
      <c r="F97" s="684">
        <f>3.815+2.415+4.68+1.255+3.305+4.705+4.72+4.73+2.4</f>
        <v>32.024999999999999</v>
      </c>
      <c r="G97" s="656">
        <v>0.17</v>
      </c>
      <c r="H97" s="684">
        <v>0.6</v>
      </c>
      <c r="I97" s="685">
        <v>2</v>
      </c>
      <c r="J97" s="640">
        <f t="shared" ref="J97:J177" si="51">IF(H97&lt;=1,0.6,1.2)</f>
        <v>0.6</v>
      </c>
      <c r="K97" s="640"/>
      <c r="L97" s="640">
        <f t="shared" ref="L97:L177" si="52">((F97+J97)*(H97+K97)*G97)*E97</f>
        <v>3.32775</v>
      </c>
      <c r="M97" s="640">
        <f t="shared" ref="M97:M177" si="53">(F97)*(G97)*E97</f>
        <v>5.4442500000000003</v>
      </c>
      <c r="N97" s="640">
        <f t="shared" ref="N97:N177" si="54">L97-U97</f>
        <v>6.1199999999999921E-2</v>
      </c>
      <c r="O97" s="640">
        <f>(L97-N97)*1.3</f>
        <v>4.2465150000000005</v>
      </c>
      <c r="P97" s="642">
        <v>0.1</v>
      </c>
      <c r="Q97" s="640"/>
      <c r="R97" s="640">
        <f t="shared" ref="R97:R115" si="55">M97*$P97</f>
        <v>0.54442500000000005</v>
      </c>
      <c r="S97" s="640">
        <f t="shared" ref="S97:S177" si="56">((G97*H97*I97))*E97</f>
        <v>0.20400000000000001</v>
      </c>
      <c r="T97" s="686">
        <f t="shared" ref="T97:T177" si="57">S97+G97*F97</f>
        <v>5.64825</v>
      </c>
      <c r="U97" s="640">
        <f t="shared" ref="U97:U177" si="58">F97*H97*G97*E97</f>
        <v>3.2665500000000001</v>
      </c>
      <c r="V97" s="644" t="s">
        <v>721</v>
      </c>
    </row>
    <row r="98" spans="1:22" ht="12" x14ac:dyDescent="0.25">
      <c r="A98" s="682" t="s">
        <v>894</v>
      </c>
      <c r="B98" s="682"/>
      <c r="C98" s="682"/>
      <c r="D98" s="682" t="s">
        <v>896</v>
      </c>
      <c r="E98" s="683">
        <v>1</v>
      </c>
      <c r="F98" s="684">
        <f>1.435+4.335+5.665+5.93</f>
        <v>17.364999999999998</v>
      </c>
      <c r="G98" s="656">
        <v>0.17</v>
      </c>
      <c r="H98" s="684">
        <v>0.6</v>
      </c>
      <c r="I98" s="685">
        <v>2</v>
      </c>
      <c r="J98" s="640">
        <f t="shared" ref="J98:J110" si="59">IF(H98&lt;=1,0.6,1.2)</f>
        <v>0.6</v>
      </c>
      <c r="K98" s="640"/>
      <c r="L98" s="640">
        <f t="shared" ref="L98:L110" si="60">((F98+J98)*(H98+K98)*G98)*E98</f>
        <v>1.8324300000000002</v>
      </c>
      <c r="M98" s="640">
        <f t="shared" ref="M98:M110" si="61">(F98)*(G98)*E98</f>
        <v>2.9520499999999998</v>
      </c>
      <c r="N98" s="640">
        <f t="shared" ref="N98:N110" si="62">L98-U98</f>
        <v>6.1200000000000365E-2</v>
      </c>
      <c r="O98" s="640">
        <f t="shared" ref="O98:O110" si="63">(L98-N98)*1.3</f>
        <v>2.3025989999999998</v>
      </c>
      <c r="P98" s="642">
        <v>0.1</v>
      </c>
      <c r="Q98" s="640"/>
      <c r="R98" s="640">
        <f t="shared" ref="R98:R110" si="64">M98*$P98</f>
        <v>0.295205</v>
      </c>
      <c r="S98" s="640">
        <f t="shared" ref="S98:S110" si="65">((G98*H98*I98))*E98</f>
        <v>0.20400000000000001</v>
      </c>
      <c r="T98" s="686">
        <f t="shared" ref="T98:T110" si="66">S98+G98*F98</f>
        <v>3.15605</v>
      </c>
      <c r="U98" s="640">
        <f t="shared" ref="U98:U110" si="67">F98*H98*G98*E98</f>
        <v>1.7712299999999999</v>
      </c>
      <c r="V98" s="644" t="s">
        <v>721</v>
      </c>
    </row>
    <row r="99" spans="1:22" ht="12" x14ac:dyDescent="0.25">
      <c r="A99" s="682" t="s">
        <v>894</v>
      </c>
      <c r="B99" s="682"/>
      <c r="C99" s="682"/>
      <c r="D99" s="682" t="s">
        <v>897</v>
      </c>
      <c r="E99" s="683">
        <v>1</v>
      </c>
      <c r="F99" s="684">
        <v>2.6</v>
      </c>
      <c r="G99" s="656">
        <v>0.17</v>
      </c>
      <c r="H99" s="684">
        <v>0.26</v>
      </c>
      <c r="I99" s="685">
        <v>2</v>
      </c>
      <c r="J99" s="640">
        <f t="shared" si="59"/>
        <v>0.6</v>
      </c>
      <c r="K99" s="640"/>
      <c r="L99" s="640">
        <f t="shared" si="60"/>
        <v>0.14144000000000001</v>
      </c>
      <c r="M99" s="640">
        <f t="shared" si="61"/>
        <v>0.44200000000000006</v>
      </c>
      <c r="N99" s="640">
        <f t="shared" si="62"/>
        <v>2.6519999999999988E-2</v>
      </c>
      <c r="O99" s="640">
        <f t="shared" si="63"/>
        <v>0.14939600000000003</v>
      </c>
      <c r="P99" s="642">
        <v>0.1</v>
      </c>
      <c r="Q99" s="640"/>
      <c r="R99" s="640">
        <f t="shared" si="64"/>
        <v>4.420000000000001E-2</v>
      </c>
      <c r="S99" s="640">
        <f t="shared" si="65"/>
        <v>8.8400000000000006E-2</v>
      </c>
      <c r="T99" s="686">
        <f t="shared" si="66"/>
        <v>0.53040000000000009</v>
      </c>
      <c r="U99" s="640">
        <f t="shared" si="67"/>
        <v>0.11492000000000002</v>
      </c>
      <c r="V99" s="644" t="s">
        <v>721</v>
      </c>
    </row>
    <row r="100" spans="1:22" ht="12" x14ac:dyDescent="0.25">
      <c r="A100" s="682" t="s">
        <v>894</v>
      </c>
      <c r="B100" s="682"/>
      <c r="C100" s="682"/>
      <c r="D100" s="682" t="s">
        <v>898</v>
      </c>
      <c r="E100" s="683">
        <v>1</v>
      </c>
      <c r="F100" s="684">
        <f>3.535+0.645</f>
        <v>4.18</v>
      </c>
      <c r="G100" s="656">
        <v>0.5</v>
      </c>
      <c r="H100" s="684">
        <v>0.75</v>
      </c>
      <c r="I100" s="685">
        <v>2</v>
      </c>
      <c r="J100" s="640">
        <f t="shared" si="59"/>
        <v>0.6</v>
      </c>
      <c r="K100" s="640"/>
      <c r="L100" s="640">
        <f t="shared" si="60"/>
        <v>1.7924999999999998</v>
      </c>
      <c r="M100" s="640">
        <f t="shared" si="61"/>
        <v>2.09</v>
      </c>
      <c r="N100" s="640">
        <f t="shared" si="62"/>
        <v>0.22499999999999987</v>
      </c>
      <c r="O100" s="640">
        <f t="shared" si="63"/>
        <v>2.03775</v>
      </c>
      <c r="P100" s="642">
        <v>0.1</v>
      </c>
      <c r="Q100" s="640"/>
      <c r="R100" s="640">
        <f t="shared" si="64"/>
        <v>0.20899999999999999</v>
      </c>
      <c r="S100" s="640">
        <f t="shared" si="65"/>
        <v>0.75</v>
      </c>
      <c r="T100" s="686">
        <f t="shared" si="66"/>
        <v>2.84</v>
      </c>
      <c r="U100" s="640">
        <f t="shared" si="67"/>
        <v>1.5674999999999999</v>
      </c>
      <c r="V100" s="644" t="s">
        <v>721</v>
      </c>
    </row>
    <row r="101" spans="1:22" ht="12" x14ac:dyDescent="0.25">
      <c r="A101" s="682" t="s">
        <v>894</v>
      </c>
      <c r="B101" s="682"/>
      <c r="C101" s="682"/>
      <c r="D101" s="682" t="s">
        <v>899</v>
      </c>
      <c r="E101" s="683">
        <v>1</v>
      </c>
      <c r="F101" s="684">
        <v>1.0900000000000001</v>
      </c>
      <c r="G101" s="656">
        <v>0.17</v>
      </c>
      <c r="H101" s="684">
        <v>0.48</v>
      </c>
      <c r="I101" s="685">
        <v>2</v>
      </c>
      <c r="J101" s="640">
        <f t="shared" ref="J101" si="68">IF(H101&lt;=1,0.6,1.2)</f>
        <v>0.6</v>
      </c>
      <c r="K101" s="640"/>
      <c r="L101" s="640">
        <f t="shared" ref="L101" si="69">((F101+J101)*(H101+K101)*G101)*E101</f>
        <v>0.137904</v>
      </c>
      <c r="M101" s="640">
        <f t="shared" ref="M101" si="70">(F101)*(G101)*E101</f>
        <v>0.18530000000000002</v>
      </c>
      <c r="N101" s="640">
        <f t="shared" ref="N101" si="71">L101-U101</f>
        <v>4.895999999999999E-2</v>
      </c>
      <c r="O101" s="640">
        <f t="shared" ref="O101" si="72">(L101-N101)*1.3</f>
        <v>0.11562720000000001</v>
      </c>
      <c r="P101" s="642">
        <v>0.1</v>
      </c>
      <c r="Q101" s="640"/>
      <c r="R101" s="640">
        <f t="shared" ref="R101" si="73">M101*$P101</f>
        <v>1.8530000000000001E-2</v>
      </c>
      <c r="S101" s="640">
        <f t="shared" ref="S101" si="74">((G101*H101*I101))*E101</f>
        <v>0.16320000000000001</v>
      </c>
      <c r="T101" s="686">
        <f t="shared" ref="T101" si="75">S101+G101*F101</f>
        <v>0.34850000000000003</v>
      </c>
      <c r="U101" s="640">
        <f t="shared" ref="U101" si="76">F101*H101*G101*E101</f>
        <v>8.8944000000000009E-2</v>
      </c>
      <c r="V101" s="644" t="s">
        <v>721</v>
      </c>
    </row>
    <row r="102" spans="1:22" ht="12" x14ac:dyDescent="0.25">
      <c r="A102" s="682" t="s">
        <v>894</v>
      </c>
      <c r="B102" s="682"/>
      <c r="C102" s="682"/>
      <c r="D102" s="682" t="s">
        <v>899</v>
      </c>
      <c r="E102" s="683">
        <v>1</v>
      </c>
      <c r="F102" s="684">
        <v>1.395</v>
      </c>
      <c r="G102" s="656">
        <v>0.17</v>
      </c>
      <c r="H102" s="684">
        <v>0.26</v>
      </c>
      <c r="I102" s="685">
        <v>2</v>
      </c>
      <c r="J102" s="640">
        <f t="shared" si="59"/>
        <v>0.6</v>
      </c>
      <c r="K102" s="640"/>
      <c r="L102" s="640">
        <f t="shared" si="60"/>
        <v>8.8179000000000021E-2</v>
      </c>
      <c r="M102" s="640">
        <f t="shared" si="61"/>
        <v>0.23715000000000003</v>
      </c>
      <c r="N102" s="640">
        <f t="shared" si="62"/>
        <v>2.6520000000000016E-2</v>
      </c>
      <c r="O102" s="640">
        <f t="shared" si="63"/>
        <v>8.0156700000000011E-2</v>
      </c>
      <c r="P102" s="642">
        <v>0.1</v>
      </c>
      <c r="Q102" s="640"/>
      <c r="R102" s="640">
        <f t="shared" si="64"/>
        <v>2.3715000000000003E-2</v>
      </c>
      <c r="S102" s="640">
        <f t="shared" si="65"/>
        <v>8.8400000000000006E-2</v>
      </c>
      <c r="T102" s="686">
        <f t="shared" si="66"/>
        <v>0.32555000000000001</v>
      </c>
      <c r="U102" s="640">
        <f t="shared" si="67"/>
        <v>6.1659000000000005E-2</v>
      </c>
      <c r="V102" s="644" t="s">
        <v>721</v>
      </c>
    </row>
    <row r="103" spans="1:22" ht="12" x14ac:dyDescent="0.25">
      <c r="A103" s="682" t="s">
        <v>894</v>
      </c>
      <c r="B103" s="682"/>
      <c r="C103" s="682"/>
      <c r="D103" s="682" t="s">
        <v>900</v>
      </c>
      <c r="E103" s="683">
        <v>1</v>
      </c>
      <c r="F103" s="684">
        <v>4.68</v>
      </c>
      <c r="G103" s="656">
        <v>0.17</v>
      </c>
      <c r="H103" s="684">
        <v>0.6</v>
      </c>
      <c r="I103" s="685">
        <v>2</v>
      </c>
      <c r="J103" s="640">
        <f t="shared" si="59"/>
        <v>0.6</v>
      </c>
      <c r="K103" s="640"/>
      <c r="L103" s="640">
        <f t="shared" si="60"/>
        <v>0.53856000000000004</v>
      </c>
      <c r="M103" s="640">
        <f t="shared" si="61"/>
        <v>0.79559999999999997</v>
      </c>
      <c r="N103" s="640">
        <f t="shared" si="62"/>
        <v>6.1200000000000032E-2</v>
      </c>
      <c r="O103" s="640">
        <f t="shared" si="63"/>
        <v>0.62056800000000001</v>
      </c>
      <c r="P103" s="642">
        <v>0.1</v>
      </c>
      <c r="Q103" s="640"/>
      <c r="R103" s="640">
        <f t="shared" si="64"/>
        <v>7.9560000000000006E-2</v>
      </c>
      <c r="S103" s="640">
        <f t="shared" si="65"/>
        <v>0.20400000000000001</v>
      </c>
      <c r="T103" s="686">
        <f t="shared" si="66"/>
        <v>0.99960000000000004</v>
      </c>
      <c r="U103" s="640">
        <f t="shared" si="67"/>
        <v>0.47736000000000001</v>
      </c>
      <c r="V103" s="644" t="s">
        <v>721</v>
      </c>
    </row>
    <row r="104" spans="1:22" ht="12" x14ac:dyDescent="0.25">
      <c r="A104" s="682" t="s">
        <v>894</v>
      </c>
      <c r="B104" s="682"/>
      <c r="C104" s="682"/>
      <c r="D104" s="682" t="s">
        <v>901</v>
      </c>
      <c r="E104" s="683">
        <v>1</v>
      </c>
      <c r="F104" s="684">
        <f>1.53+0.12+1.38+1.4+0.12+1.32</f>
        <v>5.87</v>
      </c>
      <c r="G104" s="656">
        <v>0.12</v>
      </c>
      <c r="H104" s="684">
        <v>1.6</v>
      </c>
      <c r="I104" s="685">
        <v>2</v>
      </c>
      <c r="J104" s="640">
        <f t="shared" si="59"/>
        <v>1.2</v>
      </c>
      <c r="K104" s="640"/>
      <c r="L104" s="640">
        <f t="shared" si="60"/>
        <v>1.35744</v>
      </c>
      <c r="M104" s="640">
        <f t="shared" si="61"/>
        <v>0.70440000000000003</v>
      </c>
      <c r="N104" s="640">
        <f t="shared" si="62"/>
        <v>0.23039999999999994</v>
      </c>
      <c r="O104" s="640">
        <f t="shared" si="63"/>
        <v>1.465152</v>
      </c>
      <c r="P104" s="642">
        <v>0.1</v>
      </c>
      <c r="Q104" s="640"/>
      <c r="R104" s="640">
        <f t="shared" si="64"/>
        <v>7.0440000000000003E-2</v>
      </c>
      <c r="S104" s="640">
        <f t="shared" si="65"/>
        <v>0.38400000000000001</v>
      </c>
      <c r="T104" s="686">
        <f t="shared" si="66"/>
        <v>1.0884</v>
      </c>
      <c r="U104" s="640">
        <f t="shared" si="67"/>
        <v>1.12704</v>
      </c>
      <c r="V104" s="644" t="s">
        <v>721</v>
      </c>
    </row>
    <row r="105" spans="1:22" ht="12" x14ac:dyDescent="0.25">
      <c r="A105" s="682" t="s">
        <v>894</v>
      </c>
      <c r="B105" s="682"/>
      <c r="C105" s="682"/>
      <c r="D105" s="682" t="s">
        <v>902</v>
      </c>
      <c r="E105" s="683">
        <v>1</v>
      </c>
      <c r="F105" s="684">
        <v>5.93</v>
      </c>
      <c r="G105" s="656">
        <v>0.17</v>
      </c>
      <c r="H105" s="684">
        <v>0.6</v>
      </c>
      <c r="I105" s="685">
        <v>2</v>
      </c>
      <c r="J105" s="640">
        <f t="shared" si="59"/>
        <v>0.6</v>
      </c>
      <c r="K105" s="640"/>
      <c r="L105" s="640">
        <f t="shared" si="60"/>
        <v>0.66605999999999987</v>
      </c>
      <c r="M105" s="640">
        <f t="shared" si="61"/>
        <v>1.0081</v>
      </c>
      <c r="N105" s="640">
        <f t="shared" si="62"/>
        <v>6.119999999999981E-2</v>
      </c>
      <c r="O105" s="640">
        <f t="shared" si="63"/>
        <v>0.78631800000000007</v>
      </c>
      <c r="P105" s="642">
        <v>0.1</v>
      </c>
      <c r="Q105" s="640"/>
      <c r="R105" s="640">
        <f t="shared" si="64"/>
        <v>0.10081000000000001</v>
      </c>
      <c r="S105" s="640">
        <f t="shared" si="65"/>
        <v>0.20400000000000001</v>
      </c>
      <c r="T105" s="686">
        <f t="shared" si="66"/>
        <v>1.2121</v>
      </c>
      <c r="U105" s="640">
        <f t="shared" si="67"/>
        <v>0.60486000000000006</v>
      </c>
      <c r="V105" s="644" t="s">
        <v>721</v>
      </c>
    </row>
    <row r="106" spans="1:22" ht="12" x14ac:dyDescent="0.25">
      <c r="A106" s="682" t="s">
        <v>894</v>
      </c>
      <c r="B106" s="682"/>
      <c r="C106" s="682"/>
      <c r="D106" s="682" t="s">
        <v>903</v>
      </c>
      <c r="E106" s="683">
        <v>1</v>
      </c>
      <c r="F106" s="684">
        <v>4.7050000000000001</v>
      </c>
      <c r="G106" s="656">
        <v>0.17</v>
      </c>
      <c r="H106" s="684">
        <v>0.6</v>
      </c>
      <c r="I106" s="685">
        <v>2</v>
      </c>
      <c r="J106" s="640">
        <f t="shared" si="59"/>
        <v>0.6</v>
      </c>
      <c r="K106" s="640"/>
      <c r="L106" s="640">
        <f t="shared" si="60"/>
        <v>0.54110999999999998</v>
      </c>
      <c r="M106" s="640">
        <f t="shared" si="61"/>
        <v>0.79985000000000006</v>
      </c>
      <c r="N106" s="640">
        <f t="shared" si="62"/>
        <v>6.1199999999999977E-2</v>
      </c>
      <c r="O106" s="640">
        <f t="shared" si="63"/>
        <v>0.62388300000000008</v>
      </c>
      <c r="P106" s="642">
        <v>0.1</v>
      </c>
      <c r="Q106" s="640"/>
      <c r="R106" s="640">
        <f t="shared" si="64"/>
        <v>7.9985000000000014E-2</v>
      </c>
      <c r="S106" s="640">
        <f t="shared" si="65"/>
        <v>0.20400000000000001</v>
      </c>
      <c r="T106" s="686">
        <f t="shared" si="66"/>
        <v>1.0038500000000001</v>
      </c>
      <c r="U106" s="640">
        <f t="shared" si="67"/>
        <v>0.47991</v>
      </c>
      <c r="V106" s="644" t="s">
        <v>721</v>
      </c>
    </row>
    <row r="107" spans="1:22" ht="12" x14ac:dyDescent="0.25">
      <c r="A107" s="682" t="s">
        <v>894</v>
      </c>
      <c r="B107" s="682"/>
      <c r="C107" s="682"/>
      <c r="D107" s="682" t="s">
        <v>904</v>
      </c>
      <c r="E107" s="683">
        <v>1</v>
      </c>
      <c r="F107" s="684">
        <v>4.6950000000000003</v>
      </c>
      <c r="G107" s="656">
        <v>0.17</v>
      </c>
      <c r="H107" s="684">
        <v>0.6</v>
      </c>
      <c r="I107" s="685">
        <v>2</v>
      </c>
      <c r="J107" s="640">
        <f t="shared" si="59"/>
        <v>0.6</v>
      </c>
      <c r="K107" s="640"/>
      <c r="L107" s="640">
        <f t="shared" si="60"/>
        <v>0.54009000000000007</v>
      </c>
      <c r="M107" s="640">
        <f t="shared" si="61"/>
        <v>0.79815000000000014</v>
      </c>
      <c r="N107" s="640">
        <f t="shared" si="62"/>
        <v>6.1200000000000032E-2</v>
      </c>
      <c r="O107" s="640">
        <f t="shared" si="63"/>
        <v>0.62255700000000003</v>
      </c>
      <c r="P107" s="642">
        <v>0.1</v>
      </c>
      <c r="Q107" s="640"/>
      <c r="R107" s="640">
        <f t="shared" si="64"/>
        <v>7.9815000000000025E-2</v>
      </c>
      <c r="S107" s="640">
        <f t="shared" si="65"/>
        <v>0.20400000000000001</v>
      </c>
      <c r="T107" s="686">
        <f t="shared" si="66"/>
        <v>1.0021500000000001</v>
      </c>
      <c r="U107" s="640">
        <f t="shared" si="67"/>
        <v>0.47889000000000004</v>
      </c>
      <c r="V107" s="644" t="s">
        <v>721</v>
      </c>
    </row>
    <row r="108" spans="1:22" ht="12" x14ac:dyDescent="0.25">
      <c r="A108" s="682" t="s">
        <v>894</v>
      </c>
      <c r="B108" s="682"/>
      <c r="C108" s="682"/>
      <c r="D108" s="682" t="s">
        <v>905</v>
      </c>
      <c r="E108" s="683">
        <v>1</v>
      </c>
      <c r="F108" s="684">
        <f>0.8+0.95+1.25</f>
        <v>3</v>
      </c>
      <c r="G108" s="656">
        <v>0.12</v>
      </c>
      <c r="H108" s="684">
        <v>0.6</v>
      </c>
      <c r="I108" s="685">
        <v>2</v>
      </c>
      <c r="J108" s="640">
        <f t="shared" si="59"/>
        <v>0.6</v>
      </c>
      <c r="K108" s="640"/>
      <c r="L108" s="640">
        <f t="shared" si="60"/>
        <v>0.25919999999999999</v>
      </c>
      <c r="M108" s="640">
        <f t="shared" si="61"/>
        <v>0.36</v>
      </c>
      <c r="N108" s="640">
        <f t="shared" si="62"/>
        <v>4.3200000000000016E-2</v>
      </c>
      <c r="O108" s="640">
        <f t="shared" si="63"/>
        <v>0.28079999999999999</v>
      </c>
      <c r="P108" s="642">
        <v>0.1</v>
      </c>
      <c r="Q108" s="640"/>
      <c r="R108" s="640">
        <f t="shared" si="64"/>
        <v>3.5999999999999997E-2</v>
      </c>
      <c r="S108" s="640">
        <f t="shared" si="65"/>
        <v>0.14399999999999999</v>
      </c>
      <c r="T108" s="686">
        <f t="shared" si="66"/>
        <v>0.504</v>
      </c>
      <c r="U108" s="640">
        <f t="shared" si="67"/>
        <v>0.21599999999999997</v>
      </c>
      <c r="V108" s="644" t="s">
        <v>721</v>
      </c>
    </row>
    <row r="109" spans="1:22" ht="12" x14ac:dyDescent="0.25">
      <c r="A109" s="682" t="s">
        <v>894</v>
      </c>
      <c r="B109" s="682"/>
      <c r="C109" s="682"/>
      <c r="D109" s="682" t="s">
        <v>906</v>
      </c>
      <c r="E109" s="683">
        <v>1</v>
      </c>
      <c r="F109" s="684">
        <f>1.53+1.38+1.4+1.32</f>
        <v>5.6300000000000008</v>
      </c>
      <c r="G109" s="656">
        <v>0.12</v>
      </c>
      <c r="H109" s="684">
        <v>1.6</v>
      </c>
      <c r="I109" s="685">
        <v>2</v>
      </c>
      <c r="J109" s="640">
        <f t="shared" si="59"/>
        <v>1.2</v>
      </c>
      <c r="K109" s="640"/>
      <c r="L109" s="640">
        <f t="shared" si="60"/>
        <v>1.3113600000000003</v>
      </c>
      <c r="M109" s="640">
        <f t="shared" si="61"/>
        <v>0.67560000000000009</v>
      </c>
      <c r="N109" s="640">
        <f t="shared" si="62"/>
        <v>0.23040000000000016</v>
      </c>
      <c r="O109" s="640">
        <f t="shared" si="63"/>
        <v>1.4052480000000003</v>
      </c>
      <c r="P109" s="642">
        <v>0.1</v>
      </c>
      <c r="Q109" s="640"/>
      <c r="R109" s="640">
        <f t="shared" si="64"/>
        <v>6.7560000000000009E-2</v>
      </c>
      <c r="S109" s="640">
        <f t="shared" si="65"/>
        <v>0.38400000000000001</v>
      </c>
      <c r="T109" s="686">
        <f t="shared" si="66"/>
        <v>1.0596000000000001</v>
      </c>
      <c r="U109" s="640">
        <f t="shared" si="67"/>
        <v>1.0809600000000001</v>
      </c>
      <c r="V109" s="644" t="s">
        <v>721</v>
      </c>
    </row>
    <row r="110" spans="1:22" ht="12" x14ac:dyDescent="0.25">
      <c r="A110" s="682" t="s">
        <v>894</v>
      </c>
      <c r="B110" s="682"/>
      <c r="C110" s="682"/>
      <c r="D110" s="682" t="s">
        <v>907</v>
      </c>
      <c r="E110" s="683">
        <v>1</v>
      </c>
      <c r="F110" s="684">
        <f>1.25+2.65+5.98+0.12</f>
        <v>10</v>
      </c>
      <c r="G110" s="656">
        <v>0.12</v>
      </c>
      <c r="H110" s="684">
        <v>0.6</v>
      </c>
      <c r="I110" s="685">
        <v>2</v>
      </c>
      <c r="J110" s="640">
        <f t="shared" si="59"/>
        <v>0.6</v>
      </c>
      <c r="K110" s="640"/>
      <c r="L110" s="640">
        <f t="shared" si="60"/>
        <v>0.76319999999999988</v>
      </c>
      <c r="M110" s="640">
        <f t="shared" si="61"/>
        <v>1.2</v>
      </c>
      <c r="N110" s="640">
        <f t="shared" si="62"/>
        <v>4.3199999999999905E-2</v>
      </c>
      <c r="O110" s="640">
        <f t="shared" si="63"/>
        <v>0.93599999999999994</v>
      </c>
      <c r="P110" s="642">
        <v>0.1</v>
      </c>
      <c r="Q110" s="640"/>
      <c r="R110" s="640">
        <f t="shared" si="64"/>
        <v>0.12</v>
      </c>
      <c r="S110" s="640">
        <f t="shared" si="65"/>
        <v>0.14399999999999999</v>
      </c>
      <c r="T110" s="686">
        <f t="shared" si="66"/>
        <v>1.3439999999999999</v>
      </c>
      <c r="U110" s="640">
        <f t="shared" si="67"/>
        <v>0.72</v>
      </c>
      <c r="V110" s="644" t="s">
        <v>721</v>
      </c>
    </row>
    <row r="111" spans="1:22" ht="12" x14ac:dyDescent="0.25">
      <c r="A111" s="682" t="s">
        <v>894</v>
      </c>
      <c r="B111" s="682"/>
      <c r="C111" s="682"/>
      <c r="D111" s="682" t="s">
        <v>908</v>
      </c>
      <c r="E111" s="683">
        <v>1</v>
      </c>
      <c r="F111" s="684">
        <f>1.22+1.395</f>
        <v>2.6150000000000002</v>
      </c>
      <c r="G111" s="656">
        <v>0.12</v>
      </c>
      <c r="H111" s="684">
        <v>0.48</v>
      </c>
      <c r="I111" s="685">
        <v>2</v>
      </c>
      <c r="J111" s="640">
        <f t="shared" si="51"/>
        <v>0.6</v>
      </c>
      <c r="K111" s="640"/>
      <c r="L111" s="640">
        <f t="shared" si="52"/>
        <v>0.18518400000000002</v>
      </c>
      <c r="M111" s="640">
        <f t="shared" si="53"/>
        <v>0.31380000000000002</v>
      </c>
      <c r="N111" s="640">
        <f t="shared" si="54"/>
        <v>3.4560000000000007E-2</v>
      </c>
      <c r="O111" s="640">
        <f>(L111-N111)*1.3</f>
        <v>0.19581120000000002</v>
      </c>
      <c r="P111" s="642">
        <v>0.1</v>
      </c>
      <c r="Q111" s="640"/>
      <c r="R111" s="640">
        <f t="shared" si="55"/>
        <v>3.1380000000000005E-2</v>
      </c>
      <c r="S111" s="640">
        <f t="shared" si="56"/>
        <v>0.1152</v>
      </c>
      <c r="T111" s="686">
        <f t="shared" si="57"/>
        <v>0.42900000000000005</v>
      </c>
      <c r="U111" s="640">
        <f t="shared" si="58"/>
        <v>0.15062400000000001</v>
      </c>
      <c r="V111" s="644" t="s">
        <v>721</v>
      </c>
    </row>
    <row r="112" spans="1:22" ht="12" x14ac:dyDescent="0.25">
      <c r="A112" s="682" t="s">
        <v>894</v>
      </c>
      <c r="B112" s="682"/>
      <c r="C112" s="682"/>
      <c r="D112" s="682" t="s">
        <v>909</v>
      </c>
      <c r="E112" s="683">
        <v>1</v>
      </c>
      <c r="F112" s="684">
        <f>0.19+0.94+2.775</f>
        <v>3.9049999999999998</v>
      </c>
      <c r="G112" s="656">
        <v>0.5</v>
      </c>
      <c r="H112" s="684">
        <v>0.75</v>
      </c>
      <c r="I112" s="685">
        <v>2</v>
      </c>
      <c r="J112" s="640">
        <f t="shared" si="51"/>
        <v>0.6</v>
      </c>
      <c r="K112" s="640"/>
      <c r="L112" s="640">
        <f t="shared" si="52"/>
        <v>1.6893750000000001</v>
      </c>
      <c r="M112" s="640">
        <f t="shared" si="53"/>
        <v>1.9524999999999999</v>
      </c>
      <c r="N112" s="640">
        <f t="shared" si="54"/>
        <v>0.22500000000000009</v>
      </c>
      <c r="O112" s="640">
        <f>(L112-N112)*1.3</f>
        <v>1.9036875</v>
      </c>
      <c r="P112" s="642">
        <v>0.1</v>
      </c>
      <c r="Q112" s="640"/>
      <c r="R112" s="640">
        <f t="shared" si="55"/>
        <v>0.19525000000000001</v>
      </c>
      <c r="S112" s="640">
        <f t="shared" si="56"/>
        <v>0.75</v>
      </c>
      <c r="T112" s="686">
        <f t="shared" si="57"/>
        <v>2.7024999999999997</v>
      </c>
      <c r="U112" s="640">
        <f t="shared" si="58"/>
        <v>1.464375</v>
      </c>
      <c r="V112" s="644" t="s">
        <v>721</v>
      </c>
    </row>
    <row r="113" spans="1:25" ht="12" x14ac:dyDescent="0.25">
      <c r="A113" s="682" t="s">
        <v>894</v>
      </c>
      <c r="B113" s="682"/>
      <c r="C113" s="682"/>
      <c r="D113" s="682" t="s">
        <v>910</v>
      </c>
      <c r="E113" s="683">
        <v>1</v>
      </c>
      <c r="F113" s="684">
        <f>0.8+0.95+4.55</f>
        <v>6.3</v>
      </c>
      <c r="G113" s="656">
        <v>0.12</v>
      </c>
      <c r="H113" s="684">
        <v>0.6</v>
      </c>
      <c r="I113" s="685">
        <v>2</v>
      </c>
      <c r="J113" s="640">
        <f t="shared" si="51"/>
        <v>0.6</v>
      </c>
      <c r="K113" s="640"/>
      <c r="L113" s="640">
        <f t="shared" si="52"/>
        <v>0.49679999999999996</v>
      </c>
      <c r="M113" s="640">
        <f t="shared" si="53"/>
        <v>0.75600000000000001</v>
      </c>
      <c r="N113" s="640">
        <f t="shared" si="54"/>
        <v>4.3200000000000016E-2</v>
      </c>
      <c r="O113" s="640">
        <f t="shared" ref="O113:O177" si="77">(L113-N113)*1.3</f>
        <v>0.58967999999999998</v>
      </c>
      <c r="P113" s="642">
        <v>0.1</v>
      </c>
      <c r="Q113" s="640"/>
      <c r="R113" s="640">
        <f t="shared" si="55"/>
        <v>7.5600000000000001E-2</v>
      </c>
      <c r="S113" s="640">
        <f t="shared" si="56"/>
        <v>0.14399999999999999</v>
      </c>
      <c r="T113" s="686">
        <f t="shared" si="57"/>
        <v>0.9</v>
      </c>
      <c r="U113" s="640">
        <f t="shared" si="58"/>
        <v>0.45359999999999995</v>
      </c>
      <c r="V113" s="644" t="s">
        <v>721</v>
      </c>
      <c r="X113" s="687"/>
      <c r="Y113" s="687"/>
    </row>
    <row r="114" spans="1:25" ht="12" x14ac:dyDescent="0.25">
      <c r="A114" s="682" t="s">
        <v>894</v>
      </c>
      <c r="B114" s="682"/>
      <c r="C114" s="682"/>
      <c r="D114" s="682" t="s">
        <v>911</v>
      </c>
      <c r="E114" s="683">
        <v>1</v>
      </c>
      <c r="F114" s="684">
        <f>4.985+1.7+2.65</f>
        <v>9.3350000000000009</v>
      </c>
      <c r="G114" s="656">
        <v>0.12</v>
      </c>
      <c r="H114" s="684">
        <v>0.6</v>
      </c>
      <c r="I114" s="685">
        <v>2</v>
      </c>
      <c r="J114" s="640">
        <f t="shared" si="51"/>
        <v>0.6</v>
      </c>
      <c r="K114" s="640"/>
      <c r="L114" s="640">
        <f t="shared" si="52"/>
        <v>0.71531999999999996</v>
      </c>
      <c r="M114" s="640">
        <f t="shared" si="53"/>
        <v>1.1202000000000001</v>
      </c>
      <c r="N114" s="640">
        <f t="shared" si="54"/>
        <v>4.3200000000000016E-2</v>
      </c>
      <c r="O114" s="640">
        <f t="shared" si="77"/>
        <v>0.87375599999999998</v>
      </c>
      <c r="P114" s="642">
        <v>0.1</v>
      </c>
      <c r="Q114" s="640"/>
      <c r="R114" s="640">
        <f t="shared" si="55"/>
        <v>0.11202000000000001</v>
      </c>
      <c r="S114" s="640">
        <f t="shared" si="56"/>
        <v>0.14399999999999999</v>
      </c>
      <c r="T114" s="686">
        <f t="shared" si="57"/>
        <v>1.2642</v>
      </c>
      <c r="U114" s="640">
        <f t="shared" si="58"/>
        <v>0.67211999999999994</v>
      </c>
      <c r="V114" s="644" t="s">
        <v>721</v>
      </c>
    </row>
    <row r="115" spans="1:25" ht="12" x14ac:dyDescent="0.25">
      <c r="A115" s="682" t="s">
        <v>894</v>
      </c>
      <c r="B115" s="682"/>
      <c r="C115" s="682"/>
      <c r="D115" s="682" t="s">
        <v>912</v>
      </c>
      <c r="E115" s="683">
        <v>1</v>
      </c>
      <c r="F115" s="684">
        <v>4.1900000000000004</v>
      </c>
      <c r="G115" s="656">
        <v>0.12</v>
      </c>
      <c r="H115" s="684">
        <v>0.48</v>
      </c>
      <c r="I115" s="685">
        <v>2</v>
      </c>
      <c r="J115" s="640">
        <f t="shared" si="51"/>
        <v>0.6</v>
      </c>
      <c r="K115" s="640"/>
      <c r="L115" s="640">
        <f t="shared" si="52"/>
        <v>0.27590399999999998</v>
      </c>
      <c r="M115" s="640">
        <f t="shared" si="53"/>
        <v>0.50280000000000002</v>
      </c>
      <c r="N115" s="640">
        <f t="shared" si="54"/>
        <v>3.455999999999998E-2</v>
      </c>
      <c r="O115" s="640">
        <f t="shared" si="77"/>
        <v>0.3137472</v>
      </c>
      <c r="P115" s="642">
        <v>0.1</v>
      </c>
      <c r="Q115" s="640"/>
      <c r="R115" s="640">
        <f t="shared" si="55"/>
        <v>5.0280000000000005E-2</v>
      </c>
      <c r="S115" s="640">
        <f t="shared" si="56"/>
        <v>0.1152</v>
      </c>
      <c r="T115" s="686">
        <f t="shared" si="57"/>
        <v>0.61799999999999999</v>
      </c>
      <c r="U115" s="640">
        <f t="shared" si="58"/>
        <v>0.241344</v>
      </c>
      <c r="V115" s="644" t="s">
        <v>721</v>
      </c>
    </row>
    <row r="116" spans="1:25" ht="12" x14ac:dyDescent="0.25">
      <c r="A116" s="682" t="s">
        <v>894</v>
      </c>
      <c r="B116" s="682"/>
      <c r="C116" s="682"/>
      <c r="D116" s="682" t="s">
        <v>913</v>
      </c>
      <c r="E116" s="683">
        <v>1</v>
      </c>
      <c r="F116" s="684">
        <v>3.4249999999999998</v>
      </c>
      <c r="G116" s="656">
        <v>0.17</v>
      </c>
      <c r="H116" s="684">
        <v>0.6</v>
      </c>
      <c r="I116" s="685">
        <v>2</v>
      </c>
      <c r="J116" s="640">
        <f t="shared" si="51"/>
        <v>0.6</v>
      </c>
      <c r="K116" s="640"/>
      <c r="L116" s="640">
        <f t="shared" si="52"/>
        <v>0.41054999999999997</v>
      </c>
      <c r="M116" s="640">
        <f t="shared" si="53"/>
        <v>0.58225000000000005</v>
      </c>
      <c r="N116" s="640">
        <f t="shared" si="54"/>
        <v>6.1199999999999977E-2</v>
      </c>
      <c r="O116" s="640">
        <f t="shared" si="77"/>
        <v>0.45415500000000003</v>
      </c>
      <c r="P116" s="642">
        <v>0.1</v>
      </c>
      <c r="Q116" s="640"/>
      <c r="R116" s="640">
        <f t="shared" ref="R116:R177" si="78">M116*$P116</f>
        <v>5.8225000000000006E-2</v>
      </c>
      <c r="S116" s="640">
        <f t="shared" si="56"/>
        <v>0.20400000000000001</v>
      </c>
      <c r="T116" s="686">
        <f t="shared" si="57"/>
        <v>0.78625000000000012</v>
      </c>
      <c r="U116" s="640">
        <f t="shared" si="58"/>
        <v>0.34934999999999999</v>
      </c>
      <c r="V116" s="644" t="s">
        <v>721</v>
      </c>
    </row>
    <row r="117" spans="1:25" ht="12" x14ac:dyDescent="0.25">
      <c r="A117" s="682" t="s">
        <v>894</v>
      </c>
      <c r="B117" s="682"/>
      <c r="C117" s="682"/>
      <c r="D117" s="682" t="s">
        <v>914</v>
      </c>
      <c r="E117" s="683">
        <v>1</v>
      </c>
      <c r="F117" s="684">
        <v>4.4850000000000003</v>
      </c>
      <c r="G117" s="656">
        <v>0.5</v>
      </c>
      <c r="H117" s="684">
        <v>0.75</v>
      </c>
      <c r="I117" s="685">
        <v>2</v>
      </c>
      <c r="J117" s="640">
        <f t="shared" ref="J117:J175" si="79">IF(H117&lt;=1,0.6,1.2)</f>
        <v>0.6</v>
      </c>
      <c r="K117" s="640"/>
      <c r="L117" s="640">
        <f t="shared" ref="L117:L175" si="80">((F117+J117)*(H117+K117)*G117)*E117</f>
        <v>1.9068749999999999</v>
      </c>
      <c r="M117" s="640">
        <f t="shared" ref="M117:M175" si="81">(F117)*(G117)*E117</f>
        <v>2.2425000000000002</v>
      </c>
      <c r="N117" s="640">
        <f t="shared" ref="N117:N175" si="82">L117-U117</f>
        <v>0.22499999999999964</v>
      </c>
      <c r="O117" s="640">
        <f t="shared" ref="O117:O175" si="83">(L117-N117)*1.3</f>
        <v>2.1864375000000003</v>
      </c>
      <c r="P117" s="642">
        <v>0.1</v>
      </c>
      <c r="Q117" s="640"/>
      <c r="R117" s="640">
        <f t="shared" ref="R117:R175" si="84">M117*$P117</f>
        <v>0.22425000000000003</v>
      </c>
      <c r="S117" s="640">
        <f t="shared" ref="S117:S175" si="85">((G117*H117*I117))*E117</f>
        <v>0.75</v>
      </c>
      <c r="T117" s="686">
        <f t="shared" ref="T117:T175" si="86">S117+G117*F117</f>
        <v>2.9925000000000002</v>
      </c>
      <c r="U117" s="640">
        <f t="shared" ref="U117:U175" si="87">F117*H117*G117*E117</f>
        <v>1.6818750000000002</v>
      </c>
      <c r="V117" s="644" t="s">
        <v>721</v>
      </c>
    </row>
    <row r="118" spans="1:25" ht="12" x14ac:dyDescent="0.25">
      <c r="A118" s="682" t="s">
        <v>894</v>
      </c>
      <c r="B118" s="682"/>
      <c r="C118" s="682"/>
      <c r="D118" s="682" t="s">
        <v>915</v>
      </c>
      <c r="E118" s="683">
        <v>1</v>
      </c>
      <c r="F118" s="684">
        <v>4.4850000000000003</v>
      </c>
      <c r="G118" s="656">
        <v>0.17</v>
      </c>
      <c r="H118" s="684">
        <v>0.6</v>
      </c>
      <c r="I118" s="685">
        <v>2</v>
      </c>
      <c r="J118" s="640">
        <f t="shared" si="79"/>
        <v>0.6</v>
      </c>
      <c r="K118" s="640"/>
      <c r="L118" s="640">
        <f t="shared" si="80"/>
        <v>0.51866999999999996</v>
      </c>
      <c r="M118" s="640">
        <f t="shared" si="81"/>
        <v>0.76245000000000007</v>
      </c>
      <c r="N118" s="640">
        <f t="shared" si="82"/>
        <v>6.1199999999999866E-2</v>
      </c>
      <c r="O118" s="640">
        <f t="shared" si="83"/>
        <v>0.5947110000000001</v>
      </c>
      <c r="P118" s="642">
        <v>0.1</v>
      </c>
      <c r="Q118" s="640"/>
      <c r="R118" s="640">
        <f t="shared" si="84"/>
        <v>7.6245000000000007E-2</v>
      </c>
      <c r="S118" s="640">
        <f t="shared" si="85"/>
        <v>0.20400000000000001</v>
      </c>
      <c r="T118" s="686">
        <f t="shared" si="86"/>
        <v>0.96645000000000003</v>
      </c>
      <c r="U118" s="640">
        <f t="shared" si="87"/>
        <v>0.4574700000000001</v>
      </c>
      <c r="V118" s="644" t="s">
        <v>721</v>
      </c>
    </row>
    <row r="119" spans="1:25" ht="12" x14ac:dyDescent="0.25">
      <c r="A119" s="682" t="s">
        <v>894</v>
      </c>
      <c r="B119" s="682"/>
      <c r="C119" s="682"/>
      <c r="D119" s="682" t="s">
        <v>916</v>
      </c>
      <c r="E119" s="683">
        <v>1</v>
      </c>
      <c r="F119" s="684">
        <f>0.5+4.195+0.5+2.25+0.12+1.58+0.5+2.65+0.12+1.7+0.5+4.985+0.5</f>
        <v>20.099999999999998</v>
      </c>
      <c r="G119" s="656">
        <v>0.17</v>
      </c>
      <c r="H119" s="684">
        <v>0.6</v>
      </c>
      <c r="I119" s="685">
        <v>2</v>
      </c>
      <c r="J119" s="640">
        <f t="shared" si="79"/>
        <v>0.6</v>
      </c>
      <c r="K119" s="640"/>
      <c r="L119" s="640">
        <f t="shared" si="80"/>
        <v>2.1114000000000002</v>
      </c>
      <c r="M119" s="640">
        <f t="shared" si="81"/>
        <v>3.4169999999999998</v>
      </c>
      <c r="N119" s="640">
        <f t="shared" si="82"/>
        <v>6.1200000000000365E-2</v>
      </c>
      <c r="O119" s="640">
        <f t="shared" si="83"/>
        <v>2.66526</v>
      </c>
      <c r="P119" s="642">
        <v>0.1</v>
      </c>
      <c r="Q119" s="640"/>
      <c r="R119" s="640">
        <f t="shared" si="84"/>
        <v>0.3417</v>
      </c>
      <c r="S119" s="640">
        <f t="shared" si="85"/>
        <v>0.20400000000000001</v>
      </c>
      <c r="T119" s="686">
        <f t="shared" si="86"/>
        <v>3.621</v>
      </c>
      <c r="U119" s="640">
        <f t="shared" si="87"/>
        <v>2.0501999999999998</v>
      </c>
      <c r="V119" s="644" t="s">
        <v>721</v>
      </c>
    </row>
    <row r="120" spans="1:25" ht="12" x14ac:dyDescent="0.25">
      <c r="A120" s="682" t="s">
        <v>894</v>
      </c>
      <c r="B120" s="682"/>
      <c r="C120" s="682"/>
      <c r="D120" s="682" t="s">
        <v>917</v>
      </c>
      <c r="E120" s="683">
        <v>1</v>
      </c>
      <c r="F120" s="684">
        <f>1.545+4.55+0.95+3.165+0.12+1.61+1.97</f>
        <v>13.91</v>
      </c>
      <c r="G120" s="656">
        <v>0.17</v>
      </c>
      <c r="H120" s="684">
        <v>0.6</v>
      </c>
      <c r="I120" s="685">
        <v>2</v>
      </c>
      <c r="J120" s="640">
        <f t="shared" si="79"/>
        <v>0.6</v>
      </c>
      <c r="K120" s="640"/>
      <c r="L120" s="640">
        <f t="shared" si="80"/>
        <v>1.4800200000000001</v>
      </c>
      <c r="M120" s="640">
        <f t="shared" si="81"/>
        <v>2.3647</v>
      </c>
      <c r="N120" s="640">
        <f t="shared" si="82"/>
        <v>6.1199999999999921E-2</v>
      </c>
      <c r="O120" s="640">
        <f t="shared" si="83"/>
        <v>1.8444660000000004</v>
      </c>
      <c r="P120" s="642">
        <v>0.1</v>
      </c>
      <c r="Q120" s="640"/>
      <c r="R120" s="640">
        <f t="shared" si="84"/>
        <v>0.23647000000000001</v>
      </c>
      <c r="S120" s="640">
        <f t="shared" si="85"/>
        <v>0.20400000000000001</v>
      </c>
      <c r="T120" s="686">
        <f t="shared" si="86"/>
        <v>2.5687000000000002</v>
      </c>
      <c r="U120" s="640">
        <f t="shared" si="87"/>
        <v>1.4188200000000002</v>
      </c>
      <c r="V120" s="644" t="s">
        <v>721</v>
      </c>
    </row>
    <row r="121" spans="1:25" ht="12" x14ac:dyDescent="0.25">
      <c r="A121" s="682" t="s">
        <v>894</v>
      </c>
      <c r="B121" s="682"/>
      <c r="C121" s="682"/>
      <c r="D121" s="682" t="s">
        <v>918</v>
      </c>
      <c r="E121" s="683">
        <v>1</v>
      </c>
      <c r="F121" s="684">
        <f>0.49+0.38+0.34+0.25+3.145</f>
        <v>4.6050000000000004</v>
      </c>
      <c r="G121" s="656">
        <v>0.25</v>
      </c>
      <c r="H121" s="684">
        <v>0.6</v>
      </c>
      <c r="I121" s="685">
        <v>2</v>
      </c>
      <c r="J121" s="640">
        <f t="shared" si="79"/>
        <v>0.6</v>
      </c>
      <c r="K121" s="640"/>
      <c r="L121" s="640">
        <f t="shared" si="80"/>
        <v>0.78074999999999994</v>
      </c>
      <c r="M121" s="640">
        <f t="shared" si="81"/>
        <v>1.1512500000000001</v>
      </c>
      <c r="N121" s="640">
        <f t="shared" si="82"/>
        <v>8.9999999999999858E-2</v>
      </c>
      <c r="O121" s="640">
        <f t="shared" si="83"/>
        <v>0.89797500000000019</v>
      </c>
      <c r="P121" s="642">
        <v>0.1</v>
      </c>
      <c r="Q121" s="640"/>
      <c r="R121" s="640">
        <f t="shared" si="84"/>
        <v>0.11512500000000002</v>
      </c>
      <c r="S121" s="640">
        <f t="shared" si="85"/>
        <v>0.3</v>
      </c>
      <c r="T121" s="686">
        <f t="shared" si="86"/>
        <v>1.4512500000000002</v>
      </c>
      <c r="U121" s="640">
        <f t="shared" si="87"/>
        <v>0.69075000000000009</v>
      </c>
      <c r="V121" s="644" t="s">
        <v>721</v>
      </c>
    </row>
    <row r="122" spans="1:25" ht="12" x14ac:dyDescent="0.25">
      <c r="A122" s="682" t="s">
        <v>894</v>
      </c>
      <c r="B122" s="682"/>
      <c r="C122" s="682"/>
      <c r="D122" s="682" t="s">
        <v>919</v>
      </c>
      <c r="E122" s="683">
        <v>1</v>
      </c>
      <c r="F122" s="684">
        <v>4.76</v>
      </c>
      <c r="G122" s="656">
        <v>0.17</v>
      </c>
      <c r="H122" s="684">
        <v>0.6</v>
      </c>
      <c r="I122" s="685">
        <v>2</v>
      </c>
      <c r="J122" s="640">
        <f t="shared" si="79"/>
        <v>0.6</v>
      </c>
      <c r="K122" s="640"/>
      <c r="L122" s="640">
        <f t="shared" si="80"/>
        <v>0.54671999999999998</v>
      </c>
      <c r="M122" s="640">
        <f t="shared" si="81"/>
        <v>0.80920000000000003</v>
      </c>
      <c r="N122" s="640">
        <f t="shared" si="82"/>
        <v>6.1199999999999977E-2</v>
      </c>
      <c r="O122" s="640">
        <f t="shared" si="83"/>
        <v>0.63117600000000007</v>
      </c>
      <c r="P122" s="642">
        <v>0.1</v>
      </c>
      <c r="Q122" s="640"/>
      <c r="R122" s="640">
        <f t="shared" si="84"/>
        <v>8.0920000000000006E-2</v>
      </c>
      <c r="S122" s="640">
        <f t="shared" si="85"/>
        <v>0.20400000000000001</v>
      </c>
      <c r="T122" s="686">
        <f t="shared" si="86"/>
        <v>1.0132000000000001</v>
      </c>
      <c r="U122" s="640">
        <f t="shared" si="87"/>
        <v>0.48552000000000001</v>
      </c>
      <c r="V122" s="644" t="s">
        <v>721</v>
      </c>
    </row>
    <row r="123" spans="1:25" ht="12" x14ac:dyDescent="0.25">
      <c r="A123" s="682" t="s">
        <v>894</v>
      </c>
      <c r="B123" s="682"/>
      <c r="C123" s="682"/>
      <c r="D123" s="682" t="s">
        <v>920</v>
      </c>
      <c r="E123" s="683">
        <v>1</v>
      </c>
      <c r="F123" s="684">
        <v>2.7749999999999999</v>
      </c>
      <c r="G123" s="656">
        <v>0.17</v>
      </c>
      <c r="H123" s="684">
        <v>0.6</v>
      </c>
      <c r="I123" s="685">
        <v>2</v>
      </c>
      <c r="J123" s="640">
        <f t="shared" si="79"/>
        <v>0.6</v>
      </c>
      <c r="K123" s="640"/>
      <c r="L123" s="640">
        <f t="shared" si="80"/>
        <v>0.34425</v>
      </c>
      <c r="M123" s="640">
        <f t="shared" si="81"/>
        <v>0.47175</v>
      </c>
      <c r="N123" s="640">
        <f t="shared" si="82"/>
        <v>6.1200000000000032E-2</v>
      </c>
      <c r="O123" s="640">
        <f t="shared" si="83"/>
        <v>0.36796499999999999</v>
      </c>
      <c r="P123" s="642">
        <v>0.1</v>
      </c>
      <c r="Q123" s="640"/>
      <c r="R123" s="640">
        <f t="shared" si="84"/>
        <v>4.7175000000000002E-2</v>
      </c>
      <c r="S123" s="640">
        <f t="shared" si="85"/>
        <v>0.20400000000000001</v>
      </c>
      <c r="T123" s="686">
        <f t="shared" si="86"/>
        <v>0.67575000000000007</v>
      </c>
      <c r="U123" s="640">
        <f t="shared" si="87"/>
        <v>0.28304999999999997</v>
      </c>
      <c r="V123" s="644" t="s">
        <v>721</v>
      </c>
    </row>
    <row r="124" spans="1:25" ht="12" x14ac:dyDescent="0.25">
      <c r="A124" s="682" t="s">
        <v>894</v>
      </c>
      <c r="B124" s="682"/>
      <c r="C124" s="682"/>
      <c r="D124" s="682" t="s">
        <v>921</v>
      </c>
      <c r="E124" s="683">
        <v>1</v>
      </c>
      <c r="F124" s="684">
        <v>4.9050000000000002</v>
      </c>
      <c r="G124" s="656">
        <v>0.3</v>
      </c>
      <c r="H124" s="684">
        <v>0.6</v>
      </c>
      <c r="I124" s="685">
        <v>2</v>
      </c>
      <c r="J124" s="640">
        <f t="shared" si="79"/>
        <v>0.6</v>
      </c>
      <c r="K124" s="640"/>
      <c r="L124" s="640">
        <f t="shared" si="80"/>
        <v>0.99089999999999989</v>
      </c>
      <c r="M124" s="640">
        <f t="shared" si="81"/>
        <v>1.4715</v>
      </c>
      <c r="N124" s="640">
        <f t="shared" si="82"/>
        <v>0.10799999999999987</v>
      </c>
      <c r="O124" s="640">
        <f t="shared" si="83"/>
        <v>1.14777</v>
      </c>
      <c r="P124" s="642">
        <v>0.1</v>
      </c>
      <c r="Q124" s="640"/>
      <c r="R124" s="640">
        <f t="shared" si="84"/>
        <v>0.14715</v>
      </c>
      <c r="S124" s="640">
        <f t="shared" si="85"/>
        <v>0.36</v>
      </c>
      <c r="T124" s="686">
        <f t="shared" si="86"/>
        <v>1.8315000000000001</v>
      </c>
      <c r="U124" s="640">
        <f t="shared" si="87"/>
        <v>0.88290000000000002</v>
      </c>
      <c r="V124" s="644" t="s">
        <v>721</v>
      </c>
    </row>
    <row r="125" spans="1:25" ht="12" x14ac:dyDescent="0.25">
      <c r="A125" s="682" t="s">
        <v>894</v>
      </c>
      <c r="B125" s="682"/>
      <c r="C125" s="682"/>
      <c r="D125" s="682" t="s">
        <v>922</v>
      </c>
      <c r="E125" s="683">
        <v>1</v>
      </c>
      <c r="F125" s="684">
        <v>1.1134999999999999</v>
      </c>
      <c r="G125" s="656">
        <v>0.3</v>
      </c>
      <c r="H125" s="684">
        <v>1</v>
      </c>
      <c r="I125" s="685">
        <v>2</v>
      </c>
      <c r="J125" s="640">
        <f t="shared" si="79"/>
        <v>0.6</v>
      </c>
      <c r="K125" s="640"/>
      <c r="L125" s="640">
        <f t="shared" si="80"/>
        <v>0.5140499999999999</v>
      </c>
      <c r="M125" s="640">
        <f t="shared" si="81"/>
        <v>0.33404999999999996</v>
      </c>
      <c r="N125" s="640">
        <f t="shared" si="82"/>
        <v>0.17999999999999994</v>
      </c>
      <c r="O125" s="640">
        <f t="shared" si="83"/>
        <v>0.43426499999999996</v>
      </c>
      <c r="P125" s="642">
        <v>0.1</v>
      </c>
      <c r="Q125" s="640"/>
      <c r="R125" s="640">
        <f t="shared" si="84"/>
        <v>3.3404999999999997E-2</v>
      </c>
      <c r="S125" s="640">
        <f t="shared" si="85"/>
        <v>0.6</v>
      </c>
      <c r="T125" s="686">
        <f t="shared" si="86"/>
        <v>0.93404999999999994</v>
      </c>
      <c r="U125" s="640">
        <f t="shared" si="87"/>
        <v>0.33404999999999996</v>
      </c>
      <c r="V125" s="644" t="s">
        <v>721</v>
      </c>
    </row>
    <row r="126" spans="1:25" ht="12" x14ac:dyDescent="0.25">
      <c r="A126" s="682" t="s">
        <v>894</v>
      </c>
      <c r="B126" s="682"/>
      <c r="C126" s="682"/>
      <c r="D126" s="682" t="s">
        <v>923</v>
      </c>
      <c r="E126" s="683">
        <v>1</v>
      </c>
      <c r="F126" s="684">
        <v>5.31</v>
      </c>
      <c r="G126" s="656">
        <v>0.3</v>
      </c>
      <c r="H126" s="684">
        <v>0.6</v>
      </c>
      <c r="I126" s="685">
        <v>2</v>
      </c>
      <c r="J126" s="640">
        <f t="shared" si="79"/>
        <v>0.6</v>
      </c>
      <c r="K126" s="640"/>
      <c r="L126" s="640">
        <f t="shared" si="80"/>
        <v>1.0637999999999999</v>
      </c>
      <c r="M126" s="640">
        <f t="shared" si="81"/>
        <v>1.5929999999999997</v>
      </c>
      <c r="N126" s="640">
        <f t="shared" si="82"/>
        <v>0.1080000000000001</v>
      </c>
      <c r="O126" s="640">
        <f t="shared" si="83"/>
        <v>1.2425399999999998</v>
      </c>
      <c r="P126" s="642">
        <v>0.1</v>
      </c>
      <c r="Q126" s="640"/>
      <c r="R126" s="640">
        <f t="shared" si="84"/>
        <v>0.1593</v>
      </c>
      <c r="S126" s="640">
        <f t="shared" si="85"/>
        <v>0.36</v>
      </c>
      <c r="T126" s="686">
        <f t="shared" si="86"/>
        <v>1.9529999999999998</v>
      </c>
      <c r="U126" s="640">
        <f t="shared" si="87"/>
        <v>0.95579999999999976</v>
      </c>
      <c r="V126" s="644" t="s">
        <v>721</v>
      </c>
    </row>
    <row r="127" spans="1:25" ht="12" x14ac:dyDescent="0.25">
      <c r="A127" s="682" t="s">
        <v>894</v>
      </c>
      <c r="B127" s="682"/>
      <c r="C127" s="682"/>
      <c r="D127" s="682" t="s">
        <v>924</v>
      </c>
      <c r="E127" s="683">
        <v>1</v>
      </c>
      <c r="F127" s="684">
        <v>1.085</v>
      </c>
      <c r="G127" s="656">
        <v>0.3</v>
      </c>
      <c r="H127" s="684">
        <v>1</v>
      </c>
      <c r="I127" s="685">
        <v>2</v>
      </c>
      <c r="J127" s="640">
        <f t="shared" si="79"/>
        <v>0.6</v>
      </c>
      <c r="K127" s="640"/>
      <c r="L127" s="640">
        <f t="shared" si="80"/>
        <v>0.50549999999999995</v>
      </c>
      <c r="M127" s="640">
        <f t="shared" si="81"/>
        <v>0.32549999999999996</v>
      </c>
      <c r="N127" s="640">
        <f t="shared" si="82"/>
        <v>0.18</v>
      </c>
      <c r="O127" s="640">
        <f t="shared" si="83"/>
        <v>0.42314999999999997</v>
      </c>
      <c r="P127" s="642">
        <v>0.1</v>
      </c>
      <c r="Q127" s="640"/>
      <c r="R127" s="640">
        <f t="shared" si="84"/>
        <v>3.2549999999999996E-2</v>
      </c>
      <c r="S127" s="640">
        <f t="shared" si="85"/>
        <v>0.6</v>
      </c>
      <c r="T127" s="686">
        <f t="shared" si="86"/>
        <v>0.92549999999999999</v>
      </c>
      <c r="U127" s="640">
        <f t="shared" si="87"/>
        <v>0.32549999999999996</v>
      </c>
      <c r="V127" s="644" t="s">
        <v>721</v>
      </c>
    </row>
    <row r="128" spans="1:25" ht="12" x14ac:dyDescent="0.25">
      <c r="A128" s="682" t="s">
        <v>894</v>
      </c>
      <c r="B128" s="682"/>
      <c r="C128" s="682"/>
      <c r="D128" s="682" t="s">
        <v>925</v>
      </c>
      <c r="E128" s="683">
        <v>1</v>
      </c>
      <c r="F128" s="684">
        <f>17+2.125</f>
        <v>19.125</v>
      </c>
      <c r="G128" s="656">
        <v>0.12</v>
      </c>
      <c r="H128" s="684">
        <v>0.3</v>
      </c>
      <c r="I128" s="685">
        <v>2</v>
      </c>
      <c r="J128" s="640">
        <f t="shared" si="79"/>
        <v>0.6</v>
      </c>
      <c r="K128" s="640"/>
      <c r="L128" s="640">
        <f t="shared" si="80"/>
        <v>0.71010000000000006</v>
      </c>
      <c r="M128" s="640">
        <f t="shared" si="81"/>
        <v>2.2949999999999999</v>
      </c>
      <c r="N128" s="640">
        <f t="shared" si="82"/>
        <v>2.1600000000000064E-2</v>
      </c>
      <c r="O128" s="640">
        <f t="shared" si="83"/>
        <v>0.89505000000000001</v>
      </c>
      <c r="P128" s="642">
        <v>0.1</v>
      </c>
      <c r="Q128" s="640"/>
      <c r="R128" s="640">
        <f t="shared" si="84"/>
        <v>0.22950000000000001</v>
      </c>
      <c r="S128" s="640">
        <f t="shared" si="85"/>
        <v>7.1999999999999995E-2</v>
      </c>
      <c r="T128" s="686">
        <f t="shared" si="86"/>
        <v>2.367</v>
      </c>
      <c r="U128" s="640">
        <f t="shared" si="87"/>
        <v>0.6885</v>
      </c>
      <c r="V128" s="644" t="s">
        <v>721</v>
      </c>
    </row>
    <row r="129" spans="1:22" ht="12" x14ac:dyDescent="0.25">
      <c r="A129" s="682" t="s">
        <v>894</v>
      </c>
      <c r="B129" s="682"/>
      <c r="C129" s="682"/>
      <c r="D129" s="682" t="s">
        <v>926</v>
      </c>
      <c r="E129" s="683">
        <v>1</v>
      </c>
      <c r="F129" s="684">
        <v>1.1134999999999999</v>
      </c>
      <c r="G129" s="656">
        <v>0.3</v>
      </c>
      <c r="H129" s="684">
        <v>1</v>
      </c>
      <c r="I129" s="685">
        <v>2</v>
      </c>
      <c r="J129" s="640">
        <f t="shared" si="79"/>
        <v>0.6</v>
      </c>
      <c r="K129" s="640"/>
      <c r="L129" s="640">
        <f t="shared" si="80"/>
        <v>0.5140499999999999</v>
      </c>
      <c r="M129" s="640">
        <f t="shared" si="81"/>
        <v>0.33404999999999996</v>
      </c>
      <c r="N129" s="640">
        <f t="shared" si="82"/>
        <v>0.17999999999999994</v>
      </c>
      <c r="O129" s="640">
        <f t="shared" si="83"/>
        <v>0.43426499999999996</v>
      </c>
      <c r="P129" s="642">
        <v>0.1</v>
      </c>
      <c r="Q129" s="640"/>
      <c r="R129" s="640">
        <f t="shared" si="84"/>
        <v>3.3404999999999997E-2</v>
      </c>
      <c r="S129" s="640">
        <f t="shared" si="85"/>
        <v>0.6</v>
      </c>
      <c r="T129" s="686">
        <f t="shared" si="86"/>
        <v>0.93404999999999994</v>
      </c>
      <c r="U129" s="640">
        <f t="shared" si="87"/>
        <v>0.33404999999999996</v>
      </c>
      <c r="V129" s="644" t="s">
        <v>721</v>
      </c>
    </row>
    <row r="130" spans="1:22" ht="12" x14ac:dyDescent="0.25">
      <c r="A130" s="682" t="s">
        <v>894</v>
      </c>
      <c r="B130" s="682"/>
      <c r="C130" s="682"/>
      <c r="D130" s="682" t="s">
        <v>927</v>
      </c>
      <c r="E130" s="683">
        <v>1</v>
      </c>
      <c r="F130" s="684">
        <v>1.1134999999999999</v>
      </c>
      <c r="G130" s="656">
        <v>0.3</v>
      </c>
      <c r="H130" s="684">
        <v>1</v>
      </c>
      <c r="I130" s="685">
        <v>2</v>
      </c>
      <c r="J130" s="640">
        <f t="shared" si="79"/>
        <v>0.6</v>
      </c>
      <c r="K130" s="640"/>
      <c r="L130" s="640">
        <f t="shared" si="80"/>
        <v>0.5140499999999999</v>
      </c>
      <c r="M130" s="640">
        <f t="shared" si="81"/>
        <v>0.33404999999999996</v>
      </c>
      <c r="N130" s="640">
        <f t="shared" si="82"/>
        <v>0.17999999999999994</v>
      </c>
      <c r="O130" s="640">
        <f t="shared" si="83"/>
        <v>0.43426499999999996</v>
      </c>
      <c r="P130" s="642">
        <v>0.1</v>
      </c>
      <c r="Q130" s="640"/>
      <c r="R130" s="640">
        <f t="shared" si="84"/>
        <v>3.3404999999999997E-2</v>
      </c>
      <c r="S130" s="640">
        <f t="shared" si="85"/>
        <v>0.6</v>
      </c>
      <c r="T130" s="686">
        <f t="shared" si="86"/>
        <v>0.93404999999999994</v>
      </c>
      <c r="U130" s="640">
        <f t="shared" si="87"/>
        <v>0.33404999999999996</v>
      </c>
      <c r="V130" s="644" t="s">
        <v>721</v>
      </c>
    </row>
    <row r="131" spans="1:22" ht="12" x14ac:dyDescent="0.25">
      <c r="A131" s="682" t="s">
        <v>894</v>
      </c>
      <c r="B131" s="682"/>
      <c r="C131" s="682"/>
      <c r="D131" s="682" t="s">
        <v>928</v>
      </c>
      <c r="E131" s="683">
        <v>1</v>
      </c>
      <c r="F131" s="684">
        <v>7.5049999999999999</v>
      </c>
      <c r="G131" s="656">
        <v>0.3</v>
      </c>
      <c r="H131" s="684">
        <v>0.6</v>
      </c>
      <c r="I131" s="685">
        <v>2</v>
      </c>
      <c r="J131" s="640">
        <f t="shared" si="79"/>
        <v>0.6</v>
      </c>
      <c r="K131" s="640"/>
      <c r="L131" s="640">
        <f t="shared" si="80"/>
        <v>1.4589000000000001</v>
      </c>
      <c r="M131" s="640">
        <f t="shared" si="81"/>
        <v>2.2515000000000001</v>
      </c>
      <c r="N131" s="640">
        <f t="shared" si="82"/>
        <v>0.1080000000000001</v>
      </c>
      <c r="O131" s="640">
        <f t="shared" si="83"/>
        <v>1.75617</v>
      </c>
      <c r="P131" s="642">
        <v>0.1</v>
      </c>
      <c r="Q131" s="640"/>
      <c r="R131" s="640">
        <f t="shared" si="84"/>
        <v>0.22515000000000002</v>
      </c>
      <c r="S131" s="640">
        <f t="shared" si="85"/>
        <v>0.36</v>
      </c>
      <c r="T131" s="686">
        <f t="shared" si="86"/>
        <v>2.6114999999999999</v>
      </c>
      <c r="U131" s="640">
        <f t="shared" si="87"/>
        <v>1.3509</v>
      </c>
      <c r="V131" s="644" t="s">
        <v>721</v>
      </c>
    </row>
    <row r="132" spans="1:22" ht="12" x14ac:dyDescent="0.25">
      <c r="A132" s="682" t="s">
        <v>894</v>
      </c>
      <c r="B132" s="682"/>
      <c r="C132" s="682"/>
      <c r="D132" s="682" t="s">
        <v>929</v>
      </c>
      <c r="E132" s="683">
        <v>1</v>
      </c>
      <c r="F132" s="684">
        <v>1.0349999999999999</v>
      </c>
      <c r="G132" s="656">
        <v>0.3</v>
      </c>
      <c r="H132" s="684">
        <v>0.6</v>
      </c>
      <c r="I132" s="685">
        <v>2</v>
      </c>
      <c r="J132" s="640">
        <f t="shared" si="79"/>
        <v>0.6</v>
      </c>
      <c r="K132" s="640"/>
      <c r="L132" s="640">
        <f t="shared" si="80"/>
        <v>0.29429999999999995</v>
      </c>
      <c r="M132" s="640">
        <f t="shared" si="81"/>
        <v>0.31049999999999994</v>
      </c>
      <c r="N132" s="640">
        <f t="shared" si="82"/>
        <v>0.10799999999999998</v>
      </c>
      <c r="O132" s="640">
        <f t="shared" si="83"/>
        <v>0.24218999999999996</v>
      </c>
      <c r="P132" s="642">
        <v>0.1</v>
      </c>
      <c r="Q132" s="640"/>
      <c r="R132" s="640">
        <f t="shared" si="84"/>
        <v>3.1049999999999994E-2</v>
      </c>
      <c r="S132" s="640">
        <f t="shared" si="85"/>
        <v>0.36</v>
      </c>
      <c r="T132" s="686">
        <f t="shared" si="86"/>
        <v>0.67049999999999987</v>
      </c>
      <c r="U132" s="640">
        <f t="shared" si="87"/>
        <v>0.18629999999999997</v>
      </c>
      <c r="V132" s="644" t="s">
        <v>721</v>
      </c>
    </row>
    <row r="133" spans="1:22" ht="12" x14ac:dyDescent="0.25">
      <c r="A133" s="682" t="s">
        <v>894</v>
      </c>
      <c r="B133" s="682"/>
      <c r="C133" s="682"/>
      <c r="D133" s="682" t="s">
        <v>930</v>
      </c>
      <c r="E133" s="683">
        <v>1</v>
      </c>
      <c r="F133" s="684">
        <f>0.12*2+1.83</f>
        <v>2.0700000000000003</v>
      </c>
      <c r="G133" s="656">
        <v>0.12</v>
      </c>
      <c r="H133" s="684">
        <v>0.3</v>
      </c>
      <c r="I133" s="685">
        <v>2</v>
      </c>
      <c r="J133" s="640">
        <f t="shared" si="79"/>
        <v>0.6</v>
      </c>
      <c r="K133" s="640"/>
      <c r="L133" s="640">
        <f t="shared" si="80"/>
        <v>9.6119999999999997E-2</v>
      </c>
      <c r="M133" s="640">
        <f t="shared" si="81"/>
        <v>0.24840000000000004</v>
      </c>
      <c r="N133" s="640">
        <f t="shared" si="82"/>
        <v>2.159999999999998E-2</v>
      </c>
      <c r="O133" s="640">
        <f t="shared" si="83"/>
        <v>9.6876000000000032E-2</v>
      </c>
      <c r="P133" s="642">
        <v>0.1</v>
      </c>
      <c r="Q133" s="640"/>
      <c r="R133" s="640">
        <f t="shared" si="84"/>
        <v>2.4840000000000004E-2</v>
      </c>
      <c r="S133" s="640">
        <f t="shared" si="85"/>
        <v>7.1999999999999995E-2</v>
      </c>
      <c r="T133" s="686">
        <f t="shared" si="86"/>
        <v>0.32040000000000002</v>
      </c>
      <c r="U133" s="640">
        <f t="shared" si="87"/>
        <v>7.4520000000000017E-2</v>
      </c>
      <c r="V133" s="644" t="s">
        <v>721</v>
      </c>
    </row>
    <row r="134" spans="1:22" ht="12" x14ac:dyDescent="0.25">
      <c r="A134" s="682" t="s">
        <v>894</v>
      </c>
      <c r="B134" s="682"/>
      <c r="C134" s="682"/>
      <c r="D134" s="682" t="s">
        <v>931</v>
      </c>
      <c r="E134" s="683">
        <v>1</v>
      </c>
      <c r="F134" s="684">
        <v>4.5250000000000004</v>
      </c>
      <c r="G134" s="656">
        <v>0.3</v>
      </c>
      <c r="H134" s="684">
        <v>0.6</v>
      </c>
      <c r="I134" s="685">
        <v>2</v>
      </c>
      <c r="J134" s="640">
        <f t="shared" si="79"/>
        <v>0.6</v>
      </c>
      <c r="K134" s="640"/>
      <c r="L134" s="640">
        <f t="shared" si="80"/>
        <v>0.92249999999999988</v>
      </c>
      <c r="M134" s="640">
        <f t="shared" si="81"/>
        <v>1.3575000000000002</v>
      </c>
      <c r="N134" s="640">
        <f t="shared" si="82"/>
        <v>0.10799999999999976</v>
      </c>
      <c r="O134" s="640">
        <f t="shared" si="83"/>
        <v>1.0588500000000003</v>
      </c>
      <c r="P134" s="642">
        <v>0.1</v>
      </c>
      <c r="Q134" s="640"/>
      <c r="R134" s="640">
        <f t="shared" si="84"/>
        <v>0.13575000000000001</v>
      </c>
      <c r="S134" s="640">
        <f t="shared" si="85"/>
        <v>0.36</v>
      </c>
      <c r="T134" s="686">
        <f t="shared" si="86"/>
        <v>1.7175000000000002</v>
      </c>
      <c r="U134" s="640">
        <f t="shared" si="87"/>
        <v>0.81450000000000011</v>
      </c>
      <c r="V134" s="644" t="s">
        <v>721</v>
      </c>
    </row>
    <row r="135" spans="1:22" ht="12" x14ac:dyDescent="0.25">
      <c r="A135" s="682" t="s">
        <v>894</v>
      </c>
      <c r="B135" s="682"/>
      <c r="C135" s="682"/>
      <c r="D135" s="682" t="s">
        <v>932</v>
      </c>
      <c r="E135" s="683">
        <v>1</v>
      </c>
      <c r="F135" s="684">
        <f>1.085+0.835</f>
        <v>1.92</v>
      </c>
      <c r="G135" s="656">
        <v>0.3</v>
      </c>
      <c r="H135" s="684">
        <v>1</v>
      </c>
      <c r="I135" s="685">
        <v>2</v>
      </c>
      <c r="J135" s="640">
        <f t="shared" si="79"/>
        <v>0.6</v>
      </c>
      <c r="K135" s="640"/>
      <c r="L135" s="640">
        <f t="shared" si="80"/>
        <v>0.75600000000000001</v>
      </c>
      <c r="M135" s="640">
        <f t="shared" si="81"/>
        <v>0.57599999999999996</v>
      </c>
      <c r="N135" s="640">
        <f t="shared" si="82"/>
        <v>0.18000000000000005</v>
      </c>
      <c r="O135" s="640">
        <f t="shared" si="83"/>
        <v>0.74880000000000002</v>
      </c>
      <c r="P135" s="642">
        <v>0.1</v>
      </c>
      <c r="Q135" s="640"/>
      <c r="R135" s="640">
        <f t="shared" si="84"/>
        <v>5.7599999999999998E-2</v>
      </c>
      <c r="S135" s="640">
        <f t="shared" si="85"/>
        <v>0.6</v>
      </c>
      <c r="T135" s="686">
        <f t="shared" si="86"/>
        <v>1.1759999999999999</v>
      </c>
      <c r="U135" s="640">
        <f t="shared" si="87"/>
        <v>0.57599999999999996</v>
      </c>
      <c r="V135" s="644" t="s">
        <v>721</v>
      </c>
    </row>
    <row r="136" spans="1:22" ht="12" x14ac:dyDescent="0.25">
      <c r="A136" s="682" t="s">
        <v>894</v>
      </c>
      <c r="B136" s="682"/>
      <c r="C136" s="682"/>
      <c r="D136" s="682" t="s">
        <v>933</v>
      </c>
      <c r="E136" s="683">
        <v>1</v>
      </c>
      <c r="F136" s="684">
        <v>1.83</v>
      </c>
      <c r="G136" s="656">
        <v>0.12</v>
      </c>
      <c r="H136" s="684">
        <v>0.6</v>
      </c>
      <c r="I136" s="685">
        <v>2</v>
      </c>
      <c r="J136" s="640">
        <f t="shared" si="79"/>
        <v>0.6</v>
      </c>
      <c r="K136" s="640"/>
      <c r="L136" s="640">
        <f t="shared" si="80"/>
        <v>0.17495999999999998</v>
      </c>
      <c r="M136" s="640">
        <f t="shared" si="81"/>
        <v>0.21959999999999999</v>
      </c>
      <c r="N136" s="640">
        <f t="shared" si="82"/>
        <v>4.3199999999999961E-2</v>
      </c>
      <c r="O136" s="640">
        <f t="shared" si="83"/>
        <v>0.17128800000000002</v>
      </c>
      <c r="P136" s="642">
        <v>0.1</v>
      </c>
      <c r="Q136" s="640"/>
      <c r="R136" s="640">
        <f t="shared" si="84"/>
        <v>2.196E-2</v>
      </c>
      <c r="S136" s="640">
        <f t="shared" si="85"/>
        <v>0.14399999999999999</v>
      </c>
      <c r="T136" s="686">
        <f t="shared" si="86"/>
        <v>0.36359999999999998</v>
      </c>
      <c r="U136" s="640">
        <f t="shared" si="87"/>
        <v>0.13176000000000002</v>
      </c>
      <c r="V136" s="644" t="s">
        <v>721</v>
      </c>
    </row>
    <row r="137" spans="1:22" ht="12" x14ac:dyDescent="0.25">
      <c r="A137" s="682" t="s">
        <v>894</v>
      </c>
      <c r="B137" s="682"/>
      <c r="C137" s="682"/>
      <c r="D137" s="682" t="s">
        <v>934</v>
      </c>
      <c r="E137" s="683">
        <v>1</v>
      </c>
      <c r="F137" s="684">
        <v>2.33</v>
      </c>
      <c r="G137" s="656">
        <v>0.12</v>
      </c>
      <c r="H137" s="684">
        <v>0.6</v>
      </c>
      <c r="I137" s="685">
        <v>2</v>
      </c>
      <c r="J137" s="640">
        <f t="shared" si="79"/>
        <v>0.6</v>
      </c>
      <c r="K137" s="640"/>
      <c r="L137" s="640">
        <f t="shared" si="80"/>
        <v>0.21095999999999998</v>
      </c>
      <c r="M137" s="640">
        <f t="shared" si="81"/>
        <v>0.27960000000000002</v>
      </c>
      <c r="N137" s="640">
        <f t="shared" si="82"/>
        <v>4.3199999999999988E-2</v>
      </c>
      <c r="O137" s="640">
        <f t="shared" si="83"/>
        <v>0.218088</v>
      </c>
      <c r="P137" s="642">
        <v>0.1</v>
      </c>
      <c r="Q137" s="640"/>
      <c r="R137" s="640">
        <f t="shared" si="84"/>
        <v>2.7960000000000002E-2</v>
      </c>
      <c r="S137" s="640">
        <f t="shared" si="85"/>
        <v>0.14399999999999999</v>
      </c>
      <c r="T137" s="686">
        <f t="shared" si="86"/>
        <v>0.42359999999999998</v>
      </c>
      <c r="U137" s="640">
        <f t="shared" si="87"/>
        <v>0.16775999999999999</v>
      </c>
      <c r="V137" s="644" t="s">
        <v>721</v>
      </c>
    </row>
    <row r="138" spans="1:22" ht="12" x14ac:dyDescent="0.25">
      <c r="A138" s="682" t="s">
        <v>894</v>
      </c>
      <c r="B138" s="682"/>
      <c r="C138" s="682"/>
      <c r="D138" s="682" t="s">
        <v>935</v>
      </c>
      <c r="E138" s="683">
        <v>1</v>
      </c>
      <c r="F138" s="684">
        <v>1.73</v>
      </c>
      <c r="G138" s="656">
        <v>0.12</v>
      </c>
      <c r="H138" s="684">
        <v>1.6</v>
      </c>
      <c r="I138" s="685">
        <v>2</v>
      </c>
      <c r="J138" s="640">
        <f t="shared" si="79"/>
        <v>1.2</v>
      </c>
      <c r="K138" s="640"/>
      <c r="L138" s="640">
        <f t="shared" si="80"/>
        <v>0.56255999999999995</v>
      </c>
      <c r="M138" s="640">
        <f t="shared" si="81"/>
        <v>0.20759999999999998</v>
      </c>
      <c r="N138" s="640">
        <f t="shared" si="82"/>
        <v>0.23039999999999994</v>
      </c>
      <c r="O138" s="640">
        <f t="shared" si="83"/>
        <v>0.43180800000000003</v>
      </c>
      <c r="P138" s="642">
        <v>0.1</v>
      </c>
      <c r="Q138" s="640"/>
      <c r="R138" s="640">
        <f t="shared" si="84"/>
        <v>2.0760000000000001E-2</v>
      </c>
      <c r="S138" s="640">
        <f t="shared" si="85"/>
        <v>0.38400000000000001</v>
      </c>
      <c r="T138" s="686">
        <f t="shared" si="86"/>
        <v>0.59160000000000001</v>
      </c>
      <c r="U138" s="640">
        <f t="shared" si="87"/>
        <v>0.33216000000000001</v>
      </c>
      <c r="V138" s="644" t="s">
        <v>721</v>
      </c>
    </row>
    <row r="139" spans="1:22" ht="12" x14ac:dyDescent="0.25">
      <c r="A139" s="682" t="s">
        <v>894</v>
      </c>
      <c r="B139" s="682"/>
      <c r="C139" s="682"/>
      <c r="D139" s="682" t="s">
        <v>936</v>
      </c>
      <c r="E139" s="683">
        <v>1</v>
      </c>
      <c r="F139" s="684">
        <v>2.31</v>
      </c>
      <c r="G139" s="656">
        <v>0.12</v>
      </c>
      <c r="H139" s="684">
        <v>0.3</v>
      </c>
      <c r="I139" s="685">
        <v>2</v>
      </c>
      <c r="J139" s="640">
        <f t="shared" si="79"/>
        <v>0.6</v>
      </c>
      <c r="K139" s="640"/>
      <c r="L139" s="640">
        <f t="shared" si="80"/>
        <v>0.10475999999999999</v>
      </c>
      <c r="M139" s="640">
        <f t="shared" si="81"/>
        <v>0.2772</v>
      </c>
      <c r="N139" s="640">
        <f t="shared" si="82"/>
        <v>2.1600000000000008E-2</v>
      </c>
      <c r="O139" s="640">
        <f t="shared" si="83"/>
        <v>0.10810799999999998</v>
      </c>
      <c r="P139" s="642">
        <v>0.1</v>
      </c>
      <c r="Q139" s="640"/>
      <c r="R139" s="640">
        <f t="shared" si="84"/>
        <v>2.7720000000000002E-2</v>
      </c>
      <c r="S139" s="640">
        <f t="shared" si="85"/>
        <v>7.1999999999999995E-2</v>
      </c>
      <c r="T139" s="686">
        <f t="shared" si="86"/>
        <v>0.34920000000000001</v>
      </c>
      <c r="U139" s="640">
        <f t="shared" si="87"/>
        <v>8.3159999999999984E-2</v>
      </c>
      <c r="V139" s="644" t="s">
        <v>721</v>
      </c>
    </row>
    <row r="140" spans="1:22" ht="12" x14ac:dyDescent="0.25">
      <c r="A140" s="682" t="s">
        <v>894</v>
      </c>
      <c r="B140" s="682"/>
      <c r="C140" s="682"/>
      <c r="D140" s="682" t="s">
        <v>937</v>
      </c>
      <c r="E140" s="683">
        <v>1</v>
      </c>
      <c r="F140" s="684">
        <f>0.665+3.43+0.3+1.46</f>
        <v>5.8550000000000004</v>
      </c>
      <c r="G140" s="656">
        <v>0.5</v>
      </c>
      <c r="H140" s="684">
        <v>0.75</v>
      </c>
      <c r="I140" s="685">
        <v>2</v>
      </c>
      <c r="J140" s="640">
        <f t="shared" si="79"/>
        <v>0.6</v>
      </c>
      <c r="K140" s="640"/>
      <c r="L140" s="640">
        <f t="shared" si="80"/>
        <v>2.4206250000000002</v>
      </c>
      <c r="M140" s="640">
        <f t="shared" si="81"/>
        <v>2.9275000000000002</v>
      </c>
      <c r="N140" s="640">
        <f t="shared" si="82"/>
        <v>0.22500000000000009</v>
      </c>
      <c r="O140" s="640">
        <f t="shared" si="83"/>
        <v>2.8543125000000003</v>
      </c>
      <c r="P140" s="642">
        <v>0.1</v>
      </c>
      <c r="Q140" s="640"/>
      <c r="R140" s="640">
        <f t="shared" si="84"/>
        <v>0.29275000000000001</v>
      </c>
      <c r="S140" s="640">
        <f t="shared" si="85"/>
        <v>0.75</v>
      </c>
      <c r="T140" s="686">
        <f t="shared" si="86"/>
        <v>3.6775000000000002</v>
      </c>
      <c r="U140" s="640">
        <f t="shared" si="87"/>
        <v>2.1956250000000002</v>
      </c>
      <c r="V140" s="644" t="s">
        <v>721</v>
      </c>
    </row>
    <row r="141" spans="1:22" ht="12" x14ac:dyDescent="0.25">
      <c r="A141" s="682" t="s">
        <v>894</v>
      </c>
      <c r="B141" s="682"/>
      <c r="C141" s="682"/>
      <c r="D141" s="682" t="s">
        <v>938</v>
      </c>
      <c r="E141" s="683">
        <v>1</v>
      </c>
      <c r="F141" s="684">
        <v>1.73</v>
      </c>
      <c r="G141" s="656">
        <v>0.12</v>
      </c>
      <c r="H141" s="684">
        <v>1.6</v>
      </c>
      <c r="I141" s="685">
        <v>2</v>
      </c>
      <c r="J141" s="640">
        <f t="shared" si="79"/>
        <v>1.2</v>
      </c>
      <c r="K141" s="640"/>
      <c r="L141" s="640">
        <f t="shared" si="80"/>
        <v>0.56255999999999995</v>
      </c>
      <c r="M141" s="640">
        <f t="shared" si="81"/>
        <v>0.20759999999999998</v>
      </c>
      <c r="N141" s="640">
        <f t="shared" si="82"/>
        <v>0.23039999999999994</v>
      </c>
      <c r="O141" s="640">
        <f t="shared" si="83"/>
        <v>0.43180800000000003</v>
      </c>
      <c r="P141" s="642">
        <v>0.1</v>
      </c>
      <c r="Q141" s="640"/>
      <c r="R141" s="640">
        <f t="shared" si="84"/>
        <v>2.0760000000000001E-2</v>
      </c>
      <c r="S141" s="640">
        <f t="shared" si="85"/>
        <v>0.38400000000000001</v>
      </c>
      <c r="T141" s="686">
        <f t="shared" si="86"/>
        <v>0.59160000000000001</v>
      </c>
      <c r="U141" s="640">
        <f t="shared" si="87"/>
        <v>0.33216000000000001</v>
      </c>
      <c r="V141" s="644" t="s">
        <v>721</v>
      </c>
    </row>
    <row r="142" spans="1:22" ht="12" x14ac:dyDescent="0.25">
      <c r="A142" s="682" t="s">
        <v>894</v>
      </c>
      <c r="B142" s="682"/>
      <c r="C142" s="682"/>
      <c r="D142" s="682" t="s">
        <v>939</v>
      </c>
      <c r="E142" s="683">
        <v>1</v>
      </c>
      <c r="F142" s="684">
        <f>0.595+0.3+3.43</f>
        <v>4.3250000000000002</v>
      </c>
      <c r="G142" s="656">
        <v>0.5</v>
      </c>
      <c r="H142" s="684">
        <v>0.75</v>
      </c>
      <c r="I142" s="685">
        <v>2</v>
      </c>
      <c r="J142" s="640">
        <f t="shared" si="79"/>
        <v>0.6</v>
      </c>
      <c r="K142" s="640"/>
      <c r="L142" s="640">
        <f t="shared" si="80"/>
        <v>1.8468749999999998</v>
      </c>
      <c r="M142" s="640">
        <f t="shared" si="81"/>
        <v>2.1625000000000001</v>
      </c>
      <c r="N142" s="640">
        <f t="shared" si="82"/>
        <v>0.22499999999999964</v>
      </c>
      <c r="O142" s="640">
        <f t="shared" si="83"/>
        <v>2.1084375000000004</v>
      </c>
      <c r="P142" s="642">
        <v>0.1</v>
      </c>
      <c r="Q142" s="640"/>
      <c r="R142" s="640">
        <f t="shared" si="84"/>
        <v>0.21625000000000003</v>
      </c>
      <c r="S142" s="640">
        <f t="shared" si="85"/>
        <v>0.75</v>
      </c>
      <c r="T142" s="686">
        <f t="shared" si="86"/>
        <v>2.9125000000000001</v>
      </c>
      <c r="U142" s="640">
        <f t="shared" si="87"/>
        <v>1.6218750000000002</v>
      </c>
      <c r="V142" s="644" t="s">
        <v>721</v>
      </c>
    </row>
    <row r="143" spans="1:22" ht="12" x14ac:dyDescent="0.25">
      <c r="A143" s="682" t="s">
        <v>894</v>
      </c>
      <c r="B143" s="682"/>
      <c r="C143" s="682"/>
      <c r="D143" s="682" t="s">
        <v>940</v>
      </c>
      <c r="E143" s="683">
        <v>1</v>
      </c>
      <c r="F143" s="684">
        <f>1.33+0.12</f>
        <v>1.4500000000000002</v>
      </c>
      <c r="G143" s="656">
        <v>0.12</v>
      </c>
      <c r="H143" s="684">
        <v>0.3</v>
      </c>
      <c r="I143" s="685">
        <v>2</v>
      </c>
      <c r="J143" s="640">
        <f t="shared" si="79"/>
        <v>0.6</v>
      </c>
      <c r="K143" s="640"/>
      <c r="L143" s="640">
        <f t="shared" si="80"/>
        <v>7.3800000000000004E-2</v>
      </c>
      <c r="M143" s="640">
        <f t="shared" si="81"/>
        <v>0.17400000000000002</v>
      </c>
      <c r="N143" s="640">
        <f t="shared" si="82"/>
        <v>2.1600000000000001E-2</v>
      </c>
      <c r="O143" s="640">
        <f t="shared" si="83"/>
        <v>6.7860000000000004E-2</v>
      </c>
      <c r="P143" s="642">
        <v>0.1</v>
      </c>
      <c r="Q143" s="640"/>
      <c r="R143" s="640">
        <f t="shared" si="84"/>
        <v>1.7400000000000002E-2</v>
      </c>
      <c r="S143" s="640">
        <f t="shared" si="85"/>
        <v>7.1999999999999995E-2</v>
      </c>
      <c r="T143" s="686">
        <f t="shared" si="86"/>
        <v>0.246</v>
      </c>
      <c r="U143" s="640">
        <f t="shared" si="87"/>
        <v>5.2200000000000003E-2</v>
      </c>
      <c r="V143" s="644" t="s">
        <v>721</v>
      </c>
    </row>
    <row r="144" spans="1:22" ht="12" x14ac:dyDescent="0.25">
      <c r="A144" s="682" t="s">
        <v>894</v>
      </c>
      <c r="B144" s="682"/>
      <c r="C144" s="682"/>
      <c r="D144" s="682" t="s">
        <v>941</v>
      </c>
      <c r="E144" s="683">
        <v>1</v>
      </c>
      <c r="F144" s="684">
        <f>1.33+4.525</f>
        <v>5.8550000000000004</v>
      </c>
      <c r="G144" s="656">
        <v>0.12</v>
      </c>
      <c r="H144" s="684">
        <v>0.6</v>
      </c>
      <c r="I144" s="685">
        <v>2</v>
      </c>
      <c r="J144" s="640">
        <f t="shared" si="79"/>
        <v>0.6</v>
      </c>
      <c r="K144" s="640"/>
      <c r="L144" s="640">
        <f t="shared" si="80"/>
        <v>0.46475999999999995</v>
      </c>
      <c r="M144" s="640">
        <f t="shared" si="81"/>
        <v>0.7026</v>
      </c>
      <c r="N144" s="640">
        <f t="shared" si="82"/>
        <v>4.3199999999999905E-2</v>
      </c>
      <c r="O144" s="640">
        <f t="shared" si="83"/>
        <v>0.54802800000000007</v>
      </c>
      <c r="P144" s="642">
        <v>0.1</v>
      </c>
      <c r="Q144" s="640"/>
      <c r="R144" s="640">
        <f t="shared" si="84"/>
        <v>7.0260000000000003E-2</v>
      </c>
      <c r="S144" s="640">
        <f t="shared" si="85"/>
        <v>0.14399999999999999</v>
      </c>
      <c r="T144" s="686">
        <f t="shared" si="86"/>
        <v>0.84660000000000002</v>
      </c>
      <c r="U144" s="640">
        <f t="shared" si="87"/>
        <v>0.42156000000000005</v>
      </c>
      <c r="V144" s="644" t="s">
        <v>721</v>
      </c>
    </row>
    <row r="145" spans="1:22" ht="12" x14ac:dyDescent="0.25">
      <c r="A145" s="682" t="s">
        <v>894</v>
      </c>
      <c r="B145" s="682"/>
      <c r="C145" s="682"/>
      <c r="D145" s="682" t="s">
        <v>942</v>
      </c>
      <c r="E145" s="683">
        <v>1</v>
      </c>
      <c r="F145" s="684">
        <f>0.585+0.3+3.435+1.33+0.12+1.33+0.405+0.17</f>
        <v>7.6750000000000007</v>
      </c>
      <c r="G145" s="656">
        <v>0.5</v>
      </c>
      <c r="H145" s="684">
        <v>0.75</v>
      </c>
      <c r="I145" s="685">
        <v>2</v>
      </c>
      <c r="J145" s="640">
        <f t="shared" si="79"/>
        <v>0.6</v>
      </c>
      <c r="K145" s="640"/>
      <c r="L145" s="640">
        <f t="shared" si="80"/>
        <v>3.1031250000000004</v>
      </c>
      <c r="M145" s="640">
        <f t="shared" si="81"/>
        <v>3.8375000000000004</v>
      </c>
      <c r="N145" s="640">
        <f t="shared" si="82"/>
        <v>0.22500000000000009</v>
      </c>
      <c r="O145" s="640">
        <f t="shared" si="83"/>
        <v>3.7415625000000006</v>
      </c>
      <c r="P145" s="642">
        <v>0.1</v>
      </c>
      <c r="Q145" s="640"/>
      <c r="R145" s="640">
        <f t="shared" si="84"/>
        <v>0.38375000000000004</v>
      </c>
      <c r="S145" s="640">
        <f t="shared" si="85"/>
        <v>0.75</v>
      </c>
      <c r="T145" s="686">
        <f t="shared" si="86"/>
        <v>4.5875000000000004</v>
      </c>
      <c r="U145" s="640">
        <f t="shared" si="87"/>
        <v>2.8781250000000003</v>
      </c>
      <c r="V145" s="644" t="s">
        <v>721</v>
      </c>
    </row>
    <row r="146" spans="1:22" ht="12" x14ac:dyDescent="0.25">
      <c r="A146" s="682" t="s">
        <v>894</v>
      </c>
      <c r="B146" s="682"/>
      <c r="C146" s="682"/>
      <c r="D146" s="682" t="s">
        <v>943</v>
      </c>
      <c r="E146" s="683">
        <v>1</v>
      </c>
      <c r="F146" s="684">
        <f>0.625+1.07</f>
        <v>1.6950000000000001</v>
      </c>
      <c r="G146" s="656">
        <v>0.5</v>
      </c>
      <c r="H146" s="684">
        <v>1</v>
      </c>
      <c r="I146" s="685">
        <v>2</v>
      </c>
      <c r="J146" s="640">
        <f t="shared" si="79"/>
        <v>0.6</v>
      </c>
      <c r="K146" s="640"/>
      <c r="L146" s="640">
        <f t="shared" si="80"/>
        <v>1.1475</v>
      </c>
      <c r="M146" s="640">
        <f t="shared" si="81"/>
        <v>0.84750000000000003</v>
      </c>
      <c r="N146" s="640">
        <f t="shared" si="82"/>
        <v>0.29999999999999993</v>
      </c>
      <c r="O146" s="640">
        <f t="shared" si="83"/>
        <v>1.10175</v>
      </c>
      <c r="P146" s="642">
        <v>0.1</v>
      </c>
      <c r="Q146" s="640"/>
      <c r="R146" s="640">
        <f t="shared" si="84"/>
        <v>8.4750000000000006E-2</v>
      </c>
      <c r="S146" s="640">
        <f t="shared" si="85"/>
        <v>1</v>
      </c>
      <c r="T146" s="686">
        <f t="shared" si="86"/>
        <v>1.8475000000000001</v>
      </c>
      <c r="U146" s="640">
        <f t="shared" si="87"/>
        <v>0.84750000000000003</v>
      </c>
      <c r="V146" s="644" t="s">
        <v>721</v>
      </c>
    </row>
    <row r="147" spans="1:22" ht="12" x14ac:dyDescent="0.25">
      <c r="A147" s="682" t="s">
        <v>894</v>
      </c>
      <c r="B147" s="682"/>
      <c r="C147" s="682"/>
      <c r="D147" s="682" t="s">
        <v>944</v>
      </c>
      <c r="E147" s="683">
        <v>1</v>
      </c>
      <c r="F147" s="684">
        <v>4.5250000000000004</v>
      </c>
      <c r="G147" s="656">
        <v>0.12</v>
      </c>
      <c r="H147" s="684">
        <v>0.6</v>
      </c>
      <c r="I147" s="685">
        <v>2</v>
      </c>
      <c r="J147" s="640">
        <f t="shared" si="79"/>
        <v>0.6</v>
      </c>
      <c r="K147" s="640"/>
      <c r="L147" s="640">
        <f t="shared" si="80"/>
        <v>0.36899999999999994</v>
      </c>
      <c r="M147" s="640">
        <f t="shared" si="81"/>
        <v>0.54300000000000004</v>
      </c>
      <c r="N147" s="640">
        <f t="shared" si="82"/>
        <v>4.3199999999999905E-2</v>
      </c>
      <c r="O147" s="640">
        <f t="shared" si="83"/>
        <v>0.42354000000000008</v>
      </c>
      <c r="P147" s="642">
        <v>0.1</v>
      </c>
      <c r="Q147" s="640"/>
      <c r="R147" s="640">
        <f t="shared" si="84"/>
        <v>5.4300000000000008E-2</v>
      </c>
      <c r="S147" s="640">
        <f t="shared" si="85"/>
        <v>0.14399999999999999</v>
      </c>
      <c r="T147" s="686">
        <f t="shared" si="86"/>
        <v>0.68700000000000006</v>
      </c>
      <c r="U147" s="640">
        <f t="shared" si="87"/>
        <v>0.32580000000000003</v>
      </c>
      <c r="V147" s="644" t="s">
        <v>721</v>
      </c>
    </row>
    <row r="148" spans="1:22" ht="12" x14ac:dyDescent="0.25">
      <c r="A148" s="682" t="s">
        <v>894</v>
      </c>
      <c r="B148" s="682"/>
      <c r="C148" s="682"/>
      <c r="D148" s="682" t="s">
        <v>945</v>
      </c>
      <c r="E148" s="683">
        <v>1</v>
      </c>
      <c r="F148" s="684">
        <f>0.58+0.3+3.435</f>
        <v>4.3149999999999995</v>
      </c>
      <c r="G148" s="656">
        <v>0.5</v>
      </c>
      <c r="H148" s="684">
        <v>0.75</v>
      </c>
      <c r="I148" s="685">
        <v>2</v>
      </c>
      <c r="J148" s="640">
        <f t="shared" si="79"/>
        <v>0.6</v>
      </c>
      <c r="K148" s="640"/>
      <c r="L148" s="640">
        <f t="shared" si="80"/>
        <v>1.8431249999999997</v>
      </c>
      <c r="M148" s="640">
        <f t="shared" si="81"/>
        <v>2.1574999999999998</v>
      </c>
      <c r="N148" s="640">
        <f t="shared" si="82"/>
        <v>0.22499999999999987</v>
      </c>
      <c r="O148" s="640">
        <f t="shared" si="83"/>
        <v>2.1035624999999998</v>
      </c>
      <c r="P148" s="642">
        <v>0.1</v>
      </c>
      <c r="Q148" s="640"/>
      <c r="R148" s="640">
        <f t="shared" si="84"/>
        <v>0.21575</v>
      </c>
      <c r="S148" s="640">
        <f t="shared" si="85"/>
        <v>0.75</v>
      </c>
      <c r="T148" s="686">
        <f t="shared" si="86"/>
        <v>2.9074999999999998</v>
      </c>
      <c r="U148" s="640">
        <f t="shared" si="87"/>
        <v>1.6181249999999998</v>
      </c>
      <c r="V148" s="644" t="s">
        <v>721</v>
      </c>
    </row>
    <row r="149" spans="1:22" ht="12" x14ac:dyDescent="0.25">
      <c r="A149" s="682" t="s">
        <v>894</v>
      </c>
      <c r="B149" s="682"/>
      <c r="C149" s="682"/>
      <c r="D149" s="682" t="s">
        <v>946</v>
      </c>
      <c r="E149" s="683">
        <v>1</v>
      </c>
      <c r="F149" s="684">
        <v>1.33</v>
      </c>
      <c r="G149" s="656">
        <v>0.12</v>
      </c>
      <c r="H149" s="684">
        <v>0.75</v>
      </c>
      <c r="I149" s="685">
        <v>2</v>
      </c>
      <c r="J149" s="640">
        <f t="shared" si="79"/>
        <v>0.6</v>
      </c>
      <c r="K149" s="640"/>
      <c r="L149" s="640">
        <f t="shared" si="80"/>
        <v>0.17370000000000002</v>
      </c>
      <c r="M149" s="640">
        <f t="shared" si="81"/>
        <v>0.15959999999999999</v>
      </c>
      <c r="N149" s="640">
        <f t="shared" si="82"/>
        <v>5.400000000000002E-2</v>
      </c>
      <c r="O149" s="640">
        <f t="shared" si="83"/>
        <v>0.15561</v>
      </c>
      <c r="P149" s="642">
        <v>0.1</v>
      </c>
      <c r="Q149" s="640"/>
      <c r="R149" s="640">
        <f t="shared" si="84"/>
        <v>1.5959999999999998E-2</v>
      </c>
      <c r="S149" s="640">
        <f t="shared" si="85"/>
        <v>0.18</v>
      </c>
      <c r="T149" s="686">
        <f t="shared" si="86"/>
        <v>0.33960000000000001</v>
      </c>
      <c r="U149" s="640">
        <f t="shared" si="87"/>
        <v>0.1197</v>
      </c>
      <c r="V149" s="644" t="s">
        <v>721</v>
      </c>
    </row>
    <row r="150" spans="1:22" ht="12" x14ac:dyDescent="0.25">
      <c r="A150" s="682" t="s">
        <v>894</v>
      </c>
      <c r="B150" s="682"/>
      <c r="C150" s="682"/>
      <c r="D150" s="682" t="s">
        <v>947</v>
      </c>
      <c r="E150" s="683">
        <v>1</v>
      </c>
      <c r="F150" s="684">
        <v>1.07</v>
      </c>
      <c r="G150" s="656">
        <v>0.3</v>
      </c>
      <c r="H150" s="684">
        <v>1</v>
      </c>
      <c r="I150" s="685">
        <v>2</v>
      </c>
      <c r="J150" s="640">
        <f t="shared" si="79"/>
        <v>0.6</v>
      </c>
      <c r="K150" s="640"/>
      <c r="L150" s="640">
        <f t="shared" si="80"/>
        <v>0.501</v>
      </c>
      <c r="M150" s="640">
        <f t="shared" si="81"/>
        <v>0.32100000000000001</v>
      </c>
      <c r="N150" s="640">
        <f t="shared" si="82"/>
        <v>0.18</v>
      </c>
      <c r="O150" s="640">
        <f t="shared" si="83"/>
        <v>0.4173</v>
      </c>
      <c r="P150" s="642">
        <v>0.1</v>
      </c>
      <c r="Q150" s="640"/>
      <c r="R150" s="640">
        <f t="shared" si="84"/>
        <v>3.2100000000000004E-2</v>
      </c>
      <c r="S150" s="640">
        <f t="shared" si="85"/>
        <v>0.6</v>
      </c>
      <c r="T150" s="686">
        <f t="shared" si="86"/>
        <v>0.92100000000000004</v>
      </c>
      <c r="U150" s="640">
        <f t="shared" si="87"/>
        <v>0.32100000000000001</v>
      </c>
      <c r="V150" s="644" t="s">
        <v>721</v>
      </c>
    </row>
    <row r="151" spans="1:22" ht="12" x14ac:dyDescent="0.25">
      <c r="A151" s="682" t="s">
        <v>894</v>
      </c>
      <c r="B151" s="682"/>
      <c r="C151" s="682"/>
      <c r="D151" s="682" t="s">
        <v>948</v>
      </c>
      <c r="E151" s="683">
        <v>1</v>
      </c>
      <c r="F151" s="684">
        <v>3.13</v>
      </c>
      <c r="G151" s="656">
        <v>0.12</v>
      </c>
      <c r="H151" s="684">
        <v>0.48</v>
      </c>
      <c r="I151" s="685">
        <v>2</v>
      </c>
      <c r="J151" s="640">
        <f t="shared" si="79"/>
        <v>0.6</v>
      </c>
      <c r="K151" s="640"/>
      <c r="L151" s="640">
        <f t="shared" si="80"/>
        <v>0.21484799999999998</v>
      </c>
      <c r="M151" s="640">
        <f t="shared" si="81"/>
        <v>0.37559999999999999</v>
      </c>
      <c r="N151" s="640">
        <f t="shared" si="82"/>
        <v>3.4560000000000007E-2</v>
      </c>
      <c r="O151" s="640">
        <f t="shared" si="83"/>
        <v>0.23437439999999998</v>
      </c>
      <c r="P151" s="642">
        <v>0.1</v>
      </c>
      <c r="Q151" s="640"/>
      <c r="R151" s="640">
        <f t="shared" si="84"/>
        <v>3.7560000000000003E-2</v>
      </c>
      <c r="S151" s="640">
        <f t="shared" si="85"/>
        <v>0.1152</v>
      </c>
      <c r="T151" s="686">
        <f t="shared" si="86"/>
        <v>0.49080000000000001</v>
      </c>
      <c r="U151" s="640">
        <f t="shared" si="87"/>
        <v>0.18028799999999998</v>
      </c>
      <c r="V151" s="644" t="s">
        <v>721</v>
      </c>
    </row>
    <row r="152" spans="1:22" ht="12" x14ac:dyDescent="0.25">
      <c r="A152" s="682" t="s">
        <v>894</v>
      </c>
      <c r="B152" s="682"/>
      <c r="C152" s="682"/>
      <c r="D152" s="682" t="s">
        <v>949</v>
      </c>
      <c r="E152" s="683">
        <v>1</v>
      </c>
      <c r="F152" s="684">
        <f>0.58+0.3+0.5+2.73</f>
        <v>4.1099999999999994</v>
      </c>
      <c r="G152" s="656">
        <v>0.5</v>
      </c>
      <c r="H152" s="684">
        <v>0.75</v>
      </c>
      <c r="I152" s="685">
        <v>2</v>
      </c>
      <c r="J152" s="640">
        <f t="shared" si="79"/>
        <v>0.6</v>
      </c>
      <c r="K152" s="640"/>
      <c r="L152" s="640">
        <f t="shared" si="80"/>
        <v>1.7662499999999997</v>
      </c>
      <c r="M152" s="640">
        <f t="shared" si="81"/>
        <v>2.0549999999999997</v>
      </c>
      <c r="N152" s="640">
        <f t="shared" si="82"/>
        <v>0.22499999999999987</v>
      </c>
      <c r="O152" s="640">
        <f t="shared" si="83"/>
        <v>2.003625</v>
      </c>
      <c r="P152" s="642">
        <v>0.1</v>
      </c>
      <c r="Q152" s="640"/>
      <c r="R152" s="640">
        <f t="shared" si="84"/>
        <v>0.20549999999999999</v>
      </c>
      <c r="S152" s="640">
        <f t="shared" si="85"/>
        <v>0.75</v>
      </c>
      <c r="T152" s="686">
        <f t="shared" si="86"/>
        <v>2.8049999999999997</v>
      </c>
      <c r="U152" s="640">
        <f t="shared" si="87"/>
        <v>1.5412499999999998</v>
      </c>
      <c r="V152" s="644" t="s">
        <v>721</v>
      </c>
    </row>
    <row r="153" spans="1:22" ht="12" x14ac:dyDescent="0.25">
      <c r="A153" s="682" t="s">
        <v>894</v>
      </c>
      <c r="B153" s="682"/>
      <c r="C153" s="682"/>
      <c r="D153" s="682" t="s">
        <v>950</v>
      </c>
      <c r="E153" s="683">
        <v>1</v>
      </c>
      <c r="F153" s="684">
        <f>3.13+0.12+0.85</f>
        <v>4.0999999999999996</v>
      </c>
      <c r="G153" s="656">
        <v>0.12</v>
      </c>
      <c r="H153" s="684">
        <v>0.75</v>
      </c>
      <c r="I153" s="685">
        <v>2</v>
      </c>
      <c r="J153" s="640">
        <f t="shared" si="79"/>
        <v>0.6</v>
      </c>
      <c r="K153" s="640"/>
      <c r="L153" s="640">
        <f t="shared" si="80"/>
        <v>0.42299999999999993</v>
      </c>
      <c r="M153" s="640">
        <f t="shared" si="81"/>
        <v>0.49199999999999994</v>
      </c>
      <c r="N153" s="640">
        <f t="shared" si="82"/>
        <v>5.3999999999999992E-2</v>
      </c>
      <c r="O153" s="640">
        <f t="shared" si="83"/>
        <v>0.47969999999999996</v>
      </c>
      <c r="P153" s="642">
        <v>0.1</v>
      </c>
      <c r="Q153" s="640"/>
      <c r="R153" s="640">
        <f t="shared" si="84"/>
        <v>4.9199999999999994E-2</v>
      </c>
      <c r="S153" s="640">
        <f t="shared" si="85"/>
        <v>0.18</v>
      </c>
      <c r="T153" s="686">
        <f t="shared" si="86"/>
        <v>0.67199999999999993</v>
      </c>
      <c r="U153" s="640">
        <f t="shared" si="87"/>
        <v>0.36899999999999994</v>
      </c>
      <c r="V153" s="644" t="s">
        <v>721</v>
      </c>
    </row>
    <row r="154" spans="1:22" ht="12" x14ac:dyDescent="0.25">
      <c r="A154" s="682" t="s">
        <v>894</v>
      </c>
      <c r="B154" s="682"/>
      <c r="C154" s="682"/>
      <c r="D154" s="682" t="s">
        <v>951</v>
      </c>
      <c r="E154" s="683">
        <v>1</v>
      </c>
      <c r="F154" s="684">
        <f>1.295+2.83+5.07</f>
        <v>9.1950000000000003</v>
      </c>
      <c r="G154" s="656">
        <v>0.17</v>
      </c>
      <c r="H154" s="684">
        <v>0.6</v>
      </c>
      <c r="I154" s="685">
        <v>2</v>
      </c>
      <c r="J154" s="640">
        <f t="shared" si="79"/>
        <v>0.6</v>
      </c>
      <c r="K154" s="640"/>
      <c r="L154" s="640">
        <f t="shared" si="80"/>
        <v>0.99909000000000003</v>
      </c>
      <c r="M154" s="640">
        <f t="shared" si="81"/>
        <v>1.5631500000000003</v>
      </c>
      <c r="N154" s="640">
        <f t="shared" si="82"/>
        <v>6.1199999999999921E-2</v>
      </c>
      <c r="O154" s="640">
        <f t="shared" si="83"/>
        <v>1.2192570000000003</v>
      </c>
      <c r="P154" s="642">
        <v>0.1</v>
      </c>
      <c r="Q154" s="640"/>
      <c r="R154" s="640">
        <f t="shared" si="84"/>
        <v>0.15631500000000004</v>
      </c>
      <c r="S154" s="640">
        <f t="shared" si="85"/>
        <v>0.20400000000000001</v>
      </c>
      <c r="T154" s="686">
        <f t="shared" si="86"/>
        <v>1.7671500000000002</v>
      </c>
      <c r="U154" s="640">
        <f t="shared" si="87"/>
        <v>0.93789000000000011</v>
      </c>
      <c r="V154" s="644" t="s">
        <v>721</v>
      </c>
    </row>
    <row r="155" spans="1:22" ht="12" x14ac:dyDescent="0.25">
      <c r="A155" s="682" t="s">
        <v>894</v>
      </c>
      <c r="B155" s="682"/>
      <c r="C155" s="682"/>
      <c r="D155" s="682" t="s">
        <v>952</v>
      </c>
      <c r="E155" s="683">
        <v>1</v>
      </c>
      <c r="F155" s="684">
        <f>5.365+7.25+5.255+0.39+3.005+5.945+1.05+6.475+1+1.17</f>
        <v>36.905000000000001</v>
      </c>
      <c r="G155" s="656">
        <v>0.17</v>
      </c>
      <c r="H155" s="684">
        <v>0.6</v>
      </c>
      <c r="I155" s="685">
        <v>2</v>
      </c>
      <c r="J155" s="640">
        <f t="shared" si="79"/>
        <v>0.6</v>
      </c>
      <c r="K155" s="640"/>
      <c r="L155" s="640">
        <f t="shared" si="80"/>
        <v>3.8255100000000004</v>
      </c>
      <c r="M155" s="640">
        <f t="shared" si="81"/>
        <v>6.2738500000000004</v>
      </c>
      <c r="N155" s="640">
        <f t="shared" si="82"/>
        <v>6.1199999999999921E-2</v>
      </c>
      <c r="O155" s="640">
        <f t="shared" si="83"/>
        <v>4.8936030000000006</v>
      </c>
      <c r="P155" s="642">
        <v>0.1</v>
      </c>
      <c r="Q155" s="640"/>
      <c r="R155" s="640">
        <f t="shared" si="84"/>
        <v>0.62738500000000008</v>
      </c>
      <c r="S155" s="640">
        <f t="shared" si="85"/>
        <v>0.20400000000000001</v>
      </c>
      <c r="T155" s="686">
        <f t="shared" si="86"/>
        <v>6.4778500000000001</v>
      </c>
      <c r="U155" s="640">
        <f t="shared" si="87"/>
        <v>3.7643100000000005</v>
      </c>
      <c r="V155" s="644" t="s">
        <v>721</v>
      </c>
    </row>
    <row r="156" spans="1:22" ht="12" x14ac:dyDescent="0.25">
      <c r="A156" s="682" t="s">
        <v>894</v>
      </c>
      <c r="B156" s="682"/>
      <c r="C156" s="682"/>
      <c r="D156" s="682" t="s">
        <v>953</v>
      </c>
      <c r="E156" s="683">
        <v>1</v>
      </c>
      <c r="F156" s="684">
        <v>3.8250000000000002</v>
      </c>
      <c r="G156" s="656">
        <v>0.17</v>
      </c>
      <c r="H156" s="684">
        <v>0.6</v>
      </c>
      <c r="I156" s="685">
        <v>2</v>
      </c>
      <c r="J156" s="640">
        <f t="shared" si="79"/>
        <v>0.6</v>
      </c>
      <c r="K156" s="640"/>
      <c r="L156" s="640">
        <f t="shared" si="80"/>
        <v>0.45134999999999997</v>
      </c>
      <c r="M156" s="640">
        <f t="shared" si="81"/>
        <v>0.65025000000000011</v>
      </c>
      <c r="N156" s="640">
        <f t="shared" si="82"/>
        <v>6.1199999999999977E-2</v>
      </c>
      <c r="O156" s="640">
        <f t="shared" si="83"/>
        <v>0.50719500000000006</v>
      </c>
      <c r="P156" s="642">
        <v>0.1</v>
      </c>
      <c r="Q156" s="640"/>
      <c r="R156" s="640">
        <f t="shared" si="84"/>
        <v>6.5025000000000013E-2</v>
      </c>
      <c r="S156" s="640">
        <f t="shared" si="85"/>
        <v>0.20400000000000001</v>
      </c>
      <c r="T156" s="686">
        <f t="shared" si="86"/>
        <v>0.85425000000000018</v>
      </c>
      <c r="U156" s="640">
        <f t="shared" si="87"/>
        <v>0.39015</v>
      </c>
      <c r="V156" s="644" t="s">
        <v>721</v>
      </c>
    </row>
    <row r="157" spans="1:22" ht="12" x14ac:dyDescent="0.25">
      <c r="A157" s="682" t="s">
        <v>894</v>
      </c>
      <c r="B157" s="682"/>
      <c r="C157" s="682"/>
      <c r="D157" s="682" t="s">
        <v>954</v>
      </c>
      <c r="E157" s="683">
        <v>1</v>
      </c>
      <c r="F157" s="684">
        <f>4.675+4.8+3.1</f>
        <v>12.574999999999999</v>
      </c>
      <c r="G157" s="656">
        <v>0.17</v>
      </c>
      <c r="H157" s="684">
        <v>0.6</v>
      </c>
      <c r="I157" s="685">
        <v>2</v>
      </c>
      <c r="J157" s="640">
        <f t="shared" si="79"/>
        <v>0.6</v>
      </c>
      <c r="K157" s="640"/>
      <c r="L157" s="640">
        <f t="shared" si="80"/>
        <v>1.34385</v>
      </c>
      <c r="M157" s="640">
        <f t="shared" si="81"/>
        <v>2.13775</v>
      </c>
      <c r="N157" s="640">
        <f t="shared" si="82"/>
        <v>6.1200000000000143E-2</v>
      </c>
      <c r="O157" s="640">
        <f t="shared" si="83"/>
        <v>1.6674449999999998</v>
      </c>
      <c r="P157" s="642">
        <v>0.1</v>
      </c>
      <c r="Q157" s="640"/>
      <c r="R157" s="640">
        <f t="shared" si="84"/>
        <v>0.21377500000000002</v>
      </c>
      <c r="S157" s="640">
        <f t="shared" si="85"/>
        <v>0.20400000000000001</v>
      </c>
      <c r="T157" s="686">
        <f t="shared" si="86"/>
        <v>2.3417500000000002</v>
      </c>
      <c r="U157" s="640">
        <f t="shared" si="87"/>
        <v>1.2826499999999998</v>
      </c>
      <c r="V157" s="644" t="s">
        <v>721</v>
      </c>
    </row>
    <row r="158" spans="1:22" ht="12" x14ac:dyDescent="0.25">
      <c r="A158" s="682" t="s">
        <v>894</v>
      </c>
      <c r="B158" s="682"/>
      <c r="C158" s="682"/>
      <c r="D158" s="682" t="s">
        <v>955</v>
      </c>
      <c r="E158" s="683">
        <v>1</v>
      </c>
      <c r="F158" s="684">
        <v>3.0550000000000002</v>
      </c>
      <c r="G158" s="656">
        <v>0.17</v>
      </c>
      <c r="H158" s="684">
        <v>0.6</v>
      </c>
      <c r="I158" s="685">
        <v>2</v>
      </c>
      <c r="J158" s="640">
        <f t="shared" ref="J158:J161" si="88">IF(H158&lt;=1,0.6,1.2)</f>
        <v>0.6</v>
      </c>
      <c r="K158" s="640"/>
      <c r="L158" s="640">
        <f t="shared" ref="L158:L161" si="89">((F158+J158)*(H158+K158)*G158)*E158</f>
        <v>0.37281000000000003</v>
      </c>
      <c r="M158" s="640">
        <f t="shared" ref="M158:M161" si="90">(F158)*(G158)*E158</f>
        <v>0.51935000000000009</v>
      </c>
      <c r="N158" s="640">
        <f t="shared" ref="N158:N161" si="91">L158-U158</f>
        <v>6.1200000000000032E-2</v>
      </c>
      <c r="O158" s="640">
        <f t="shared" ref="O158:O161" si="92">(L158-N158)*1.3</f>
        <v>0.40509300000000004</v>
      </c>
      <c r="P158" s="642">
        <v>0.1</v>
      </c>
      <c r="Q158" s="640"/>
      <c r="R158" s="640">
        <f t="shared" ref="R158:R161" si="93">M158*$P158</f>
        <v>5.1935000000000009E-2</v>
      </c>
      <c r="S158" s="640">
        <f t="shared" ref="S158:S161" si="94">((G158*H158*I158))*E158</f>
        <v>0.20400000000000001</v>
      </c>
      <c r="T158" s="686">
        <f t="shared" ref="T158:T161" si="95">S158+G158*F158</f>
        <v>0.72335000000000016</v>
      </c>
      <c r="U158" s="640">
        <f t="shared" ref="U158:U161" si="96">F158*H158*G158*E158</f>
        <v>0.31161</v>
      </c>
      <c r="V158" s="644" t="s">
        <v>721</v>
      </c>
    </row>
    <row r="159" spans="1:22" ht="12" x14ac:dyDescent="0.25">
      <c r="A159" s="682" t="s">
        <v>894</v>
      </c>
      <c r="B159" s="682"/>
      <c r="C159" s="682"/>
      <c r="D159" s="682" t="s">
        <v>956</v>
      </c>
      <c r="E159" s="683">
        <v>1</v>
      </c>
      <c r="F159" s="684">
        <f>6.185</f>
        <v>6.1849999999999996</v>
      </c>
      <c r="G159" s="656">
        <v>0.25</v>
      </c>
      <c r="H159" s="684">
        <v>0.6</v>
      </c>
      <c r="I159" s="685">
        <v>2</v>
      </c>
      <c r="J159" s="640">
        <f t="shared" si="88"/>
        <v>0.6</v>
      </c>
      <c r="K159" s="640"/>
      <c r="L159" s="640">
        <f t="shared" si="89"/>
        <v>1.0177499999999999</v>
      </c>
      <c r="M159" s="640">
        <f t="shared" si="90"/>
        <v>1.5462499999999999</v>
      </c>
      <c r="N159" s="640">
        <f t="shared" si="91"/>
        <v>9.000000000000008E-2</v>
      </c>
      <c r="O159" s="640">
        <f t="shared" si="92"/>
        <v>1.2060749999999998</v>
      </c>
      <c r="P159" s="642">
        <v>0.1</v>
      </c>
      <c r="Q159" s="640"/>
      <c r="R159" s="640">
        <f t="shared" si="93"/>
        <v>0.15462500000000001</v>
      </c>
      <c r="S159" s="640">
        <f t="shared" si="94"/>
        <v>0.3</v>
      </c>
      <c r="T159" s="686">
        <f t="shared" si="95"/>
        <v>1.8462499999999999</v>
      </c>
      <c r="U159" s="640">
        <f t="shared" si="96"/>
        <v>0.92774999999999985</v>
      </c>
      <c r="V159" s="644" t="s">
        <v>721</v>
      </c>
    </row>
    <row r="160" spans="1:22" ht="12" x14ac:dyDescent="0.25">
      <c r="A160" s="682" t="s">
        <v>894</v>
      </c>
      <c r="B160" s="682"/>
      <c r="C160" s="682"/>
      <c r="D160" s="682" t="s">
        <v>957</v>
      </c>
      <c r="E160" s="683">
        <v>1</v>
      </c>
      <c r="F160" s="684">
        <v>7.1150000000000002</v>
      </c>
      <c r="G160" s="656">
        <v>0.25</v>
      </c>
      <c r="H160" s="684">
        <v>0.6</v>
      </c>
      <c r="I160" s="685">
        <v>2</v>
      </c>
      <c r="J160" s="640">
        <f t="shared" si="88"/>
        <v>0.6</v>
      </c>
      <c r="K160" s="640"/>
      <c r="L160" s="640">
        <f t="shared" si="89"/>
        <v>1.1572499999999999</v>
      </c>
      <c r="M160" s="640">
        <f t="shared" si="90"/>
        <v>1.7787500000000001</v>
      </c>
      <c r="N160" s="640">
        <f t="shared" si="91"/>
        <v>8.9999999999999858E-2</v>
      </c>
      <c r="O160" s="640">
        <f t="shared" si="92"/>
        <v>1.3874250000000001</v>
      </c>
      <c r="P160" s="642">
        <v>0.1</v>
      </c>
      <c r="Q160" s="640"/>
      <c r="R160" s="640">
        <f t="shared" si="93"/>
        <v>0.17787500000000001</v>
      </c>
      <c r="S160" s="640">
        <f t="shared" si="94"/>
        <v>0.3</v>
      </c>
      <c r="T160" s="686">
        <f t="shared" si="95"/>
        <v>2.0787499999999999</v>
      </c>
      <c r="U160" s="640">
        <f t="shared" si="96"/>
        <v>1.06725</v>
      </c>
      <c r="V160" s="644" t="s">
        <v>721</v>
      </c>
    </row>
    <row r="161" spans="1:22" ht="12" x14ac:dyDescent="0.25">
      <c r="A161" s="682" t="s">
        <v>894</v>
      </c>
      <c r="B161" s="682"/>
      <c r="C161" s="682"/>
      <c r="D161" s="682" t="s">
        <v>958</v>
      </c>
      <c r="E161" s="683">
        <v>1</v>
      </c>
      <c r="F161" s="684">
        <v>4.32</v>
      </c>
      <c r="G161" s="656">
        <v>0.25</v>
      </c>
      <c r="H161" s="684">
        <v>0.6</v>
      </c>
      <c r="I161" s="685">
        <v>2</v>
      </c>
      <c r="J161" s="640">
        <f t="shared" si="88"/>
        <v>0.6</v>
      </c>
      <c r="K161" s="640"/>
      <c r="L161" s="640">
        <f t="shared" si="89"/>
        <v>0.73799999999999999</v>
      </c>
      <c r="M161" s="640">
        <f t="shared" si="90"/>
        <v>1.08</v>
      </c>
      <c r="N161" s="640">
        <f t="shared" si="91"/>
        <v>8.9999999999999969E-2</v>
      </c>
      <c r="O161" s="640">
        <f t="shared" si="92"/>
        <v>0.84240000000000004</v>
      </c>
      <c r="P161" s="642">
        <v>0.1</v>
      </c>
      <c r="Q161" s="640"/>
      <c r="R161" s="640">
        <f t="shared" si="93"/>
        <v>0.10800000000000001</v>
      </c>
      <c r="S161" s="640">
        <f t="shared" si="94"/>
        <v>0.3</v>
      </c>
      <c r="T161" s="686">
        <f t="shared" si="95"/>
        <v>1.3800000000000001</v>
      </c>
      <c r="U161" s="640">
        <f t="shared" si="96"/>
        <v>0.64800000000000002</v>
      </c>
      <c r="V161" s="644" t="s">
        <v>721</v>
      </c>
    </row>
    <row r="162" spans="1:22" ht="12" x14ac:dyDescent="0.25">
      <c r="A162" s="682" t="s">
        <v>894</v>
      </c>
      <c r="B162" s="682"/>
      <c r="C162" s="682"/>
      <c r="D162" s="682" t="s">
        <v>959</v>
      </c>
      <c r="E162" s="683">
        <v>1</v>
      </c>
      <c r="F162" s="684">
        <f>3.295+0.25+0.585</f>
        <v>4.13</v>
      </c>
      <c r="G162" s="656">
        <v>0.25</v>
      </c>
      <c r="H162" s="684">
        <v>0.6</v>
      </c>
      <c r="I162" s="685">
        <v>2</v>
      </c>
      <c r="J162" s="640">
        <f t="shared" si="79"/>
        <v>0.6</v>
      </c>
      <c r="K162" s="640"/>
      <c r="L162" s="640">
        <f t="shared" si="80"/>
        <v>0.70949999999999991</v>
      </c>
      <c r="M162" s="640">
        <f t="shared" si="81"/>
        <v>1.0325</v>
      </c>
      <c r="N162" s="640">
        <f t="shared" si="82"/>
        <v>8.9999999999999969E-2</v>
      </c>
      <c r="O162" s="640">
        <f t="shared" si="83"/>
        <v>0.8053499999999999</v>
      </c>
      <c r="P162" s="642">
        <v>0.1</v>
      </c>
      <c r="Q162" s="640"/>
      <c r="R162" s="640">
        <f t="shared" si="84"/>
        <v>0.10325000000000001</v>
      </c>
      <c r="S162" s="640">
        <f t="shared" si="85"/>
        <v>0.3</v>
      </c>
      <c r="T162" s="686">
        <f t="shared" si="86"/>
        <v>1.3325</v>
      </c>
      <c r="U162" s="640">
        <f t="shared" si="87"/>
        <v>0.61949999999999994</v>
      </c>
      <c r="V162" s="644" t="s">
        <v>721</v>
      </c>
    </row>
    <row r="163" spans="1:22" ht="12" x14ac:dyDescent="0.25">
      <c r="A163" s="682" t="s">
        <v>894</v>
      </c>
      <c r="B163" s="682"/>
      <c r="C163" s="682"/>
      <c r="D163" s="682" t="s">
        <v>960</v>
      </c>
      <c r="E163" s="683">
        <v>1</v>
      </c>
      <c r="F163" s="684">
        <f>1.79+1.57+3.08+0.12+0.17</f>
        <v>6.73</v>
      </c>
      <c r="G163" s="656">
        <v>0.12</v>
      </c>
      <c r="H163" s="684">
        <v>0.6</v>
      </c>
      <c r="I163" s="685">
        <v>2</v>
      </c>
      <c r="J163" s="640">
        <f t="shared" si="79"/>
        <v>0.6</v>
      </c>
      <c r="K163" s="640"/>
      <c r="L163" s="640">
        <f t="shared" si="80"/>
        <v>0.5277599999999999</v>
      </c>
      <c r="M163" s="640">
        <f t="shared" si="81"/>
        <v>0.80759999999999998</v>
      </c>
      <c r="N163" s="640">
        <f t="shared" si="82"/>
        <v>4.3199999999999905E-2</v>
      </c>
      <c r="O163" s="640">
        <f t="shared" si="83"/>
        <v>0.62992800000000004</v>
      </c>
      <c r="P163" s="642">
        <v>0.1</v>
      </c>
      <c r="Q163" s="640"/>
      <c r="R163" s="640">
        <f t="shared" si="84"/>
        <v>8.0759999999999998E-2</v>
      </c>
      <c r="S163" s="640">
        <f t="shared" si="85"/>
        <v>0.14399999999999999</v>
      </c>
      <c r="T163" s="686">
        <f t="shared" si="86"/>
        <v>0.9516</v>
      </c>
      <c r="U163" s="640">
        <f t="shared" si="87"/>
        <v>0.48455999999999999</v>
      </c>
      <c r="V163" s="644" t="s">
        <v>721</v>
      </c>
    </row>
    <row r="164" spans="1:22" ht="12" x14ac:dyDescent="0.25">
      <c r="A164" s="682" t="s">
        <v>894</v>
      </c>
      <c r="B164" s="682"/>
      <c r="C164" s="682"/>
      <c r="D164" s="682" t="s">
        <v>961</v>
      </c>
      <c r="E164" s="683">
        <v>1</v>
      </c>
      <c r="F164" s="684">
        <v>1.48</v>
      </c>
      <c r="G164" s="656">
        <v>0.12</v>
      </c>
      <c r="H164" s="684">
        <v>0.6</v>
      </c>
      <c r="I164" s="685">
        <v>2</v>
      </c>
      <c r="J164" s="640">
        <f t="shared" si="79"/>
        <v>0.6</v>
      </c>
      <c r="K164" s="640"/>
      <c r="L164" s="640">
        <f t="shared" si="80"/>
        <v>0.14976</v>
      </c>
      <c r="M164" s="640">
        <f t="shared" si="81"/>
        <v>0.17759999999999998</v>
      </c>
      <c r="N164" s="640">
        <f t="shared" si="82"/>
        <v>4.3200000000000002E-2</v>
      </c>
      <c r="O164" s="640">
        <f t="shared" si="83"/>
        <v>0.13852800000000001</v>
      </c>
      <c r="P164" s="642">
        <v>0.1</v>
      </c>
      <c r="Q164" s="640"/>
      <c r="R164" s="640">
        <f t="shared" si="84"/>
        <v>1.7759999999999998E-2</v>
      </c>
      <c r="S164" s="640">
        <f t="shared" si="85"/>
        <v>0.14399999999999999</v>
      </c>
      <c r="T164" s="686">
        <f t="shared" si="86"/>
        <v>0.3216</v>
      </c>
      <c r="U164" s="640">
        <f t="shared" si="87"/>
        <v>0.10656</v>
      </c>
      <c r="V164" s="644" t="s">
        <v>721</v>
      </c>
    </row>
    <row r="165" spans="1:22" ht="12" x14ac:dyDescent="0.25">
      <c r="A165" s="682" t="s">
        <v>894</v>
      </c>
      <c r="B165" s="682"/>
      <c r="C165" s="682"/>
      <c r="D165" s="682" t="s">
        <v>962</v>
      </c>
      <c r="E165" s="683">
        <v>1</v>
      </c>
      <c r="F165" s="684">
        <v>2.2250000000000001</v>
      </c>
      <c r="G165" s="656">
        <v>0.12</v>
      </c>
      <c r="H165" s="684">
        <v>0.6</v>
      </c>
      <c r="I165" s="685">
        <v>2</v>
      </c>
      <c r="J165" s="640">
        <f t="shared" si="79"/>
        <v>0.6</v>
      </c>
      <c r="K165" s="640"/>
      <c r="L165" s="640">
        <f t="shared" si="80"/>
        <v>0.2034</v>
      </c>
      <c r="M165" s="640">
        <f t="shared" si="81"/>
        <v>0.26700000000000002</v>
      </c>
      <c r="N165" s="640">
        <f t="shared" si="82"/>
        <v>4.3200000000000016E-2</v>
      </c>
      <c r="O165" s="640">
        <f t="shared" si="83"/>
        <v>0.20825999999999997</v>
      </c>
      <c r="P165" s="642">
        <v>0.1</v>
      </c>
      <c r="Q165" s="640"/>
      <c r="R165" s="640">
        <f t="shared" si="84"/>
        <v>2.6700000000000002E-2</v>
      </c>
      <c r="S165" s="640">
        <f t="shared" si="85"/>
        <v>0.14399999999999999</v>
      </c>
      <c r="T165" s="686">
        <f t="shared" si="86"/>
        <v>0.41100000000000003</v>
      </c>
      <c r="U165" s="640">
        <f t="shared" si="87"/>
        <v>0.16019999999999998</v>
      </c>
      <c r="V165" s="644" t="s">
        <v>721</v>
      </c>
    </row>
    <row r="166" spans="1:22" ht="12" x14ac:dyDescent="0.25">
      <c r="A166" s="682" t="s">
        <v>894</v>
      </c>
      <c r="B166" s="682"/>
      <c r="C166" s="682"/>
      <c r="D166" s="682" t="s">
        <v>963</v>
      </c>
      <c r="E166" s="683">
        <v>1</v>
      </c>
      <c r="F166" s="684">
        <f>2.09+0.25+3.025</f>
        <v>5.3650000000000002</v>
      </c>
      <c r="G166" s="656">
        <v>0.17</v>
      </c>
      <c r="H166" s="684">
        <v>0.6</v>
      </c>
      <c r="I166" s="685">
        <v>2</v>
      </c>
      <c r="J166" s="640">
        <f t="shared" ref="J166:J169" si="97">IF(H166&lt;=1,0.6,1.2)</f>
        <v>0.6</v>
      </c>
      <c r="K166" s="640"/>
      <c r="L166" s="640">
        <f t="shared" ref="L166:L169" si="98">((F166+J166)*(H166+K166)*G166)*E166</f>
        <v>0.60843000000000003</v>
      </c>
      <c r="M166" s="640">
        <f t="shared" ref="M166:M169" si="99">(F166)*(G166)*E166</f>
        <v>0.91205000000000014</v>
      </c>
      <c r="N166" s="640">
        <f t="shared" ref="N166:N169" si="100">L166-U166</f>
        <v>6.1200000000000032E-2</v>
      </c>
      <c r="O166" s="640">
        <f t="shared" ref="O166:O169" si="101">(L166-N166)*1.3</f>
        <v>0.711399</v>
      </c>
      <c r="P166" s="642">
        <v>0.1</v>
      </c>
      <c r="Q166" s="640"/>
      <c r="R166" s="640">
        <f t="shared" ref="R166:R169" si="102">M166*$P166</f>
        <v>9.1205000000000022E-2</v>
      </c>
      <c r="S166" s="640">
        <f t="shared" ref="S166:S169" si="103">((G166*H166*I166))*E166</f>
        <v>0.20400000000000001</v>
      </c>
      <c r="T166" s="686">
        <f t="shared" ref="T166:T169" si="104">S166+G166*F166</f>
        <v>1.1160500000000002</v>
      </c>
      <c r="U166" s="640">
        <f t="shared" ref="U166:U169" si="105">F166*H166*G166*E166</f>
        <v>0.54722999999999999</v>
      </c>
      <c r="V166" s="644" t="s">
        <v>721</v>
      </c>
    </row>
    <row r="167" spans="1:22" ht="12" x14ac:dyDescent="0.25">
      <c r="A167" s="682" t="s">
        <v>894</v>
      </c>
      <c r="B167" s="682"/>
      <c r="C167" s="682"/>
      <c r="D167" s="682" t="s">
        <v>964</v>
      </c>
      <c r="E167" s="683">
        <v>1</v>
      </c>
      <c r="F167" s="684">
        <v>4.28</v>
      </c>
      <c r="G167" s="656">
        <v>0.6</v>
      </c>
      <c r="H167" s="684">
        <v>0.75</v>
      </c>
      <c r="I167" s="685">
        <v>2</v>
      </c>
      <c r="J167" s="640">
        <f t="shared" si="97"/>
        <v>0.6</v>
      </c>
      <c r="K167" s="640"/>
      <c r="L167" s="640">
        <f t="shared" si="98"/>
        <v>2.1960000000000002</v>
      </c>
      <c r="M167" s="640">
        <f t="shared" si="99"/>
        <v>2.5680000000000001</v>
      </c>
      <c r="N167" s="640">
        <f t="shared" si="100"/>
        <v>0.27000000000000024</v>
      </c>
      <c r="O167" s="640">
        <f t="shared" si="101"/>
        <v>2.5038</v>
      </c>
      <c r="P167" s="642">
        <v>0.1</v>
      </c>
      <c r="Q167" s="640"/>
      <c r="R167" s="640">
        <f t="shared" si="102"/>
        <v>0.25680000000000003</v>
      </c>
      <c r="S167" s="640">
        <f t="shared" si="103"/>
        <v>0.89999999999999991</v>
      </c>
      <c r="T167" s="686">
        <f t="shared" si="104"/>
        <v>3.468</v>
      </c>
      <c r="U167" s="640">
        <f t="shared" si="105"/>
        <v>1.9259999999999999</v>
      </c>
      <c r="V167" s="644" t="s">
        <v>721</v>
      </c>
    </row>
    <row r="168" spans="1:22" ht="12" x14ac:dyDescent="0.25">
      <c r="A168" s="682" t="s">
        <v>894</v>
      </c>
      <c r="B168" s="682"/>
      <c r="C168" s="682"/>
      <c r="D168" s="682" t="s">
        <v>965</v>
      </c>
      <c r="E168" s="683">
        <v>1</v>
      </c>
      <c r="F168" s="684">
        <f>3.265+0.65+5.775+0.12+1.005</f>
        <v>10.815000000000001</v>
      </c>
      <c r="G168" s="656">
        <v>0.17</v>
      </c>
      <c r="H168" s="684">
        <v>0.6</v>
      </c>
      <c r="I168" s="685">
        <v>2</v>
      </c>
      <c r="J168" s="640">
        <f t="shared" ref="J168" si="106">IF(H168&lt;=1,0.6,1.2)</f>
        <v>0.6</v>
      </c>
      <c r="K168" s="640"/>
      <c r="L168" s="640">
        <f t="shared" ref="L168" si="107">((F168+J168)*(H168+K168)*G168)*E168</f>
        <v>1.1643300000000001</v>
      </c>
      <c r="M168" s="640">
        <f t="shared" ref="M168" si="108">(F168)*(G168)*E168</f>
        <v>1.8385500000000004</v>
      </c>
      <c r="N168" s="640">
        <f t="shared" ref="N168" si="109">L168-U168</f>
        <v>6.1199999999999921E-2</v>
      </c>
      <c r="O168" s="640">
        <f t="shared" ref="O168" si="110">(L168-N168)*1.3</f>
        <v>1.4340690000000003</v>
      </c>
      <c r="P168" s="642">
        <v>0.1</v>
      </c>
      <c r="Q168" s="640"/>
      <c r="R168" s="640">
        <f t="shared" ref="R168" si="111">M168*$P168</f>
        <v>0.18385500000000005</v>
      </c>
      <c r="S168" s="640">
        <f t="shared" ref="S168" si="112">((G168*H168*I168))*E168</f>
        <v>0.20400000000000001</v>
      </c>
      <c r="T168" s="686">
        <f t="shared" ref="T168" si="113">S168+G168*F168</f>
        <v>2.0425500000000003</v>
      </c>
      <c r="U168" s="640">
        <f t="shared" ref="U168" si="114">F168*H168*G168*E168</f>
        <v>1.1031300000000002</v>
      </c>
      <c r="V168" s="644" t="s">
        <v>721</v>
      </c>
    </row>
    <row r="169" spans="1:22" ht="12" x14ac:dyDescent="0.25">
      <c r="A169" s="682" t="s">
        <v>894</v>
      </c>
      <c r="B169" s="682"/>
      <c r="C169" s="682"/>
      <c r="D169" s="682" t="s">
        <v>966</v>
      </c>
      <c r="E169" s="683">
        <v>1</v>
      </c>
      <c r="F169" s="684">
        <v>4.28</v>
      </c>
      <c r="G169" s="656">
        <v>0.6</v>
      </c>
      <c r="H169" s="684">
        <v>0.75</v>
      </c>
      <c r="I169" s="685">
        <v>2</v>
      </c>
      <c r="J169" s="640">
        <f t="shared" si="97"/>
        <v>0.6</v>
      </c>
      <c r="K169" s="640"/>
      <c r="L169" s="640">
        <f t="shared" si="98"/>
        <v>2.1960000000000002</v>
      </c>
      <c r="M169" s="640">
        <f t="shared" si="99"/>
        <v>2.5680000000000001</v>
      </c>
      <c r="N169" s="640">
        <f t="shared" si="100"/>
        <v>0.27000000000000024</v>
      </c>
      <c r="O169" s="640">
        <f t="shared" si="101"/>
        <v>2.5038</v>
      </c>
      <c r="P169" s="642">
        <v>0.1</v>
      </c>
      <c r="Q169" s="640"/>
      <c r="R169" s="640">
        <f t="shared" si="102"/>
        <v>0.25680000000000003</v>
      </c>
      <c r="S169" s="640">
        <f t="shared" si="103"/>
        <v>0.89999999999999991</v>
      </c>
      <c r="T169" s="686">
        <f t="shared" si="104"/>
        <v>3.468</v>
      </c>
      <c r="U169" s="640">
        <f t="shared" si="105"/>
        <v>1.9259999999999999</v>
      </c>
      <c r="V169" s="644" t="s">
        <v>721</v>
      </c>
    </row>
    <row r="170" spans="1:22" ht="12" x14ac:dyDescent="0.25">
      <c r="A170" s="682" t="s">
        <v>894</v>
      </c>
      <c r="B170" s="682"/>
      <c r="C170" s="682"/>
      <c r="D170" s="682" t="s">
        <v>967</v>
      </c>
      <c r="E170" s="683">
        <v>1</v>
      </c>
      <c r="F170" s="684">
        <v>2.0150000000000001</v>
      </c>
      <c r="G170" s="656">
        <v>0.17</v>
      </c>
      <c r="H170" s="684">
        <v>0.6</v>
      </c>
      <c r="I170" s="685">
        <v>2</v>
      </c>
      <c r="J170" s="640">
        <f t="shared" si="79"/>
        <v>0.6</v>
      </c>
      <c r="K170" s="640"/>
      <c r="L170" s="640">
        <f t="shared" si="80"/>
        <v>0.26673000000000002</v>
      </c>
      <c r="M170" s="640">
        <f t="shared" si="81"/>
        <v>0.34255000000000002</v>
      </c>
      <c r="N170" s="640">
        <f t="shared" si="82"/>
        <v>6.1200000000000004E-2</v>
      </c>
      <c r="O170" s="640">
        <f t="shared" si="83"/>
        <v>0.26718900000000001</v>
      </c>
      <c r="P170" s="642">
        <v>0.1</v>
      </c>
      <c r="Q170" s="640"/>
      <c r="R170" s="640">
        <f t="shared" si="84"/>
        <v>3.4255000000000001E-2</v>
      </c>
      <c r="S170" s="640">
        <f t="shared" si="85"/>
        <v>0.20400000000000001</v>
      </c>
      <c r="T170" s="686">
        <f t="shared" si="86"/>
        <v>0.54655000000000009</v>
      </c>
      <c r="U170" s="640">
        <f t="shared" si="87"/>
        <v>0.20553000000000002</v>
      </c>
      <c r="V170" s="644" t="s">
        <v>721</v>
      </c>
    </row>
    <row r="171" spans="1:22" ht="12" x14ac:dyDescent="0.25">
      <c r="A171" s="682" t="s">
        <v>894</v>
      </c>
      <c r="B171" s="682"/>
      <c r="C171" s="682"/>
      <c r="D171" s="682" t="s">
        <v>968</v>
      </c>
      <c r="E171" s="683">
        <v>1</v>
      </c>
      <c r="F171" s="684">
        <v>4.62</v>
      </c>
      <c r="G171" s="656">
        <v>0.15</v>
      </c>
      <c r="H171" s="684">
        <v>0.5</v>
      </c>
      <c r="I171" s="685">
        <v>2</v>
      </c>
      <c r="J171" s="640">
        <f t="shared" si="79"/>
        <v>0.6</v>
      </c>
      <c r="K171" s="640"/>
      <c r="L171" s="640">
        <f t="shared" si="80"/>
        <v>0.39149999999999996</v>
      </c>
      <c r="M171" s="640">
        <f t="shared" si="81"/>
        <v>0.69299999999999995</v>
      </c>
      <c r="N171" s="640">
        <f t="shared" si="82"/>
        <v>4.4999999999999984E-2</v>
      </c>
      <c r="O171" s="640">
        <f t="shared" si="83"/>
        <v>0.45044999999999996</v>
      </c>
      <c r="P171" s="642">
        <v>0.1</v>
      </c>
      <c r="Q171" s="640"/>
      <c r="R171" s="640">
        <f t="shared" si="84"/>
        <v>6.93E-2</v>
      </c>
      <c r="S171" s="640">
        <f t="shared" si="85"/>
        <v>0.15</v>
      </c>
      <c r="T171" s="686">
        <f t="shared" si="86"/>
        <v>0.84299999999999997</v>
      </c>
      <c r="U171" s="640">
        <f t="shared" si="87"/>
        <v>0.34649999999999997</v>
      </c>
      <c r="V171" s="644" t="s">
        <v>721</v>
      </c>
    </row>
    <row r="172" spans="1:22" ht="12" x14ac:dyDescent="0.25">
      <c r="A172" s="682" t="s">
        <v>894</v>
      </c>
      <c r="B172" s="682"/>
      <c r="C172" s="682"/>
      <c r="D172" s="682" t="s">
        <v>972</v>
      </c>
      <c r="E172" s="683">
        <v>1</v>
      </c>
      <c r="F172" s="684">
        <f>1.865</f>
        <v>1.865</v>
      </c>
      <c r="G172" s="656">
        <v>0.17</v>
      </c>
      <c r="H172" s="684">
        <v>1.07</v>
      </c>
      <c r="I172" s="685">
        <v>2</v>
      </c>
      <c r="J172" s="640">
        <f t="shared" ref="J172" si="115">IF(H172&lt;=1,0.6,1.2)</f>
        <v>1.2</v>
      </c>
      <c r="K172" s="640"/>
      <c r="L172" s="640">
        <f t="shared" ref="L172" si="116">((F172+J172)*(H172+K172)*G172)*E172</f>
        <v>0.55752350000000006</v>
      </c>
      <c r="M172" s="640">
        <f t="shared" ref="M172" si="117">(F172)*(G172)*E172</f>
        <v>0.31705</v>
      </c>
      <c r="N172" s="640">
        <f t="shared" ref="N172" si="118">L172-U172</f>
        <v>0.21828000000000003</v>
      </c>
      <c r="O172" s="640">
        <f t="shared" ref="O172" si="119">(L172-N172)*1.3</f>
        <v>0.44101655000000006</v>
      </c>
      <c r="P172" s="642">
        <v>0.1</v>
      </c>
      <c r="Q172" s="640"/>
      <c r="R172" s="640">
        <f t="shared" ref="R172" si="120">M172*$P172</f>
        <v>3.1705000000000004E-2</v>
      </c>
      <c r="S172" s="640">
        <f t="shared" ref="S172" si="121">((G172*H172*I172))*E172</f>
        <v>0.36380000000000007</v>
      </c>
      <c r="T172" s="686">
        <f t="shared" ref="T172" si="122">S172+G172*F172</f>
        <v>0.68085000000000007</v>
      </c>
      <c r="U172" s="640">
        <f t="shared" ref="U172" si="123">F172*H172*G172*E172</f>
        <v>0.33924350000000003</v>
      </c>
      <c r="V172" s="644" t="s">
        <v>721</v>
      </c>
    </row>
    <row r="173" spans="1:22" ht="12" x14ac:dyDescent="0.25">
      <c r="A173" s="682" t="s">
        <v>894</v>
      </c>
      <c r="B173" s="682"/>
      <c r="C173" s="682"/>
      <c r="D173" s="682" t="s">
        <v>969</v>
      </c>
      <c r="E173" s="683">
        <v>1</v>
      </c>
      <c r="F173" s="684">
        <f>0.6+7+0.6+7.41+0.6+0.905</f>
        <v>17.115000000000002</v>
      </c>
      <c r="G173" s="656">
        <v>0.17</v>
      </c>
      <c r="H173" s="684">
        <v>0.6</v>
      </c>
      <c r="I173" s="685">
        <v>2</v>
      </c>
      <c r="J173" s="640">
        <f t="shared" si="79"/>
        <v>0.6</v>
      </c>
      <c r="K173" s="640"/>
      <c r="L173" s="640">
        <f t="shared" si="80"/>
        <v>1.8069300000000004</v>
      </c>
      <c r="M173" s="640">
        <f t="shared" si="81"/>
        <v>2.9095500000000007</v>
      </c>
      <c r="N173" s="640">
        <f t="shared" si="82"/>
        <v>6.1200000000000143E-2</v>
      </c>
      <c r="O173" s="640">
        <f t="shared" si="83"/>
        <v>2.2694490000000003</v>
      </c>
      <c r="P173" s="642">
        <v>0.1</v>
      </c>
      <c r="Q173" s="640"/>
      <c r="R173" s="640">
        <f t="shared" si="84"/>
        <v>0.29095500000000007</v>
      </c>
      <c r="S173" s="640">
        <f t="shared" si="85"/>
        <v>0.20400000000000001</v>
      </c>
      <c r="T173" s="686">
        <f t="shared" si="86"/>
        <v>3.1135500000000009</v>
      </c>
      <c r="U173" s="640">
        <f t="shared" si="87"/>
        <v>1.7457300000000002</v>
      </c>
      <c r="V173" s="644" t="s">
        <v>721</v>
      </c>
    </row>
    <row r="174" spans="1:22" ht="12" x14ac:dyDescent="0.25">
      <c r="A174" s="682" t="s">
        <v>894</v>
      </c>
      <c r="B174" s="682"/>
      <c r="C174" s="682"/>
      <c r="D174" s="682" t="s">
        <v>970</v>
      </c>
      <c r="E174" s="683">
        <v>1</v>
      </c>
      <c r="F174" s="684">
        <f>4.885+2.405</f>
        <v>7.2899999999999991</v>
      </c>
      <c r="G174" s="656">
        <v>0.17</v>
      </c>
      <c r="H174" s="684">
        <v>0.6</v>
      </c>
      <c r="I174" s="685">
        <v>2</v>
      </c>
      <c r="J174" s="640">
        <f t="shared" si="79"/>
        <v>0.6</v>
      </c>
      <c r="K174" s="640"/>
      <c r="L174" s="640">
        <f t="shared" si="80"/>
        <v>0.80477999999999994</v>
      </c>
      <c r="M174" s="640">
        <f t="shared" si="81"/>
        <v>1.2392999999999998</v>
      </c>
      <c r="N174" s="640">
        <f t="shared" si="82"/>
        <v>6.1199999999999921E-2</v>
      </c>
      <c r="O174" s="640">
        <f t="shared" si="83"/>
        <v>0.96665400000000001</v>
      </c>
      <c r="P174" s="642">
        <v>0.1</v>
      </c>
      <c r="Q174" s="640"/>
      <c r="R174" s="640">
        <f t="shared" si="84"/>
        <v>0.12392999999999998</v>
      </c>
      <c r="S174" s="640">
        <f t="shared" si="85"/>
        <v>0.20400000000000001</v>
      </c>
      <c r="T174" s="686">
        <f t="shared" si="86"/>
        <v>1.4432999999999998</v>
      </c>
      <c r="U174" s="640">
        <f t="shared" si="87"/>
        <v>0.74358000000000002</v>
      </c>
      <c r="V174" s="644" t="s">
        <v>721</v>
      </c>
    </row>
    <row r="175" spans="1:22" ht="12" x14ac:dyDescent="0.25">
      <c r="A175" s="682" t="s">
        <v>894</v>
      </c>
      <c r="B175" s="682"/>
      <c r="C175" s="682"/>
      <c r="D175" s="682" t="s">
        <v>973</v>
      </c>
      <c r="E175" s="683">
        <v>1</v>
      </c>
      <c r="F175" s="684">
        <v>2.085</v>
      </c>
      <c r="G175" s="656">
        <v>0.17</v>
      </c>
      <c r="H175" s="684">
        <v>1.2150000000000001</v>
      </c>
      <c r="I175" s="685">
        <v>2</v>
      </c>
      <c r="J175" s="640">
        <f t="shared" si="79"/>
        <v>1.2</v>
      </c>
      <c r="K175" s="640"/>
      <c r="L175" s="640">
        <f t="shared" si="80"/>
        <v>0.67851675000000011</v>
      </c>
      <c r="M175" s="640">
        <f t="shared" si="81"/>
        <v>0.35445000000000004</v>
      </c>
      <c r="N175" s="640">
        <f t="shared" si="82"/>
        <v>0.24786000000000008</v>
      </c>
      <c r="O175" s="640">
        <f t="shared" si="83"/>
        <v>0.55985377500000011</v>
      </c>
      <c r="P175" s="642">
        <v>0.1</v>
      </c>
      <c r="Q175" s="640"/>
      <c r="R175" s="640">
        <f t="shared" si="84"/>
        <v>3.5445000000000004E-2</v>
      </c>
      <c r="S175" s="640">
        <f t="shared" si="85"/>
        <v>0.41310000000000008</v>
      </c>
      <c r="T175" s="686">
        <f t="shared" si="86"/>
        <v>0.76755000000000018</v>
      </c>
      <c r="U175" s="640">
        <f t="shared" si="87"/>
        <v>0.43065675000000003</v>
      </c>
      <c r="V175" s="644" t="s">
        <v>721</v>
      </c>
    </row>
    <row r="176" spans="1:22" ht="12" x14ac:dyDescent="0.25">
      <c r="A176" s="682" t="s">
        <v>894</v>
      </c>
      <c r="B176" s="682"/>
      <c r="C176" s="682"/>
      <c r="D176" s="682" t="s">
        <v>971</v>
      </c>
      <c r="E176" s="683">
        <v>1</v>
      </c>
      <c r="F176" s="684">
        <v>4.7249999999999996</v>
      </c>
      <c r="G176" s="656">
        <v>0.17</v>
      </c>
      <c r="H176" s="684">
        <v>0.6</v>
      </c>
      <c r="I176" s="685">
        <v>2</v>
      </c>
      <c r="J176" s="640">
        <f t="shared" si="51"/>
        <v>0.6</v>
      </c>
      <c r="K176" s="640"/>
      <c r="L176" s="640">
        <f t="shared" si="52"/>
        <v>0.54314999999999991</v>
      </c>
      <c r="M176" s="640">
        <f t="shared" si="53"/>
        <v>0.80325000000000002</v>
      </c>
      <c r="N176" s="640">
        <f t="shared" si="54"/>
        <v>6.1199999999999977E-2</v>
      </c>
      <c r="O176" s="640">
        <f t="shared" si="77"/>
        <v>0.62653499999999995</v>
      </c>
      <c r="P176" s="642">
        <v>0.1</v>
      </c>
      <c r="Q176" s="640"/>
      <c r="R176" s="640">
        <f t="shared" si="78"/>
        <v>8.0325000000000008E-2</v>
      </c>
      <c r="S176" s="640">
        <f t="shared" si="56"/>
        <v>0.20400000000000001</v>
      </c>
      <c r="T176" s="686">
        <f t="shared" si="57"/>
        <v>1.00725</v>
      </c>
      <c r="U176" s="640">
        <f t="shared" si="58"/>
        <v>0.48194999999999993</v>
      </c>
      <c r="V176" s="644" t="s">
        <v>721</v>
      </c>
    </row>
    <row r="177" spans="1:22" ht="12.75" thickBot="1" x14ac:dyDescent="0.3">
      <c r="A177" s="682" t="s">
        <v>894</v>
      </c>
      <c r="B177" s="682"/>
      <c r="C177" s="682"/>
      <c r="D177" s="682"/>
      <c r="E177" s="683">
        <v>1</v>
      </c>
      <c r="F177" s="684"/>
      <c r="G177" s="656"/>
      <c r="H177" s="684"/>
      <c r="I177" s="685">
        <v>2</v>
      </c>
      <c r="J177" s="640">
        <f t="shared" si="51"/>
        <v>0.6</v>
      </c>
      <c r="K177" s="640"/>
      <c r="L177" s="640">
        <f t="shared" si="52"/>
        <v>0</v>
      </c>
      <c r="M177" s="640">
        <f t="shared" si="53"/>
        <v>0</v>
      </c>
      <c r="N177" s="640">
        <f t="shared" si="54"/>
        <v>0</v>
      </c>
      <c r="O177" s="640">
        <f t="shared" si="77"/>
        <v>0</v>
      </c>
      <c r="P177" s="642">
        <v>0.1</v>
      </c>
      <c r="Q177" s="640"/>
      <c r="R177" s="640">
        <f t="shared" si="78"/>
        <v>0</v>
      </c>
      <c r="S177" s="640">
        <f t="shared" si="56"/>
        <v>0</v>
      </c>
      <c r="T177" s="686">
        <f t="shared" si="57"/>
        <v>0</v>
      </c>
      <c r="U177" s="640">
        <f t="shared" si="58"/>
        <v>0</v>
      </c>
      <c r="V177" s="644" t="s">
        <v>721</v>
      </c>
    </row>
    <row r="178" spans="1:22" ht="13.5" thickTop="1" thickBot="1" x14ac:dyDescent="0.3">
      <c r="A178" s="575" t="str">
        <f>"TOTAL GERAL - "&amp;A92</f>
        <v>TOTAL GERAL - VIGAS  FUNDAÇÃO</v>
      </c>
      <c r="B178" s="575"/>
      <c r="C178" s="688"/>
      <c r="D178" s="577"/>
      <c r="E178" s="577"/>
      <c r="F178" s="577"/>
      <c r="G178" s="577"/>
      <c r="H178" s="577"/>
      <c r="I178" s="579"/>
      <c r="J178" s="577"/>
      <c r="K178" s="577"/>
      <c r="L178" s="579">
        <f>SUM(L96:L177)</f>
        <v>71.772639249999969</v>
      </c>
      <c r="M178" s="579">
        <f>SUM(M96:M177)</f>
        <v>95.896599999999935</v>
      </c>
      <c r="N178" s="579">
        <f>SUM(N96:N177)</f>
        <v>8.4256199999999968</v>
      </c>
      <c r="O178" s="579">
        <f>SUM(O96:O177)</f>
        <v>82.351125025000002</v>
      </c>
      <c r="P178" s="579"/>
      <c r="Q178" s="579">
        <f>SUM(Q96:Q177)</f>
        <v>0</v>
      </c>
      <c r="R178" s="579">
        <f>SUM(R96:R177)</f>
        <v>9.5896599999999985</v>
      </c>
      <c r="S178" s="579">
        <f>SUM(S96:S177)</f>
        <v>25.772499999999997</v>
      </c>
      <c r="T178" s="579">
        <f>SUM(T96:T177)</f>
        <v>121.6691</v>
      </c>
      <c r="U178" s="579">
        <f>SUM(U96:U177)</f>
        <v>63.347019250000024</v>
      </c>
      <c r="V178" s="689"/>
    </row>
    <row r="179" spans="1:22" ht="12" thickTop="1" x14ac:dyDescent="0.25"/>
    <row r="181" spans="1:22" ht="18.75" x14ac:dyDescent="0.25">
      <c r="A181" s="1116" t="s">
        <v>768</v>
      </c>
      <c r="B181" s="1116"/>
      <c r="C181" s="1116"/>
      <c r="D181" s="1116"/>
      <c r="E181" s="1116"/>
      <c r="F181" s="1116"/>
      <c r="G181" s="1116"/>
      <c r="H181" s="1116"/>
      <c r="I181" s="1116"/>
      <c r="J181" s="1116"/>
      <c r="K181" s="1116"/>
      <c r="L181" s="1116"/>
      <c r="M181" s="1116"/>
      <c r="N181" s="1116"/>
      <c r="O181" s="1116"/>
      <c r="P181" s="1116"/>
      <c r="Q181" s="1116"/>
      <c r="R181" s="1116"/>
      <c r="S181" s="1116"/>
      <c r="T181" s="1116"/>
      <c r="U181" s="1116"/>
      <c r="V181" s="1116"/>
    </row>
    <row r="182" spans="1:22" ht="12.75" x14ac:dyDescent="0.25">
      <c r="A182" s="1117" t="s">
        <v>677</v>
      </c>
      <c r="B182" s="1117"/>
      <c r="C182" s="1109"/>
      <c r="D182" s="1109"/>
      <c r="E182" s="1121" t="s">
        <v>758</v>
      </c>
      <c r="F182" s="622" t="s">
        <v>723</v>
      </c>
      <c r="G182" s="622"/>
      <c r="H182" s="622"/>
      <c r="I182" s="675"/>
      <c r="J182" s="1113" t="s">
        <v>724</v>
      </c>
      <c r="K182" s="1114"/>
      <c r="L182" s="621" t="s">
        <v>725</v>
      </c>
      <c r="M182" s="622"/>
      <c r="N182" s="622"/>
      <c r="O182" s="622"/>
      <c r="P182" s="622"/>
      <c r="Q182" s="622"/>
      <c r="R182" s="622"/>
      <c r="S182" s="622"/>
      <c r="T182" s="623"/>
      <c r="U182" s="622"/>
      <c r="V182" s="622"/>
    </row>
    <row r="183" spans="1:22" ht="12.75" x14ac:dyDescent="0.25">
      <c r="A183" s="1118"/>
      <c r="B183" s="1118"/>
      <c r="C183" s="1120"/>
      <c r="D183" s="1120"/>
      <c r="E183" s="1122"/>
      <c r="F183" s="625" t="s">
        <v>764</v>
      </c>
      <c r="G183" s="626" t="s">
        <v>765</v>
      </c>
      <c r="H183" s="626" t="s">
        <v>766</v>
      </c>
      <c r="I183" s="690" t="s">
        <v>769</v>
      </c>
      <c r="J183" s="627" t="s">
        <v>730</v>
      </c>
      <c r="K183" s="627" t="s">
        <v>731</v>
      </c>
      <c r="L183" s="628" t="s">
        <v>732</v>
      </c>
      <c r="M183" s="628" t="s">
        <v>733</v>
      </c>
      <c r="N183" s="628" t="s">
        <v>734</v>
      </c>
      <c r="O183" s="628" t="s">
        <v>735</v>
      </c>
      <c r="P183" s="1135" t="s">
        <v>885</v>
      </c>
      <c r="Q183" s="1136"/>
      <c r="R183" s="1137"/>
      <c r="S183" s="628" t="s">
        <v>736</v>
      </c>
      <c r="T183" s="628" t="s">
        <v>716</v>
      </c>
      <c r="U183" s="628" t="s">
        <v>439</v>
      </c>
      <c r="V183" s="628" t="s">
        <v>737</v>
      </c>
    </row>
    <row r="184" spans="1:22" ht="12.75" x14ac:dyDescent="0.25">
      <c r="A184" s="1119"/>
      <c r="B184" s="1119"/>
      <c r="C184" s="1110"/>
      <c r="D184" s="1110"/>
      <c r="E184" s="1123"/>
      <c r="F184" s="630" t="s">
        <v>738</v>
      </c>
      <c r="G184" s="631" t="s">
        <v>740</v>
      </c>
      <c r="H184" s="631" t="s">
        <v>739</v>
      </c>
      <c r="I184" s="631" t="s">
        <v>767</v>
      </c>
      <c r="J184" s="632" t="s">
        <v>54</v>
      </c>
      <c r="K184" s="632" t="s">
        <v>54</v>
      </c>
      <c r="L184" s="632" t="s">
        <v>434</v>
      </c>
      <c r="M184" s="632" t="s">
        <v>66</v>
      </c>
      <c r="N184" s="632" t="s">
        <v>434</v>
      </c>
      <c r="O184" s="632" t="s">
        <v>434</v>
      </c>
      <c r="P184" s="633" t="s">
        <v>741</v>
      </c>
      <c r="Q184" s="721" t="s">
        <v>434</v>
      </c>
      <c r="R184" s="721" t="s">
        <v>434</v>
      </c>
      <c r="S184" s="632" t="s">
        <v>66</v>
      </c>
      <c r="T184" s="632" t="s">
        <v>66</v>
      </c>
      <c r="U184" s="632" t="s">
        <v>434</v>
      </c>
      <c r="V184" s="632"/>
    </row>
    <row r="185" spans="1:22" ht="12" x14ac:dyDescent="0.25">
      <c r="A185" s="678" t="s">
        <v>742</v>
      </c>
      <c r="B185" s="679"/>
      <c r="C185" s="679"/>
      <c r="D185" s="679"/>
      <c r="E185" s="679"/>
      <c r="F185" s="680"/>
      <c r="G185" s="680"/>
      <c r="H185" s="680"/>
      <c r="I185" s="679"/>
      <c r="J185" s="680"/>
      <c r="K185" s="679"/>
      <c r="L185" s="679"/>
      <c r="M185" s="679"/>
      <c r="N185" s="679"/>
      <c r="O185" s="679"/>
      <c r="P185" s="665"/>
      <c r="Q185" s="724" t="s">
        <v>884</v>
      </c>
      <c r="R185" s="724" t="s">
        <v>439</v>
      </c>
      <c r="S185" s="679"/>
      <c r="T185" s="681"/>
      <c r="U185" s="679"/>
      <c r="V185" s="680"/>
    </row>
    <row r="186" spans="1:22" ht="12" x14ac:dyDescent="0.25">
      <c r="A186" s="645" t="s">
        <v>784</v>
      </c>
      <c r="B186" s="682"/>
      <c r="C186" s="682"/>
      <c r="D186" s="682" t="s">
        <v>827</v>
      </c>
      <c r="E186" s="683">
        <v>1</v>
      </c>
      <c r="F186" s="684">
        <v>0.35</v>
      </c>
      <c r="G186" s="656">
        <v>1.55</v>
      </c>
      <c r="H186" s="684">
        <v>0.6</v>
      </c>
      <c r="I186" s="685">
        <v>4</v>
      </c>
      <c r="J186" s="640">
        <f t="shared" ref="J186:J242" si="124">IF(H186&lt;=1,0.6,1.2)</f>
        <v>0.6</v>
      </c>
      <c r="K186" s="640"/>
      <c r="L186" s="640">
        <f t="shared" ref="L186:L242" si="125">((F186+J186)*(H186+K186)*G186)*E186</f>
        <v>0.88349999999999995</v>
      </c>
      <c r="M186" s="640">
        <f t="shared" ref="M186:M242" si="126">(F186)*(G186)*E186</f>
        <v>0.54249999999999998</v>
      </c>
      <c r="N186" s="640">
        <f t="shared" ref="N186:N242" si="127">L186-U186</f>
        <v>0.55799999999999994</v>
      </c>
      <c r="O186" s="640">
        <f>(L186-N186)*1.3</f>
        <v>0.42315000000000003</v>
      </c>
      <c r="P186" s="642">
        <v>0.1</v>
      </c>
      <c r="Q186" s="640"/>
      <c r="R186" s="640">
        <f t="shared" ref="R186:R191" si="128">M186*$P186</f>
        <v>5.425E-2</v>
      </c>
      <c r="S186" s="640">
        <f t="shared" ref="S186:S242" si="129">((G186*H186*I186))*E186</f>
        <v>3.7199999999999998</v>
      </c>
      <c r="T186" s="686">
        <f t="shared" ref="T186:T242" si="130">S186+G186*F186</f>
        <v>4.2624999999999993</v>
      </c>
      <c r="U186" s="640">
        <f t="shared" ref="U186:U242" si="131">F186*H186*G186*E186</f>
        <v>0.32550000000000001</v>
      </c>
      <c r="V186" s="644" t="s">
        <v>721</v>
      </c>
    </row>
    <row r="187" spans="1:22" ht="12" x14ac:dyDescent="0.25">
      <c r="A187" s="645" t="s">
        <v>784</v>
      </c>
      <c r="B187" s="682"/>
      <c r="C187" s="682"/>
      <c r="D187" s="682" t="s">
        <v>828</v>
      </c>
      <c r="E187" s="683">
        <v>1</v>
      </c>
      <c r="F187" s="684">
        <v>0.45</v>
      </c>
      <c r="G187" s="656">
        <v>1</v>
      </c>
      <c r="H187" s="684">
        <v>0.6</v>
      </c>
      <c r="I187" s="685">
        <v>4</v>
      </c>
      <c r="J187" s="640">
        <f t="shared" si="124"/>
        <v>0.6</v>
      </c>
      <c r="K187" s="640"/>
      <c r="L187" s="640">
        <f t="shared" si="125"/>
        <v>0.63</v>
      </c>
      <c r="M187" s="640">
        <f t="shared" si="126"/>
        <v>0.45</v>
      </c>
      <c r="N187" s="640">
        <f t="shared" si="127"/>
        <v>0.36</v>
      </c>
      <c r="O187" s="640">
        <f>(L187-N187)*1.3</f>
        <v>0.35100000000000003</v>
      </c>
      <c r="P187" s="642">
        <v>0.1</v>
      </c>
      <c r="Q187" s="640"/>
      <c r="R187" s="640">
        <f t="shared" si="128"/>
        <v>4.5000000000000005E-2</v>
      </c>
      <c r="S187" s="640">
        <f t="shared" si="129"/>
        <v>2.4</v>
      </c>
      <c r="T187" s="686">
        <f t="shared" si="130"/>
        <v>2.85</v>
      </c>
      <c r="U187" s="640">
        <f t="shared" si="131"/>
        <v>0.27</v>
      </c>
      <c r="V187" s="644" t="s">
        <v>721</v>
      </c>
    </row>
    <row r="188" spans="1:22" ht="12" x14ac:dyDescent="0.25">
      <c r="A188" s="645" t="s">
        <v>784</v>
      </c>
      <c r="B188" s="682"/>
      <c r="C188" s="682"/>
      <c r="D188" s="682" t="s">
        <v>829</v>
      </c>
      <c r="E188" s="683">
        <v>1</v>
      </c>
      <c r="F188" s="684">
        <v>0.22</v>
      </c>
      <c r="G188" s="656">
        <v>1.77</v>
      </c>
      <c r="H188" s="684">
        <v>1</v>
      </c>
      <c r="I188" s="685">
        <v>4</v>
      </c>
      <c r="J188" s="640">
        <f t="shared" si="124"/>
        <v>0.6</v>
      </c>
      <c r="K188" s="640"/>
      <c r="L188" s="640">
        <f t="shared" si="125"/>
        <v>1.4514</v>
      </c>
      <c r="M188" s="640">
        <f t="shared" si="126"/>
        <v>0.38940000000000002</v>
      </c>
      <c r="N188" s="640">
        <f t="shared" si="127"/>
        <v>1.0620000000000001</v>
      </c>
      <c r="O188" s="640">
        <f>(L188-N188)*1.3</f>
        <v>0.50622</v>
      </c>
      <c r="P188" s="642">
        <v>0.1</v>
      </c>
      <c r="Q188" s="640"/>
      <c r="R188" s="640">
        <f t="shared" si="128"/>
        <v>3.8940000000000002E-2</v>
      </c>
      <c r="S188" s="640">
        <f t="shared" si="129"/>
        <v>7.08</v>
      </c>
      <c r="T188" s="686">
        <f t="shared" si="130"/>
        <v>7.4694000000000003</v>
      </c>
      <c r="U188" s="640">
        <f t="shared" si="131"/>
        <v>0.38940000000000002</v>
      </c>
      <c r="V188" s="644" t="s">
        <v>721</v>
      </c>
    </row>
    <row r="189" spans="1:22" ht="12" x14ac:dyDescent="0.25">
      <c r="A189" s="645" t="s">
        <v>784</v>
      </c>
      <c r="B189" s="682"/>
      <c r="C189" s="682"/>
      <c r="D189" s="682" t="s">
        <v>830</v>
      </c>
      <c r="E189" s="683">
        <v>1</v>
      </c>
      <c r="F189" s="684">
        <v>0.3</v>
      </c>
      <c r="G189" s="656">
        <v>1.47</v>
      </c>
      <c r="H189" s="684">
        <v>1.02</v>
      </c>
      <c r="I189" s="685">
        <v>4</v>
      </c>
      <c r="J189" s="640">
        <f t="shared" si="124"/>
        <v>1.2</v>
      </c>
      <c r="K189" s="640"/>
      <c r="L189" s="640">
        <f t="shared" si="125"/>
        <v>2.2490999999999999</v>
      </c>
      <c r="M189" s="640">
        <f t="shared" si="126"/>
        <v>0.441</v>
      </c>
      <c r="N189" s="640">
        <f t="shared" si="127"/>
        <v>1.79928</v>
      </c>
      <c r="O189" s="640">
        <f t="shared" ref="O189:O242" si="132">(L189-N189)*1.3</f>
        <v>0.5847659999999999</v>
      </c>
      <c r="P189" s="642">
        <v>0.1</v>
      </c>
      <c r="Q189" s="640"/>
      <c r="R189" s="640">
        <f t="shared" si="128"/>
        <v>4.41E-2</v>
      </c>
      <c r="S189" s="640">
        <f t="shared" si="129"/>
        <v>5.9976000000000003</v>
      </c>
      <c r="T189" s="686">
        <f t="shared" si="130"/>
        <v>6.4386000000000001</v>
      </c>
      <c r="U189" s="640">
        <f t="shared" si="131"/>
        <v>0.44982</v>
      </c>
      <c r="V189" s="644" t="s">
        <v>721</v>
      </c>
    </row>
    <row r="190" spans="1:22" ht="12" x14ac:dyDescent="0.25">
      <c r="A190" s="645" t="s">
        <v>784</v>
      </c>
      <c r="B190" s="682"/>
      <c r="C190" s="682"/>
      <c r="D190" s="682" t="s">
        <v>832</v>
      </c>
      <c r="E190" s="683">
        <v>1</v>
      </c>
      <c r="F190" s="684">
        <v>0.3</v>
      </c>
      <c r="G190" s="656">
        <v>0.5</v>
      </c>
      <c r="H190" s="684">
        <v>1.02</v>
      </c>
      <c r="I190" s="685">
        <v>4</v>
      </c>
      <c r="J190" s="640">
        <f t="shared" si="124"/>
        <v>1.2</v>
      </c>
      <c r="K190" s="640"/>
      <c r="L190" s="640">
        <f t="shared" si="125"/>
        <v>0.76500000000000001</v>
      </c>
      <c r="M190" s="640">
        <f t="shared" si="126"/>
        <v>0.15</v>
      </c>
      <c r="N190" s="640">
        <f t="shared" si="127"/>
        <v>0.61199999999999999</v>
      </c>
      <c r="O190" s="640">
        <f t="shared" si="132"/>
        <v>0.19890000000000005</v>
      </c>
      <c r="P190" s="642">
        <v>0.1</v>
      </c>
      <c r="Q190" s="640"/>
      <c r="R190" s="640">
        <f t="shared" si="128"/>
        <v>1.4999999999999999E-2</v>
      </c>
      <c r="S190" s="640">
        <f t="shared" si="129"/>
        <v>2.04</v>
      </c>
      <c r="T190" s="686">
        <f t="shared" si="130"/>
        <v>2.19</v>
      </c>
      <c r="U190" s="640">
        <f t="shared" si="131"/>
        <v>0.153</v>
      </c>
      <c r="V190" s="644" t="s">
        <v>721</v>
      </c>
    </row>
    <row r="191" spans="1:22" ht="12" x14ac:dyDescent="0.25">
      <c r="A191" s="645" t="s">
        <v>784</v>
      </c>
      <c r="B191" s="682"/>
      <c r="C191" s="682"/>
      <c r="D191" s="682" t="s">
        <v>833</v>
      </c>
      <c r="E191" s="683">
        <v>2</v>
      </c>
      <c r="F191" s="684">
        <v>0.85</v>
      </c>
      <c r="G191" s="656">
        <v>0.19</v>
      </c>
      <c r="H191" s="684">
        <v>1.6</v>
      </c>
      <c r="I191" s="685">
        <v>4</v>
      </c>
      <c r="J191" s="640">
        <f t="shared" si="124"/>
        <v>1.2</v>
      </c>
      <c r="K191" s="640"/>
      <c r="L191" s="640">
        <f t="shared" si="125"/>
        <v>1.2464</v>
      </c>
      <c r="M191" s="640">
        <f t="shared" si="126"/>
        <v>0.32300000000000001</v>
      </c>
      <c r="N191" s="640">
        <f t="shared" si="127"/>
        <v>0.72959999999999992</v>
      </c>
      <c r="O191" s="640">
        <f t="shared" si="132"/>
        <v>0.6718400000000001</v>
      </c>
      <c r="P191" s="642">
        <v>0.1</v>
      </c>
      <c r="Q191" s="640"/>
      <c r="R191" s="640">
        <f t="shared" si="128"/>
        <v>3.2300000000000002E-2</v>
      </c>
      <c r="S191" s="640">
        <f t="shared" si="129"/>
        <v>2.4320000000000004</v>
      </c>
      <c r="T191" s="686">
        <f t="shared" si="130"/>
        <v>2.5935000000000006</v>
      </c>
      <c r="U191" s="640">
        <f t="shared" si="131"/>
        <v>0.51680000000000004</v>
      </c>
      <c r="V191" s="644" t="s">
        <v>721</v>
      </c>
    </row>
    <row r="192" spans="1:22" ht="12" x14ac:dyDescent="0.25">
      <c r="A192" s="645" t="s">
        <v>784</v>
      </c>
      <c r="B192" s="682"/>
      <c r="C192" s="682"/>
      <c r="D192" s="682" t="s">
        <v>833</v>
      </c>
      <c r="E192" s="683">
        <v>1</v>
      </c>
      <c r="F192" s="684">
        <v>1.73</v>
      </c>
      <c r="G192" s="656">
        <v>0.19</v>
      </c>
      <c r="H192" s="684">
        <v>1.6</v>
      </c>
      <c r="I192" s="685">
        <v>4</v>
      </c>
      <c r="J192" s="640">
        <f t="shared" si="124"/>
        <v>1.2</v>
      </c>
      <c r="K192" s="640"/>
      <c r="L192" s="640">
        <f t="shared" si="125"/>
        <v>0.89071999999999996</v>
      </c>
      <c r="M192" s="640">
        <f t="shared" si="126"/>
        <v>0.32869999999999999</v>
      </c>
      <c r="N192" s="640">
        <f t="shared" si="127"/>
        <v>0.3647999999999999</v>
      </c>
      <c r="O192" s="640">
        <f t="shared" si="132"/>
        <v>0.68369600000000008</v>
      </c>
      <c r="P192" s="642">
        <v>0.1</v>
      </c>
      <c r="Q192" s="640"/>
      <c r="R192" s="640">
        <f t="shared" ref="R192:R242" si="133">M192*$P192</f>
        <v>3.2870000000000003E-2</v>
      </c>
      <c r="S192" s="640">
        <f t="shared" si="129"/>
        <v>1.2160000000000002</v>
      </c>
      <c r="T192" s="686">
        <f t="shared" si="130"/>
        <v>1.5447000000000002</v>
      </c>
      <c r="U192" s="640">
        <f t="shared" si="131"/>
        <v>0.52592000000000005</v>
      </c>
      <c r="V192" s="644" t="s">
        <v>721</v>
      </c>
    </row>
    <row r="193" spans="1:22" ht="12" x14ac:dyDescent="0.25">
      <c r="A193" s="645" t="s">
        <v>784</v>
      </c>
      <c r="B193" s="682"/>
      <c r="C193" s="682"/>
      <c r="D193" s="682" t="s">
        <v>834</v>
      </c>
      <c r="E193" s="683">
        <v>1</v>
      </c>
      <c r="F193" s="684">
        <v>0.25</v>
      </c>
      <c r="G193" s="656">
        <v>1.97</v>
      </c>
      <c r="H193" s="684">
        <v>1.6</v>
      </c>
      <c r="I193" s="685">
        <v>4</v>
      </c>
      <c r="J193" s="640">
        <f t="shared" si="124"/>
        <v>1.2</v>
      </c>
      <c r="K193" s="640"/>
      <c r="L193" s="640">
        <f t="shared" si="125"/>
        <v>4.5703999999999994</v>
      </c>
      <c r="M193" s="640">
        <f t="shared" si="126"/>
        <v>0.49249999999999999</v>
      </c>
      <c r="N193" s="640">
        <f t="shared" si="127"/>
        <v>3.7823999999999991</v>
      </c>
      <c r="O193" s="640">
        <f t="shared" si="132"/>
        <v>1.0244000000000004</v>
      </c>
      <c r="P193" s="642">
        <v>0.1</v>
      </c>
      <c r="Q193" s="640"/>
      <c r="R193" s="640">
        <f t="shared" si="133"/>
        <v>4.9250000000000002E-2</v>
      </c>
      <c r="S193" s="640">
        <f t="shared" si="129"/>
        <v>12.608000000000001</v>
      </c>
      <c r="T193" s="686">
        <f t="shared" si="130"/>
        <v>13.1005</v>
      </c>
      <c r="U193" s="640">
        <f t="shared" si="131"/>
        <v>0.78800000000000003</v>
      </c>
      <c r="V193" s="644" t="s">
        <v>721</v>
      </c>
    </row>
    <row r="194" spans="1:22" ht="12" x14ac:dyDescent="0.25">
      <c r="A194" s="645" t="s">
        <v>784</v>
      </c>
      <c r="B194" s="682"/>
      <c r="C194" s="682"/>
      <c r="D194" s="682" t="s">
        <v>835</v>
      </c>
      <c r="E194" s="683">
        <v>1</v>
      </c>
      <c r="F194" s="684">
        <v>0.35</v>
      </c>
      <c r="G194" s="656">
        <v>1.25</v>
      </c>
      <c r="H194" s="684">
        <v>0.6</v>
      </c>
      <c r="I194" s="685">
        <v>4</v>
      </c>
      <c r="J194" s="640">
        <f t="shared" si="124"/>
        <v>0.6</v>
      </c>
      <c r="K194" s="640"/>
      <c r="L194" s="640">
        <f t="shared" si="125"/>
        <v>0.71249999999999991</v>
      </c>
      <c r="M194" s="640">
        <f t="shared" si="126"/>
        <v>0.4375</v>
      </c>
      <c r="N194" s="640">
        <f t="shared" si="127"/>
        <v>0.4499999999999999</v>
      </c>
      <c r="O194" s="640">
        <f t="shared" si="132"/>
        <v>0.34125000000000005</v>
      </c>
      <c r="P194" s="642">
        <v>0.1</v>
      </c>
      <c r="Q194" s="640"/>
      <c r="R194" s="640">
        <f t="shared" si="133"/>
        <v>4.3750000000000004E-2</v>
      </c>
      <c r="S194" s="640">
        <f t="shared" si="129"/>
        <v>3</v>
      </c>
      <c r="T194" s="686">
        <f t="shared" si="130"/>
        <v>3.4375</v>
      </c>
      <c r="U194" s="640">
        <f t="shared" si="131"/>
        <v>0.26250000000000001</v>
      </c>
      <c r="V194" s="644" t="s">
        <v>721</v>
      </c>
    </row>
    <row r="195" spans="1:22" ht="12" x14ac:dyDescent="0.25">
      <c r="A195" s="645" t="s">
        <v>784</v>
      </c>
      <c r="B195" s="682"/>
      <c r="C195" s="682"/>
      <c r="D195" s="682" t="s">
        <v>836</v>
      </c>
      <c r="E195" s="683">
        <v>1</v>
      </c>
      <c r="F195" s="684">
        <v>0.6</v>
      </c>
      <c r="G195" s="656">
        <v>1.25</v>
      </c>
      <c r="H195" s="684">
        <v>1.02</v>
      </c>
      <c r="I195" s="685">
        <v>4</v>
      </c>
      <c r="J195" s="640">
        <f t="shared" ref="J195:J241" si="134">IF(H195&lt;=1,0.6,1.2)</f>
        <v>1.2</v>
      </c>
      <c r="K195" s="640"/>
      <c r="L195" s="640">
        <f t="shared" ref="L195:L241" si="135">((F195+J195)*(H195+K195)*G195)*E195</f>
        <v>2.2949999999999999</v>
      </c>
      <c r="M195" s="640">
        <f t="shared" ref="M195:M241" si="136">(F195)*(G195)*E195</f>
        <v>0.75</v>
      </c>
      <c r="N195" s="640">
        <f t="shared" ref="N195:N241" si="137">L195-U195</f>
        <v>1.5299999999999998</v>
      </c>
      <c r="O195" s="640">
        <f t="shared" ref="O195:O241" si="138">(L195-N195)*1.3</f>
        <v>0.99450000000000016</v>
      </c>
      <c r="P195" s="642">
        <v>0.1</v>
      </c>
      <c r="Q195" s="640"/>
      <c r="R195" s="640">
        <f t="shared" ref="R195:R241" si="139">M195*$P195</f>
        <v>7.5000000000000011E-2</v>
      </c>
      <c r="S195" s="640">
        <f t="shared" ref="S195:S241" si="140">((G195*H195*I195))*E195</f>
        <v>5.0999999999999996</v>
      </c>
      <c r="T195" s="686">
        <f t="shared" ref="T195:T241" si="141">S195+G195*F195</f>
        <v>5.85</v>
      </c>
      <c r="U195" s="640">
        <f t="shared" ref="U195:U241" si="142">F195*H195*G195*E195</f>
        <v>0.76500000000000001</v>
      </c>
      <c r="V195" s="644" t="s">
        <v>721</v>
      </c>
    </row>
    <row r="196" spans="1:22" ht="12" x14ac:dyDescent="0.25">
      <c r="A196" s="645" t="s">
        <v>784</v>
      </c>
      <c r="B196" s="682"/>
      <c r="C196" s="682"/>
      <c r="D196" s="682" t="s">
        <v>837</v>
      </c>
      <c r="E196" s="683">
        <v>1</v>
      </c>
      <c r="F196" s="684">
        <v>0.7</v>
      </c>
      <c r="G196" s="656">
        <v>0.7</v>
      </c>
      <c r="H196" s="684">
        <v>1.02</v>
      </c>
      <c r="I196" s="685">
        <v>4</v>
      </c>
      <c r="J196" s="640">
        <f t="shared" si="134"/>
        <v>1.2</v>
      </c>
      <c r="K196" s="640"/>
      <c r="L196" s="640">
        <f t="shared" si="135"/>
        <v>1.3565999999999998</v>
      </c>
      <c r="M196" s="640">
        <f t="shared" si="136"/>
        <v>0.48999999999999994</v>
      </c>
      <c r="N196" s="640">
        <f t="shared" si="137"/>
        <v>0.85679999999999978</v>
      </c>
      <c r="O196" s="640">
        <f t="shared" si="138"/>
        <v>0.6497400000000001</v>
      </c>
      <c r="P196" s="642">
        <v>0.1</v>
      </c>
      <c r="Q196" s="640"/>
      <c r="R196" s="640">
        <f t="shared" si="139"/>
        <v>4.8999999999999995E-2</v>
      </c>
      <c r="S196" s="640">
        <f t="shared" si="140"/>
        <v>2.8559999999999999</v>
      </c>
      <c r="T196" s="686">
        <f t="shared" si="141"/>
        <v>3.3459999999999996</v>
      </c>
      <c r="U196" s="640">
        <f t="shared" si="142"/>
        <v>0.49979999999999997</v>
      </c>
      <c r="V196" s="644" t="s">
        <v>721</v>
      </c>
    </row>
    <row r="197" spans="1:22" ht="12" x14ac:dyDescent="0.25">
      <c r="A197" s="645" t="s">
        <v>784</v>
      </c>
      <c r="B197" s="682"/>
      <c r="C197" s="682"/>
      <c r="D197" s="682" t="s">
        <v>838</v>
      </c>
      <c r="E197" s="683">
        <v>1</v>
      </c>
      <c r="F197" s="684">
        <v>0.3</v>
      </c>
      <c r="G197" s="656">
        <v>0.3</v>
      </c>
      <c r="H197" s="684">
        <v>0.6</v>
      </c>
      <c r="I197" s="685">
        <v>4</v>
      </c>
      <c r="J197" s="640">
        <f t="shared" si="134"/>
        <v>0.6</v>
      </c>
      <c r="K197" s="640"/>
      <c r="L197" s="640">
        <f t="shared" si="135"/>
        <v>0.16199999999999998</v>
      </c>
      <c r="M197" s="640">
        <f t="shared" si="136"/>
        <v>0.09</v>
      </c>
      <c r="N197" s="640">
        <f t="shared" si="137"/>
        <v>0.10799999999999998</v>
      </c>
      <c r="O197" s="640">
        <f t="shared" si="138"/>
        <v>7.0199999999999999E-2</v>
      </c>
      <c r="P197" s="642">
        <v>0.1</v>
      </c>
      <c r="Q197" s="640"/>
      <c r="R197" s="640">
        <f t="shared" si="139"/>
        <v>8.9999999999999993E-3</v>
      </c>
      <c r="S197" s="640">
        <f t="shared" si="140"/>
        <v>0.72</v>
      </c>
      <c r="T197" s="686">
        <f t="shared" si="141"/>
        <v>0.80999999999999994</v>
      </c>
      <c r="U197" s="640">
        <f t="shared" si="142"/>
        <v>5.3999999999999999E-2</v>
      </c>
      <c r="V197" s="644" t="s">
        <v>721</v>
      </c>
    </row>
    <row r="198" spans="1:22" ht="12" x14ac:dyDescent="0.25">
      <c r="A198" s="645" t="s">
        <v>784</v>
      </c>
      <c r="B198" s="682"/>
      <c r="C198" s="682"/>
      <c r="D198" s="682" t="s">
        <v>839</v>
      </c>
      <c r="E198" s="683">
        <v>1</v>
      </c>
      <c r="F198" s="684">
        <v>0.25</v>
      </c>
      <c r="G198" s="656">
        <v>0.5</v>
      </c>
      <c r="H198" s="684">
        <v>0.75</v>
      </c>
      <c r="I198" s="685">
        <v>4</v>
      </c>
      <c r="J198" s="640">
        <f t="shared" si="134"/>
        <v>0.6</v>
      </c>
      <c r="K198" s="640"/>
      <c r="L198" s="640">
        <f t="shared" si="135"/>
        <v>0.31874999999999998</v>
      </c>
      <c r="M198" s="640">
        <f t="shared" si="136"/>
        <v>0.125</v>
      </c>
      <c r="N198" s="640">
        <f t="shared" si="137"/>
        <v>0.22499999999999998</v>
      </c>
      <c r="O198" s="640">
        <f t="shared" si="138"/>
        <v>0.12187500000000001</v>
      </c>
      <c r="P198" s="642">
        <v>0.1</v>
      </c>
      <c r="Q198" s="640"/>
      <c r="R198" s="640">
        <f t="shared" si="139"/>
        <v>1.2500000000000001E-2</v>
      </c>
      <c r="S198" s="640">
        <f t="shared" si="140"/>
        <v>1.5</v>
      </c>
      <c r="T198" s="686">
        <f t="shared" si="141"/>
        <v>1.625</v>
      </c>
      <c r="U198" s="640">
        <f t="shared" si="142"/>
        <v>9.375E-2</v>
      </c>
      <c r="V198" s="644" t="s">
        <v>721</v>
      </c>
    </row>
    <row r="199" spans="1:22" ht="12" x14ac:dyDescent="0.25">
      <c r="A199" s="645" t="s">
        <v>784</v>
      </c>
      <c r="B199" s="682"/>
      <c r="C199" s="682"/>
      <c r="D199" s="682" t="s">
        <v>840</v>
      </c>
      <c r="E199" s="683">
        <v>1</v>
      </c>
      <c r="F199" s="684">
        <v>0.4</v>
      </c>
      <c r="G199" s="656">
        <v>1.05</v>
      </c>
      <c r="H199" s="684">
        <v>0.6</v>
      </c>
      <c r="I199" s="685">
        <v>4</v>
      </c>
      <c r="J199" s="640">
        <f t="shared" si="134"/>
        <v>0.6</v>
      </c>
      <c r="K199" s="640"/>
      <c r="L199" s="640">
        <f t="shared" si="135"/>
        <v>0.63</v>
      </c>
      <c r="M199" s="640">
        <f t="shared" si="136"/>
        <v>0.42000000000000004</v>
      </c>
      <c r="N199" s="640">
        <f t="shared" si="137"/>
        <v>0.378</v>
      </c>
      <c r="O199" s="640">
        <f t="shared" si="138"/>
        <v>0.3276</v>
      </c>
      <c r="P199" s="642">
        <v>0.1</v>
      </c>
      <c r="Q199" s="640"/>
      <c r="R199" s="640">
        <f t="shared" si="139"/>
        <v>4.200000000000001E-2</v>
      </c>
      <c r="S199" s="640">
        <f t="shared" si="140"/>
        <v>2.52</v>
      </c>
      <c r="T199" s="686">
        <f t="shared" si="141"/>
        <v>2.94</v>
      </c>
      <c r="U199" s="640">
        <f t="shared" si="142"/>
        <v>0.252</v>
      </c>
      <c r="V199" s="644" t="s">
        <v>721</v>
      </c>
    </row>
    <row r="200" spans="1:22" ht="12" x14ac:dyDescent="0.25">
      <c r="A200" s="645" t="s">
        <v>784</v>
      </c>
      <c r="B200" s="682"/>
      <c r="C200" s="682"/>
      <c r="D200" s="682" t="s">
        <v>831</v>
      </c>
      <c r="E200" s="683">
        <v>1</v>
      </c>
      <c r="F200" s="684">
        <v>0.35</v>
      </c>
      <c r="G200" s="656">
        <v>1</v>
      </c>
      <c r="H200" s="684">
        <v>0.6</v>
      </c>
      <c r="I200" s="685">
        <v>4</v>
      </c>
      <c r="J200" s="640">
        <f t="shared" si="134"/>
        <v>0.6</v>
      </c>
      <c r="K200" s="640"/>
      <c r="L200" s="640">
        <f t="shared" si="135"/>
        <v>0.56999999999999995</v>
      </c>
      <c r="M200" s="640">
        <f t="shared" si="136"/>
        <v>0.35</v>
      </c>
      <c r="N200" s="640">
        <f t="shared" si="137"/>
        <v>0.36</v>
      </c>
      <c r="O200" s="640">
        <f t="shared" si="138"/>
        <v>0.27299999999999996</v>
      </c>
      <c r="P200" s="642">
        <v>0.1</v>
      </c>
      <c r="Q200" s="640"/>
      <c r="R200" s="640">
        <f t="shared" si="139"/>
        <v>3.4999999999999996E-2</v>
      </c>
      <c r="S200" s="640">
        <f t="shared" si="140"/>
        <v>2.4</v>
      </c>
      <c r="T200" s="686">
        <f t="shared" si="141"/>
        <v>2.75</v>
      </c>
      <c r="U200" s="640">
        <f t="shared" si="142"/>
        <v>0.21</v>
      </c>
      <c r="V200" s="644" t="s">
        <v>721</v>
      </c>
    </row>
    <row r="201" spans="1:22" ht="12" x14ac:dyDescent="0.25">
      <c r="A201" s="645" t="s">
        <v>784</v>
      </c>
      <c r="B201" s="682"/>
      <c r="C201" s="682"/>
      <c r="D201" s="682" t="s">
        <v>841</v>
      </c>
      <c r="E201" s="683">
        <v>1</v>
      </c>
      <c r="F201" s="684">
        <v>0.3</v>
      </c>
      <c r="G201" s="656">
        <v>0.5</v>
      </c>
      <c r="H201" s="684">
        <v>1.02</v>
      </c>
      <c r="I201" s="685">
        <v>4</v>
      </c>
      <c r="J201" s="640">
        <f t="shared" si="134"/>
        <v>1.2</v>
      </c>
      <c r="K201" s="640"/>
      <c r="L201" s="640">
        <f t="shared" si="135"/>
        <v>0.76500000000000001</v>
      </c>
      <c r="M201" s="640">
        <f t="shared" si="136"/>
        <v>0.15</v>
      </c>
      <c r="N201" s="640">
        <f t="shared" si="137"/>
        <v>0.61199999999999999</v>
      </c>
      <c r="O201" s="640">
        <f t="shared" si="138"/>
        <v>0.19890000000000005</v>
      </c>
      <c r="P201" s="642">
        <v>0.1</v>
      </c>
      <c r="Q201" s="640"/>
      <c r="R201" s="640">
        <f t="shared" si="139"/>
        <v>1.4999999999999999E-2</v>
      </c>
      <c r="S201" s="640">
        <f t="shared" si="140"/>
        <v>2.04</v>
      </c>
      <c r="T201" s="686">
        <f t="shared" si="141"/>
        <v>2.19</v>
      </c>
      <c r="U201" s="640">
        <f t="shared" si="142"/>
        <v>0.153</v>
      </c>
      <c r="V201" s="644" t="s">
        <v>721</v>
      </c>
    </row>
    <row r="202" spans="1:22" ht="12" x14ac:dyDescent="0.25">
      <c r="A202" s="645" t="s">
        <v>784</v>
      </c>
      <c r="B202" s="682"/>
      <c r="C202" s="682"/>
      <c r="D202" s="682" t="s">
        <v>842</v>
      </c>
      <c r="E202" s="683">
        <v>1</v>
      </c>
      <c r="F202" s="684">
        <v>0.42</v>
      </c>
      <c r="G202" s="656">
        <v>1.0900000000000001</v>
      </c>
      <c r="H202" s="684">
        <v>0.6</v>
      </c>
      <c r="I202" s="685">
        <v>4</v>
      </c>
      <c r="J202" s="640">
        <f t="shared" si="134"/>
        <v>0.6</v>
      </c>
      <c r="K202" s="640"/>
      <c r="L202" s="640">
        <f t="shared" si="135"/>
        <v>0.66708000000000001</v>
      </c>
      <c r="M202" s="640">
        <f t="shared" si="136"/>
        <v>0.45780000000000004</v>
      </c>
      <c r="N202" s="640">
        <f t="shared" si="137"/>
        <v>0.39239999999999997</v>
      </c>
      <c r="O202" s="640">
        <f t="shared" si="138"/>
        <v>0.35708400000000007</v>
      </c>
      <c r="P202" s="642">
        <v>0.1</v>
      </c>
      <c r="Q202" s="640"/>
      <c r="R202" s="640">
        <f t="shared" si="139"/>
        <v>4.5780000000000008E-2</v>
      </c>
      <c r="S202" s="640">
        <f t="shared" si="140"/>
        <v>2.6160000000000001</v>
      </c>
      <c r="T202" s="686">
        <f t="shared" si="141"/>
        <v>3.0738000000000003</v>
      </c>
      <c r="U202" s="640">
        <f t="shared" si="142"/>
        <v>0.27468000000000004</v>
      </c>
      <c r="V202" s="644" t="s">
        <v>721</v>
      </c>
    </row>
    <row r="203" spans="1:22" ht="12" x14ac:dyDescent="0.25">
      <c r="A203" s="645" t="s">
        <v>784</v>
      </c>
      <c r="B203" s="682"/>
      <c r="C203" s="682"/>
      <c r="D203" s="682" t="s">
        <v>843</v>
      </c>
      <c r="E203" s="683">
        <v>1</v>
      </c>
      <c r="F203" s="684">
        <v>0.3</v>
      </c>
      <c r="G203" s="656">
        <v>0.5</v>
      </c>
      <c r="H203" s="684">
        <v>0.75</v>
      </c>
      <c r="I203" s="685">
        <v>4</v>
      </c>
      <c r="J203" s="640">
        <f t="shared" si="134"/>
        <v>0.6</v>
      </c>
      <c r="K203" s="640"/>
      <c r="L203" s="640">
        <f t="shared" si="135"/>
        <v>0.33749999999999997</v>
      </c>
      <c r="M203" s="640">
        <f t="shared" si="136"/>
        <v>0.15</v>
      </c>
      <c r="N203" s="640">
        <f t="shared" si="137"/>
        <v>0.22499999999999998</v>
      </c>
      <c r="O203" s="640">
        <f t="shared" si="138"/>
        <v>0.14624999999999999</v>
      </c>
      <c r="P203" s="642">
        <v>0.1</v>
      </c>
      <c r="Q203" s="640"/>
      <c r="R203" s="640">
        <f t="shared" si="139"/>
        <v>1.4999999999999999E-2</v>
      </c>
      <c r="S203" s="640">
        <f t="shared" si="140"/>
        <v>1.5</v>
      </c>
      <c r="T203" s="686">
        <f t="shared" si="141"/>
        <v>1.65</v>
      </c>
      <c r="U203" s="640">
        <f t="shared" si="142"/>
        <v>0.11249999999999999</v>
      </c>
      <c r="V203" s="644" t="s">
        <v>721</v>
      </c>
    </row>
    <row r="204" spans="1:22" ht="12" x14ac:dyDescent="0.25">
      <c r="A204" s="645" t="s">
        <v>784</v>
      </c>
      <c r="B204" s="682"/>
      <c r="C204" s="682"/>
      <c r="D204" s="682" t="s">
        <v>844</v>
      </c>
      <c r="E204" s="683">
        <v>1</v>
      </c>
      <c r="F204" s="684">
        <v>0.3</v>
      </c>
      <c r="G204" s="656">
        <v>0.5</v>
      </c>
      <c r="H204" s="684">
        <v>0.75</v>
      </c>
      <c r="I204" s="685">
        <v>4</v>
      </c>
      <c r="J204" s="640">
        <f t="shared" si="134"/>
        <v>0.6</v>
      </c>
      <c r="K204" s="640"/>
      <c r="L204" s="640">
        <f t="shared" si="135"/>
        <v>0.33749999999999997</v>
      </c>
      <c r="M204" s="640">
        <f t="shared" si="136"/>
        <v>0.15</v>
      </c>
      <c r="N204" s="640">
        <f t="shared" si="137"/>
        <v>0.22499999999999998</v>
      </c>
      <c r="O204" s="640">
        <f t="shared" si="138"/>
        <v>0.14624999999999999</v>
      </c>
      <c r="P204" s="642">
        <v>0.1</v>
      </c>
      <c r="Q204" s="640"/>
      <c r="R204" s="640">
        <f t="shared" si="139"/>
        <v>1.4999999999999999E-2</v>
      </c>
      <c r="S204" s="640">
        <f t="shared" si="140"/>
        <v>1.5</v>
      </c>
      <c r="T204" s="686">
        <f t="shared" si="141"/>
        <v>1.65</v>
      </c>
      <c r="U204" s="640">
        <f t="shared" si="142"/>
        <v>0.11249999999999999</v>
      </c>
      <c r="V204" s="644" t="s">
        <v>721</v>
      </c>
    </row>
    <row r="205" spans="1:22" ht="12" x14ac:dyDescent="0.25">
      <c r="A205" s="645" t="s">
        <v>784</v>
      </c>
      <c r="B205" s="682"/>
      <c r="C205" s="682"/>
      <c r="D205" s="682" t="s">
        <v>845</v>
      </c>
      <c r="E205" s="683">
        <v>1</v>
      </c>
      <c r="F205" s="684">
        <v>0.3</v>
      </c>
      <c r="G205" s="656">
        <v>0.5</v>
      </c>
      <c r="H205" s="684">
        <v>0.75</v>
      </c>
      <c r="I205" s="685">
        <v>4</v>
      </c>
      <c r="J205" s="640">
        <f t="shared" si="134"/>
        <v>0.6</v>
      </c>
      <c r="K205" s="640"/>
      <c r="L205" s="640">
        <f t="shared" si="135"/>
        <v>0.33749999999999997</v>
      </c>
      <c r="M205" s="640">
        <f t="shared" si="136"/>
        <v>0.15</v>
      </c>
      <c r="N205" s="640">
        <f t="shared" si="137"/>
        <v>0.22499999999999998</v>
      </c>
      <c r="O205" s="640">
        <f t="shared" si="138"/>
        <v>0.14624999999999999</v>
      </c>
      <c r="P205" s="642">
        <v>0.1</v>
      </c>
      <c r="Q205" s="640"/>
      <c r="R205" s="640">
        <f t="shared" si="139"/>
        <v>1.4999999999999999E-2</v>
      </c>
      <c r="S205" s="640">
        <f t="shared" si="140"/>
        <v>1.5</v>
      </c>
      <c r="T205" s="686">
        <f t="shared" si="141"/>
        <v>1.65</v>
      </c>
      <c r="U205" s="640">
        <f t="shared" si="142"/>
        <v>0.11249999999999999</v>
      </c>
      <c r="V205" s="644" t="s">
        <v>721</v>
      </c>
    </row>
    <row r="206" spans="1:22" ht="12" x14ac:dyDescent="0.25">
      <c r="A206" s="645" t="s">
        <v>784</v>
      </c>
      <c r="B206" s="682"/>
      <c r="C206" s="682"/>
      <c r="D206" s="682" t="s">
        <v>846</v>
      </c>
      <c r="E206" s="683">
        <v>1</v>
      </c>
      <c r="F206" s="684">
        <v>0.3</v>
      </c>
      <c r="G206" s="656">
        <v>0.5</v>
      </c>
      <c r="H206" s="684">
        <v>0.75</v>
      </c>
      <c r="I206" s="685">
        <v>4</v>
      </c>
      <c r="J206" s="640">
        <f t="shared" si="134"/>
        <v>0.6</v>
      </c>
      <c r="K206" s="640"/>
      <c r="L206" s="640">
        <f t="shared" si="135"/>
        <v>0.33749999999999997</v>
      </c>
      <c r="M206" s="640">
        <f t="shared" si="136"/>
        <v>0.15</v>
      </c>
      <c r="N206" s="640">
        <f t="shared" si="137"/>
        <v>0.22499999999999998</v>
      </c>
      <c r="O206" s="640">
        <f t="shared" si="138"/>
        <v>0.14624999999999999</v>
      </c>
      <c r="P206" s="642">
        <v>0.1</v>
      </c>
      <c r="Q206" s="640"/>
      <c r="R206" s="640">
        <f t="shared" si="139"/>
        <v>1.4999999999999999E-2</v>
      </c>
      <c r="S206" s="640">
        <f t="shared" si="140"/>
        <v>1.5</v>
      </c>
      <c r="T206" s="686">
        <f t="shared" si="141"/>
        <v>1.65</v>
      </c>
      <c r="U206" s="640">
        <f t="shared" si="142"/>
        <v>0.11249999999999999</v>
      </c>
      <c r="V206" s="644" t="s">
        <v>721</v>
      </c>
    </row>
    <row r="207" spans="1:22" ht="12" x14ac:dyDescent="0.25">
      <c r="A207" s="645" t="s">
        <v>784</v>
      </c>
      <c r="B207" s="682"/>
      <c r="C207" s="682"/>
      <c r="D207" s="682" t="s">
        <v>847</v>
      </c>
      <c r="E207" s="683">
        <v>1</v>
      </c>
      <c r="F207" s="684">
        <v>0.3</v>
      </c>
      <c r="G207" s="656">
        <v>0.5</v>
      </c>
      <c r="H207" s="684">
        <v>1.02</v>
      </c>
      <c r="I207" s="685">
        <v>4</v>
      </c>
      <c r="J207" s="640">
        <f t="shared" ref="J207:J218" si="143">IF(H207&lt;=1,0.6,1.2)</f>
        <v>1.2</v>
      </c>
      <c r="K207" s="640"/>
      <c r="L207" s="640">
        <f t="shared" ref="L207:L218" si="144">((F207+J207)*(H207+K207)*G207)*E207</f>
        <v>0.76500000000000001</v>
      </c>
      <c r="M207" s="640">
        <f t="shared" ref="M207:M218" si="145">(F207)*(G207)*E207</f>
        <v>0.15</v>
      </c>
      <c r="N207" s="640">
        <f t="shared" ref="N207:N218" si="146">L207-U207</f>
        <v>0.61199999999999999</v>
      </c>
      <c r="O207" s="640">
        <f t="shared" ref="O207:O218" si="147">(L207-N207)*1.3</f>
        <v>0.19890000000000005</v>
      </c>
      <c r="P207" s="642">
        <v>0.1</v>
      </c>
      <c r="Q207" s="640"/>
      <c r="R207" s="640">
        <f t="shared" ref="R207:R218" si="148">M207*$P207</f>
        <v>1.4999999999999999E-2</v>
      </c>
      <c r="S207" s="640">
        <f t="shared" ref="S207:S218" si="149">((G207*H207*I207))*E207</f>
        <v>2.04</v>
      </c>
      <c r="T207" s="686">
        <f t="shared" ref="T207:T218" si="150">S207+G207*F207</f>
        <v>2.19</v>
      </c>
      <c r="U207" s="640">
        <f t="shared" ref="U207:U218" si="151">F207*H207*G207*E207</f>
        <v>0.153</v>
      </c>
      <c r="V207" s="644" t="s">
        <v>721</v>
      </c>
    </row>
    <row r="208" spans="1:22" ht="12" x14ac:dyDescent="0.25">
      <c r="A208" s="645" t="s">
        <v>784</v>
      </c>
      <c r="B208" s="682"/>
      <c r="C208" s="682"/>
      <c r="D208" s="682" t="s">
        <v>848</v>
      </c>
      <c r="E208" s="683">
        <v>1</v>
      </c>
      <c r="F208" s="684">
        <v>0.25</v>
      </c>
      <c r="G208" s="656">
        <v>1.5</v>
      </c>
      <c r="H208" s="684">
        <v>0.6</v>
      </c>
      <c r="I208" s="685">
        <v>4</v>
      </c>
      <c r="J208" s="640">
        <f t="shared" si="143"/>
        <v>0.6</v>
      </c>
      <c r="K208" s="640"/>
      <c r="L208" s="640">
        <f t="shared" si="144"/>
        <v>0.76500000000000001</v>
      </c>
      <c r="M208" s="640">
        <f t="shared" si="145"/>
        <v>0.375</v>
      </c>
      <c r="N208" s="640">
        <f t="shared" si="146"/>
        <v>0.54</v>
      </c>
      <c r="O208" s="640">
        <f t="shared" si="147"/>
        <v>0.29249999999999998</v>
      </c>
      <c r="P208" s="642">
        <v>0.1</v>
      </c>
      <c r="Q208" s="640"/>
      <c r="R208" s="640">
        <f t="shared" si="148"/>
        <v>3.7500000000000006E-2</v>
      </c>
      <c r="S208" s="640">
        <f t="shared" si="149"/>
        <v>3.5999999999999996</v>
      </c>
      <c r="T208" s="686">
        <f t="shared" si="150"/>
        <v>3.9749999999999996</v>
      </c>
      <c r="U208" s="640">
        <f t="shared" si="151"/>
        <v>0.22499999999999998</v>
      </c>
      <c r="V208" s="644" t="s">
        <v>721</v>
      </c>
    </row>
    <row r="209" spans="1:22" ht="12" x14ac:dyDescent="0.25">
      <c r="A209" s="645" t="s">
        <v>784</v>
      </c>
      <c r="B209" s="682"/>
      <c r="C209" s="682"/>
      <c r="D209" s="682" t="s">
        <v>849</v>
      </c>
      <c r="E209" s="683">
        <v>1</v>
      </c>
      <c r="F209" s="684">
        <v>0.3</v>
      </c>
      <c r="G209" s="656">
        <v>0.6</v>
      </c>
      <c r="H209" s="684">
        <v>0.75</v>
      </c>
      <c r="I209" s="685">
        <v>4</v>
      </c>
      <c r="J209" s="640">
        <f t="shared" si="143"/>
        <v>0.6</v>
      </c>
      <c r="K209" s="640"/>
      <c r="L209" s="640">
        <f t="shared" si="144"/>
        <v>0.40499999999999997</v>
      </c>
      <c r="M209" s="640">
        <f t="shared" si="145"/>
        <v>0.18</v>
      </c>
      <c r="N209" s="640">
        <f t="shared" si="146"/>
        <v>0.27</v>
      </c>
      <c r="O209" s="640">
        <f t="shared" si="147"/>
        <v>0.17549999999999993</v>
      </c>
      <c r="P209" s="642">
        <v>0.1</v>
      </c>
      <c r="Q209" s="640"/>
      <c r="R209" s="640">
        <f t="shared" si="148"/>
        <v>1.7999999999999999E-2</v>
      </c>
      <c r="S209" s="640">
        <f t="shared" si="149"/>
        <v>1.7999999999999998</v>
      </c>
      <c r="T209" s="686">
        <f t="shared" si="150"/>
        <v>1.9799999999999998</v>
      </c>
      <c r="U209" s="640">
        <f t="shared" si="151"/>
        <v>0.13499999999999998</v>
      </c>
      <c r="V209" s="644" t="s">
        <v>721</v>
      </c>
    </row>
    <row r="210" spans="1:22" ht="12" x14ac:dyDescent="0.25">
      <c r="A210" s="645" t="s">
        <v>784</v>
      </c>
      <c r="B210" s="682"/>
      <c r="C210" s="682"/>
      <c r="D210" s="682" t="s">
        <v>850</v>
      </c>
      <c r="E210" s="683">
        <v>1</v>
      </c>
      <c r="F210" s="684">
        <v>0.3</v>
      </c>
      <c r="G210" s="656">
        <v>1</v>
      </c>
      <c r="H210" s="684">
        <v>0.6</v>
      </c>
      <c r="I210" s="685">
        <v>4</v>
      </c>
      <c r="J210" s="640">
        <f t="shared" si="143"/>
        <v>0.6</v>
      </c>
      <c r="K210" s="640"/>
      <c r="L210" s="640">
        <f t="shared" si="144"/>
        <v>0.53999999999999992</v>
      </c>
      <c r="M210" s="640">
        <f t="shared" si="145"/>
        <v>0.3</v>
      </c>
      <c r="N210" s="640">
        <f t="shared" si="146"/>
        <v>0.35999999999999993</v>
      </c>
      <c r="O210" s="640">
        <f t="shared" si="147"/>
        <v>0.23399999999999999</v>
      </c>
      <c r="P210" s="642">
        <v>0.1</v>
      </c>
      <c r="Q210" s="640"/>
      <c r="R210" s="640">
        <f t="shared" si="148"/>
        <v>0.03</v>
      </c>
      <c r="S210" s="640">
        <f t="shared" si="149"/>
        <v>2.4</v>
      </c>
      <c r="T210" s="686">
        <f t="shared" si="150"/>
        <v>2.6999999999999997</v>
      </c>
      <c r="U210" s="640">
        <f t="shared" si="151"/>
        <v>0.18</v>
      </c>
      <c r="V210" s="644" t="s">
        <v>721</v>
      </c>
    </row>
    <row r="211" spans="1:22" ht="12" x14ac:dyDescent="0.25">
      <c r="A211" s="645" t="s">
        <v>784</v>
      </c>
      <c r="B211" s="682"/>
      <c r="C211" s="682"/>
      <c r="D211" s="682" t="s">
        <v>851</v>
      </c>
      <c r="E211" s="683">
        <v>1</v>
      </c>
      <c r="F211" s="684">
        <v>0.25</v>
      </c>
      <c r="G211" s="656">
        <v>0.6</v>
      </c>
      <c r="H211" s="684">
        <v>0.75</v>
      </c>
      <c r="I211" s="685">
        <v>4</v>
      </c>
      <c r="J211" s="640">
        <f t="shared" si="143"/>
        <v>0.6</v>
      </c>
      <c r="K211" s="640"/>
      <c r="L211" s="640">
        <f t="shared" si="144"/>
        <v>0.38249999999999995</v>
      </c>
      <c r="M211" s="640">
        <f t="shared" si="145"/>
        <v>0.15</v>
      </c>
      <c r="N211" s="640">
        <f t="shared" si="146"/>
        <v>0.26999999999999996</v>
      </c>
      <c r="O211" s="640">
        <f t="shared" si="147"/>
        <v>0.14624999999999999</v>
      </c>
      <c r="P211" s="642">
        <v>0.1</v>
      </c>
      <c r="Q211" s="640"/>
      <c r="R211" s="640">
        <f t="shared" si="148"/>
        <v>1.4999999999999999E-2</v>
      </c>
      <c r="S211" s="640">
        <f t="shared" si="149"/>
        <v>1.7999999999999998</v>
      </c>
      <c r="T211" s="686">
        <f t="shared" si="150"/>
        <v>1.9499999999999997</v>
      </c>
      <c r="U211" s="640">
        <f t="shared" si="151"/>
        <v>0.11249999999999999</v>
      </c>
      <c r="V211" s="644" t="s">
        <v>721</v>
      </c>
    </row>
    <row r="212" spans="1:22" ht="12" x14ac:dyDescent="0.25">
      <c r="A212" s="645" t="s">
        <v>784</v>
      </c>
      <c r="B212" s="682"/>
      <c r="C212" s="682"/>
      <c r="D212" s="682" t="s">
        <v>852</v>
      </c>
      <c r="E212" s="683">
        <v>1</v>
      </c>
      <c r="F212" s="684">
        <v>0.35</v>
      </c>
      <c r="G212" s="656">
        <v>0.75</v>
      </c>
      <c r="H212" s="684">
        <v>0.6</v>
      </c>
      <c r="I212" s="685">
        <v>4</v>
      </c>
      <c r="J212" s="640">
        <f t="shared" si="143"/>
        <v>0.6</v>
      </c>
      <c r="K212" s="640"/>
      <c r="L212" s="640">
        <f t="shared" si="144"/>
        <v>0.42749999999999999</v>
      </c>
      <c r="M212" s="640">
        <f t="shared" si="145"/>
        <v>0.26249999999999996</v>
      </c>
      <c r="N212" s="640">
        <f t="shared" si="146"/>
        <v>0.27</v>
      </c>
      <c r="O212" s="640">
        <f t="shared" si="147"/>
        <v>0.20474999999999996</v>
      </c>
      <c r="P212" s="642">
        <v>0.1</v>
      </c>
      <c r="Q212" s="640"/>
      <c r="R212" s="640">
        <f t="shared" si="148"/>
        <v>2.6249999999999996E-2</v>
      </c>
      <c r="S212" s="640">
        <f t="shared" si="149"/>
        <v>1.7999999999999998</v>
      </c>
      <c r="T212" s="686">
        <f t="shared" si="150"/>
        <v>2.0625</v>
      </c>
      <c r="U212" s="640">
        <f t="shared" si="151"/>
        <v>0.1575</v>
      </c>
      <c r="V212" s="644" t="s">
        <v>721</v>
      </c>
    </row>
    <row r="213" spans="1:22" ht="12" x14ac:dyDescent="0.25">
      <c r="A213" s="645" t="s">
        <v>784</v>
      </c>
      <c r="B213" s="682"/>
      <c r="C213" s="682"/>
      <c r="D213" s="682" t="s">
        <v>853</v>
      </c>
      <c r="E213" s="683">
        <v>1</v>
      </c>
      <c r="F213" s="684">
        <v>0.25</v>
      </c>
      <c r="G213" s="656">
        <v>0.97</v>
      </c>
      <c r="H213" s="684">
        <v>0.6</v>
      </c>
      <c r="I213" s="685">
        <v>4</v>
      </c>
      <c r="J213" s="640">
        <f t="shared" si="143"/>
        <v>0.6</v>
      </c>
      <c r="K213" s="640"/>
      <c r="L213" s="640">
        <f t="shared" si="144"/>
        <v>0.49469999999999997</v>
      </c>
      <c r="M213" s="640">
        <f t="shared" si="145"/>
        <v>0.24249999999999999</v>
      </c>
      <c r="N213" s="640">
        <f t="shared" si="146"/>
        <v>0.34919999999999995</v>
      </c>
      <c r="O213" s="640">
        <f t="shared" si="147"/>
        <v>0.18915000000000004</v>
      </c>
      <c r="P213" s="642">
        <v>0.1</v>
      </c>
      <c r="Q213" s="640"/>
      <c r="R213" s="640">
        <f t="shared" si="148"/>
        <v>2.4250000000000001E-2</v>
      </c>
      <c r="S213" s="640">
        <f t="shared" si="149"/>
        <v>2.3279999999999998</v>
      </c>
      <c r="T213" s="686">
        <f t="shared" si="150"/>
        <v>2.5705</v>
      </c>
      <c r="U213" s="640">
        <f t="shared" si="151"/>
        <v>0.14549999999999999</v>
      </c>
      <c r="V213" s="644" t="s">
        <v>721</v>
      </c>
    </row>
    <row r="214" spans="1:22" ht="12" x14ac:dyDescent="0.25">
      <c r="A214" s="645" t="s">
        <v>784</v>
      </c>
      <c r="B214" s="682"/>
      <c r="C214" s="682"/>
      <c r="D214" s="682" t="s">
        <v>854</v>
      </c>
      <c r="E214" s="683">
        <v>1</v>
      </c>
      <c r="F214" s="684">
        <v>0.25</v>
      </c>
      <c r="G214" s="656">
        <v>1.5</v>
      </c>
      <c r="H214" s="684">
        <v>0.6</v>
      </c>
      <c r="I214" s="685">
        <v>4</v>
      </c>
      <c r="J214" s="640">
        <f t="shared" si="143"/>
        <v>0.6</v>
      </c>
      <c r="K214" s="640"/>
      <c r="L214" s="640">
        <f t="shared" si="144"/>
        <v>0.76500000000000001</v>
      </c>
      <c r="M214" s="640">
        <f t="shared" si="145"/>
        <v>0.375</v>
      </c>
      <c r="N214" s="640">
        <f t="shared" si="146"/>
        <v>0.54</v>
      </c>
      <c r="O214" s="640">
        <f t="shared" si="147"/>
        <v>0.29249999999999998</v>
      </c>
      <c r="P214" s="642">
        <v>0.1</v>
      </c>
      <c r="Q214" s="640"/>
      <c r="R214" s="640">
        <f t="shared" si="148"/>
        <v>3.7500000000000006E-2</v>
      </c>
      <c r="S214" s="640">
        <f t="shared" si="149"/>
        <v>3.5999999999999996</v>
      </c>
      <c r="T214" s="686">
        <f t="shared" si="150"/>
        <v>3.9749999999999996</v>
      </c>
      <c r="U214" s="640">
        <f t="shared" si="151"/>
        <v>0.22499999999999998</v>
      </c>
      <c r="V214" s="644" t="s">
        <v>721</v>
      </c>
    </row>
    <row r="215" spans="1:22" ht="12" x14ac:dyDescent="0.25">
      <c r="A215" s="645" t="s">
        <v>784</v>
      </c>
      <c r="B215" s="682"/>
      <c r="C215" s="682"/>
      <c r="D215" s="682" t="s">
        <v>855</v>
      </c>
      <c r="E215" s="683">
        <v>1</v>
      </c>
      <c r="F215" s="684">
        <v>0.25</v>
      </c>
      <c r="G215" s="656">
        <v>0.65</v>
      </c>
      <c r="H215" s="684">
        <v>0.6</v>
      </c>
      <c r="I215" s="685">
        <v>4</v>
      </c>
      <c r="J215" s="640">
        <f t="shared" si="143"/>
        <v>0.6</v>
      </c>
      <c r="K215" s="640"/>
      <c r="L215" s="640">
        <f t="shared" si="144"/>
        <v>0.33150000000000002</v>
      </c>
      <c r="M215" s="640">
        <f t="shared" si="145"/>
        <v>0.16250000000000001</v>
      </c>
      <c r="N215" s="640">
        <f t="shared" si="146"/>
        <v>0.23400000000000001</v>
      </c>
      <c r="O215" s="640">
        <f t="shared" si="147"/>
        <v>0.12675</v>
      </c>
      <c r="P215" s="642">
        <v>0.1</v>
      </c>
      <c r="Q215" s="640"/>
      <c r="R215" s="640">
        <f t="shared" si="148"/>
        <v>1.6250000000000001E-2</v>
      </c>
      <c r="S215" s="640">
        <f t="shared" si="149"/>
        <v>1.56</v>
      </c>
      <c r="T215" s="686">
        <f t="shared" si="150"/>
        <v>1.7225000000000001</v>
      </c>
      <c r="U215" s="640">
        <f t="shared" si="151"/>
        <v>9.7500000000000003E-2</v>
      </c>
      <c r="V215" s="644" t="s">
        <v>721</v>
      </c>
    </row>
    <row r="216" spans="1:22" ht="12" x14ac:dyDescent="0.25">
      <c r="A216" s="645" t="s">
        <v>784</v>
      </c>
      <c r="B216" s="682"/>
      <c r="C216" s="682"/>
      <c r="D216" s="682" t="s">
        <v>856</v>
      </c>
      <c r="E216" s="683">
        <v>1</v>
      </c>
      <c r="F216" s="684">
        <v>0.31</v>
      </c>
      <c r="G216" s="656">
        <v>0.79</v>
      </c>
      <c r="H216" s="684">
        <v>0.75</v>
      </c>
      <c r="I216" s="685">
        <v>4</v>
      </c>
      <c r="J216" s="640">
        <f t="shared" si="143"/>
        <v>0.6</v>
      </c>
      <c r="K216" s="640"/>
      <c r="L216" s="640">
        <f t="shared" si="144"/>
        <v>0.53917499999999996</v>
      </c>
      <c r="M216" s="640">
        <f t="shared" si="145"/>
        <v>0.24490000000000001</v>
      </c>
      <c r="N216" s="640">
        <f t="shared" si="146"/>
        <v>0.35549999999999993</v>
      </c>
      <c r="O216" s="640">
        <f t="shared" si="147"/>
        <v>0.23877750000000006</v>
      </c>
      <c r="P216" s="642">
        <v>0.1</v>
      </c>
      <c r="Q216" s="640"/>
      <c r="R216" s="640">
        <f t="shared" si="148"/>
        <v>2.4490000000000001E-2</v>
      </c>
      <c r="S216" s="640">
        <f t="shared" si="149"/>
        <v>2.37</v>
      </c>
      <c r="T216" s="686">
        <f t="shared" si="150"/>
        <v>2.6149</v>
      </c>
      <c r="U216" s="640">
        <f t="shared" si="151"/>
        <v>0.183675</v>
      </c>
      <c r="V216" s="644" t="s">
        <v>721</v>
      </c>
    </row>
    <row r="217" spans="1:22" ht="12" x14ac:dyDescent="0.25">
      <c r="A217" s="645" t="s">
        <v>784</v>
      </c>
      <c r="B217" s="682"/>
      <c r="C217" s="682"/>
      <c r="D217" s="682" t="s">
        <v>857</v>
      </c>
      <c r="E217" s="683">
        <v>1</v>
      </c>
      <c r="F217" s="684">
        <v>0.25</v>
      </c>
      <c r="G217" s="656">
        <v>0.6</v>
      </c>
      <c r="H217" s="684">
        <v>0.75</v>
      </c>
      <c r="I217" s="685">
        <v>4</v>
      </c>
      <c r="J217" s="640">
        <f t="shared" si="143"/>
        <v>0.6</v>
      </c>
      <c r="K217" s="640"/>
      <c r="L217" s="640">
        <f t="shared" si="144"/>
        <v>0.38249999999999995</v>
      </c>
      <c r="M217" s="640">
        <f t="shared" si="145"/>
        <v>0.15</v>
      </c>
      <c r="N217" s="640">
        <f t="shared" si="146"/>
        <v>0.26999999999999996</v>
      </c>
      <c r="O217" s="640">
        <f t="shared" si="147"/>
        <v>0.14624999999999999</v>
      </c>
      <c r="P217" s="642">
        <v>0.1</v>
      </c>
      <c r="Q217" s="640"/>
      <c r="R217" s="640">
        <f t="shared" si="148"/>
        <v>1.4999999999999999E-2</v>
      </c>
      <c r="S217" s="640">
        <f t="shared" si="149"/>
        <v>1.7999999999999998</v>
      </c>
      <c r="T217" s="686">
        <f t="shared" si="150"/>
        <v>1.9499999999999997</v>
      </c>
      <c r="U217" s="640">
        <f t="shared" si="151"/>
        <v>0.11249999999999999</v>
      </c>
      <c r="V217" s="644" t="s">
        <v>721</v>
      </c>
    </row>
    <row r="218" spans="1:22" ht="12" x14ac:dyDescent="0.25">
      <c r="A218" s="645" t="s">
        <v>784</v>
      </c>
      <c r="B218" s="682"/>
      <c r="C218" s="682"/>
      <c r="D218" s="682" t="s">
        <v>858</v>
      </c>
      <c r="E218" s="683">
        <v>1</v>
      </c>
      <c r="F218" s="684">
        <v>0.5</v>
      </c>
      <c r="G218" s="656">
        <v>0.74</v>
      </c>
      <c r="H218" s="684">
        <v>0.6</v>
      </c>
      <c r="I218" s="685">
        <v>4</v>
      </c>
      <c r="J218" s="640">
        <f t="shared" si="143"/>
        <v>0.6</v>
      </c>
      <c r="K218" s="640"/>
      <c r="L218" s="640">
        <f t="shared" si="144"/>
        <v>0.4884</v>
      </c>
      <c r="M218" s="640">
        <f t="shared" si="145"/>
        <v>0.37</v>
      </c>
      <c r="N218" s="640">
        <f t="shared" si="146"/>
        <v>0.26639999999999997</v>
      </c>
      <c r="O218" s="640">
        <f t="shared" si="147"/>
        <v>0.28860000000000002</v>
      </c>
      <c r="P218" s="642">
        <v>0.1</v>
      </c>
      <c r="Q218" s="640"/>
      <c r="R218" s="640">
        <f t="shared" si="148"/>
        <v>3.6999999999999998E-2</v>
      </c>
      <c r="S218" s="640">
        <f t="shared" si="149"/>
        <v>1.776</v>
      </c>
      <c r="T218" s="686">
        <f t="shared" si="150"/>
        <v>2.1459999999999999</v>
      </c>
      <c r="U218" s="640">
        <f t="shared" si="151"/>
        <v>0.222</v>
      </c>
      <c r="V218" s="644" t="s">
        <v>721</v>
      </c>
    </row>
    <row r="219" spans="1:22" ht="12" x14ac:dyDescent="0.25">
      <c r="A219" s="645" t="s">
        <v>784</v>
      </c>
      <c r="B219" s="682"/>
      <c r="C219" s="682"/>
      <c r="D219" s="682" t="s">
        <v>859</v>
      </c>
      <c r="E219" s="683">
        <v>1</v>
      </c>
      <c r="F219" s="684">
        <v>0.25</v>
      </c>
      <c r="G219" s="656">
        <v>0.6</v>
      </c>
      <c r="H219" s="684">
        <v>0.75</v>
      </c>
      <c r="I219" s="685">
        <v>4</v>
      </c>
      <c r="J219" s="640">
        <f t="shared" si="134"/>
        <v>0.6</v>
      </c>
      <c r="K219" s="640"/>
      <c r="L219" s="640">
        <f t="shared" si="135"/>
        <v>0.38249999999999995</v>
      </c>
      <c r="M219" s="640">
        <f t="shared" si="136"/>
        <v>0.15</v>
      </c>
      <c r="N219" s="640">
        <f t="shared" si="137"/>
        <v>0.26999999999999996</v>
      </c>
      <c r="O219" s="640">
        <f t="shared" si="138"/>
        <v>0.14624999999999999</v>
      </c>
      <c r="P219" s="642">
        <v>0.1</v>
      </c>
      <c r="Q219" s="640"/>
      <c r="R219" s="640">
        <f t="shared" si="139"/>
        <v>1.4999999999999999E-2</v>
      </c>
      <c r="S219" s="640">
        <f t="shared" si="140"/>
        <v>1.7999999999999998</v>
      </c>
      <c r="T219" s="686">
        <f t="shared" si="141"/>
        <v>1.9499999999999997</v>
      </c>
      <c r="U219" s="640">
        <f t="shared" si="142"/>
        <v>0.11249999999999999</v>
      </c>
      <c r="V219" s="644" t="s">
        <v>721</v>
      </c>
    </row>
    <row r="220" spans="1:22" ht="12" x14ac:dyDescent="0.25">
      <c r="A220" s="645" t="s">
        <v>784</v>
      </c>
      <c r="B220" s="682"/>
      <c r="C220" s="682"/>
      <c r="D220" s="682" t="s">
        <v>860</v>
      </c>
      <c r="E220" s="683">
        <v>1</v>
      </c>
      <c r="F220" s="684">
        <v>0.25</v>
      </c>
      <c r="G220" s="656">
        <v>0.6</v>
      </c>
      <c r="H220" s="684">
        <v>0.75</v>
      </c>
      <c r="I220" s="685">
        <v>4</v>
      </c>
      <c r="J220" s="640">
        <f t="shared" si="134"/>
        <v>0.6</v>
      </c>
      <c r="K220" s="640"/>
      <c r="L220" s="640">
        <f t="shared" si="135"/>
        <v>0.38249999999999995</v>
      </c>
      <c r="M220" s="640">
        <f t="shared" si="136"/>
        <v>0.15</v>
      </c>
      <c r="N220" s="640">
        <f t="shared" si="137"/>
        <v>0.26999999999999996</v>
      </c>
      <c r="O220" s="640">
        <f t="shared" si="138"/>
        <v>0.14624999999999999</v>
      </c>
      <c r="P220" s="642">
        <v>0.1</v>
      </c>
      <c r="Q220" s="640"/>
      <c r="R220" s="640">
        <f t="shared" si="139"/>
        <v>1.4999999999999999E-2</v>
      </c>
      <c r="S220" s="640">
        <f t="shared" si="140"/>
        <v>1.7999999999999998</v>
      </c>
      <c r="T220" s="686">
        <f t="shared" si="141"/>
        <v>1.9499999999999997</v>
      </c>
      <c r="U220" s="640">
        <f t="shared" si="142"/>
        <v>0.11249999999999999</v>
      </c>
      <c r="V220" s="644" t="s">
        <v>721</v>
      </c>
    </row>
    <row r="221" spans="1:22" ht="12" x14ac:dyDescent="0.25">
      <c r="A221" s="645" t="s">
        <v>784</v>
      </c>
      <c r="B221" s="682"/>
      <c r="C221" s="682"/>
      <c r="D221" s="682" t="s">
        <v>831</v>
      </c>
      <c r="E221" s="683">
        <v>1</v>
      </c>
      <c r="F221" s="684">
        <v>1.1000000000000001</v>
      </c>
      <c r="G221" s="656">
        <v>0.4</v>
      </c>
      <c r="H221" s="684">
        <v>1</v>
      </c>
      <c r="I221" s="685">
        <v>4</v>
      </c>
      <c r="J221" s="640">
        <f t="shared" ref="J221" si="152">IF(H221&lt;=1,0.6,1.2)</f>
        <v>0.6</v>
      </c>
      <c r="K221" s="640"/>
      <c r="L221" s="640">
        <f t="shared" ref="L221" si="153">((F221+J221)*(H221+K221)*G221)*E221</f>
        <v>0.68000000000000016</v>
      </c>
      <c r="M221" s="640">
        <f t="shared" ref="M221" si="154">(F221)*(G221)*E221</f>
        <v>0.44000000000000006</v>
      </c>
      <c r="N221" s="640">
        <f t="shared" ref="N221" si="155">L221-U221</f>
        <v>0.2400000000000001</v>
      </c>
      <c r="O221" s="640">
        <f t="shared" ref="O221" si="156">(L221-N221)*1.3</f>
        <v>0.57200000000000006</v>
      </c>
      <c r="P221" s="642">
        <v>0.1</v>
      </c>
      <c r="Q221" s="640"/>
      <c r="R221" s="640">
        <f t="shared" ref="R221" si="157">M221*$P221</f>
        <v>4.4000000000000011E-2</v>
      </c>
      <c r="S221" s="640">
        <f t="shared" ref="S221" si="158">((G221*H221*I221))*E221</f>
        <v>1.6</v>
      </c>
      <c r="T221" s="686">
        <f t="shared" ref="T221" si="159">S221+G221*F221</f>
        <v>2.04</v>
      </c>
      <c r="U221" s="640">
        <f t="shared" ref="U221" si="160">F221*H221*G221*E221</f>
        <v>0.44000000000000006</v>
      </c>
      <c r="V221" s="644" t="s">
        <v>721</v>
      </c>
    </row>
    <row r="222" spans="1:22" ht="12" x14ac:dyDescent="0.25">
      <c r="A222" s="645" t="s">
        <v>784</v>
      </c>
      <c r="B222" s="682"/>
      <c r="C222" s="682"/>
      <c r="D222" s="682" t="s">
        <v>878</v>
      </c>
      <c r="E222" s="683">
        <v>1</v>
      </c>
      <c r="F222" s="684">
        <v>1.3</v>
      </c>
      <c r="G222" s="656">
        <v>0.4</v>
      </c>
      <c r="H222" s="684">
        <v>1</v>
      </c>
      <c r="I222" s="685">
        <v>4</v>
      </c>
      <c r="J222" s="640">
        <f t="shared" si="134"/>
        <v>0.6</v>
      </c>
      <c r="K222" s="640"/>
      <c r="L222" s="640">
        <f t="shared" si="135"/>
        <v>0.76</v>
      </c>
      <c r="M222" s="640">
        <f t="shared" si="136"/>
        <v>0.52</v>
      </c>
      <c r="N222" s="640">
        <f t="shared" si="137"/>
        <v>0.24</v>
      </c>
      <c r="O222" s="640">
        <f t="shared" si="138"/>
        <v>0.67600000000000005</v>
      </c>
      <c r="P222" s="642">
        <v>0.1</v>
      </c>
      <c r="Q222" s="640"/>
      <c r="R222" s="640">
        <f t="shared" si="139"/>
        <v>5.2000000000000005E-2</v>
      </c>
      <c r="S222" s="640">
        <f t="shared" si="140"/>
        <v>1.6</v>
      </c>
      <c r="T222" s="686">
        <f t="shared" si="141"/>
        <v>2.12</v>
      </c>
      <c r="U222" s="640">
        <f t="shared" si="142"/>
        <v>0.52</v>
      </c>
      <c r="V222" s="644" t="s">
        <v>721</v>
      </c>
    </row>
    <row r="223" spans="1:22" ht="12" x14ac:dyDescent="0.25">
      <c r="A223" s="645" t="s">
        <v>784</v>
      </c>
      <c r="B223" s="682"/>
      <c r="C223" s="682"/>
      <c r="D223" s="682" t="s">
        <v>876</v>
      </c>
      <c r="E223" s="683">
        <v>1</v>
      </c>
      <c r="F223" s="684">
        <v>1.1000000000000001</v>
      </c>
      <c r="G223" s="656">
        <v>0.4</v>
      </c>
      <c r="H223" s="684">
        <v>1</v>
      </c>
      <c r="I223" s="685">
        <v>4</v>
      </c>
      <c r="J223" s="640">
        <f t="shared" si="134"/>
        <v>0.6</v>
      </c>
      <c r="K223" s="640"/>
      <c r="L223" s="640">
        <f t="shared" si="135"/>
        <v>0.68000000000000016</v>
      </c>
      <c r="M223" s="640">
        <f t="shared" si="136"/>
        <v>0.44000000000000006</v>
      </c>
      <c r="N223" s="640">
        <f t="shared" si="137"/>
        <v>0.2400000000000001</v>
      </c>
      <c r="O223" s="640">
        <f t="shared" si="138"/>
        <v>0.57200000000000006</v>
      </c>
      <c r="P223" s="642">
        <v>0.1</v>
      </c>
      <c r="Q223" s="640"/>
      <c r="R223" s="640">
        <f t="shared" si="139"/>
        <v>4.4000000000000011E-2</v>
      </c>
      <c r="S223" s="640">
        <f t="shared" si="140"/>
        <v>1.6</v>
      </c>
      <c r="T223" s="686">
        <f t="shared" si="141"/>
        <v>2.04</v>
      </c>
      <c r="U223" s="640">
        <f t="shared" si="142"/>
        <v>0.44000000000000006</v>
      </c>
      <c r="V223" s="644" t="s">
        <v>721</v>
      </c>
    </row>
    <row r="224" spans="1:22" ht="12" x14ac:dyDescent="0.25">
      <c r="A224" s="645" t="s">
        <v>784</v>
      </c>
      <c r="B224" s="682"/>
      <c r="C224" s="682"/>
      <c r="D224" s="682" t="s">
        <v>877</v>
      </c>
      <c r="E224" s="683">
        <v>1</v>
      </c>
      <c r="F224" s="684">
        <v>1.2</v>
      </c>
      <c r="G224" s="656">
        <v>0.4</v>
      </c>
      <c r="H224" s="684">
        <v>1</v>
      </c>
      <c r="I224" s="685">
        <v>4</v>
      </c>
      <c r="J224" s="640">
        <f t="shared" ref="J224:J240" si="161">IF(H224&lt;=1,0.6,1.2)</f>
        <v>0.6</v>
      </c>
      <c r="K224" s="640"/>
      <c r="L224" s="640">
        <f t="shared" ref="L224:L240" si="162">((F224+J224)*(H224+K224)*G224)*E224</f>
        <v>0.72</v>
      </c>
      <c r="M224" s="640">
        <f t="shared" ref="M224:M240" si="163">(F224)*(G224)*E224</f>
        <v>0.48</v>
      </c>
      <c r="N224" s="640">
        <f t="shared" ref="N224:N240" si="164">L224-U224</f>
        <v>0.24</v>
      </c>
      <c r="O224" s="640">
        <f t="shared" ref="O224:O240" si="165">(L224-N224)*1.3</f>
        <v>0.624</v>
      </c>
      <c r="P224" s="642">
        <v>0.1</v>
      </c>
      <c r="Q224" s="640"/>
      <c r="R224" s="640">
        <f t="shared" ref="R224:R240" si="166">M224*$P224</f>
        <v>4.8000000000000001E-2</v>
      </c>
      <c r="S224" s="640">
        <f t="shared" ref="S224:S240" si="167">((G224*H224*I224))*E224</f>
        <v>1.6</v>
      </c>
      <c r="T224" s="686">
        <f t="shared" ref="T224:T240" si="168">S224+G224*F224</f>
        <v>2.08</v>
      </c>
      <c r="U224" s="640">
        <f t="shared" ref="U224:U240" si="169">F224*H224*G224*E224</f>
        <v>0.48</v>
      </c>
      <c r="V224" s="644" t="s">
        <v>721</v>
      </c>
    </row>
    <row r="225" spans="1:22" ht="12" x14ac:dyDescent="0.25">
      <c r="A225" s="645" t="s">
        <v>784</v>
      </c>
      <c r="B225" s="682"/>
      <c r="C225" s="682"/>
      <c r="D225" s="682" t="s">
        <v>874</v>
      </c>
      <c r="E225" s="683">
        <v>1</v>
      </c>
      <c r="F225" s="684">
        <v>1</v>
      </c>
      <c r="G225" s="656">
        <v>0.4</v>
      </c>
      <c r="H225" s="684">
        <v>1</v>
      </c>
      <c r="I225" s="685">
        <v>4</v>
      </c>
      <c r="J225" s="640">
        <f t="shared" ref="J225" si="170">IF(H225&lt;=1,0.6,1.2)</f>
        <v>0.6</v>
      </c>
      <c r="K225" s="640"/>
      <c r="L225" s="640">
        <f t="shared" ref="L225" si="171">((F225+J225)*(H225+K225)*G225)*E225</f>
        <v>0.64000000000000012</v>
      </c>
      <c r="M225" s="640">
        <f t="shared" ref="M225" si="172">(F225)*(G225)*E225</f>
        <v>0.4</v>
      </c>
      <c r="N225" s="640">
        <f t="shared" ref="N225" si="173">L225-U225</f>
        <v>0.2400000000000001</v>
      </c>
      <c r="O225" s="640">
        <f t="shared" ref="O225" si="174">(L225-N225)*1.3</f>
        <v>0.52</v>
      </c>
      <c r="P225" s="642">
        <v>0.1</v>
      </c>
      <c r="Q225" s="640"/>
      <c r="R225" s="640">
        <f t="shared" ref="R225" si="175">M225*$P225</f>
        <v>4.0000000000000008E-2</v>
      </c>
      <c r="S225" s="640">
        <f t="shared" ref="S225" si="176">((G225*H225*I225))*E225</f>
        <v>1.6</v>
      </c>
      <c r="T225" s="686">
        <f t="shared" ref="T225" si="177">S225+G225*F225</f>
        <v>2</v>
      </c>
      <c r="U225" s="640">
        <f t="shared" ref="U225" si="178">F225*H225*G225*E225</f>
        <v>0.4</v>
      </c>
      <c r="V225" s="644" t="s">
        <v>721</v>
      </c>
    </row>
    <row r="226" spans="1:22" ht="12" x14ac:dyDescent="0.25">
      <c r="A226" s="645" t="s">
        <v>784</v>
      </c>
      <c r="B226" s="682"/>
      <c r="C226" s="682"/>
      <c r="D226" s="682" t="s">
        <v>875</v>
      </c>
      <c r="E226" s="683">
        <v>1</v>
      </c>
      <c r="F226" s="684">
        <v>1.2</v>
      </c>
      <c r="G226" s="656">
        <v>0.4</v>
      </c>
      <c r="H226" s="684">
        <v>1</v>
      </c>
      <c r="I226" s="685">
        <v>4</v>
      </c>
      <c r="J226" s="640">
        <f t="shared" si="161"/>
        <v>0.6</v>
      </c>
      <c r="K226" s="640"/>
      <c r="L226" s="640">
        <f t="shared" si="162"/>
        <v>0.72</v>
      </c>
      <c r="M226" s="640">
        <f t="shared" si="163"/>
        <v>0.48</v>
      </c>
      <c r="N226" s="640">
        <f t="shared" si="164"/>
        <v>0.24</v>
      </c>
      <c r="O226" s="640">
        <f t="shared" si="165"/>
        <v>0.624</v>
      </c>
      <c r="P226" s="642">
        <v>0.1</v>
      </c>
      <c r="Q226" s="640"/>
      <c r="R226" s="640">
        <f t="shared" si="166"/>
        <v>4.8000000000000001E-2</v>
      </c>
      <c r="S226" s="640">
        <f t="shared" si="167"/>
        <v>1.6</v>
      </c>
      <c r="T226" s="686">
        <f t="shared" si="168"/>
        <v>2.08</v>
      </c>
      <c r="U226" s="640">
        <f t="shared" si="169"/>
        <v>0.48</v>
      </c>
      <c r="V226" s="644" t="s">
        <v>721</v>
      </c>
    </row>
    <row r="227" spans="1:22" ht="12" x14ac:dyDescent="0.25">
      <c r="A227" s="645" t="s">
        <v>784</v>
      </c>
      <c r="B227" s="682"/>
      <c r="C227" s="682"/>
      <c r="D227" s="682" t="s">
        <v>872</v>
      </c>
      <c r="E227" s="683">
        <v>1</v>
      </c>
      <c r="F227" s="684">
        <v>0.4</v>
      </c>
      <c r="G227" s="656">
        <v>1</v>
      </c>
      <c r="H227" s="684">
        <v>1</v>
      </c>
      <c r="I227" s="685">
        <v>4</v>
      </c>
      <c r="J227" s="640">
        <f t="shared" ref="J227" si="179">IF(H227&lt;=1,0.6,1.2)</f>
        <v>0.6</v>
      </c>
      <c r="K227" s="640"/>
      <c r="L227" s="640">
        <f t="shared" ref="L227" si="180">((F227+J227)*(H227+K227)*G227)*E227</f>
        <v>1</v>
      </c>
      <c r="M227" s="640">
        <f t="shared" ref="M227" si="181">(F227)*(G227)*E227</f>
        <v>0.4</v>
      </c>
      <c r="N227" s="640">
        <f t="shared" ref="N227" si="182">L227-U227</f>
        <v>0.6</v>
      </c>
      <c r="O227" s="640">
        <f t="shared" ref="O227" si="183">(L227-N227)*1.3</f>
        <v>0.52</v>
      </c>
      <c r="P227" s="642">
        <v>0.1</v>
      </c>
      <c r="Q227" s="640"/>
      <c r="R227" s="640">
        <f t="shared" ref="R227" si="184">M227*$P227</f>
        <v>4.0000000000000008E-2</v>
      </c>
      <c r="S227" s="640">
        <f t="shared" ref="S227" si="185">((G227*H227*I227))*E227</f>
        <v>4</v>
      </c>
      <c r="T227" s="686">
        <f t="shared" ref="T227" si="186">S227+G227*F227</f>
        <v>4.4000000000000004</v>
      </c>
      <c r="U227" s="640">
        <f t="shared" ref="U227" si="187">F227*H227*G227*E227</f>
        <v>0.4</v>
      </c>
      <c r="V227" s="644" t="s">
        <v>721</v>
      </c>
    </row>
    <row r="228" spans="1:22" ht="12" x14ac:dyDescent="0.25">
      <c r="A228" s="645" t="s">
        <v>784</v>
      </c>
      <c r="B228" s="682"/>
      <c r="C228" s="682"/>
      <c r="D228" s="682" t="s">
        <v>873</v>
      </c>
      <c r="E228" s="683">
        <v>1</v>
      </c>
      <c r="F228" s="684">
        <v>1.2</v>
      </c>
      <c r="G228" s="656">
        <v>0.4</v>
      </c>
      <c r="H228" s="684">
        <v>1</v>
      </c>
      <c r="I228" s="685">
        <v>4</v>
      </c>
      <c r="J228" s="640">
        <f t="shared" si="161"/>
        <v>0.6</v>
      </c>
      <c r="K228" s="640"/>
      <c r="L228" s="640">
        <f t="shared" si="162"/>
        <v>0.72</v>
      </c>
      <c r="M228" s="640">
        <f t="shared" si="163"/>
        <v>0.48</v>
      </c>
      <c r="N228" s="640">
        <f t="shared" si="164"/>
        <v>0.24</v>
      </c>
      <c r="O228" s="640">
        <f t="shared" si="165"/>
        <v>0.624</v>
      </c>
      <c r="P228" s="642">
        <v>0.1</v>
      </c>
      <c r="Q228" s="640"/>
      <c r="R228" s="640">
        <f t="shared" si="166"/>
        <v>4.8000000000000001E-2</v>
      </c>
      <c r="S228" s="640">
        <f t="shared" si="167"/>
        <v>1.6</v>
      </c>
      <c r="T228" s="686">
        <f t="shared" si="168"/>
        <v>2.08</v>
      </c>
      <c r="U228" s="640">
        <f t="shared" si="169"/>
        <v>0.48</v>
      </c>
      <c r="V228" s="644" t="s">
        <v>721</v>
      </c>
    </row>
    <row r="229" spans="1:22" ht="12" x14ac:dyDescent="0.25">
      <c r="A229" s="645" t="s">
        <v>784</v>
      </c>
      <c r="B229" s="682"/>
      <c r="C229" s="682"/>
      <c r="D229" s="682" t="s">
        <v>870</v>
      </c>
      <c r="E229" s="683">
        <v>1</v>
      </c>
      <c r="F229" s="684">
        <v>1</v>
      </c>
      <c r="G229" s="656">
        <v>0.4</v>
      </c>
      <c r="H229" s="684">
        <v>1</v>
      </c>
      <c r="I229" s="685">
        <v>4</v>
      </c>
      <c r="J229" s="640">
        <f t="shared" ref="J229" si="188">IF(H229&lt;=1,0.6,1.2)</f>
        <v>0.6</v>
      </c>
      <c r="K229" s="640"/>
      <c r="L229" s="640">
        <f t="shared" ref="L229" si="189">((F229+J229)*(H229+K229)*G229)*E229</f>
        <v>0.64000000000000012</v>
      </c>
      <c r="M229" s="640">
        <f t="shared" ref="M229" si="190">(F229)*(G229)*E229</f>
        <v>0.4</v>
      </c>
      <c r="N229" s="640">
        <f t="shared" ref="N229" si="191">L229-U229</f>
        <v>0.2400000000000001</v>
      </c>
      <c r="O229" s="640">
        <f t="shared" ref="O229" si="192">(L229-N229)*1.3</f>
        <v>0.52</v>
      </c>
      <c r="P229" s="642">
        <v>0.1</v>
      </c>
      <c r="Q229" s="640"/>
      <c r="R229" s="640">
        <f t="shared" ref="R229" si="193">M229*$P229</f>
        <v>4.0000000000000008E-2</v>
      </c>
      <c r="S229" s="640">
        <f t="shared" ref="S229" si="194">((G229*H229*I229))*E229</f>
        <v>1.6</v>
      </c>
      <c r="T229" s="686">
        <f t="shared" ref="T229" si="195">S229+G229*F229</f>
        <v>2</v>
      </c>
      <c r="U229" s="640">
        <f t="shared" ref="U229" si="196">F229*H229*G229*E229</f>
        <v>0.4</v>
      </c>
      <c r="V229" s="644" t="s">
        <v>721</v>
      </c>
    </row>
    <row r="230" spans="1:22" ht="12" x14ac:dyDescent="0.25">
      <c r="A230" s="645" t="s">
        <v>784</v>
      </c>
      <c r="B230" s="682"/>
      <c r="C230" s="682"/>
      <c r="D230" s="682" t="s">
        <v>871</v>
      </c>
      <c r="E230" s="683">
        <v>1</v>
      </c>
      <c r="F230" s="684">
        <v>1.4</v>
      </c>
      <c r="G230" s="656">
        <v>0.5</v>
      </c>
      <c r="H230" s="684">
        <v>1</v>
      </c>
      <c r="I230" s="685">
        <v>4</v>
      </c>
      <c r="J230" s="640">
        <f t="shared" si="161"/>
        <v>0.6</v>
      </c>
      <c r="K230" s="640"/>
      <c r="L230" s="640">
        <f t="shared" si="162"/>
        <v>1</v>
      </c>
      <c r="M230" s="640">
        <f t="shared" si="163"/>
        <v>0.7</v>
      </c>
      <c r="N230" s="640">
        <f t="shared" si="164"/>
        <v>0.30000000000000004</v>
      </c>
      <c r="O230" s="640">
        <f t="shared" si="165"/>
        <v>0.90999999999999992</v>
      </c>
      <c r="P230" s="642">
        <v>0.1</v>
      </c>
      <c r="Q230" s="640"/>
      <c r="R230" s="640">
        <f t="shared" si="166"/>
        <v>6.9999999999999993E-2</v>
      </c>
      <c r="S230" s="640">
        <f t="shared" si="167"/>
        <v>2</v>
      </c>
      <c r="T230" s="686">
        <f t="shared" si="168"/>
        <v>2.7</v>
      </c>
      <c r="U230" s="640">
        <f t="shared" si="169"/>
        <v>0.7</v>
      </c>
      <c r="V230" s="644" t="s">
        <v>721</v>
      </c>
    </row>
    <row r="231" spans="1:22" ht="12" x14ac:dyDescent="0.25">
      <c r="A231" s="645" t="s">
        <v>784</v>
      </c>
      <c r="B231" s="682"/>
      <c r="C231" s="682"/>
      <c r="D231" s="682" t="s">
        <v>868</v>
      </c>
      <c r="E231" s="683">
        <v>1</v>
      </c>
      <c r="F231" s="684">
        <v>1</v>
      </c>
      <c r="G231" s="656">
        <v>0.4</v>
      </c>
      <c r="H231" s="684">
        <v>1</v>
      </c>
      <c r="I231" s="685">
        <v>4</v>
      </c>
      <c r="J231" s="640">
        <f t="shared" ref="J231" si="197">IF(H231&lt;=1,0.6,1.2)</f>
        <v>0.6</v>
      </c>
      <c r="K231" s="640"/>
      <c r="L231" s="640">
        <f t="shared" ref="L231" si="198">((F231+J231)*(H231+K231)*G231)*E231</f>
        <v>0.64000000000000012</v>
      </c>
      <c r="M231" s="640">
        <f t="shared" ref="M231" si="199">(F231)*(G231)*E231</f>
        <v>0.4</v>
      </c>
      <c r="N231" s="640">
        <f t="shared" ref="N231" si="200">L231-U231</f>
        <v>0.2400000000000001</v>
      </c>
      <c r="O231" s="640">
        <f t="shared" ref="O231" si="201">(L231-N231)*1.3</f>
        <v>0.52</v>
      </c>
      <c r="P231" s="642">
        <v>0.1</v>
      </c>
      <c r="Q231" s="640"/>
      <c r="R231" s="640">
        <f t="shared" ref="R231" si="202">M231*$P231</f>
        <v>4.0000000000000008E-2</v>
      </c>
      <c r="S231" s="640">
        <f t="shared" ref="S231" si="203">((G231*H231*I231))*E231</f>
        <v>1.6</v>
      </c>
      <c r="T231" s="686">
        <f t="shared" ref="T231" si="204">S231+G231*F231</f>
        <v>2</v>
      </c>
      <c r="U231" s="640">
        <f t="shared" ref="U231" si="205">F231*H231*G231*E231</f>
        <v>0.4</v>
      </c>
      <c r="V231" s="644" t="s">
        <v>721</v>
      </c>
    </row>
    <row r="232" spans="1:22" ht="12" x14ac:dyDescent="0.25">
      <c r="A232" s="645" t="s">
        <v>784</v>
      </c>
      <c r="B232" s="682"/>
      <c r="C232" s="682"/>
      <c r="D232" s="682" t="s">
        <v>869</v>
      </c>
      <c r="E232" s="683">
        <v>1</v>
      </c>
      <c r="F232" s="684">
        <v>1.3</v>
      </c>
      <c r="G232" s="656">
        <v>0.4</v>
      </c>
      <c r="H232" s="684">
        <v>1</v>
      </c>
      <c r="I232" s="685">
        <v>4</v>
      </c>
      <c r="J232" s="640">
        <f t="shared" si="161"/>
        <v>0.6</v>
      </c>
      <c r="K232" s="640"/>
      <c r="L232" s="640">
        <f t="shared" si="162"/>
        <v>0.76</v>
      </c>
      <c r="M232" s="640">
        <f t="shared" si="163"/>
        <v>0.52</v>
      </c>
      <c r="N232" s="640">
        <f t="shared" si="164"/>
        <v>0.24</v>
      </c>
      <c r="O232" s="640">
        <f t="shared" si="165"/>
        <v>0.67600000000000005</v>
      </c>
      <c r="P232" s="642">
        <v>0.1</v>
      </c>
      <c r="Q232" s="640"/>
      <c r="R232" s="640">
        <f t="shared" si="166"/>
        <v>5.2000000000000005E-2</v>
      </c>
      <c r="S232" s="640">
        <f t="shared" si="167"/>
        <v>1.6</v>
      </c>
      <c r="T232" s="686">
        <f t="shared" si="168"/>
        <v>2.12</v>
      </c>
      <c r="U232" s="640">
        <f t="shared" si="169"/>
        <v>0.52</v>
      </c>
      <c r="V232" s="644" t="s">
        <v>721</v>
      </c>
    </row>
    <row r="233" spans="1:22" ht="12" x14ac:dyDescent="0.25">
      <c r="A233" s="645" t="s">
        <v>784</v>
      </c>
      <c r="B233" s="682"/>
      <c r="C233" s="682"/>
      <c r="D233" s="682" t="s">
        <v>866</v>
      </c>
      <c r="E233" s="683">
        <v>1</v>
      </c>
      <c r="F233" s="684">
        <v>1</v>
      </c>
      <c r="G233" s="656">
        <v>0.5</v>
      </c>
      <c r="H233" s="684">
        <v>1</v>
      </c>
      <c r="I233" s="685">
        <v>4</v>
      </c>
      <c r="J233" s="640">
        <f t="shared" ref="J233" si="206">IF(H233&lt;=1,0.6,1.2)</f>
        <v>0.6</v>
      </c>
      <c r="K233" s="640"/>
      <c r="L233" s="640">
        <f t="shared" ref="L233" si="207">((F233+J233)*(H233+K233)*G233)*E233</f>
        <v>0.8</v>
      </c>
      <c r="M233" s="640">
        <f t="shared" ref="M233" si="208">(F233)*(G233)*E233</f>
        <v>0.5</v>
      </c>
      <c r="N233" s="640">
        <f t="shared" ref="N233" si="209">L233-U233</f>
        <v>0.30000000000000004</v>
      </c>
      <c r="O233" s="640">
        <f t="shared" ref="O233" si="210">(L233-N233)*1.3</f>
        <v>0.65</v>
      </c>
      <c r="P233" s="642">
        <v>0.1</v>
      </c>
      <c r="Q233" s="640"/>
      <c r="R233" s="640">
        <f t="shared" ref="R233" si="211">M233*$P233</f>
        <v>0.05</v>
      </c>
      <c r="S233" s="640">
        <f t="shared" ref="S233" si="212">((G233*H233*I233))*E233</f>
        <v>2</v>
      </c>
      <c r="T233" s="686">
        <f t="shared" ref="T233" si="213">S233+G233*F233</f>
        <v>2.5</v>
      </c>
      <c r="U233" s="640">
        <f t="shared" ref="U233" si="214">F233*H233*G233*E233</f>
        <v>0.5</v>
      </c>
      <c r="V233" s="644" t="s">
        <v>721</v>
      </c>
    </row>
    <row r="234" spans="1:22" ht="12" x14ac:dyDescent="0.25">
      <c r="A234" s="645" t="s">
        <v>784</v>
      </c>
      <c r="B234" s="682"/>
      <c r="C234" s="682"/>
      <c r="D234" s="682" t="s">
        <v>867</v>
      </c>
      <c r="E234" s="683">
        <v>1</v>
      </c>
      <c r="F234" s="684">
        <v>1.2</v>
      </c>
      <c r="G234" s="656">
        <v>0.5</v>
      </c>
      <c r="H234" s="684">
        <v>1</v>
      </c>
      <c r="I234" s="685">
        <v>4</v>
      </c>
      <c r="J234" s="640">
        <f t="shared" si="161"/>
        <v>0.6</v>
      </c>
      <c r="K234" s="640"/>
      <c r="L234" s="640">
        <f t="shared" si="162"/>
        <v>0.89999999999999991</v>
      </c>
      <c r="M234" s="640">
        <f t="shared" si="163"/>
        <v>0.6</v>
      </c>
      <c r="N234" s="640">
        <f t="shared" si="164"/>
        <v>0.29999999999999993</v>
      </c>
      <c r="O234" s="640">
        <f t="shared" si="165"/>
        <v>0.78</v>
      </c>
      <c r="P234" s="642">
        <v>0.1</v>
      </c>
      <c r="Q234" s="640"/>
      <c r="R234" s="640">
        <f t="shared" si="166"/>
        <v>0.06</v>
      </c>
      <c r="S234" s="640">
        <f t="shared" si="167"/>
        <v>2</v>
      </c>
      <c r="T234" s="686">
        <f t="shared" si="168"/>
        <v>2.6</v>
      </c>
      <c r="U234" s="640">
        <f t="shared" si="169"/>
        <v>0.6</v>
      </c>
      <c r="V234" s="644" t="s">
        <v>721</v>
      </c>
    </row>
    <row r="235" spans="1:22" ht="12" x14ac:dyDescent="0.25">
      <c r="A235" s="645" t="s">
        <v>784</v>
      </c>
      <c r="B235" s="682"/>
      <c r="C235" s="682"/>
      <c r="D235" s="682" t="s">
        <v>864</v>
      </c>
      <c r="E235" s="683">
        <v>1</v>
      </c>
      <c r="F235" s="684">
        <v>1</v>
      </c>
      <c r="G235" s="656">
        <v>0.3</v>
      </c>
      <c r="H235" s="684">
        <v>1</v>
      </c>
      <c r="I235" s="685">
        <v>4</v>
      </c>
      <c r="J235" s="640">
        <f t="shared" ref="J235" si="215">IF(H235&lt;=1,0.6,1.2)</f>
        <v>0.6</v>
      </c>
      <c r="K235" s="640"/>
      <c r="L235" s="640">
        <f t="shared" ref="L235" si="216">((F235+J235)*(H235+K235)*G235)*E235</f>
        <v>0.48</v>
      </c>
      <c r="M235" s="640">
        <f t="shared" ref="M235" si="217">(F235)*(G235)*E235</f>
        <v>0.3</v>
      </c>
      <c r="N235" s="640">
        <f t="shared" ref="N235" si="218">L235-U235</f>
        <v>0.18</v>
      </c>
      <c r="O235" s="640">
        <f t="shared" ref="O235" si="219">(L235-N235)*1.3</f>
        <v>0.39</v>
      </c>
      <c r="P235" s="642">
        <v>0.1</v>
      </c>
      <c r="Q235" s="640"/>
      <c r="R235" s="640">
        <f t="shared" ref="R235" si="220">M235*$P235</f>
        <v>0.03</v>
      </c>
      <c r="S235" s="640">
        <f t="shared" ref="S235" si="221">((G235*H235*I235))*E235</f>
        <v>1.2</v>
      </c>
      <c r="T235" s="686">
        <f t="shared" ref="T235" si="222">S235+G235*F235</f>
        <v>1.5</v>
      </c>
      <c r="U235" s="640">
        <f t="shared" ref="U235" si="223">F235*H235*G235*E235</f>
        <v>0.3</v>
      </c>
      <c r="V235" s="644" t="s">
        <v>721</v>
      </c>
    </row>
    <row r="236" spans="1:22" ht="12" x14ac:dyDescent="0.25">
      <c r="A236" s="645" t="s">
        <v>784</v>
      </c>
      <c r="B236" s="682"/>
      <c r="C236" s="682"/>
      <c r="D236" s="682" t="s">
        <v>865</v>
      </c>
      <c r="E236" s="683">
        <v>1</v>
      </c>
      <c r="F236" s="684">
        <v>1.2</v>
      </c>
      <c r="G236" s="656">
        <v>0.3</v>
      </c>
      <c r="H236" s="684">
        <v>1</v>
      </c>
      <c r="I236" s="685">
        <v>4</v>
      </c>
      <c r="J236" s="640">
        <f t="shared" si="161"/>
        <v>0.6</v>
      </c>
      <c r="K236" s="640"/>
      <c r="L236" s="640">
        <f t="shared" si="162"/>
        <v>0.53999999999999992</v>
      </c>
      <c r="M236" s="640">
        <f t="shared" si="163"/>
        <v>0.36</v>
      </c>
      <c r="N236" s="640">
        <f t="shared" si="164"/>
        <v>0.17999999999999994</v>
      </c>
      <c r="O236" s="640">
        <f t="shared" si="165"/>
        <v>0.46799999999999997</v>
      </c>
      <c r="P236" s="642">
        <v>0.1</v>
      </c>
      <c r="Q236" s="640"/>
      <c r="R236" s="640">
        <f t="shared" si="166"/>
        <v>3.5999999999999997E-2</v>
      </c>
      <c r="S236" s="640">
        <f t="shared" si="167"/>
        <v>1.2</v>
      </c>
      <c r="T236" s="686">
        <f t="shared" si="168"/>
        <v>1.56</v>
      </c>
      <c r="U236" s="640">
        <f t="shared" si="169"/>
        <v>0.36</v>
      </c>
      <c r="V236" s="644" t="s">
        <v>721</v>
      </c>
    </row>
    <row r="237" spans="1:22" ht="12" x14ac:dyDescent="0.25">
      <c r="A237" s="645" t="s">
        <v>784</v>
      </c>
      <c r="B237" s="682"/>
      <c r="C237" s="682"/>
      <c r="D237" s="682" t="s">
        <v>861</v>
      </c>
      <c r="E237" s="683">
        <v>1</v>
      </c>
      <c r="F237" s="684">
        <v>2.48</v>
      </c>
      <c r="G237" s="656">
        <v>0.3</v>
      </c>
      <c r="H237" s="684">
        <v>1.6</v>
      </c>
      <c r="I237" s="685">
        <v>4</v>
      </c>
      <c r="J237" s="640">
        <f t="shared" si="161"/>
        <v>1.2</v>
      </c>
      <c r="K237" s="640"/>
      <c r="L237" s="640">
        <f t="shared" si="162"/>
        <v>1.7664</v>
      </c>
      <c r="M237" s="640">
        <f t="shared" si="163"/>
        <v>0.74399999999999999</v>
      </c>
      <c r="N237" s="640">
        <f t="shared" si="164"/>
        <v>0.57600000000000007</v>
      </c>
      <c r="O237" s="640">
        <f t="shared" si="165"/>
        <v>1.54752</v>
      </c>
      <c r="P237" s="642">
        <v>0.1</v>
      </c>
      <c r="Q237" s="640"/>
      <c r="R237" s="640">
        <f t="shared" si="166"/>
        <v>7.4400000000000008E-2</v>
      </c>
      <c r="S237" s="640">
        <f t="shared" si="167"/>
        <v>1.92</v>
      </c>
      <c r="T237" s="686">
        <f t="shared" si="168"/>
        <v>2.6639999999999997</v>
      </c>
      <c r="U237" s="640">
        <f t="shared" si="169"/>
        <v>1.1903999999999999</v>
      </c>
      <c r="V237" s="644" t="s">
        <v>721</v>
      </c>
    </row>
    <row r="238" spans="1:22" ht="12" x14ac:dyDescent="0.25">
      <c r="A238" s="645" t="s">
        <v>784</v>
      </c>
      <c r="B238" s="682"/>
      <c r="C238" s="682"/>
      <c r="D238" s="682" t="s">
        <v>862</v>
      </c>
      <c r="E238" s="683">
        <v>2</v>
      </c>
      <c r="F238" s="684">
        <v>1.1200000000000001</v>
      </c>
      <c r="G238" s="656">
        <v>0.19</v>
      </c>
      <c r="H238" s="684">
        <v>1.6</v>
      </c>
      <c r="I238" s="685">
        <v>4</v>
      </c>
      <c r="J238" s="640">
        <f t="shared" si="161"/>
        <v>1.2</v>
      </c>
      <c r="K238" s="640"/>
      <c r="L238" s="640">
        <f t="shared" si="162"/>
        <v>1.4105600000000003</v>
      </c>
      <c r="M238" s="640">
        <f t="shared" si="163"/>
        <v>0.42560000000000003</v>
      </c>
      <c r="N238" s="640">
        <f t="shared" si="164"/>
        <v>0.72960000000000014</v>
      </c>
      <c r="O238" s="640">
        <f t="shared" si="165"/>
        <v>0.88524800000000015</v>
      </c>
      <c r="P238" s="642">
        <v>0.1</v>
      </c>
      <c r="Q238" s="640"/>
      <c r="R238" s="640">
        <f t="shared" si="166"/>
        <v>4.2560000000000008E-2</v>
      </c>
      <c r="S238" s="640">
        <f t="shared" si="167"/>
        <v>2.4320000000000004</v>
      </c>
      <c r="T238" s="686">
        <f t="shared" si="168"/>
        <v>2.6448000000000005</v>
      </c>
      <c r="U238" s="640">
        <f t="shared" si="169"/>
        <v>0.68096000000000012</v>
      </c>
      <c r="V238" s="644" t="s">
        <v>721</v>
      </c>
    </row>
    <row r="239" spans="1:22" ht="12" x14ac:dyDescent="0.25">
      <c r="A239" s="645" t="s">
        <v>784</v>
      </c>
      <c r="B239" s="682"/>
      <c r="C239" s="682"/>
      <c r="D239" s="682" t="s">
        <v>862</v>
      </c>
      <c r="E239" s="683">
        <v>1</v>
      </c>
      <c r="F239" s="684">
        <v>1.73</v>
      </c>
      <c r="G239" s="656">
        <v>0.3</v>
      </c>
      <c r="H239" s="684">
        <v>1.6</v>
      </c>
      <c r="I239" s="685">
        <v>4</v>
      </c>
      <c r="J239" s="640">
        <f t="shared" ref="J239" si="224">IF(H239&lt;=1,0.6,1.2)</f>
        <v>1.2</v>
      </c>
      <c r="K239" s="640"/>
      <c r="L239" s="640">
        <f t="shared" ref="L239" si="225">((F239+J239)*(H239+K239)*G239)*E239</f>
        <v>1.4063999999999999</v>
      </c>
      <c r="M239" s="640">
        <f t="shared" ref="M239" si="226">(F239)*(G239)*E239</f>
        <v>0.51900000000000002</v>
      </c>
      <c r="N239" s="640">
        <f t="shared" ref="N239" si="227">L239-U239</f>
        <v>0.57599999999999985</v>
      </c>
      <c r="O239" s="640">
        <f t="shared" ref="O239" si="228">(L239-N239)*1.3</f>
        <v>1.07952</v>
      </c>
      <c r="P239" s="642">
        <v>0.1</v>
      </c>
      <c r="Q239" s="640"/>
      <c r="R239" s="640">
        <f t="shared" ref="R239" si="229">M239*$P239</f>
        <v>5.1900000000000002E-2</v>
      </c>
      <c r="S239" s="640">
        <f t="shared" ref="S239" si="230">((G239*H239*I239))*E239</f>
        <v>1.92</v>
      </c>
      <c r="T239" s="686">
        <f t="shared" ref="T239" si="231">S239+G239*F239</f>
        <v>2.4390000000000001</v>
      </c>
      <c r="U239" s="640">
        <f t="shared" ref="U239" si="232">F239*H239*G239*E239</f>
        <v>0.83040000000000003</v>
      </c>
      <c r="V239" s="644" t="s">
        <v>721</v>
      </c>
    </row>
    <row r="240" spans="1:22" ht="12" x14ac:dyDescent="0.25">
      <c r="A240" s="645" t="s">
        <v>784</v>
      </c>
      <c r="B240" s="682"/>
      <c r="C240" s="682"/>
      <c r="D240" s="682" t="s">
        <v>863</v>
      </c>
      <c r="E240" s="683">
        <v>1</v>
      </c>
      <c r="F240" s="684">
        <v>0.25</v>
      </c>
      <c r="G240" s="656">
        <v>0.5</v>
      </c>
      <c r="H240" s="684">
        <v>1.6</v>
      </c>
      <c r="I240" s="685">
        <v>4</v>
      </c>
      <c r="J240" s="640">
        <f t="shared" si="161"/>
        <v>1.2</v>
      </c>
      <c r="K240" s="640"/>
      <c r="L240" s="640">
        <f t="shared" si="162"/>
        <v>1.1599999999999999</v>
      </c>
      <c r="M240" s="640">
        <f t="shared" si="163"/>
        <v>0.125</v>
      </c>
      <c r="N240" s="640">
        <f t="shared" si="164"/>
        <v>0.96</v>
      </c>
      <c r="O240" s="640">
        <f t="shared" si="165"/>
        <v>0.25999999999999995</v>
      </c>
      <c r="P240" s="642">
        <v>0.1</v>
      </c>
      <c r="Q240" s="640"/>
      <c r="R240" s="640">
        <f t="shared" si="166"/>
        <v>1.2500000000000001E-2</v>
      </c>
      <c r="S240" s="640">
        <f t="shared" si="167"/>
        <v>3.2</v>
      </c>
      <c r="T240" s="686">
        <f t="shared" si="168"/>
        <v>3.3250000000000002</v>
      </c>
      <c r="U240" s="640">
        <f t="shared" si="169"/>
        <v>0.2</v>
      </c>
      <c r="V240" s="644" t="s">
        <v>721</v>
      </c>
    </row>
    <row r="241" spans="1:23" ht="12" x14ac:dyDescent="0.25">
      <c r="A241" s="733"/>
      <c r="B241" s="682"/>
      <c r="C241" s="682"/>
      <c r="D241" s="682"/>
      <c r="E241" s="683"/>
      <c r="F241" s="684"/>
      <c r="G241" s="656"/>
      <c r="H241" s="684"/>
      <c r="I241" s="685">
        <v>4</v>
      </c>
      <c r="J241" s="640">
        <f t="shared" si="134"/>
        <v>0.6</v>
      </c>
      <c r="K241" s="640"/>
      <c r="L241" s="640">
        <f t="shared" si="135"/>
        <v>0</v>
      </c>
      <c r="M241" s="640">
        <f t="shared" si="136"/>
        <v>0</v>
      </c>
      <c r="N241" s="640">
        <f t="shared" si="137"/>
        <v>0</v>
      </c>
      <c r="O241" s="640">
        <f t="shared" si="138"/>
        <v>0</v>
      </c>
      <c r="P241" s="642">
        <v>0.1</v>
      </c>
      <c r="Q241" s="640"/>
      <c r="R241" s="640">
        <f t="shared" si="139"/>
        <v>0</v>
      </c>
      <c r="S241" s="640">
        <f t="shared" si="140"/>
        <v>0</v>
      </c>
      <c r="T241" s="686">
        <f t="shared" si="141"/>
        <v>0</v>
      </c>
      <c r="U241" s="640">
        <f t="shared" si="142"/>
        <v>0</v>
      </c>
      <c r="V241" s="644" t="s">
        <v>721</v>
      </c>
    </row>
    <row r="242" spans="1:23" ht="12.75" thickBot="1" x14ac:dyDescent="0.3">
      <c r="A242" s="682"/>
      <c r="B242" s="682"/>
      <c r="C242" s="682"/>
      <c r="D242" s="682"/>
      <c r="E242" s="683"/>
      <c r="F242" s="684"/>
      <c r="G242" s="656"/>
      <c r="H242" s="684"/>
      <c r="I242" s="685">
        <v>4</v>
      </c>
      <c r="J242" s="640">
        <f t="shared" si="124"/>
        <v>0.6</v>
      </c>
      <c r="K242" s="640"/>
      <c r="L242" s="640">
        <f t="shared" si="125"/>
        <v>0</v>
      </c>
      <c r="M242" s="640">
        <f t="shared" si="126"/>
        <v>0</v>
      </c>
      <c r="N242" s="640">
        <f t="shared" si="127"/>
        <v>0</v>
      </c>
      <c r="O242" s="640">
        <f t="shared" si="132"/>
        <v>0</v>
      </c>
      <c r="P242" s="642">
        <v>0.1</v>
      </c>
      <c r="Q242" s="640"/>
      <c r="R242" s="640">
        <f t="shared" si="133"/>
        <v>0</v>
      </c>
      <c r="S242" s="640">
        <f t="shared" si="129"/>
        <v>0</v>
      </c>
      <c r="T242" s="686">
        <f t="shared" si="130"/>
        <v>0</v>
      </c>
      <c r="U242" s="640">
        <f t="shared" si="131"/>
        <v>0</v>
      </c>
      <c r="V242" s="644" t="s">
        <v>721</v>
      </c>
    </row>
    <row r="243" spans="1:23" ht="13.5" thickTop="1" thickBot="1" x14ac:dyDescent="0.3">
      <c r="A243" s="575" t="str">
        <f>"TOTAL GERAL - "&amp;A181</f>
        <v>TOTAL GERAL - PILARS  FUNDAÇÃO</v>
      </c>
      <c r="B243" s="575"/>
      <c r="C243" s="688"/>
      <c r="D243" s="577"/>
      <c r="E243" s="577"/>
      <c r="F243" s="577"/>
      <c r="G243" s="577"/>
      <c r="H243" s="577"/>
      <c r="I243" s="579"/>
      <c r="J243" s="577"/>
      <c r="K243" s="577"/>
      <c r="L243" s="579">
        <f>SUM(L185:L242)</f>
        <v>45.988084999999977</v>
      </c>
      <c r="M243" s="579">
        <f>SUM(M185:M242)</f>
        <v>19.4834</v>
      </c>
      <c r="N243" s="579">
        <f>SUM(N185:N242)</f>
        <v>27.058979999999984</v>
      </c>
      <c r="O243" s="579">
        <f>SUM(O185:O242)</f>
        <v>24.607836500000005</v>
      </c>
      <c r="P243" s="579"/>
      <c r="Q243" s="579">
        <f>SUM(Q185:Q242)</f>
        <v>0</v>
      </c>
      <c r="R243" s="579">
        <f>SUM(R185:R242)</f>
        <v>1.9483400000000008</v>
      </c>
      <c r="S243" s="579">
        <f>SUM(S185:S242)</f>
        <v>134.59159999999991</v>
      </c>
      <c r="T243" s="579">
        <f>SUM(T185:T242)</f>
        <v>153.70070000000001</v>
      </c>
      <c r="U243" s="579">
        <f>SUM(U185:U242)</f>
        <v>18.929105</v>
      </c>
      <c r="V243" s="689"/>
    </row>
    <row r="244" spans="1:23" ht="12" thickTop="1" x14ac:dyDescent="0.25"/>
    <row r="246" spans="1:23" ht="18.75" x14ac:dyDescent="0.25">
      <c r="A246" s="1131" t="s">
        <v>770</v>
      </c>
      <c r="B246" s="1131"/>
      <c r="C246" s="1131"/>
      <c r="D246" s="1131"/>
      <c r="E246" s="1131"/>
      <c r="F246" s="1131"/>
      <c r="G246" s="1131"/>
      <c r="H246" s="1131"/>
      <c r="I246" s="1131"/>
      <c r="J246" s="1131"/>
      <c r="K246" s="1131"/>
      <c r="L246" s="1131"/>
      <c r="M246" s="1131"/>
      <c r="N246" s="1131"/>
      <c r="O246" s="1131"/>
      <c r="P246" s="1131"/>
      <c r="Q246" s="1131"/>
      <c r="R246" s="1131"/>
      <c r="S246" s="1131"/>
      <c r="T246" s="1131"/>
      <c r="U246" s="1131"/>
      <c r="V246" s="1131"/>
    </row>
    <row r="247" spans="1:23" s="698" customFormat="1" ht="12.75" x14ac:dyDescent="0.25">
      <c r="A247" s="1111" t="s">
        <v>677</v>
      </c>
      <c r="B247" s="691"/>
      <c r="C247" s="691"/>
      <c r="D247" s="692"/>
      <c r="E247" s="693" t="s">
        <v>723</v>
      </c>
      <c r="F247" s="675"/>
      <c r="G247" s="694"/>
      <c r="H247" s="694"/>
      <c r="I247" s="695" t="s">
        <v>715</v>
      </c>
      <c r="J247" s="1113" t="s">
        <v>724</v>
      </c>
      <c r="K247" s="1114"/>
      <c r="L247" s="1109" t="s">
        <v>681</v>
      </c>
      <c r="M247" s="1109" t="s">
        <v>711</v>
      </c>
      <c r="N247" s="1109" t="s">
        <v>712</v>
      </c>
      <c r="O247" s="1102" t="s">
        <v>713</v>
      </c>
      <c r="P247" s="696"/>
      <c r="Q247" s="626" t="s">
        <v>714</v>
      </c>
      <c r="R247" s="626" t="s">
        <v>714</v>
      </c>
      <c r="S247" s="695" t="s">
        <v>715</v>
      </c>
      <c r="T247" s="1104" t="s">
        <v>771</v>
      </c>
      <c r="U247" s="1106" t="s">
        <v>683</v>
      </c>
      <c r="V247" s="697"/>
      <c r="W247" s="551"/>
    </row>
    <row r="248" spans="1:23" s="698" customFormat="1" ht="24" x14ac:dyDescent="0.25">
      <c r="A248" s="1112"/>
      <c r="B248" s="699"/>
      <c r="C248" s="699"/>
      <c r="D248" s="631" t="s">
        <v>679</v>
      </c>
      <c r="E248" s="734" t="s">
        <v>881</v>
      </c>
      <c r="F248" s="696" t="s">
        <v>882</v>
      </c>
      <c r="G248" s="626" t="s">
        <v>766</v>
      </c>
      <c r="H248" s="696" t="s">
        <v>880</v>
      </c>
      <c r="I248" s="677"/>
      <c r="J248" s="627" t="s">
        <v>730</v>
      </c>
      <c r="K248" s="627" t="s">
        <v>731</v>
      </c>
      <c r="L248" s="1115"/>
      <c r="M248" s="1115"/>
      <c r="N248" s="1115"/>
      <c r="O248" s="1103"/>
      <c r="P248" s="1135" t="s">
        <v>885</v>
      </c>
      <c r="Q248" s="1136"/>
      <c r="R248" s="1137"/>
      <c r="S248" s="700"/>
      <c r="T248" s="1105"/>
      <c r="U248" s="1107"/>
      <c r="V248" s="701"/>
      <c r="W248" s="551"/>
    </row>
    <row r="249" spans="1:23" s="698" customFormat="1" ht="12.75" x14ac:dyDescent="0.25">
      <c r="A249" s="1112"/>
      <c r="B249" s="699"/>
      <c r="C249" s="699"/>
      <c r="D249" s="631"/>
      <c r="E249" s="630" t="s">
        <v>738</v>
      </c>
      <c r="F249" s="631" t="s">
        <v>740</v>
      </c>
      <c r="G249" s="631" t="s">
        <v>739</v>
      </c>
      <c r="H249" s="631" t="s">
        <v>879</v>
      </c>
      <c r="I249" s="631" t="s">
        <v>767</v>
      </c>
      <c r="J249" s="632" t="s">
        <v>54</v>
      </c>
      <c r="K249" s="632" t="s">
        <v>54</v>
      </c>
      <c r="L249" s="631" t="s">
        <v>434</v>
      </c>
      <c r="M249" s="631" t="s">
        <v>66</v>
      </c>
      <c r="N249" s="631" t="s">
        <v>434</v>
      </c>
      <c r="O249" s="631" t="s">
        <v>434</v>
      </c>
      <c r="P249" s="633" t="s">
        <v>741</v>
      </c>
      <c r="Q249" s="721" t="s">
        <v>434</v>
      </c>
      <c r="R249" s="721" t="s">
        <v>434</v>
      </c>
      <c r="S249" s="631" t="s">
        <v>66</v>
      </c>
      <c r="T249" s="702" t="s">
        <v>66</v>
      </c>
      <c r="U249" s="631" t="s">
        <v>434</v>
      </c>
      <c r="V249" s="631" t="s">
        <v>678</v>
      </c>
      <c r="W249" s="551"/>
    </row>
    <row r="250" spans="1:23" ht="12" x14ac:dyDescent="0.25">
      <c r="A250" s="678" t="s">
        <v>772</v>
      </c>
      <c r="B250" s="680"/>
      <c r="C250" s="680"/>
      <c r="D250" s="679"/>
      <c r="E250" s="680"/>
      <c r="F250" s="680"/>
      <c r="G250" s="680"/>
      <c r="H250" s="680"/>
      <c r="I250" s="679"/>
      <c r="J250" s="680"/>
      <c r="K250" s="679"/>
      <c r="L250" s="679"/>
      <c r="M250" s="679"/>
      <c r="N250" s="679"/>
      <c r="O250" s="679"/>
      <c r="P250" s="665"/>
      <c r="Q250" s="724" t="s">
        <v>884</v>
      </c>
      <c r="R250" s="724" t="s">
        <v>439</v>
      </c>
      <c r="S250" s="679"/>
      <c r="T250" s="681"/>
      <c r="U250" s="679"/>
      <c r="V250" s="680"/>
    </row>
    <row r="251" spans="1:23" ht="16.5" customHeight="1" x14ac:dyDescent="0.25">
      <c r="A251" s="682"/>
      <c r="B251" s="682" t="s">
        <v>773</v>
      </c>
      <c r="C251" s="682"/>
      <c r="D251" s="683">
        <v>1</v>
      </c>
      <c r="E251" s="684"/>
      <c r="F251" s="656"/>
      <c r="G251" s="684"/>
      <c r="H251" s="684"/>
      <c r="I251" s="685">
        <v>2</v>
      </c>
      <c r="J251" s="640">
        <f t="shared" ref="J251" si="233">IF(G251&lt;=1,0.6,1.2)</f>
        <v>0.6</v>
      </c>
      <c r="K251" s="640"/>
      <c r="L251" s="640">
        <f t="shared" ref="L251" si="234">(F251*J251+E251)*G251*D251</f>
        <v>0</v>
      </c>
      <c r="M251" s="640">
        <f t="shared" ref="M251" si="235">E251*D251</f>
        <v>0</v>
      </c>
      <c r="N251" s="640">
        <f t="shared" ref="N251" si="236">L251-U251</f>
        <v>0</v>
      </c>
      <c r="O251" s="640">
        <f t="shared" ref="O251" si="237">(L251-N251)*1.3</f>
        <v>0</v>
      </c>
      <c r="P251" s="642">
        <v>0.1</v>
      </c>
      <c r="Q251" s="640"/>
      <c r="R251" s="640">
        <f t="shared" ref="R251" si="238">M251*$P251</f>
        <v>0</v>
      </c>
      <c r="S251" s="640">
        <f t="shared" ref="S251" si="239">((F251*G251*I251))*D251</f>
        <v>0</v>
      </c>
      <c r="T251" s="686">
        <f t="shared" ref="T251" si="240">(E251+F251*G251)*D251</f>
        <v>0</v>
      </c>
      <c r="U251" s="686">
        <f t="shared" ref="U251:U253" si="241">F251*H251*G251*D251+E251*2*H251</f>
        <v>0</v>
      </c>
      <c r="V251" s="644"/>
    </row>
    <row r="252" spans="1:23" ht="12" x14ac:dyDescent="0.25">
      <c r="A252" s="682"/>
      <c r="B252" s="682" t="s">
        <v>644</v>
      </c>
      <c r="C252" s="682"/>
      <c r="D252" s="683">
        <v>1</v>
      </c>
      <c r="E252" s="684">
        <v>36.664200000000001</v>
      </c>
      <c r="F252" s="656">
        <v>24.65</v>
      </c>
      <c r="G252" s="684">
        <v>2.65</v>
      </c>
      <c r="H252" s="684">
        <v>0.15</v>
      </c>
      <c r="I252" s="685">
        <v>2</v>
      </c>
      <c r="J252" s="640">
        <f>IF(G252&lt;=1,0.6,1.2)</f>
        <v>1.2</v>
      </c>
      <c r="K252" s="640"/>
      <c r="L252" s="640">
        <f>(F252*J252+E252)*G252*D252</f>
        <v>175.54713000000001</v>
      </c>
      <c r="M252" s="640">
        <f>E252*D252</f>
        <v>36.664200000000001</v>
      </c>
      <c r="N252" s="640">
        <f>L252-U252</f>
        <v>154.74949500000002</v>
      </c>
      <c r="O252" s="640">
        <f>(L252-N252)*1.3</f>
        <v>27.036925499999981</v>
      </c>
      <c r="P252" s="642">
        <v>0.1</v>
      </c>
      <c r="Q252" s="640"/>
      <c r="R252" s="640">
        <f>M252*$P252</f>
        <v>3.6664200000000005</v>
      </c>
      <c r="S252" s="640">
        <f>((F252*G252*I252))*D252</f>
        <v>130.64499999999998</v>
      </c>
      <c r="T252" s="686">
        <f>(E252+F252*G252)*D252</f>
        <v>101.98669999999998</v>
      </c>
      <c r="U252" s="686">
        <f t="shared" si="241"/>
        <v>20.797635</v>
      </c>
      <c r="V252" s="644" t="s">
        <v>719</v>
      </c>
    </row>
    <row r="253" spans="1:23" ht="12" x14ac:dyDescent="0.25">
      <c r="A253" s="682"/>
      <c r="B253" s="682"/>
      <c r="C253" s="682"/>
      <c r="D253" s="683">
        <v>1</v>
      </c>
      <c r="E253" s="684"/>
      <c r="F253" s="656"/>
      <c r="G253" s="684"/>
      <c r="H253" s="684"/>
      <c r="I253" s="685">
        <v>2</v>
      </c>
      <c r="J253" s="640">
        <f t="shared" ref="J253:J254" si="242">IF(G253&lt;=1,0.6,1.2)</f>
        <v>0.6</v>
      </c>
      <c r="K253" s="640"/>
      <c r="L253" s="640">
        <f t="shared" ref="L253:L254" si="243">(F253*J253+E253)*G253*D253</f>
        <v>0</v>
      </c>
      <c r="M253" s="640">
        <f t="shared" ref="M253:M254" si="244">E253*D253</f>
        <v>0</v>
      </c>
      <c r="N253" s="640">
        <f t="shared" ref="N253:N254" si="245">L253-U253</f>
        <v>0</v>
      </c>
      <c r="O253" s="640">
        <f t="shared" ref="O253:O254" si="246">(L253-N253)*1.3</f>
        <v>0</v>
      </c>
      <c r="P253" s="642">
        <v>0.1</v>
      </c>
      <c r="Q253" s="640"/>
      <c r="R253" s="640">
        <f t="shared" ref="R253:R254" si="247">M253*$P253</f>
        <v>0</v>
      </c>
      <c r="S253" s="640">
        <f t="shared" ref="S253:S254" si="248">((F253*G253*I253))*D253</f>
        <v>0</v>
      </c>
      <c r="T253" s="686">
        <f t="shared" ref="T253:T254" si="249">(E253+F253*G253)*D253</f>
        <v>0</v>
      </c>
      <c r="U253" s="686">
        <f t="shared" si="241"/>
        <v>0</v>
      </c>
      <c r="V253" s="644"/>
    </row>
    <row r="254" spans="1:23" ht="12.75" thickBot="1" x14ac:dyDescent="0.3">
      <c r="A254" s="682"/>
      <c r="B254" s="682"/>
      <c r="C254" s="682"/>
      <c r="D254" s="683">
        <v>1</v>
      </c>
      <c r="E254" s="684"/>
      <c r="F254" s="656"/>
      <c r="G254" s="684"/>
      <c r="H254" s="684"/>
      <c r="I254" s="685">
        <v>2</v>
      </c>
      <c r="J254" s="640">
        <f t="shared" si="242"/>
        <v>0.6</v>
      </c>
      <c r="K254" s="640"/>
      <c r="L254" s="640">
        <f t="shared" si="243"/>
        <v>0</v>
      </c>
      <c r="M254" s="640">
        <f t="shared" si="244"/>
        <v>0</v>
      </c>
      <c r="N254" s="640">
        <f t="shared" si="245"/>
        <v>0</v>
      </c>
      <c r="O254" s="640">
        <f t="shared" si="246"/>
        <v>0</v>
      </c>
      <c r="P254" s="642">
        <v>0.1</v>
      </c>
      <c r="Q254" s="640"/>
      <c r="R254" s="640">
        <f t="shared" si="247"/>
        <v>0</v>
      </c>
      <c r="S254" s="640">
        <f t="shared" si="248"/>
        <v>0</v>
      </c>
      <c r="T254" s="686">
        <f t="shared" si="249"/>
        <v>0</v>
      </c>
      <c r="U254" s="686">
        <f t="shared" ref="U254" si="250">F254*H254*G254*D254+E254*2*H254</f>
        <v>0</v>
      </c>
      <c r="V254" s="644"/>
    </row>
    <row r="255" spans="1:23" ht="13.5" thickTop="1" thickBot="1" x14ac:dyDescent="0.3">
      <c r="A255" s="575" t="str">
        <f>"TOTAL GERAL - "&amp;A246</f>
        <v>TOTAL GERAL - DUTO E CISTERNA</v>
      </c>
      <c r="B255" s="575"/>
      <c r="C255" s="575"/>
      <c r="D255" s="575"/>
      <c r="E255" s="575"/>
      <c r="F255" s="688"/>
      <c r="G255" s="577"/>
      <c r="H255" s="577"/>
      <c r="I255" s="579"/>
      <c r="J255" s="577"/>
      <c r="K255" s="703"/>
      <c r="L255" s="579">
        <f>SUM(L250:L254)</f>
        <v>175.54713000000001</v>
      </c>
      <c r="M255" s="579">
        <f>SUM(M250:M254)</f>
        <v>36.664200000000001</v>
      </c>
      <c r="N255" s="579">
        <f>SUM(N250:N254)</f>
        <v>154.74949500000002</v>
      </c>
      <c r="O255" s="579">
        <f>SUM(O250:O254)</f>
        <v>27.036925499999981</v>
      </c>
      <c r="P255" s="579"/>
      <c r="Q255" s="579">
        <f>SUM(Q250:Q254)</f>
        <v>0</v>
      </c>
      <c r="R255" s="579">
        <f>SUM(R250:R254)</f>
        <v>3.6664200000000005</v>
      </c>
      <c r="S255" s="579">
        <f>SUM(S250:S254)</f>
        <v>130.64499999999998</v>
      </c>
      <c r="T255" s="704">
        <f>SUM(T250:T254)</f>
        <v>101.98669999999998</v>
      </c>
      <c r="U255" s="704">
        <f>SUM(U250:U254)</f>
        <v>20.797635</v>
      </c>
      <c r="V255" s="689"/>
    </row>
    <row r="256" spans="1:23" ht="12" thickTop="1" x14ac:dyDescent="0.25"/>
    <row r="259" spans="1:25" ht="18.75" x14ac:dyDescent="0.25">
      <c r="A259" s="1108" t="s">
        <v>774</v>
      </c>
      <c r="B259" s="1108"/>
      <c r="C259" s="1108"/>
      <c r="D259" s="1108"/>
      <c r="E259" s="1108"/>
      <c r="F259" s="1108"/>
      <c r="G259" s="1108"/>
      <c r="H259" s="1108"/>
      <c r="I259" s="1108"/>
      <c r="J259" s="1108"/>
      <c r="K259" s="1108"/>
      <c r="L259" s="1108"/>
      <c r="M259" s="1108"/>
      <c r="N259" s="1108"/>
      <c r="O259" s="1108"/>
      <c r="P259" s="1108"/>
      <c r="Q259" s="1108"/>
      <c r="R259" s="1108"/>
      <c r="S259" s="1108"/>
      <c r="T259" s="1108"/>
      <c r="U259" s="1108"/>
      <c r="V259" s="1108"/>
      <c r="W259" s="1108"/>
      <c r="X259" s="1108"/>
      <c r="Y259" s="1108"/>
    </row>
    <row r="260" spans="1:25" ht="12.75" x14ac:dyDescent="0.2">
      <c r="A260" s="705"/>
      <c r="B260" s="1109" t="s">
        <v>677</v>
      </c>
      <c r="C260" s="705"/>
      <c r="D260" s="705"/>
      <c r="E260" s="706"/>
      <c r="F260" s="707" t="s">
        <v>723</v>
      </c>
      <c r="G260" s="708"/>
      <c r="H260" s="709"/>
      <c r="I260" s="709"/>
      <c r="J260" s="710" t="s">
        <v>715</v>
      </c>
      <c r="K260" s="711" t="s">
        <v>883</v>
      </c>
      <c r="L260" s="711" t="s">
        <v>732</v>
      </c>
      <c r="M260" s="711" t="s">
        <v>733</v>
      </c>
      <c r="N260" s="711" t="s">
        <v>734</v>
      </c>
      <c r="O260" s="711" t="s">
        <v>735</v>
      </c>
      <c r="P260" s="1132" t="s">
        <v>885</v>
      </c>
      <c r="Q260" s="1133"/>
      <c r="R260" s="1134"/>
      <c r="S260" s="710" t="s">
        <v>715</v>
      </c>
      <c r="T260" s="711" t="s">
        <v>716</v>
      </c>
      <c r="U260" s="710" t="s">
        <v>683</v>
      </c>
      <c r="V260" s="628" t="s">
        <v>737</v>
      </c>
      <c r="W260" s="712" t="s">
        <v>775</v>
      </c>
      <c r="X260" s="713"/>
      <c r="Y260" s="713"/>
    </row>
    <row r="261" spans="1:25" ht="12.75" x14ac:dyDescent="0.2">
      <c r="A261" s="714"/>
      <c r="B261" s="1110"/>
      <c r="C261" s="714"/>
      <c r="D261" s="714"/>
      <c r="E261" s="716" t="s">
        <v>777</v>
      </c>
      <c r="F261" s="710" t="s">
        <v>679</v>
      </c>
      <c r="G261" s="716" t="s">
        <v>777</v>
      </c>
      <c r="H261" s="715" t="s">
        <v>776</v>
      </c>
      <c r="I261" s="716" t="s">
        <v>766</v>
      </c>
      <c r="J261" s="717" t="s">
        <v>778</v>
      </c>
      <c r="K261" s="718" t="s">
        <v>66</v>
      </c>
      <c r="L261" s="718" t="s">
        <v>434</v>
      </c>
      <c r="M261" s="718" t="s">
        <v>66</v>
      </c>
      <c r="N261" s="718" t="s">
        <v>434</v>
      </c>
      <c r="O261" s="718" t="s">
        <v>434</v>
      </c>
      <c r="P261" s="719" t="s">
        <v>741</v>
      </c>
      <c r="Q261" s="720" t="s">
        <v>434</v>
      </c>
      <c r="R261" s="720" t="s">
        <v>434</v>
      </c>
      <c r="S261" s="720" t="s">
        <v>779</v>
      </c>
      <c r="T261" s="718" t="s">
        <v>66</v>
      </c>
      <c r="U261" s="720" t="s">
        <v>434</v>
      </c>
      <c r="V261" s="632"/>
      <c r="W261" s="721" t="s">
        <v>678</v>
      </c>
      <c r="X261" s="721" t="s">
        <v>779</v>
      </c>
      <c r="Y261" s="722" t="s">
        <v>56</v>
      </c>
    </row>
    <row r="262" spans="1:25" ht="12" x14ac:dyDescent="0.25">
      <c r="A262" s="678" t="s">
        <v>742</v>
      </c>
      <c r="B262" s="679"/>
      <c r="C262" s="679"/>
      <c r="D262" s="679"/>
      <c r="E262" s="679"/>
      <c r="F262" s="723"/>
      <c r="G262" s="723"/>
      <c r="H262" s="723"/>
      <c r="I262" s="723"/>
      <c r="J262" s="724"/>
      <c r="K262" s="679"/>
      <c r="L262" s="679"/>
      <c r="M262" s="679"/>
      <c r="N262" s="679"/>
      <c r="O262" s="679"/>
      <c r="P262" s="665"/>
      <c r="Q262" s="724" t="s">
        <v>884</v>
      </c>
      <c r="R262" s="724" t="s">
        <v>439</v>
      </c>
      <c r="S262" s="724"/>
      <c r="T262" s="724"/>
      <c r="U262" s="724"/>
      <c r="V262" s="680"/>
      <c r="W262" s="724"/>
      <c r="X262" s="724"/>
      <c r="Y262" s="725"/>
    </row>
    <row r="263" spans="1:25" ht="12" x14ac:dyDescent="0.25">
      <c r="A263" s="682"/>
      <c r="B263" s="682" t="s">
        <v>780</v>
      </c>
      <c r="C263" s="682"/>
      <c r="D263" s="682"/>
      <c r="E263" s="682"/>
      <c r="F263" s="726">
        <v>1</v>
      </c>
      <c r="G263" s="727">
        <v>1390.37</v>
      </c>
      <c r="H263" s="727">
        <v>201.5532</v>
      </c>
      <c r="I263" s="727">
        <v>0.1</v>
      </c>
      <c r="J263" s="727">
        <v>1</v>
      </c>
      <c r="K263" s="728">
        <f>G263</f>
        <v>1390.37</v>
      </c>
      <c r="L263" s="728"/>
      <c r="M263" s="728"/>
      <c r="N263" s="728"/>
      <c r="O263" s="728"/>
      <c r="P263" s="642">
        <v>0.05</v>
      </c>
      <c r="Q263" s="728">
        <f>$G263*$P263</f>
        <v>69.518500000000003</v>
      </c>
      <c r="R263" s="728"/>
      <c r="S263" s="728">
        <f>(H263*I263)*F263</f>
        <v>20.155320000000003</v>
      </c>
      <c r="T263" s="728">
        <f>(G263+H263*I263)*F263</f>
        <v>1410.52532</v>
      </c>
      <c r="U263" s="728">
        <f>I263*G263</f>
        <v>139.03700000000001</v>
      </c>
      <c r="V263" s="644" t="s">
        <v>717</v>
      </c>
      <c r="W263" s="729" t="s">
        <v>781</v>
      </c>
      <c r="X263" s="728"/>
      <c r="Y263" s="730"/>
    </row>
    <row r="264" spans="1:25" ht="12" x14ac:dyDescent="0.25">
      <c r="A264" s="682"/>
      <c r="B264" s="682" t="s">
        <v>782</v>
      </c>
      <c r="C264" s="682"/>
      <c r="D264" s="682"/>
      <c r="E264" s="682"/>
      <c r="F264" s="726">
        <v>1</v>
      </c>
      <c r="G264" s="727"/>
      <c r="H264" s="727"/>
      <c r="I264" s="727"/>
      <c r="J264" s="727">
        <v>1</v>
      </c>
      <c r="K264" s="728">
        <f t="shared" ref="K264:K266" si="251">G264</f>
        <v>0</v>
      </c>
      <c r="L264" s="728"/>
      <c r="M264" s="728"/>
      <c r="N264" s="728"/>
      <c r="O264" s="728"/>
      <c r="P264" s="642">
        <v>0.05</v>
      </c>
      <c r="Q264" s="728">
        <f t="shared" ref="Q264:Q266" si="252">$G264*$P264</f>
        <v>0</v>
      </c>
      <c r="R264" s="728"/>
      <c r="S264" s="728">
        <f t="shared" ref="S264:S266" si="253">(H264*I264)*F264</f>
        <v>0</v>
      </c>
      <c r="T264" s="728">
        <f t="shared" ref="T264:T266" si="254">(G264+H264*I264)*F264</f>
        <v>0</v>
      </c>
      <c r="U264" s="728">
        <f t="shared" ref="U264:U266" si="255">I264*G264</f>
        <v>0</v>
      </c>
      <c r="V264" s="644" t="s">
        <v>717</v>
      </c>
      <c r="W264" s="729" t="s">
        <v>781</v>
      </c>
      <c r="X264" s="728"/>
      <c r="Y264" s="730"/>
    </row>
    <row r="265" spans="1:25" ht="12" x14ac:dyDescent="0.25">
      <c r="A265" s="682"/>
      <c r="B265" s="682"/>
      <c r="C265" s="682"/>
      <c r="D265" s="682"/>
      <c r="E265" s="682"/>
      <c r="F265" s="726">
        <v>1</v>
      </c>
      <c r="G265" s="727"/>
      <c r="H265" s="727"/>
      <c r="I265" s="727"/>
      <c r="J265" s="727">
        <v>1</v>
      </c>
      <c r="K265" s="728">
        <f t="shared" si="251"/>
        <v>0</v>
      </c>
      <c r="L265" s="728"/>
      <c r="M265" s="728"/>
      <c r="N265" s="728"/>
      <c r="O265" s="728"/>
      <c r="P265" s="642">
        <v>0.05</v>
      </c>
      <c r="Q265" s="728">
        <f t="shared" si="252"/>
        <v>0</v>
      </c>
      <c r="R265" s="728"/>
      <c r="S265" s="728">
        <f t="shared" si="253"/>
        <v>0</v>
      </c>
      <c r="T265" s="728">
        <f t="shared" si="254"/>
        <v>0</v>
      </c>
      <c r="U265" s="728">
        <f t="shared" si="255"/>
        <v>0</v>
      </c>
      <c r="V265" s="644" t="s">
        <v>717</v>
      </c>
      <c r="W265" s="729" t="s">
        <v>781</v>
      </c>
      <c r="X265" s="728"/>
      <c r="Y265" s="730"/>
    </row>
    <row r="266" spans="1:25" ht="12.75" thickBot="1" x14ac:dyDescent="0.3">
      <c r="A266" s="682"/>
      <c r="B266" s="682"/>
      <c r="C266" s="682"/>
      <c r="D266" s="682"/>
      <c r="E266" s="682"/>
      <c r="F266" s="726">
        <v>1</v>
      </c>
      <c r="G266" s="727"/>
      <c r="H266" s="727"/>
      <c r="I266" s="727"/>
      <c r="J266" s="727">
        <v>1</v>
      </c>
      <c r="K266" s="728">
        <f t="shared" si="251"/>
        <v>0</v>
      </c>
      <c r="L266" s="728"/>
      <c r="M266" s="728"/>
      <c r="N266" s="728"/>
      <c r="O266" s="728"/>
      <c r="P266" s="642">
        <v>0.05</v>
      </c>
      <c r="Q266" s="728">
        <f t="shared" si="252"/>
        <v>0</v>
      </c>
      <c r="R266" s="728"/>
      <c r="S266" s="728">
        <f t="shared" si="253"/>
        <v>0</v>
      </c>
      <c r="T266" s="728">
        <f t="shared" si="254"/>
        <v>0</v>
      </c>
      <c r="U266" s="728">
        <f t="shared" si="255"/>
        <v>0</v>
      </c>
      <c r="V266" s="644" t="s">
        <v>717</v>
      </c>
      <c r="W266" s="729" t="s">
        <v>781</v>
      </c>
      <c r="X266" s="728"/>
      <c r="Y266" s="730"/>
    </row>
    <row r="267" spans="1:25" ht="13.5" thickTop="1" thickBot="1" x14ac:dyDescent="0.3">
      <c r="A267" s="575" t="str">
        <f>"TOTAL GERAL - "&amp;A259</f>
        <v>TOTAL GERAL - LAJE  FUNDAÇÃO</v>
      </c>
      <c r="B267" s="575"/>
      <c r="C267" s="688"/>
      <c r="D267" s="577"/>
      <c r="E267" s="577"/>
      <c r="F267" s="577"/>
      <c r="G267" s="731"/>
      <c r="H267" s="731"/>
      <c r="I267" s="731"/>
      <c r="J267" s="731"/>
      <c r="K267" s="731">
        <f>SUM(K263:K266)</f>
        <v>1390.37</v>
      </c>
      <c r="L267" s="731"/>
      <c r="M267" s="731"/>
      <c r="N267" s="731"/>
      <c r="O267" s="731"/>
      <c r="P267" s="731"/>
      <c r="Q267" s="731">
        <f>SUM(Q263:Q266)</f>
        <v>69.518500000000003</v>
      </c>
      <c r="R267" s="731">
        <f>SUM(R263:R266)</f>
        <v>0</v>
      </c>
      <c r="S267" s="731">
        <f>SUM(S263:S266)</f>
        <v>20.155320000000003</v>
      </c>
      <c r="T267" s="731">
        <f>SUM(T263:T266)</f>
        <v>1410.52532</v>
      </c>
      <c r="U267" s="731">
        <f>SUM(U263:U266)</f>
        <v>139.03700000000001</v>
      </c>
      <c r="V267" s="731"/>
      <c r="W267" s="731"/>
      <c r="X267" s="731">
        <f>SUM(X262:X264)</f>
        <v>0</v>
      </c>
      <c r="Y267" s="731">
        <f>SUM(Y262:Y264)</f>
        <v>0</v>
      </c>
    </row>
    <row r="268" spans="1:25" ht="12" thickTop="1" x14ac:dyDescent="0.25"/>
  </sheetData>
  <autoFilter ref="A9:Y267" xr:uid="{00000000-0009-0000-0000-00000D000000}"/>
  <mergeCells count="45">
    <mergeCell ref="T5:T6"/>
    <mergeCell ref="P94:R94"/>
    <mergeCell ref="P75:R75"/>
    <mergeCell ref="P57:R57"/>
    <mergeCell ref="P12:R12"/>
    <mergeCell ref="E5:E6"/>
    <mergeCell ref="A246:V246"/>
    <mergeCell ref="P260:R260"/>
    <mergeCell ref="P248:R248"/>
    <mergeCell ref="P183:R183"/>
    <mergeCell ref="A10:V10"/>
    <mergeCell ref="A11:A13"/>
    <mergeCell ref="J11:K11"/>
    <mergeCell ref="A55:V55"/>
    <mergeCell ref="A56:A58"/>
    <mergeCell ref="B56:B58"/>
    <mergeCell ref="J56:K56"/>
    <mergeCell ref="J93:K93"/>
    <mergeCell ref="A73:V73"/>
    <mergeCell ref="A74:A76"/>
    <mergeCell ref="B74:B76"/>
    <mergeCell ref="C74:C76"/>
    <mergeCell ref="J74:K74"/>
    <mergeCell ref="A93:A95"/>
    <mergeCell ref="B93:B95"/>
    <mergeCell ref="C93:C95"/>
    <mergeCell ref="D93:D95"/>
    <mergeCell ref="E93:E95"/>
    <mergeCell ref="A181:V181"/>
    <mergeCell ref="A182:A184"/>
    <mergeCell ref="B182:B184"/>
    <mergeCell ref="C182:C184"/>
    <mergeCell ref="D182:D184"/>
    <mergeCell ref="E182:E184"/>
    <mergeCell ref="J182:K182"/>
    <mergeCell ref="O247:O248"/>
    <mergeCell ref="T247:T248"/>
    <mergeCell ref="U247:U248"/>
    <mergeCell ref="A259:Y259"/>
    <mergeCell ref="B260:B261"/>
    <mergeCell ref="A247:A249"/>
    <mergeCell ref="J247:K247"/>
    <mergeCell ref="L247:L248"/>
    <mergeCell ref="M247:M248"/>
    <mergeCell ref="N247:N248"/>
  </mergeCells>
  <phoneticPr fontId="108" type="noConversion"/>
  <dataValidations count="3">
    <dataValidation type="list" allowBlank="1" showInputMessage="1" showErrorMessage="1" sqref="V14" xr:uid="{00000000-0002-0000-0D00-000000000000}">
      <formula1>$Y$15:$Y$34</formula1>
    </dataValidation>
    <dataValidation type="list" allowBlank="1" showInputMessage="1" showErrorMessage="1" sqref="V59 V77" xr:uid="{00000000-0002-0000-0D00-000001000000}">
      <formula1>$Y$14:$Y$34</formula1>
    </dataValidation>
    <dataValidation type="list" allowBlank="1" showInputMessage="1" showErrorMessage="1" sqref="V15:V52 V97:V177 V251:V254 V60:V69 V78:V87 V186:V242 V263:V266" xr:uid="{00000000-0002-0000-0D00-000002000000}">
      <formula1>$O$5:$S$5</formula1>
    </dataValidation>
  </dataValidations>
  <printOptions horizontalCentered="1"/>
  <pageMargins left="0.39370078740157483" right="0" top="0.39370078740157483" bottom="0.39370078740157483" header="0.51181102362204722" footer="0.19685039370078741"/>
  <pageSetup paperSize="9" scale="22" orientation="portrait" verticalDpi="300" r:id="rId1"/>
  <headerFooter alignWithMargins="0">
    <oddFooter>&amp;L&amp;F - &amp;A&amp;R&amp;P / &amp;N</oddFooter>
  </headerFooter>
  <ignoredErrors>
    <ignoredError sqref="Q7" formula="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333FF"/>
  </sheetPr>
  <dimension ref="A1:AR346"/>
  <sheetViews>
    <sheetView showGridLines="0" zoomScale="70" zoomScaleNormal="70" workbookViewId="0">
      <selection activeCell="R5" sqref="R5"/>
    </sheetView>
  </sheetViews>
  <sheetFormatPr defaultRowHeight="15" x14ac:dyDescent="0.25"/>
  <cols>
    <col min="1" max="1" width="9.140625" style="429"/>
    <col min="2" max="2" width="14.7109375" style="429" customWidth="1"/>
    <col min="3" max="3" width="8" style="438" bestFit="1" customWidth="1"/>
    <col min="4" max="4" width="8.42578125" style="438" bestFit="1" customWidth="1"/>
    <col min="5" max="5" width="9.140625" style="438" customWidth="1"/>
    <col min="6" max="6" width="8.7109375" style="438" customWidth="1"/>
    <col min="7" max="7" width="9.7109375" style="438" bestFit="1" customWidth="1"/>
    <col min="8" max="8" width="9.5703125" style="438" customWidth="1"/>
    <col min="9" max="9" width="10.7109375" style="438" bestFit="1" customWidth="1"/>
    <col min="10" max="10" width="10.5703125" style="438" customWidth="1"/>
    <col min="11" max="11" width="7.85546875" style="426" customWidth="1"/>
    <col min="12" max="12" width="35.28515625" style="429" customWidth="1"/>
    <col min="13" max="14" width="11.28515625" style="429" customWidth="1"/>
    <col min="15" max="15" width="7.140625" style="429" customWidth="1"/>
    <col min="16" max="16" width="32.140625" style="429" bestFit="1" customWidth="1"/>
    <col min="17" max="17" width="8.7109375" style="429" customWidth="1"/>
    <col min="18" max="24" width="9.5703125" style="429" customWidth="1"/>
    <col min="25" max="25" width="9.140625" style="429" customWidth="1"/>
    <col min="26" max="26" width="17" style="429" bestFit="1" customWidth="1"/>
    <col min="27" max="27" width="15.140625" style="429" bestFit="1" customWidth="1"/>
    <col min="28" max="35" width="9.140625" style="429"/>
    <col min="36" max="36" width="2.42578125" style="429" customWidth="1"/>
    <col min="37" max="37" width="20.42578125" style="750" customWidth="1"/>
    <col min="38" max="38" width="15.42578125" style="429" bestFit="1" customWidth="1"/>
    <col min="39" max="39" width="10.28515625" style="429" bestFit="1" customWidth="1"/>
    <col min="40" max="40" width="10" style="429" bestFit="1" customWidth="1"/>
    <col min="41" max="43" width="9.140625" style="429"/>
    <col min="44" max="44" width="27.42578125" style="429" bestFit="1" customWidth="1"/>
    <col min="45" max="16384" width="9.140625" style="429"/>
  </cols>
  <sheetData>
    <row r="1" spans="2:44" ht="23.25" customHeight="1" thickBot="1" x14ac:dyDescent="0.3">
      <c r="B1" s="1154" t="s">
        <v>625</v>
      </c>
      <c r="C1" s="1154"/>
      <c r="D1" s="1154"/>
      <c r="E1" s="1154"/>
      <c r="F1" s="1154"/>
      <c r="G1" s="1154"/>
      <c r="H1" s="1154"/>
      <c r="I1" s="1154"/>
      <c r="J1" s="1154"/>
      <c r="L1" s="427"/>
      <c r="M1" s="428"/>
      <c r="N1" s="428"/>
    </row>
    <row r="2" spans="2:44" ht="15.75" customHeight="1" thickBot="1" x14ac:dyDescent="0.3">
      <c r="B2" s="1155"/>
      <c r="C2" s="1155"/>
      <c r="D2" s="1155"/>
      <c r="E2" s="1155"/>
      <c r="F2" s="1155"/>
      <c r="G2" s="1155"/>
      <c r="H2" s="1155"/>
      <c r="I2" s="1155"/>
      <c r="J2" s="1154"/>
      <c r="L2" s="430"/>
      <c r="M2" s="430"/>
      <c r="N2" s="430"/>
      <c r="O2" s="430"/>
      <c r="P2" s="1156" t="s">
        <v>626</v>
      </c>
      <c r="Q2" s="431" t="s">
        <v>627</v>
      </c>
      <c r="R2" s="1158" t="s">
        <v>628</v>
      </c>
      <c r="S2" s="1159"/>
      <c r="T2" s="1159"/>
      <c r="U2" s="1159"/>
      <c r="V2" s="1159"/>
      <c r="W2" s="1159"/>
      <c r="X2" s="1160"/>
      <c r="Z2" s="743" t="s">
        <v>975</v>
      </c>
      <c r="AA2" s="744" t="s">
        <v>976</v>
      </c>
      <c r="AB2" s="744" t="s">
        <v>640</v>
      </c>
      <c r="AC2" s="744" t="s">
        <v>641</v>
      </c>
      <c r="AD2" s="744" t="s">
        <v>642</v>
      </c>
      <c r="AE2" s="744" t="s">
        <v>648</v>
      </c>
      <c r="AF2" s="744" t="s">
        <v>649</v>
      </c>
      <c r="AG2" s="744" t="s">
        <v>643</v>
      </c>
      <c r="AH2" s="744" t="s">
        <v>644</v>
      </c>
      <c r="AI2" s="745" t="s">
        <v>105</v>
      </c>
      <c r="AK2" s="751" t="s">
        <v>975</v>
      </c>
      <c r="AL2" s="744"/>
      <c r="AM2" s="744" t="s">
        <v>640</v>
      </c>
      <c r="AN2" s="744" t="s">
        <v>641</v>
      </c>
      <c r="AO2" s="744" t="s">
        <v>642</v>
      </c>
      <c r="AP2" s="744" t="s">
        <v>648</v>
      </c>
      <c r="AQ2" s="744" t="s">
        <v>649</v>
      </c>
      <c r="AR2" s="745" t="s">
        <v>193</v>
      </c>
    </row>
    <row r="3" spans="2:44" ht="18.75" customHeight="1" thickBot="1" x14ac:dyDescent="0.3">
      <c r="B3" s="1161" t="s">
        <v>629</v>
      </c>
      <c r="C3" s="1162"/>
      <c r="D3" s="1162"/>
      <c r="E3" s="1162"/>
      <c r="F3" s="1162"/>
      <c r="G3" s="1162"/>
      <c r="H3" s="1162"/>
      <c r="I3" s="1163"/>
      <c r="J3" s="432"/>
      <c r="K3" s="433"/>
      <c r="L3" s="1156" t="s">
        <v>626</v>
      </c>
      <c r="M3" s="1164" t="s">
        <v>630</v>
      </c>
      <c r="N3" s="1168" t="s">
        <v>631</v>
      </c>
      <c r="O3" s="434"/>
      <c r="P3" s="1157"/>
      <c r="Q3" s="1150" t="s">
        <v>632</v>
      </c>
      <c r="R3" s="1166" t="s">
        <v>633</v>
      </c>
      <c r="S3" s="1150" t="s">
        <v>634</v>
      </c>
      <c r="T3" s="1150" t="s">
        <v>635</v>
      </c>
      <c r="U3" s="1150" t="s">
        <v>636</v>
      </c>
      <c r="V3" s="1150" t="s">
        <v>637</v>
      </c>
      <c r="W3" s="1150" t="s">
        <v>638</v>
      </c>
      <c r="X3" s="1151" t="s">
        <v>639</v>
      </c>
      <c r="Z3" s="741" t="s">
        <v>629</v>
      </c>
      <c r="AA3" s="740" t="s">
        <v>645</v>
      </c>
      <c r="AB3" s="439">
        <v>18.3</v>
      </c>
      <c r="AC3" s="439">
        <v>64.5</v>
      </c>
      <c r="AD3" s="439">
        <v>3.8</v>
      </c>
      <c r="AE3" s="439"/>
      <c r="AF3" s="439"/>
      <c r="AG3" s="439">
        <v>379.6</v>
      </c>
      <c r="AH3" s="439">
        <v>19.600000000000001</v>
      </c>
      <c r="AI3" s="440">
        <v>485.80000000000007</v>
      </c>
      <c r="AK3" s="752" t="s">
        <v>629</v>
      </c>
      <c r="AL3" s="740" t="s">
        <v>977</v>
      </c>
      <c r="AM3" s="439">
        <f>$AM5*(AM$7/SUM($AM$7:$AQ$7))</f>
        <v>1051.1217782702211</v>
      </c>
      <c r="AN3" s="439">
        <f t="shared" ref="AN3:AQ3" si="0">$AM5*(AN$7/SUM($AM$7:$AQ$7))</f>
        <v>1391.3373555367266</v>
      </c>
      <c r="AO3" s="439">
        <f t="shared" si="0"/>
        <v>2862.5157684937762</v>
      </c>
      <c r="AP3" s="439">
        <f t="shared" si="0"/>
        <v>59.524359773186461</v>
      </c>
      <c r="AQ3" s="439">
        <f t="shared" si="0"/>
        <v>104.25673792609008</v>
      </c>
      <c r="AR3" s="746" t="s">
        <v>980</v>
      </c>
    </row>
    <row r="4" spans="2:44" ht="15" customHeight="1" thickBot="1" x14ac:dyDescent="0.3">
      <c r="B4" s="1152"/>
      <c r="C4" s="1153"/>
      <c r="D4" s="435" t="s">
        <v>640</v>
      </c>
      <c r="E4" s="435" t="s">
        <v>641</v>
      </c>
      <c r="F4" s="436" t="s">
        <v>642</v>
      </c>
      <c r="G4" s="436" t="s">
        <v>643</v>
      </c>
      <c r="H4" s="435" t="s">
        <v>644</v>
      </c>
      <c r="I4" s="437" t="s">
        <v>105</v>
      </c>
      <c r="K4" s="433"/>
      <c r="L4" s="1157"/>
      <c r="M4" s="1165"/>
      <c r="N4" s="1169"/>
      <c r="O4" s="434"/>
      <c r="P4" s="1157"/>
      <c r="Q4" s="1150"/>
      <c r="R4" s="1167"/>
      <c r="S4" s="1150"/>
      <c r="T4" s="1150"/>
      <c r="U4" s="1150"/>
      <c r="V4" s="1150"/>
      <c r="W4" s="1150"/>
      <c r="X4" s="1151"/>
      <c r="Z4" s="742" t="s">
        <v>629</v>
      </c>
      <c r="AA4" s="739" t="s">
        <v>646</v>
      </c>
      <c r="AB4" s="446">
        <v>7143.9</v>
      </c>
      <c r="AC4" s="446">
        <v>8256.6</v>
      </c>
      <c r="AD4" s="446">
        <v>175.6</v>
      </c>
      <c r="AE4" s="446"/>
      <c r="AF4" s="446"/>
      <c r="AG4" s="446">
        <v>27777.5</v>
      </c>
      <c r="AH4" s="446">
        <v>1549.1000000000001</v>
      </c>
      <c r="AI4" s="447">
        <v>44902.7</v>
      </c>
      <c r="AK4" s="753" t="s">
        <v>629</v>
      </c>
      <c r="AL4" s="739" t="s">
        <v>978</v>
      </c>
      <c r="AM4" s="446">
        <f>$AM6*(AM$7/SUM($AM$7:$AQ$7))</f>
        <v>11036.778671837319</v>
      </c>
      <c r="AN4" s="446">
        <f>$AM6*(AN$7/SUM($AM$7:$AQ$7))</f>
        <v>14609.042233135629</v>
      </c>
      <c r="AO4" s="446">
        <f>$AM6*(AO$7/SUM($AM$7:$AQ$7))</f>
        <v>30056.41556918465</v>
      </c>
      <c r="AP4" s="446">
        <f>$AM6*(AP$7/SUM($AM$7:$AQ$7))</f>
        <v>625.00577761845784</v>
      </c>
      <c r="AQ4" s="446">
        <f t="shared" ref="AQ4" si="1">$AM6*(AQ$7/SUM($AM$7:$AQ$7))</f>
        <v>1094.6957482239459</v>
      </c>
      <c r="AR4" s="747" t="s">
        <v>980</v>
      </c>
    </row>
    <row r="5" spans="2:44" x14ac:dyDescent="0.25">
      <c r="B5" s="1170" t="s">
        <v>645</v>
      </c>
      <c r="C5" s="1171"/>
      <c r="D5" s="439">
        <f>8.3+10</f>
        <v>18.3</v>
      </c>
      <c r="E5" s="439">
        <f>30.5+34</f>
        <v>64.5</v>
      </c>
      <c r="F5" s="439">
        <f>3.8</f>
        <v>3.8</v>
      </c>
      <c r="G5" s="439">
        <v>379.6</v>
      </c>
      <c r="H5" s="439">
        <v>19.600000000000001</v>
      </c>
      <c r="I5" s="440">
        <f t="shared" ref="I5:I14" si="2">SUM(D5:H5)</f>
        <v>485.80000000000007</v>
      </c>
      <c r="L5" s="441" t="str">
        <f>B3</f>
        <v>TÉRREO</v>
      </c>
      <c r="M5" s="442">
        <f>I5</f>
        <v>485.80000000000007</v>
      </c>
      <c r="N5" s="443">
        <f>I6</f>
        <v>44902.7</v>
      </c>
      <c r="O5" s="444"/>
      <c r="P5" s="441" t="str">
        <f t="shared" ref="P5:P27" si="3">L5</f>
        <v>TÉRREO</v>
      </c>
      <c r="Q5" s="442">
        <f>I7</f>
        <v>135.6</v>
      </c>
      <c r="R5" s="442">
        <f>I8</f>
        <v>1264.5</v>
      </c>
      <c r="S5" s="442">
        <f>I9</f>
        <v>3713</v>
      </c>
      <c r="T5" s="442">
        <f>I10</f>
        <v>3222.6</v>
      </c>
      <c r="U5" s="442">
        <f>I11</f>
        <v>2934.4</v>
      </c>
      <c r="V5" s="442">
        <f>I12</f>
        <v>10779.3</v>
      </c>
      <c r="W5" s="442">
        <f>I13</f>
        <v>12794.900000000001</v>
      </c>
      <c r="X5" s="445">
        <f>I14</f>
        <v>10058.4</v>
      </c>
      <c r="Z5" s="741" t="s">
        <v>647</v>
      </c>
      <c r="AA5" s="740" t="s">
        <v>645</v>
      </c>
      <c r="AB5" s="439">
        <v>68.099999999999994</v>
      </c>
      <c r="AC5" s="439">
        <v>113.8</v>
      </c>
      <c r="AD5" s="439">
        <v>120.30000000000001</v>
      </c>
      <c r="AE5" s="439">
        <v>2.1</v>
      </c>
      <c r="AF5" s="439">
        <v>12</v>
      </c>
      <c r="AG5" s="439"/>
      <c r="AH5" s="439"/>
      <c r="AI5" s="440">
        <v>316.3</v>
      </c>
      <c r="AK5" s="1182" t="s">
        <v>979</v>
      </c>
      <c r="AL5" s="748" t="s">
        <v>977</v>
      </c>
      <c r="AM5" s="756">
        <v>5468.7560000000003</v>
      </c>
    </row>
    <row r="6" spans="2:44" ht="15.75" thickBot="1" x14ac:dyDescent="0.3">
      <c r="B6" s="1172" t="s">
        <v>646</v>
      </c>
      <c r="C6" s="1173"/>
      <c r="D6" s="446">
        <f t="shared" ref="D6:G6" si="4">SUM(D7:D14)</f>
        <v>7143.9</v>
      </c>
      <c r="E6" s="446">
        <f t="shared" si="4"/>
        <v>8256.6</v>
      </c>
      <c r="F6" s="446">
        <f t="shared" si="4"/>
        <v>175.6</v>
      </c>
      <c r="G6" s="446">
        <f t="shared" si="4"/>
        <v>27777.5</v>
      </c>
      <c r="H6" s="446">
        <f>SUM(H7:H14)</f>
        <v>1549.1000000000001</v>
      </c>
      <c r="I6" s="447">
        <f t="shared" si="2"/>
        <v>44902.7</v>
      </c>
      <c r="K6" s="448"/>
      <c r="L6" s="441" t="str">
        <f>B16</f>
        <v>G1</v>
      </c>
      <c r="M6" s="442">
        <f>I18</f>
        <v>316.3</v>
      </c>
      <c r="N6" s="443">
        <f>I19</f>
        <v>29856.500000000004</v>
      </c>
      <c r="O6" s="444"/>
      <c r="P6" s="441" t="str">
        <f t="shared" si="3"/>
        <v>G1</v>
      </c>
      <c r="Q6" s="442">
        <f>I20</f>
        <v>523.30000000000007</v>
      </c>
      <c r="R6" s="442">
        <f>I21</f>
        <v>1326.6</v>
      </c>
      <c r="S6" s="442">
        <f>I22</f>
        <v>3010.7</v>
      </c>
      <c r="T6" s="442">
        <f>I23</f>
        <v>7179.4000000000005</v>
      </c>
      <c r="U6" s="442">
        <f>I24</f>
        <v>1851</v>
      </c>
      <c r="V6" s="442">
        <f>I25</f>
        <v>4455.7000000000007</v>
      </c>
      <c r="W6" s="442">
        <f>I26</f>
        <v>11509.8</v>
      </c>
      <c r="X6" s="445" t="s">
        <v>188</v>
      </c>
      <c r="Z6" s="742" t="s">
        <v>647</v>
      </c>
      <c r="AA6" s="739" t="s">
        <v>646</v>
      </c>
      <c r="AB6" s="446">
        <v>10244.1</v>
      </c>
      <c r="AC6" s="446">
        <v>13635.7</v>
      </c>
      <c r="AD6" s="446">
        <v>5285.2</v>
      </c>
      <c r="AE6" s="446">
        <v>148.89999999999998</v>
      </c>
      <c r="AF6" s="446">
        <v>542.6</v>
      </c>
      <c r="AG6" s="446"/>
      <c r="AH6" s="446"/>
      <c r="AI6" s="447">
        <v>29856.500000000004</v>
      </c>
      <c r="AK6" s="1183"/>
      <c r="AL6" s="749" t="s">
        <v>978</v>
      </c>
      <c r="AM6" s="757">
        <v>57421.938000000002</v>
      </c>
    </row>
    <row r="7" spans="2:44" ht="15.75" thickBot="1" x14ac:dyDescent="0.3">
      <c r="B7" s="449" t="s">
        <v>627</v>
      </c>
      <c r="C7" s="450" t="s">
        <v>632</v>
      </c>
      <c r="D7" s="451" t="s">
        <v>188</v>
      </c>
      <c r="E7" s="451">
        <v>116.6</v>
      </c>
      <c r="F7" s="451">
        <v>19</v>
      </c>
      <c r="G7" s="451" t="s">
        <v>188</v>
      </c>
      <c r="H7" s="451" t="s">
        <v>188</v>
      </c>
      <c r="I7" s="452">
        <f t="shared" si="2"/>
        <v>135.6</v>
      </c>
      <c r="L7" s="441" t="str">
        <f>B28</f>
        <v>G2</v>
      </c>
      <c r="M7" s="442">
        <f>I30</f>
        <v>216.8</v>
      </c>
      <c r="N7" s="443">
        <f>I31</f>
        <v>20156.5</v>
      </c>
      <c r="O7" s="444"/>
      <c r="P7" s="441" t="str">
        <f t="shared" si="3"/>
        <v>G2</v>
      </c>
      <c r="Q7" s="442">
        <f>I32</f>
        <v>295.8</v>
      </c>
      <c r="R7" s="442">
        <f>I33</f>
        <v>1312.6</v>
      </c>
      <c r="S7" s="442">
        <f>I34</f>
        <v>2834.3999999999996</v>
      </c>
      <c r="T7" s="442">
        <f>I35</f>
        <v>3149.6000000000004</v>
      </c>
      <c r="U7" s="442">
        <f>I36</f>
        <v>3627</v>
      </c>
      <c r="V7" s="442">
        <f>I37</f>
        <v>3324.5</v>
      </c>
      <c r="W7" s="442">
        <f>I38</f>
        <v>5612.6</v>
      </c>
      <c r="X7" s="445" t="s">
        <v>188</v>
      </c>
      <c r="Z7" s="741" t="s">
        <v>650</v>
      </c>
      <c r="AA7" s="740" t="s">
        <v>645</v>
      </c>
      <c r="AB7" s="439">
        <v>38.4</v>
      </c>
      <c r="AC7" s="439">
        <v>43.1</v>
      </c>
      <c r="AD7" s="439">
        <v>118</v>
      </c>
      <c r="AE7" s="439">
        <v>1.8</v>
      </c>
      <c r="AF7" s="439">
        <v>15.5</v>
      </c>
      <c r="AG7" s="439"/>
      <c r="AH7" s="439"/>
      <c r="AI7" s="440">
        <v>216.8</v>
      </c>
      <c r="AL7" s="758" t="s">
        <v>645</v>
      </c>
      <c r="AM7" s="759">
        <f>SUMIF($AA$2:$AA$46,$AL7,AB$2:AB$46)</f>
        <v>589.79999999999995</v>
      </c>
      <c r="AN7" s="759">
        <f>SUMIF($AA$2:$AA$46,$AL7,AC$2:AC$46)</f>
        <v>780.69999999999982</v>
      </c>
      <c r="AO7" s="759">
        <f>SUMIF($AA$2:$AA$46,$AL7,AD$2:AD$46)</f>
        <v>1606.2000000000003</v>
      </c>
      <c r="AP7" s="759">
        <f>SUMIF($AA$2:$AA$46,$AL7,AE$2:AE$46)</f>
        <v>33.399999999999991</v>
      </c>
      <c r="AQ7" s="760">
        <f>SUMIF($AA$2:$AA$46,$AL7,AF$2:AF$46)</f>
        <v>58.5</v>
      </c>
    </row>
    <row r="8" spans="2:44" ht="15.75" thickBot="1" x14ac:dyDescent="0.3">
      <c r="B8" s="1174" t="s">
        <v>628</v>
      </c>
      <c r="C8" s="453" t="s">
        <v>633</v>
      </c>
      <c r="D8" s="451">
        <v>191.3</v>
      </c>
      <c r="E8" s="451">
        <v>874.7</v>
      </c>
      <c r="F8" s="451">
        <v>57.3</v>
      </c>
      <c r="G8" s="451">
        <v>141.19999999999999</v>
      </c>
      <c r="H8" s="451" t="s">
        <v>188</v>
      </c>
      <c r="I8" s="452">
        <f t="shared" si="2"/>
        <v>1264.5</v>
      </c>
      <c r="K8" s="448"/>
      <c r="L8" s="441" t="str">
        <f>B40</f>
        <v>G3</v>
      </c>
      <c r="M8" s="442">
        <f>I42</f>
        <v>211.89999999999998</v>
      </c>
      <c r="N8" s="443">
        <f>I43</f>
        <v>18989.999999999996</v>
      </c>
      <c r="O8" s="444"/>
      <c r="P8" s="441" t="str">
        <f t="shared" si="3"/>
        <v>G3</v>
      </c>
      <c r="Q8" s="442">
        <f>I44</f>
        <v>308.7</v>
      </c>
      <c r="R8" s="442">
        <f>I45</f>
        <v>1272.3000000000002</v>
      </c>
      <c r="S8" s="442">
        <f>I46</f>
        <v>2667</v>
      </c>
      <c r="T8" s="442">
        <f>I47</f>
        <v>3213.3</v>
      </c>
      <c r="U8" s="442">
        <f>I48</f>
        <v>3922.6</v>
      </c>
      <c r="V8" s="442">
        <f>I49</f>
        <v>2822.9</v>
      </c>
      <c r="W8" s="442">
        <f>I50</f>
        <v>4783.2</v>
      </c>
      <c r="X8" s="445" t="s">
        <v>188</v>
      </c>
      <c r="Z8" s="742" t="s">
        <v>650</v>
      </c>
      <c r="AA8" s="739" t="s">
        <v>646</v>
      </c>
      <c r="AB8" s="446">
        <v>6458.7</v>
      </c>
      <c r="AC8" s="446">
        <v>6363.6</v>
      </c>
      <c r="AD8" s="446">
        <v>6179.1999999999989</v>
      </c>
      <c r="AE8" s="446">
        <v>123.1</v>
      </c>
      <c r="AF8" s="446">
        <v>1031.9000000000001</v>
      </c>
      <c r="AG8" s="446"/>
      <c r="AH8" s="446"/>
      <c r="AI8" s="447">
        <v>20156.5</v>
      </c>
    </row>
    <row r="9" spans="2:44" x14ac:dyDescent="0.25">
      <c r="B9" s="1175"/>
      <c r="C9" s="453" t="s">
        <v>634</v>
      </c>
      <c r="D9" s="454">
        <v>677.1</v>
      </c>
      <c r="E9" s="454">
        <v>1068</v>
      </c>
      <c r="F9" s="454">
        <v>6.1</v>
      </c>
      <c r="G9" s="454">
        <v>626.5</v>
      </c>
      <c r="H9" s="454">
        <v>1335.3</v>
      </c>
      <c r="I9" s="452">
        <f t="shared" si="2"/>
        <v>3713</v>
      </c>
      <c r="L9" s="441" t="str">
        <f>B52</f>
        <v>G4</v>
      </c>
      <c r="M9" s="442">
        <f>I54</f>
        <v>216</v>
      </c>
      <c r="N9" s="443">
        <f>I55</f>
        <v>20907.199999999997</v>
      </c>
      <c r="O9" s="444"/>
      <c r="P9" s="441" t="str">
        <f t="shared" si="3"/>
        <v>G4</v>
      </c>
      <c r="Q9" s="442">
        <f>I56</f>
        <v>304</v>
      </c>
      <c r="R9" s="442">
        <f>I57</f>
        <v>1183.1000000000001</v>
      </c>
      <c r="S9" s="442">
        <f>I58</f>
        <v>2353.1</v>
      </c>
      <c r="T9" s="442">
        <f>I59</f>
        <v>5265.5999999999995</v>
      </c>
      <c r="U9" s="442">
        <f>I60</f>
        <v>2498.9</v>
      </c>
      <c r="V9" s="442">
        <f>I61</f>
        <v>4054.1000000000004</v>
      </c>
      <c r="W9" s="442">
        <f>I62</f>
        <v>5248.4</v>
      </c>
      <c r="X9" s="445" t="s">
        <v>188</v>
      </c>
      <c r="Z9" s="741" t="s">
        <v>652</v>
      </c>
      <c r="AA9" s="740" t="s">
        <v>645</v>
      </c>
      <c r="AB9" s="439">
        <v>35.200000000000003</v>
      </c>
      <c r="AC9" s="439">
        <v>41.099999999999994</v>
      </c>
      <c r="AD9" s="439">
        <v>118.4</v>
      </c>
      <c r="AE9" s="439">
        <v>1.7</v>
      </c>
      <c r="AF9" s="439">
        <v>15.5</v>
      </c>
      <c r="AG9" s="439"/>
      <c r="AH9" s="439"/>
      <c r="AI9" s="440">
        <v>211.89999999999998</v>
      </c>
      <c r="AK9" s="907" t="s">
        <v>3669</v>
      </c>
      <c r="AL9" s="907" t="s">
        <v>3</v>
      </c>
      <c r="AM9" s="764" t="s">
        <v>3674</v>
      </c>
      <c r="AN9" s="764" t="s">
        <v>3675</v>
      </c>
      <c r="AO9" s="764" t="s">
        <v>3676</v>
      </c>
      <c r="AP9" s="764" t="s">
        <v>3671</v>
      </c>
      <c r="AQ9" s="764" t="s">
        <v>439</v>
      </c>
      <c r="AR9" s="764" t="s">
        <v>438</v>
      </c>
    </row>
    <row r="10" spans="2:44" ht="15.75" thickBot="1" x14ac:dyDescent="0.3">
      <c r="B10" s="1175"/>
      <c r="C10" s="453" t="s">
        <v>635</v>
      </c>
      <c r="D10" s="454">
        <v>859.8</v>
      </c>
      <c r="E10" s="454">
        <v>825</v>
      </c>
      <c r="F10" s="454">
        <v>93.2</v>
      </c>
      <c r="G10" s="454">
        <v>1419.7</v>
      </c>
      <c r="H10" s="454">
        <v>24.9</v>
      </c>
      <c r="I10" s="452">
        <f t="shared" si="2"/>
        <v>3222.6</v>
      </c>
      <c r="K10" s="448"/>
      <c r="L10" s="441" t="str">
        <f>B64</f>
        <v xml:space="preserve">6º PAVTO - TIPO 01 </v>
      </c>
      <c r="M10" s="442">
        <f>H66</f>
        <v>317.2</v>
      </c>
      <c r="N10" s="443">
        <f>H67</f>
        <v>39836.299999999996</v>
      </c>
      <c r="O10" s="444"/>
      <c r="P10" s="441" t="str">
        <f t="shared" si="3"/>
        <v xml:space="preserve">6º PAVTO - TIPO 01 </v>
      </c>
      <c r="Q10" s="442">
        <f>H68</f>
        <v>384.40000000000003</v>
      </c>
      <c r="R10" s="442">
        <f>H69</f>
        <v>1551.2000000000003</v>
      </c>
      <c r="S10" s="442">
        <f>H70</f>
        <v>2375.6</v>
      </c>
      <c r="T10" s="442">
        <f>H71</f>
        <v>8964.5000000000018</v>
      </c>
      <c r="U10" s="442">
        <f>H72</f>
        <v>3535</v>
      </c>
      <c r="V10" s="442">
        <f>H73</f>
        <v>6040.7000000000007</v>
      </c>
      <c r="W10" s="442">
        <f>H74</f>
        <v>16984.900000000001</v>
      </c>
      <c r="X10" s="445" t="s">
        <v>188</v>
      </c>
      <c r="Z10" s="742" t="s">
        <v>652</v>
      </c>
      <c r="AA10" s="739" t="s">
        <v>646</v>
      </c>
      <c r="AB10" s="446">
        <v>5667.1</v>
      </c>
      <c r="AC10" s="446">
        <v>5741.7</v>
      </c>
      <c r="AD10" s="446">
        <v>6412.7999999999993</v>
      </c>
      <c r="AE10" s="446">
        <v>112.30000000000001</v>
      </c>
      <c r="AF10" s="446">
        <v>1056.0999999999999</v>
      </c>
      <c r="AG10" s="446"/>
      <c r="AH10" s="446"/>
      <c r="AI10" s="447">
        <v>18989.999999999996</v>
      </c>
      <c r="AK10" s="764" t="s">
        <v>3670</v>
      </c>
      <c r="AL10" s="764" t="s">
        <v>3672</v>
      </c>
      <c r="AM10" s="764">
        <f>4.2*0.5</f>
        <v>2.1</v>
      </c>
      <c r="AN10" s="764">
        <f>(4.2+0.5)*2</f>
        <v>9.4</v>
      </c>
      <c r="AO10" s="764">
        <v>0.1</v>
      </c>
      <c r="AP10" s="764">
        <f>AQ10*60</f>
        <v>12.600000000000001</v>
      </c>
      <c r="AQ10" s="764">
        <f t="shared" ref="AQ10:AQ17" si="5">AM10*AO10</f>
        <v>0.21000000000000002</v>
      </c>
      <c r="AR10" s="764">
        <f>AM10+AN10*AO10</f>
        <v>3.04</v>
      </c>
    </row>
    <row r="11" spans="2:44" x14ac:dyDescent="0.25">
      <c r="B11" s="1175"/>
      <c r="C11" s="453" t="s">
        <v>636</v>
      </c>
      <c r="D11" s="454">
        <v>126.6</v>
      </c>
      <c r="E11" s="454">
        <v>609.20000000000005</v>
      </c>
      <c r="F11" s="454" t="s">
        <v>188</v>
      </c>
      <c r="G11" s="454">
        <v>2009.7</v>
      </c>
      <c r="H11" s="454">
        <v>188.9</v>
      </c>
      <c r="I11" s="452">
        <f t="shared" si="2"/>
        <v>2934.4</v>
      </c>
      <c r="L11" s="441" t="str">
        <f>B76</f>
        <v>7º PAVTO - TIPO 02</v>
      </c>
      <c r="M11" s="442">
        <f>H78</f>
        <v>120.7</v>
      </c>
      <c r="N11" s="443">
        <f>H79</f>
        <v>14070</v>
      </c>
      <c r="O11" s="444"/>
      <c r="P11" s="441" t="str">
        <f t="shared" si="3"/>
        <v>7º PAVTO - TIPO 02</v>
      </c>
      <c r="Q11" s="442">
        <f>H80</f>
        <v>175.70000000000002</v>
      </c>
      <c r="R11" s="442">
        <f>H81</f>
        <v>551.9</v>
      </c>
      <c r="S11" s="442">
        <f>H82</f>
        <v>1640.5000000000002</v>
      </c>
      <c r="T11" s="442">
        <f>H83</f>
        <v>2959.8999999999996</v>
      </c>
      <c r="U11" s="442">
        <f>H84</f>
        <v>1435.6</v>
      </c>
      <c r="V11" s="442">
        <f>H85</f>
        <v>2981.4</v>
      </c>
      <c r="W11" s="442">
        <f>H86</f>
        <v>4325</v>
      </c>
      <c r="X11" s="445" t="s">
        <v>188</v>
      </c>
      <c r="Z11" s="741" t="s">
        <v>653</v>
      </c>
      <c r="AA11" s="740" t="s">
        <v>645</v>
      </c>
      <c r="AB11" s="439">
        <v>36.299999999999997</v>
      </c>
      <c r="AC11" s="439">
        <v>41.2</v>
      </c>
      <c r="AD11" s="439">
        <v>121.3</v>
      </c>
      <c r="AE11" s="439">
        <v>1.7</v>
      </c>
      <c r="AF11" s="439">
        <v>15.5</v>
      </c>
      <c r="AG11" s="439"/>
      <c r="AH11" s="439"/>
      <c r="AI11" s="440">
        <v>216</v>
      </c>
      <c r="AK11" s="764" t="s">
        <v>3670</v>
      </c>
      <c r="AL11" s="764" t="s">
        <v>3673</v>
      </c>
      <c r="AM11" s="764">
        <f>3.9*0.1*2+0.2*0.1*2</f>
        <v>0.82000000000000006</v>
      </c>
      <c r="AN11" s="764">
        <f>((3.9+0.1)*2+(0.2+0.1)*2)*2</f>
        <v>17.2</v>
      </c>
      <c r="AO11" s="764">
        <v>0.35</v>
      </c>
      <c r="AP11" s="764">
        <f t="shared" ref="AP11:AP17" si="6">AQ11*60</f>
        <v>17.22</v>
      </c>
      <c r="AQ11" s="764">
        <f t="shared" si="5"/>
        <v>0.28699999999999998</v>
      </c>
      <c r="AR11" s="764">
        <f>AN11*AO11</f>
        <v>6.02</v>
      </c>
    </row>
    <row r="12" spans="2:44" ht="15.75" thickBot="1" x14ac:dyDescent="0.3">
      <c r="B12" s="1175"/>
      <c r="C12" s="453" t="s">
        <v>637</v>
      </c>
      <c r="D12" s="454">
        <v>662.9</v>
      </c>
      <c r="E12" s="454">
        <v>3008.7</v>
      </c>
      <c r="F12" s="454" t="s">
        <v>188</v>
      </c>
      <c r="G12" s="454">
        <v>7107.7</v>
      </c>
      <c r="H12" s="454" t="s">
        <v>188</v>
      </c>
      <c r="I12" s="452">
        <f t="shared" si="2"/>
        <v>10779.3</v>
      </c>
      <c r="L12" s="441" t="str">
        <f>B88</f>
        <v>8º PAVTO - TIPO 03</v>
      </c>
      <c r="M12" s="442">
        <f>H90</f>
        <v>120.7</v>
      </c>
      <c r="N12" s="443">
        <f>H91</f>
        <v>11724.8</v>
      </c>
      <c r="O12" s="444"/>
      <c r="P12" s="441" t="str">
        <f t="shared" si="3"/>
        <v>8º PAVTO - TIPO 03</v>
      </c>
      <c r="Q12" s="442">
        <f>H92</f>
        <v>361.9</v>
      </c>
      <c r="R12" s="442">
        <f>H93</f>
        <v>432.6</v>
      </c>
      <c r="S12" s="442">
        <f>H94</f>
        <v>1664.7</v>
      </c>
      <c r="T12" s="442">
        <f>H95</f>
        <v>2588.6999999999998</v>
      </c>
      <c r="U12" s="442">
        <f>H96</f>
        <v>1769.7</v>
      </c>
      <c r="V12" s="442">
        <f>H97</f>
        <v>2980.5</v>
      </c>
      <c r="W12" s="442">
        <f>H98</f>
        <v>1926.7</v>
      </c>
      <c r="X12" s="445" t="s">
        <v>188</v>
      </c>
      <c r="Z12" s="742" t="s">
        <v>653</v>
      </c>
      <c r="AA12" s="739" t="s">
        <v>646</v>
      </c>
      <c r="AB12" s="446">
        <v>6166.2999999999993</v>
      </c>
      <c r="AC12" s="446">
        <v>6219.6</v>
      </c>
      <c r="AD12" s="446">
        <v>7352.9000000000005</v>
      </c>
      <c r="AE12" s="446">
        <v>112.30000000000001</v>
      </c>
      <c r="AF12" s="446">
        <v>1056.0999999999999</v>
      </c>
      <c r="AG12" s="446"/>
      <c r="AH12" s="446"/>
      <c r="AI12" s="447">
        <v>20907.199999999997</v>
      </c>
      <c r="AK12" s="907" t="s">
        <v>3677</v>
      </c>
      <c r="AL12" s="764" t="s">
        <v>3672</v>
      </c>
      <c r="AM12" s="764">
        <f>4*0.5</f>
        <v>2</v>
      </c>
      <c r="AN12" s="764">
        <f>(4+0.5)*2</f>
        <v>9</v>
      </c>
      <c r="AO12" s="764">
        <v>0.1</v>
      </c>
      <c r="AP12" s="764">
        <f t="shared" si="6"/>
        <v>12</v>
      </c>
      <c r="AQ12" s="764">
        <f t="shared" si="5"/>
        <v>0.2</v>
      </c>
      <c r="AR12" s="764">
        <f>AM12+AN12*AO12</f>
        <v>2.9</v>
      </c>
    </row>
    <row r="13" spans="2:44" x14ac:dyDescent="0.25">
      <c r="B13" s="1175"/>
      <c r="C13" s="453" t="s">
        <v>638</v>
      </c>
      <c r="D13" s="454">
        <v>4626.2</v>
      </c>
      <c r="E13" s="454">
        <v>1754.4</v>
      </c>
      <c r="F13" s="454" t="s">
        <v>188</v>
      </c>
      <c r="G13" s="454">
        <v>6414.3</v>
      </c>
      <c r="H13" s="454" t="s">
        <v>188</v>
      </c>
      <c r="I13" s="452">
        <f t="shared" si="2"/>
        <v>12794.900000000001</v>
      </c>
      <c r="L13" s="441" t="str">
        <f>B100</f>
        <v>9º PAVTO - TIPO 04</v>
      </c>
      <c r="M13" s="442">
        <f>H102</f>
        <v>122.10000000000001</v>
      </c>
      <c r="N13" s="443">
        <f>H103</f>
        <v>10982.5</v>
      </c>
      <c r="O13" s="444"/>
      <c r="P13" s="441" t="str">
        <f t="shared" si="3"/>
        <v>9º PAVTO - TIPO 04</v>
      </c>
      <c r="Q13" s="442">
        <f>H104</f>
        <v>402.40000000000003</v>
      </c>
      <c r="R13" s="442">
        <f>H105</f>
        <v>458.20000000000005</v>
      </c>
      <c r="S13" s="442">
        <f>H106</f>
        <v>1681.7</v>
      </c>
      <c r="T13" s="442">
        <f>H107</f>
        <v>2563.8000000000002</v>
      </c>
      <c r="U13" s="442">
        <f>H108</f>
        <v>1939.8999999999999</v>
      </c>
      <c r="V13" s="442">
        <f>H109</f>
        <v>2392.9</v>
      </c>
      <c r="W13" s="442">
        <f>H110</f>
        <v>1543.6</v>
      </c>
      <c r="X13" s="445" t="s">
        <v>188</v>
      </c>
      <c r="Z13" s="741" t="s">
        <v>654</v>
      </c>
      <c r="AA13" s="740" t="s">
        <v>645</v>
      </c>
      <c r="AB13" s="463">
        <v>54.099999999999994</v>
      </c>
      <c r="AC13" s="463">
        <v>135.39999999999998</v>
      </c>
      <c r="AD13" s="463">
        <v>125.5</v>
      </c>
      <c r="AE13" s="463">
        <v>2.2000000000000002</v>
      </c>
      <c r="AF13" s="463"/>
      <c r="AG13" s="463"/>
      <c r="AH13" s="463"/>
      <c r="AI13" s="484">
        <v>317.2</v>
      </c>
      <c r="AK13" s="907" t="s">
        <v>3677</v>
      </c>
      <c r="AL13" s="764" t="s">
        <v>3673</v>
      </c>
      <c r="AM13" s="764">
        <f>(3.7*0.1)*2+(0.2*0.1)*2</f>
        <v>0.78000000000000014</v>
      </c>
      <c r="AN13" s="764">
        <f>((3.7+0.1)*2+(0.2+0.1)*2)*2</f>
        <v>16.400000000000002</v>
      </c>
      <c r="AO13" s="764">
        <v>0.35</v>
      </c>
      <c r="AP13" s="764">
        <f t="shared" si="6"/>
        <v>16.380000000000003</v>
      </c>
      <c r="AQ13" s="764">
        <f t="shared" si="5"/>
        <v>0.27300000000000002</v>
      </c>
      <c r="AR13" s="764">
        <f>AN13*AO13</f>
        <v>5.74</v>
      </c>
    </row>
    <row r="14" spans="2:44" ht="15.75" thickBot="1" x14ac:dyDescent="0.3">
      <c r="B14" s="1176"/>
      <c r="C14" s="455" t="s">
        <v>639</v>
      </c>
      <c r="D14" s="446" t="s">
        <v>188</v>
      </c>
      <c r="E14" s="446" t="s">
        <v>188</v>
      </c>
      <c r="F14" s="446" t="s">
        <v>188</v>
      </c>
      <c r="G14" s="446">
        <v>10058.4</v>
      </c>
      <c r="H14" s="446" t="s">
        <v>188</v>
      </c>
      <c r="I14" s="456">
        <f t="shared" si="2"/>
        <v>10058.4</v>
      </c>
      <c r="L14" s="441" t="str">
        <f>B112</f>
        <v>10º PAVTO - TIPO 05</v>
      </c>
      <c r="M14" s="442">
        <f>H114</f>
        <v>120.7</v>
      </c>
      <c r="N14" s="443">
        <f>H115</f>
        <v>10252.599999999999</v>
      </c>
      <c r="O14" s="444"/>
      <c r="P14" s="441" t="str">
        <f t="shared" si="3"/>
        <v>10º PAVTO - TIPO 05</v>
      </c>
      <c r="Q14" s="442">
        <f>H116</f>
        <v>466.3</v>
      </c>
      <c r="R14" s="442">
        <f>H117</f>
        <v>427.90000000000003</v>
      </c>
      <c r="S14" s="442">
        <f>H118</f>
        <v>1531.7</v>
      </c>
      <c r="T14" s="442">
        <f>H119</f>
        <v>2530.5</v>
      </c>
      <c r="U14" s="442">
        <f>H120</f>
        <v>2236.8000000000002</v>
      </c>
      <c r="V14" s="442">
        <f>H121</f>
        <v>1771.5</v>
      </c>
      <c r="W14" s="442">
        <f>H122</f>
        <v>1287.9000000000001</v>
      </c>
      <c r="X14" s="445" t="s">
        <v>188</v>
      </c>
      <c r="Z14" s="742" t="s">
        <v>654</v>
      </c>
      <c r="AA14" s="739" t="s">
        <v>646</v>
      </c>
      <c r="AB14" s="485">
        <v>11099</v>
      </c>
      <c r="AC14" s="485">
        <v>23725.4</v>
      </c>
      <c r="AD14" s="485">
        <v>4857.2999999999993</v>
      </c>
      <c r="AE14" s="485">
        <v>154.6</v>
      </c>
      <c r="AF14" s="485"/>
      <c r="AG14" s="485"/>
      <c r="AH14" s="485"/>
      <c r="AI14" s="486">
        <v>39836.299999999996</v>
      </c>
      <c r="AK14" s="907" t="s">
        <v>3678</v>
      </c>
      <c r="AL14" s="764" t="s">
        <v>3672</v>
      </c>
      <c r="AM14" s="764">
        <f>2.4*0.5</f>
        <v>1.2</v>
      </c>
      <c r="AN14" s="764">
        <f>(2.41+0.5)*2</f>
        <v>5.82</v>
      </c>
      <c r="AO14" s="764">
        <v>0.1</v>
      </c>
      <c r="AP14" s="764">
        <f t="shared" si="6"/>
        <v>7.1999999999999993</v>
      </c>
      <c r="AQ14" s="764">
        <f t="shared" si="5"/>
        <v>0.12</v>
      </c>
      <c r="AR14" s="764">
        <f>AM14+AN14*AO14</f>
        <v>1.782</v>
      </c>
    </row>
    <row r="15" spans="2:44" ht="15.75" thickBot="1" x14ac:dyDescent="0.3">
      <c r="B15" s="457"/>
      <c r="C15" s="458"/>
      <c r="D15" s="458"/>
      <c r="E15" s="458"/>
      <c r="F15" s="458"/>
      <c r="G15" s="459"/>
      <c r="H15" s="458"/>
      <c r="I15" s="457"/>
      <c r="J15" s="457"/>
      <c r="L15" s="441" t="str">
        <f>B124</f>
        <v>11º PAVTO - TIPO 06</v>
      </c>
      <c r="M15" s="460">
        <f>H126</f>
        <v>122.10000000000001</v>
      </c>
      <c r="N15" s="443">
        <f>H127</f>
        <v>10016.5</v>
      </c>
      <c r="O15" s="444"/>
      <c r="P15" s="441" t="str">
        <f t="shared" si="3"/>
        <v>11º PAVTO - TIPO 06</v>
      </c>
      <c r="Q15" s="442">
        <f>H128</f>
        <v>510.90000000000003</v>
      </c>
      <c r="R15" s="442">
        <f>H129</f>
        <v>397.40000000000003</v>
      </c>
      <c r="S15" s="442">
        <f>H130</f>
        <v>1494.7</v>
      </c>
      <c r="T15" s="442">
        <f>H131</f>
        <v>2778</v>
      </c>
      <c r="U15" s="442">
        <f>H132</f>
        <v>2014</v>
      </c>
      <c r="V15" s="442">
        <f>H133</f>
        <v>1797.8</v>
      </c>
      <c r="W15" s="442">
        <f>H134</f>
        <v>1023.7</v>
      </c>
      <c r="X15" s="445" t="s">
        <v>188</v>
      </c>
      <c r="Z15" s="741" t="s">
        <v>655</v>
      </c>
      <c r="AA15" s="740" t="s">
        <v>645</v>
      </c>
      <c r="AB15" s="463">
        <v>23.7</v>
      </c>
      <c r="AC15" s="463">
        <v>22.4</v>
      </c>
      <c r="AD15" s="463">
        <v>72.900000000000006</v>
      </c>
      <c r="AE15" s="463">
        <v>1.7</v>
      </c>
      <c r="AF15" s="463"/>
      <c r="AG15" s="463"/>
      <c r="AH15" s="463"/>
      <c r="AI15" s="484">
        <v>120.7</v>
      </c>
      <c r="AK15" s="907" t="s">
        <v>3678</v>
      </c>
      <c r="AL15" s="764" t="s">
        <v>3673</v>
      </c>
      <c r="AM15" s="764">
        <f>(2.11*0.1)*2+(0.2*0.1)*2</f>
        <v>0.46199999999999997</v>
      </c>
      <c r="AN15" s="764">
        <f>((2.11+0.1)*2+(0.2+0.1)*2)*2</f>
        <v>10.039999999999999</v>
      </c>
      <c r="AO15" s="764">
        <v>0.35</v>
      </c>
      <c r="AP15" s="764">
        <f t="shared" si="6"/>
        <v>9.7019999999999982</v>
      </c>
      <c r="AQ15" s="764">
        <f t="shared" si="5"/>
        <v>0.16169999999999998</v>
      </c>
      <c r="AR15" s="764">
        <f>AN15*AO15</f>
        <v>3.5139999999999993</v>
      </c>
    </row>
    <row r="16" spans="2:44" ht="15" customHeight="1" thickBot="1" x14ac:dyDescent="0.3">
      <c r="B16" s="1177" t="s">
        <v>647</v>
      </c>
      <c r="C16" s="1178"/>
      <c r="D16" s="1178"/>
      <c r="E16" s="1178"/>
      <c r="F16" s="1178"/>
      <c r="G16" s="1178"/>
      <c r="H16" s="1178"/>
      <c r="I16" s="1179"/>
      <c r="J16" s="457"/>
      <c r="L16" s="441" t="str">
        <f>B136</f>
        <v>12º PAVTO - TIPO 07</v>
      </c>
      <c r="M16" s="460">
        <f>H138</f>
        <v>120.7</v>
      </c>
      <c r="N16" s="443">
        <f>H139</f>
        <v>9660.7999999999993</v>
      </c>
      <c r="O16" s="444"/>
      <c r="P16" s="441" t="str">
        <f t="shared" si="3"/>
        <v>12º PAVTO - TIPO 07</v>
      </c>
      <c r="Q16" s="442">
        <f>H140</f>
        <v>522.5</v>
      </c>
      <c r="R16" s="442">
        <f>H141</f>
        <v>381.90000000000003</v>
      </c>
      <c r="S16" s="442">
        <f>H142</f>
        <v>1477.4</v>
      </c>
      <c r="T16" s="442">
        <f>H143</f>
        <v>2728.2</v>
      </c>
      <c r="U16" s="442">
        <f>H144</f>
        <v>1929.7</v>
      </c>
      <c r="V16" s="442">
        <f>H145</f>
        <v>1597.4</v>
      </c>
      <c r="W16" s="442">
        <f>H146</f>
        <v>1023.7</v>
      </c>
      <c r="X16" s="445" t="s">
        <v>188</v>
      </c>
      <c r="Z16" s="532" t="s">
        <v>655</v>
      </c>
      <c r="AA16" s="531" t="s">
        <v>646</v>
      </c>
      <c r="AB16" s="485">
        <v>5930.5</v>
      </c>
      <c r="AC16" s="485">
        <v>3979.2</v>
      </c>
      <c r="AD16" s="485">
        <v>4060.3</v>
      </c>
      <c r="AE16" s="485">
        <v>100</v>
      </c>
      <c r="AF16" s="485"/>
      <c r="AG16" s="485"/>
      <c r="AH16" s="485"/>
      <c r="AI16" s="486">
        <v>14070</v>
      </c>
      <c r="AK16" s="907" t="s">
        <v>3679</v>
      </c>
      <c r="AL16" s="764" t="s">
        <v>3672</v>
      </c>
      <c r="AM16" s="764">
        <f>1.49*0.5</f>
        <v>0.745</v>
      </c>
      <c r="AN16" s="764">
        <f>(1.49+0.5)*2</f>
        <v>3.98</v>
      </c>
      <c r="AO16" s="764">
        <v>0.1</v>
      </c>
      <c r="AP16" s="764">
        <f t="shared" si="6"/>
        <v>4.47</v>
      </c>
      <c r="AQ16" s="764">
        <f t="shared" si="5"/>
        <v>7.4499999999999997E-2</v>
      </c>
      <c r="AR16" s="764">
        <f>AM16+AN16*AO16</f>
        <v>1.143</v>
      </c>
    </row>
    <row r="17" spans="2:44" x14ac:dyDescent="0.25">
      <c r="B17" s="1152"/>
      <c r="C17" s="1153"/>
      <c r="D17" s="461" t="s">
        <v>640</v>
      </c>
      <c r="E17" s="461" t="s">
        <v>641</v>
      </c>
      <c r="F17" s="461" t="s">
        <v>642</v>
      </c>
      <c r="G17" s="461" t="s">
        <v>648</v>
      </c>
      <c r="H17" s="461" t="s">
        <v>649</v>
      </c>
      <c r="I17" s="462" t="s">
        <v>105</v>
      </c>
      <c r="J17" s="457"/>
      <c r="L17" s="441" t="str">
        <f>B148</f>
        <v>13º PAVTO - TIPO 08</v>
      </c>
      <c r="M17" s="460">
        <f>H150</f>
        <v>120.7</v>
      </c>
      <c r="N17" s="443">
        <f>H151</f>
        <v>8838.7000000000007</v>
      </c>
      <c r="O17" s="444"/>
      <c r="P17" s="441" t="str">
        <f t="shared" si="3"/>
        <v>13º PAVTO - TIPO 08</v>
      </c>
      <c r="Q17" s="442">
        <f>H152</f>
        <v>580.1</v>
      </c>
      <c r="R17" s="442">
        <f>H153</f>
        <v>315.50000000000006</v>
      </c>
      <c r="S17" s="442">
        <f>H154</f>
        <v>1557.4</v>
      </c>
      <c r="T17" s="442">
        <f>H155</f>
        <v>2709.8</v>
      </c>
      <c r="U17" s="442">
        <f>H156</f>
        <v>1637.7</v>
      </c>
      <c r="V17" s="442">
        <f>H157</f>
        <v>1435.2</v>
      </c>
      <c r="W17" s="442">
        <f>H158</f>
        <v>603</v>
      </c>
      <c r="X17" s="445" t="s">
        <v>188</v>
      </c>
      <c r="Z17" s="741" t="s">
        <v>656</v>
      </c>
      <c r="AA17" s="740" t="s">
        <v>645</v>
      </c>
      <c r="AB17" s="463">
        <v>23.7</v>
      </c>
      <c r="AC17" s="463">
        <v>22.4</v>
      </c>
      <c r="AD17" s="463">
        <v>72.900000000000006</v>
      </c>
      <c r="AE17" s="463">
        <v>1.7</v>
      </c>
      <c r="AF17" s="463"/>
      <c r="AG17" s="463"/>
      <c r="AH17" s="463"/>
      <c r="AI17" s="484">
        <v>120.7</v>
      </c>
      <c r="AK17" s="907" t="s">
        <v>3679</v>
      </c>
      <c r="AL17" s="764" t="s">
        <v>3673</v>
      </c>
      <c r="AM17" s="764">
        <f>(1.19*0.1)*2+(0.2*0.1)*2</f>
        <v>0.27800000000000002</v>
      </c>
      <c r="AN17" s="764">
        <f>((1.19+0.1)*2+(0.2+0.1)*2)*2</f>
        <v>6.36</v>
      </c>
      <c r="AO17" s="764">
        <v>0.35</v>
      </c>
      <c r="AP17" s="764">
        <f t="shared" si="6"/>
        <v>5.8380000000000001</v>
      </c>
      <c r="AQ17" s="764">
        <f t="shared" si="5"/>
        <v>9.7299999999999998E-2</v>
      </c>
      <c r="AR17" s="764">
        <f>AN17*AO17</f>
        <v>2.226</v>
      </c>
    </row>
    <row r="18" spans="2:44" ht="15.75" thickBot="1" x14ac:dyDescent="0.3">
      <c r="B18" s="1170" t="s">
        <v>645</v>
      </c>
      <c r="C18" s="1171"/>
      <c r="D18" s="463">
        <f>35+33.1</f>
        <v>68.099999999999994</v>
      </c>
      <c r="E18" s="463">
        <f>55.8+58</f>
        <v>113.8</v>
      </c>
      <c r="F18" s="463">
        <f>72.2+48.1</f>
        <v>120.30000000000001</v>
      </c>
      <c r="G18" s="463">
        <v>2.1</v>
      </c>
      <c r="H18" s="463">
        <v>12</v>
      </c>
      <c r="I18" s="440">
        <f t="shared" ref="I18:I26" si="7">SUM(D18:H18)</f>
        <v>316.3</v>
      </c>
      <c r="J18" s="457"/>
      <c r="L18" s="441" t="str">
        <f>B160</f>
        <v>14º PAVTO - TIPO 09</v>
      </c>
      <c r="M18" s="460">
        <f>H162</f>
        <v>122.10000000000001</v>
      </c>
      <c r="N18" s="443">
        <f>H163</f>
        <v>8849.5</v>
      </c>
      <c r="O18" s="444"/>
      <c r="P18" s="441" t="str">
        <f t="shared" si="3"/>
        <v>14º PAVTO - TIPO 09</v>
      </c>
      <c r="Q18" s="442">
        <f>H164</f>
        <v>567.1</v>
      </c>
      <c r="R18" s="442">
        <f>H165</f>
        <v>315.50000000000006</v>
      </c>
      <c r="S18" s="442">
        <f>H166</f>
        <v>1661.6000000000001</v>
      </c>
      <c r="T18" s="442">
        <f>H167</f>
        <v>2742</v>
      </c>
      <c r="U18" s="442">
        <f>H168</f>
        <v>1525.1</v>
      </c>
      <c r="V18" s="442">
        <f>H169</f>
        <v>1435.2</v>
      </c>
      <c r="W18" s="442">
        <f>H170</f>
        <v>603</v>
      </c>
      <c r="X18" s="445" t="s">
        <v>188</v>
      </c>
      <c r="Z18" s="742" t="s">
        <v>656</v>
      </c>
      <c r="AA18" s="739" t="s">
        <v>646</v>
      </c>
      <c r="AB18" s="485">
        <v>3585.3</v>
      </c>
      <c r="AC18" s="485">
        <v>3979.2</v>
      </c>
      <c r="AD18" s="485">
        <v>4060.3</v>
      </c>
      <c r="AE18" s="485">
        <v>100</v>
      </c>
      <c r="AF18" s="485"/>
      <c r="AG18" s="485"/>
      <c r="AH18" s="485"/>
      <c r="AI18" s="486">
        <v>11724.8</v>
      </c>
      <c r="AK18" s="908"/>
      <c r="AL18" s="909"/>
      <c r="AM18" s="909"/>
      <c r="AN18" s="909"/>
      <c r="AO18" s="910" t="s">
        <v>105</v>
      </c>
      <c r="AP18" s="764">
        <f>SUM(AP10:AP17)</f>
        <v>85.41</v>
      </c>
      <c r="AQ18" s="764">
        <f>SUM(AQ10:AQ17)</f>
        <v>1.4235</v>
      </c>
      <c r="AR18" s="764">
        <f>SUM(AR10:AR17)</f>
        <v>26.364999999999998</v>
      </c>
    </row>
    <row r="19" spans="2:44" ht="15.75" thickBot="1" x14ac:dyDescent="0.3">
      <c r="B19" s="1172" t="s">
        <v>646</v>
      </c>
      <c r="C19" s="1173"/>
      <c r="D19" s="439">
        <f>SUM(D20:D26)</f>
        <v>10244.1</v>
      </c>
      <c r="E19" s="439">
        <f>SUM(E20:E26)</f>
        <v>13635.7</v>
      </c>
      <c r="F19" s="439">
        <f>SUM(F20:F26)</f>
        <v>5285.2</v>
      </c>
      <c r="G19" s="439">
        <f>SUM(G20:G26)</f>
        <v>148.89999999999998</v>
      </c>
      <c r="H19" s="439">
        <f>SUM(H20:H26)</f>
        <v>542.6</v>
      </c>
      <c r="I19" s="464">
        <f t="shared" si="7"/>
        <v>29856.500000000004</v>
      </c>
      <c r="J19" s="457"/>
      <c r="L19" s="441" t="str">
        <f>B172</f>
        <v>15º PAVTO - TIPO 10</v>
      </c>
      <c r="M19" s="460">
        <f>H174</f>
        <v>120.7</v>
      </c>
      <c r="N19" s="443">
        <f>H175</f>
        <v>8777</v>
      </c>
      <c r="O19" s="444"/>
      <c r="P19" s="441" t="str">
        <f t="shared" si="3"/>
        <v>15º PAVTO - TIPO 10</v>
      </c>
      <c r="Q19" s="442">
        <f>H176</f>
        <v>581.29999999999995</v>
      </c>
      <c r="R19" s="442">
        <f>H177</f>
        <v>315.50000000000006</v>
      </c>
      <c r="S19" s="442">
        <f>H178</f>
        <v>1557.4</v>
      </c>
      <c r="T19" s="442">
        <f>H179</f>
        <v>2759</v>
      </c>
      <c r="U19" s="442">
        <f>H180</f>
        <v>1525.6</v>
      </c>
      <c r="V19" s="442">
        <f>H181</f>
        <v>1435.2</v>
      </c>
      <c r="W19" s="442">
        <f>H182</f>
        <v>603</v>
      </c>
      <c r="X19" s="445" t="s">
        <v>188</v>
      </c>
      <c r="Z19" s="741" t="s">
        <v>657</v>
      </c>
      <c r="AA19" s="740" t="s">
        <v>645</v>
      </c>
      <c r="AB19" s="463">
        <v>23.7</v>
      </c>
      <c r="AC19" s="463">
        <v>22.4</v>
      </c>
      <c r="AD19" s="463">
        <v>74.300000000000011</v>
      </c>
      <c r="AE19" s="463">
        <v>1.7</v>
      </c>
      <c r="AF19" s="463"/>
      <c r="AG19" s="463"/>
      <c r="AH19" s="463"/>
      <c r="AI19" s="484">
        <v>122.10000000000001</v>
      </c>
    </row>
    <row r="20" spans="2:44" ht="15.75" thickBot="1" x14ac:dyDescent="0.3">
      <c r="B20" s="465" t="s">
        <v>627</v>
      </c>
      <c r="C20" s="466" t="s">
        <v>632</v>
      </c>
      <c r="D20" s="467">
        <v>250.8</v>
      </c>
      <c r="E20" s="467">
        <v>271.3</v>
      </c>
      <c r="F20" s="467">
        <v>1.2</v>
      </c>
      <c r="G20" s="467" t="s">
        <v>188</v>
      </c>
      <c r="H20" s="467" t="s">
        <v>188</v>
      </c>
      <c r="I20" s="468">
        <f t="shared" si="7"/>
        <v>523.30000000000007</v>
      </c>
      <c r="J20" s="457"/>
      <c r="L20" s="441" t="str">
        <f>B184</f>
        <v>16º PAVTO - TIPO 11</v>
      </c>
      <c r="M20" s="460">
        <f>H186</f>
        <v>122.10000000000001</v>
      </c>
      <c r="N20" s="443">
        <f>H187</f>
        <v>8873</v>
      </c>
      <c r="O20" s="444"/>
      <c r="P20" s="441" t="str">
        <f t="shared" si="3"/>
        <v>16º PAVTO - TIPO 11</v>
      </c>
      <c r="Q20" s="442">
        <f>H188</f>
        <v>580.29999999999995</v>
      </c>
      <c r="R20" s="442">
        <f>H189</f>
        <v>315.50000000000006</v>
      </c>
      <c r="S20" s="442">
        <f>H190</f>
        <v>1661.6000000000001</v>
      </c>
      <c r="T20" s="442">
        <f>H191</f>
        <v>2759</v>
      </c>
      <c r="U20" s="442">
        <f>H192</f>
        <v>1518.3999999999999</v>
      </c>
      <c r="V20" s="442">
        <f>H193</f>
        <v>1435.2</v>
      </c>
      <c r="W20" s="442">
        <f>H194</f>
        <v>603</v>
      </c>
      <c r="X20" s="445" t="s">
        <v>188</v>
      </c>
      <c r="Z20" s="742" t="s">
        <v>657</v>
      </c>
      <c r="AA20" s="739" t="s">
        <v>646</v>
      </c>
      <c r="AB20" s="485">
        <v>2738.8</v>
      </c>
      <c r="AC20" s="485">
        <v>3979.2</v>
      </c>
      <c r="AD20" s="485">
        <v>4164.5</v>
      </c>
      <c r="AE20" s="485">
        <v>100</v>
      </c>
      <c r="AF20" s="485"/>
      <c r="AG20" s="485"/>
      <c r="AH20" s="485"/>
      <c r="AI20" s="486">
        <v>10982.5</v>
      </c>
    </row>
    <row r="21" spans="2:44" ht="15" customHeight="1" x14ac:dyDescent="0.25">
      <c r="B21" s="1174" t="s">
        <v>628</v>
      </c>
      <c r="C21" s="453" t="s">
        <v>633</v>
      </c>
      <c r="D21" s="454">
        <v>336.5</v>
      </c>
      <c r="E21" s="454">
        <v>605.1</v>
      </c>
      <c r="F21" s="454">
        <v>234.2</v>
      </c>
      <c r="G21" s="454">
        <v>15.7</v>
      </c>
      <c r="H21" s="454">
        <v>135.1</v>
      </c>
      <c r="I21" s="469">
        <f t="shared" si="7"/>
        <v>1326.6</v>
      </c>
      <c r="J21" s="457"/>
      <c r="L21" s="441" t="str">
        <f>B196</f>
        <v>17º PAVTO - TIPO 12</v>
      </c>
      <c r="M21" s="460">
        <f>H198</f>
        <v>120.2</v>
      </c>
      <c r="N21" s="443">
        <f>H199</f>
        <v>8770.2999999999993</v>
      </c>
      <c r="O21" s="444"/>
      <c r="P21" s="441" t="str">
        <f t="shared" si="3"/>
        <v>17º PAVTO - TIPO 12</v>
      </c>
      <c r="Q21" s="442">
        <f>H200</f>
        <v>580.29999999999995</v>
      </c>
      <c r="R21" s="442">
        <f>H201</f>
        <v>315.50000000000006</v>
      </c>
      <c r="S21" s="442">
        <f>H202</f>
        <v>1557.4</v>
      </c>
      <c r="T21" s="442">
        <f>H203</f>
        <v>2760.5</v>
      </c>
      <c r="U21" s="442">
        <f>H204</f>
        <v>1518.3999999999999</v>
      </c>
      <c r="V21" s="442">
        <f>H205</f>
        <v>1435.2</v>
      </c>
      <c r="W21" s="442">
        <f>H206</f>
        <v>603</v>
      </c>
      <c r="X21" s="445" t="s">
        <v>188</v>
      </c>
      <c r="Z21" s="741" t="s">
        <v>659</v>
      </c>
      <c r="AA21" s="740" t="s">
        <v>645</v>
      </c>
      <c r="AB21" s="463">
        <v>23.7</v>
      </c>
      <c r="AC21" s="463">
        <v>22.4</v>
      </c>
      <c r="AD21" s="463">
        <v>72.900000000000006</v>
      </c>
      <c r="AE21" s="463">
        <v>1.7</v>
      </c>
      <c r="AF21" s="463"/>
      <c r="AG21" s="463"/>
      <c r="AH21" s="463"/>
      <c r="AI21" s="484">
        <v>120.7</v>
      </c>
    </row>
    <row r="22" spans="2:44" ht="15.75" thickBot="1" x14ac:dyDescent="0.3">
      <c r="B22" s="1175"/>
      <c r="C22" s="453" t="s">
        <v>634</v>
      </c>
      <c r="D22" s="454">
        <v>685.4</v>
      </c>
      <c r="E22" s="454">
        <v>1712.2</v>
      </c>
      <c r="F22" s="454">
        <v>613.1</v>
      </c>
      <c r="G22" s="454" t="s">
        <v>188</v>
      </c>
      <c r="H22" s="454" t="s">
        <v>188</v>
      </c>
      <c r="I22" s="469">
        <f t="shared" si="7"/>
        <v>3010.7</v>
      </c>
      <c r="J22" s="457"/>
      <c r="L22" s="441" t="str">
        <f>B208</f>
        <v>18º PAVTO - TIPO 13</v>
      </c>
      <c r="M22" s="460">
        <f>H210</f>
        <v>120.2</v>
      </c>
      <c r="N22" s="443">
        <f>H211</f>
        <v>8844.7000000000007</v>
      </c>
      <c r="O22" s="444"/>
      <c r="P22" s="441" t="str">
        <f t="shared" si="3"/>
        <v>18º PAVTO - TIPO 13</v>
      </c>
      <c r="Q22" s="442">
        <f>H212</f>
        <v>573.6</v>
      </c>
      <c r="R22" s="442">
        <f>H213</f>
        <v>330.20000000000005</v>
      </c>
      <c r="S22" s="442">
        <f>H214</f>
        <v>1557.4</v>
      </c>
      <c r="T22" s="442">
        <f>H215</f>
        <v>2772</v>
      </c>
      <c r="U22" s="442">
        <f>H216</f>
        <v>1542.9999999999998</v>
      </c>
      <c r="V22" s="442">
        <f>H217</f>
        <v>1465.5</v>
      </c>
      <c r="W22" s="442">
        <f>H218</f>
        <v>603</v>
      </c>
      <c r="X22" s="445" t="s">
        <v>188</v>
      </c>
      <c r="Z22" s="742" t="s">
        <v>659</v>
      </c>
      <c r="AA22" s="739" t="s">
        <v>646</v>
      </c>
      <c r="AB22" s="485">
        <v>2113.1</v>
      </c>
      <c r="AC22" s="485">
        <v>3979.2</v>
      </c>
      <c r="AD22" s="485">
        <v>4060.3</v>
      </c>
      <c r="AE22" s="485">
        <v>100</v>
      </c>
      <c r="AF22" s="485"/>
      <c r="AG22" s="485"/>
      <c r="AH22" s="485"/>
      <c r="AI22" s="486">
        <v>10252.599999999999</v>
      </c>
    </row>
    <row r="23" spans="2:44" x14ac:dyDescent="0.25">
      <c r="B23" s="1175"/>
      <c r="C23" s="453" t="s">
        <v>635</v>
      </c>
      <c r="D23" s="454">
        <v>1014.4</v>
      </c>
      <c r="E23" s="454">
        <v>2388.5</v>
      </c>
      <c r="F23" s="454">
        <v>3235.8</v>
      </c>
      <c r="G23" s="454">
        <v>133.19999999999999</v>
      </c>
      <c r="H23" s="454">
        <v>407.5</v>
      </c>
      <c r="I23" s="469">
        <f t="shared" si="7"/>
        <v>7179.4000000000005</v>
      </c>
      <c r="J23" s="457"/>
      <c r="L23" s="441" t="str">
        <f>B220</f>
        <v>ROOFTOP</v>
      </c>
      <c r="M23" s="460">
        <f>H222</f>
        <v>134.09999999999997</v>
      </c>
      <c r="N23" s="443">
        <f>H223</f>
        <v>9594.4</v>
      </c>
      <c r="O23" s="444"/>
      <c r="P23" s="441" t="str">
        <f t="shared" si="3"/>
        <v>ROOFTOP</v>
      </c>
      <c r="Q23" s="442">
        <f>H224</f>
        <v>600.40000000000009</v>
      </c>
      <c r="R23" s="442">
        <f>H225</f>
        <v>803.1</v>
      </c>
      <c r="S23" s="442">
        <f>H226</f>
        <v>1843.3</v>
      </c>
      <c r="T23" s="442">
        <f>H227</f>
        <v>2399.3000000000002</v>
      </c>
      <c r="U23" s="442">
        <f>H228</f>
        <v>1380.4</v>
      </c>
      <c r="V23" s="442">
        <f>H229</f>
        <v>1994.6000000000001</v>
      </c>
      <c r="W23" s="442">
        <f>H230</f>
        <v>573.29999999999995</v>
      </c>
      <c r="X23" s="445" t="s">
        <v>188</v>
      </c>
      <c r="Z23" s="741" t="s">
        <v>660</v>
      </c>
      <c r="AA23" s="740" t="s">
        <v>645</v>
      </c>
      <c r="AB23" s="463">
        <v>23.7</v>
      </c>
      <c r="AC23" s="463">
        <v>22.4</v>
      </c>
      <c r="AD23" s="463">
        <v>74.300000000000011</v>
      </c>
      <c r="AE23" s="463">
        <v>1.7</v>
      </c>
      <c r="AF23" s="463"/>
      <c r="AG23" s="463"/>
      <c r="AH23" s="463"/>
      <c r="AI23" s="484">
        <v>122.10000000000001</v>
      </c>
    </row>
    <row r="24" spans="2:44" ht="15" customHeight="1" thickBot="1" x14ac:dyDescent="0.3">
      <c r="B24" s="1175"/>
      <c r="C24" s="453" t="s">
        <v>636</v>
      </c>
      <c r="D24" s="454">
        <v>304</v>
      </c>
      <c r="E24" s="454">
        <v>1108.0999999999999</v>
      </c>
      <c r="F24" s="454">
        <v>438.9</v>
      </c>
      <c r="G24" s="454" t="s">
        <v>188</v>
      </c>
      <c r="H24" s="454" t="s">
        <v>188</v>
      </c>
      <c r="I24" s="469">
        <f t="shared" si="7"/>
        <v>1851</v>
      </c>
      <c r="J24" s="457"/>
      <c r="L24" s="441" t="str">
        <f>B232</f>
        <v>TELHADO</v>
      </c>
      <c r="M24" s="460">
        <f>H234</f>
        <v>107</v>
      </c>
      <c r="N24" s="443">
        <f>H235</f>
        <v>6082.7</v>
      </c>
      <c r="P24" s="441" t="str">
        <f t="shared" si="3"/>
        <v>TELHADO</v>
      </c>
      <c r="Q24" s="442">
        <f>H236</f>
        <v>730.40000000000009</v>
      </c>
      <c r="R24" s="442">
        <f>H237</f>
        <v>558.00000000000011</v>
      </c>
      <c r="S24" s="442">
        <f>H238</f>
        <v>1350.5</v>
      </c>
      <c r="T24" s="442">
        <f>H239</f>
        <v>1618.3999999999999</v>
      </c>
      <c r="U24" s="442">
        <f>H240</f>
        <v>1135</v>
      </c>
      <c r="V24" s="442">
        <f>H241</f>
        <v>509.7</v>
      </c>
      <c r="W24" s="442">
        <f>H242</f>
        <v>180.7</v>
      </c>
      <c r="X24" s="445" t="s">
        <v>188</v>
      </c>
      <c r="Z24" s="742" t="s">
        <v>660</v>
      </c>
      <c r="AA24" s="739" t="s">
        <v>646</v>
      </c>
      <c r="AB24" s="485">
        <v>1772.8</v>
      </c>
      <c r="AC24" s="485">
        <v>3979.2</v>
      </c>
      <c r="AD24" s="485">
        <v>4164.5</v>
      </c>
      <c r="AE24" s="485">
        <v>100</v>
      </c>
      <c r="AF24" s="485"/>
      <c r="AG24" s="485"/>
      <c r="AH24" s="485"/>
      <c r="AI24" s="486">
        <v>10016.5</v>
      </c>
    </row>
    <row r="25" spans="2:44" x14ac:dyDescent="0.25">
      <c r="B25" s="1175"/>
      <c r="C25" s="453" t="s">
        <v>637</v>
      </c>
      <c r="D25" s="454">
        <v>1077.9000000000001</v>
      </c>
      <c r="E25" s="454">
        <v>2615.8000000000002</v>
      </c>
      <c r="F25" s="454">
        <v>762</v>
      </c>
      <c r="G25" s="454" t="s">
        <v>188</v>
      </c>
      <c r="H25" s="454" t="s">
        <v>188</v>
      </c>
      <c r="I25" s="469">
        <f t="shared" si="7"/>
        <v>4455.7000000000007</v>
      </c>
      <c r="J25" s="457"/>
      <c r="L25" s="441" t="str">
        <f>B244</f>
        <v>CASA DE MÁQUINAS</v>
      </c>
      <c r="M25" s="460">
        <f>G246</f>
        <v>3.8</v>
      </c>
      <c r="N25" s="443">
        <f>G247</f>
        <v>212.39999999999998</v>
      </c>
      <c r="O25" s="444"/>
      <c r="P25" s="441" t="str">
        <f t="shared" si="3"/>
        <v>CASA DE MÁQUINAS</v>
      </c>
      <c r="Q25" s="442">
        <f>G248</f>
        <v>5.8</v>
      </c>
      <c r="R25" s="442">
        <f>G249</f>
        <v>1.7</v>
      </c>
      <c r="S25" s="442">
        <f>G250</f>
        <v>41.2</v>
      </c>
      <c r="T25" s="442">
        <f>G251</f>
        <v>99.1</v>
      </c>
      <c r="U25" s="442">
        <f>G252</f>
        <v>64.599999999999994</v>
      </c>
      <c r="V25" s="442">
        <f>G253</f>
        <v>0</v>
      </c>
      <c r="W25" s="442">
        <f>G254</f>
        <v>0</v>
      </c>
      <c r="X25" s="445" t="s">
        <v>188</v>
      </c>
      <c r="Z25" s="741" t="s">
        <v>661</v>
      </c>
      <c r="AA25" s="740" t="s">
        <v>645</v>
      </c>
      <c r="AB25" s="463">
        <v>23.7</v>
      </c>
      <c r="AC25" s="463">
        <v>22.4</v>
      </c>
      <c r="AD25" s="463">
        <v>72.900000000000006</v>
      </c>
      <c r="AE25" s="463">
        <v>1.7</v>
      </c>
      <c r="AF25" s="463"/>
      <c r="AG25" s="463"/>
      <c r="AH25" s="463"/>
      <c r="AI25" s="484">
        <v>120.7</v>
      </c>
    </row>
    <row r="26" spans="2:44" ht="15.75" thickBot="1" x14ac:dyDescent="0.3">
      <c r="B26" s="1176"/>
      <c r="C26" s="455" t="s">
        <v>638</v>
      </c>
      <c r="D26" s="446">
        <v>6575.1</v>
      </c>
      <c r="E26" s="446">
        <v>4934.7</v>
      </c>
      <c r="F26" s="446" t="s">
        <v>188</v>
      </c>
      <c r="G26" s="446" t="s">
        <v>188</v>
      </c>
      <c r="H26" s="446" t="s">
        <v>188</v>
      </c>
      <c r="I26" s="470">
        <f t="shared" si="7"/>
        <v>11509.8</v>
      </c>
      <c r="J26" s="471"/>
      <c r="K26" s="472"/>
      <c r="L26" s="441" t="str">
        <f>B256</f>
        <v>FUNDO DO RS</v>
      </c>
      <c r="M26" s="460">
        <f>F258</f>
        <v>5.9</v>
      </c>
      <c r="N26" s="443">
        <f>F259</f>
        <v>519.79999999999995</v>
      </c>
      <c r="O26" s="444"/>
      <c r="P26" s="441" t="str">
        <f t="shared" si="3"/>
        <v>FUNDO DO RS</v>
      </c>
      <c r="Q26" s="442">
        <f>F260</f>
        <v>139</v>
      </c>
      <c r="R26" s="442">
        <f>F261</f>
        <v>1.8</v>
      </c>
      <c r="S26" s="442">
        <f>F262</f>
        <v>28.6</v>
      </c>
      <c r="T26" s="442">
        <f>F263</f>
        <v>164.8</v>
      </c>
      <c r="U26" s="442">
        <f>F264</f>
        <v>141.9</v>
      </c>
      <c r="V26" s="442">
        <f>F265</f>
        <v>12.5</v>
      </c>
      <c r="W26" s="442">
        <f>F266</f>
        <v>31.2</v>
      </c>
      <c r="X26" s="445" t="s">
        <v>188</v>
      </c>
      <c r="Z26" s="742" t="s">
        <v>661</v>
      </c>
      <c r="AA26" s="739" t="s">
        <v>646</v>
      </c>
      <c r="AB26" s="485">
        <v>1521.3</v>
      </c>
      <c r="AC26" s="485">
        <v>3979.2</v>
      </c>
      <c r="AD26" s="485">
        <v>4060.3</v>
      </c>
      <c r="AE26" s="485">
        <v>100</v>
      </c>
      <c r="AF26" s="485"/>
      <c r="AG26" s="485"/>
      <c r="AH26" s="485"/>
      <c r="AI26" s="486">
        <v>9660.7999999999993</v>
      </c>
    </row>
    <row r="27" spans="2:44" ht="15.75" thickBot="1" x14ac:dyDescent="0.3">
      <c r="B27" s="473"/>
      <c r="C27" s="458"/>
      <c r="D27" s="458"/>
      <c r="E27" s="458"/>
      <c r="F27" s="458"/>
      <c r="G27" s="458"/>
      <c r="H27" s="458"/>
      <c r="I27" s="459"/>
      <c r="J27" s="457"/>
      <c r="L27" s="441" t="str">
        <f>B268</f>
        <v>TAMPA DO RS</v>
      </c>
      <c r="M27" s="460">
        <f>G270</f>
        <v>29</v>
      </c>
      <c r="N27" s="443">
        <f>G271</f>
        <v>3327.9</v>
      </c>
      <c r="O27" s="474"/>
      <c r="P27" s="441" t="str">
        <f t="shared" si="3"/>
        <v>TAMPA DO RS</v>
      </c>
      <c r="Q27" s="442">
        <f>G272</f>
        <v>72.099999999999994</v>
      </c>
      <c r="R27" s="442">
        <f>G273</f>
        <v>356.9</v>
      </c>
      <c r="S27" s="442">
        <f>G274</f>
        <v>920.9</v>
      </c>
      <c r="T27" s="442">
        <f>G275</f>
        <v>1157.5</v>
      </c>
      <c r="U27" s="442">
        <f>G276</f>
        <v>820.5</v>
      </c>
      <c r="V27" s="442">
        <f>G277</f>
        <v>0</v>
      </c>
      <c r="W27" s="442">
        <f>G278</f>
        <v>0</v>
      </c>
      <c r="X27" s="445" t="s">
        <v>188</v>
      </c>
      <c r="Z27" s="741" t="s">
        <v>662</v>
      </c>
      <c r="AA27" s="740" t="s">
        <v>645</v>
      </c>
      <c r="AB27" s="463">
        <v>23.7</v>
      </c>
      <c r="AC27" s="463">
        <v>22.4</v>
      </c>
      <c r="AD27" s="463">
        <v>72.900000000000006</v>
      </c>
      <c r="AE27" s="463">
        <v>1.7</v>
      </c>
      <c r="AF27" s="463"/>
      <c r="AG27" s="463"/>
      <c r="AH27" s="463"/>
      <c r="AI27" s="509">
        <v>120.7</v>
      </c>
    </row>
    <row r="28" spans="2:44" ht="15.75" thickBot="1" x14ac:dyDescent="0.3">
      <c r="B28" s="1177" t="s">
        <v>650</v>
      </c>
      <c r="C28" s="1178"/>
      <c r="D28" s="1178"/>
      <c r="E28" s="1178"/>
      <c r="F28" s="1178"/>
      <c r="G28" s="1178"/>
      <c r="H28" s="1178"/>
      <c r="I28" s="1179"/>
      <c r="J28" s="457"/>
      <c r="L28" s="475" t="s">
        <v>56</v>
      </c>
      <c r="M28" s="476">
        <f>SUM(M5:M27)</f>
        <v>3496.7999999999993</v>
      </c>
      <c r="N28" s="477">
        <f>SUM(N5:N27)</f>
        <v>314046.80000000005</v>
      </c>
      <c r="P28" s="761" t="s">
        <v>651</v>
      </c>
      <c r="Q28" s="762">
        <f t="shared" ref="Q28:X28" si="8">SUM(Q5:Q27)</f>
        <v>9401.9000000000015</v>
      </c>
      <c r="R28" s="762">
        <f t="shared" si="8"/>
        <v>14189.400000000001</v>
      </c>
      <c r="S28" s="762">
        <f t="shared" si="8"/>
        <v>40181.80000000001</v>
      </c>
      <c r="T28" s="762">
        <f t="shared" si="8"/>
        <v>69085.5</v>
      </c>
      <c r="U28" s="762">
        <f t="shared" si="8"/>
        <v>42505.200000000004</v>
      </c>
      <c r="V28" s="762">
        <f t="shared" si="8"/>
        <v>56156.999999999985</v>
      </c>
      <c r="W28" s="762">
        <f t="shared" si="8"/>
        <v>72467.599999999991</v>
      </c>
      <c r="X28" s="763">
        <f t="shared" si="8"/>
        <v>10058.4</v>
      </c>
      <c r="Z28" s="742" t="s">
        <v>662</v>
      </c>
      <c r="AA28" s="739" t="s">
        <v>646</v>
      </c>
      <c r="AB28" s="485">
        <v>1441.2</v>
      </c>
      <c r="AC28" s="485">
        <v>3237.2</v>
      </c>
      <c r="AD28" s="485">
        <v>4060.3</v>
      </c>
      <c r="AE28" s="485">
        <v>100</v>
      </c>
      <c r="AF28" s="485"/>
      <c r="AG28" s="485"/>
      <c r="AH28" s="485"/>
      <c r="AI28" s="510">
        <v>8838.7000000000007</v>
      </c>
    </row>
    <row r="29" spans="2:44" x14ac:dyDescent="0.25">
      <c r="B29" s="1152"/>
      <c r="C29" s="1153"/>
      <c r="D29" s="478" t="s">
        <v>640</v>
      </c>
      <c r="E29" s="478" t="s">
        <v>641</v>
      </c>
      <c r="F29" s="478" t="s">
        <v>642</v>
      </c>
      <c r="G29" s="478" t="s">
        <v>648</v>
      </c>
      <c r="H29" s="478" t="s">
        <v>649</v>
      </c>
      <c r="I29" s="479" t="s">
        <v>105</v>
      </c>
      <c r="J29" s="459"/>
      <c r="K29" s="472"/>
      <c r="P29" s="764" t="s">
        <v>990</v>
      </c>
      <c r="Q29" s="765">
        <f>SUM(Q6:Q27)</f>
        <v>9266.3000000000011</v>
      </c>
      <c r="R29" s="765">
        <f t="shared" ref="R29:X29" si="9">SUM(R6:R27)</f>
        <v>12924.900000000001</v>
      </c>
      <c r="S29" s="765">
        <f t="shared" si="9"/>
        <v>36468.800000000003</v>
      </c>
      <c r="T29" s="765">
        <f t="shared" si="9"/>
        <v>65862.900000000009</v>
      </c>
      <c r="U29" s="765">
        <f t="shared" si="9"/>
        <v>39570.800000000003</v>
      </c>
      <c r="V29" s="765">
        <f t="shared" si="9"/>
        <v>45377.699999999983</v>
      </c>
      <c r="W29" s="765">
        <f t="shared" si="9"/>
        <v>59672.69999999999</v>
      </c>
      <c r="X29" s="765">
        <f t="shared" si="9"/>
        <v>0</v>
      </c>
      <c r="Z29" s="741" t="s">
        <v>663</v>
      </c>
      <c r="AA29" s="740" t="s">
        <v>645</v>
      </c>
      <c r="AB29" s="463">
        <v>23.7</v>
      </c>
      <c r="AC29" s="463">
        <v>22.4</v>
      </c>
      <c r="AD29" s="463">
        <v>74.300000000000011</v>
      </c>
      <c r="AE29" s="463">
        <v>1.7</v>
      </c>
      <c r="AF29" s="463"/>
      <c r="AG29" s="463"/>
      <c r="AH29" s="463"/>
      <c r="AI29" s="484">
        <v>122.10000000000001</v>
      </c>
    </row>
    <row r="30" spans="2:44" ht="15.75" thickBot="1" x14ac:dyDescent="0.3">
      <c r="B30" s="1170" t="s">
        <v>645</v>
      </c>
      <c r="C30" s="1171"/>
      <c r="D30" s="463">
        <f>20.4+18</f>
        <v>38.4</v>
      </c>
      <c r="E30" s="463">
        <f>22.6+20.5</f>
        <v>43.1</v>
      </c>
      <c r="F30" s="463">
        <f>68.9+49.1</f>
        <v>118</v>
      </c>
      <c r="G30" s="463">
        <f>1.8</f>
        <v>1.8</v>
      </c>
      <c r="H30" s="451">
        <f>15.5</f>
        <v>15.5</v>
      </c>
      <c r="I30" s="440">
        <f t="shared" ref="I30" si="10">SUM(D30:H30)</f>
        <v>216.8</v>
      </c>
      <c r="J30" s="457"/>
      <c r="Z30" s="742" t="s">
        <v>663</v>
      </c>
      <c r="AA30" s="739" t="s">
        <v>646</v>
      </c>
      <c r="AB30" s="485">
        <v>1347.8</v>
      </c>
      <c r="AC30" s="485">
        <v>3237.2</v>
      </c>
      <c r="AD30" s="485">
        <v>4164.5</v>
      </c>
      <c r="AE30" s="485">
        <v>100</v>
      </c>
      <c r="AF30" s="485"/>
      <c r="AG30" s="485"/>
      <c r="AH30" s="485"/>
      <c r="AI30" s="486">
        <v>8849.5</v>
      </c>
    </row>
    <row r="31" spans="2:44" ht="15.75" thickBot="1" x14ac:dyDescent="0.3">
      <c r="B31" s="1172" t="s">
        <v>646</v>
      </c>
      <c r="C31" s="1173"/>
      <c r="D31" s="439">
        <f>SUM(D32:D38)</f>
        <v>6458.7</v>
      </c>
      <c r="E31" s="439">
        <f>SUM(E32:E38)</f>
        <v>6363.6</v>
      </c>
      <c r="F31" s="439">
        <f>SUM(F32:F38)</f>
        <v>6179.1999999999989</v>
      </c>
      <c r="G31" s="439">
        <f>SUM(G32:G38)</f>
        <v>123.1</v>
      </c>
      <c r="H31" s="439">
        <f>SUM(H32:H38)</f>
        <v>1031.9000000000001</v>
      </c>
      <c r="I31" s="464">
        <f t="shared" ref="I31:I38" si="11">SUM(D31:H31)</f>
        <v>20156.5</v>
      </c>
      <c r="J31" s="457"/>
      <c r="Z31" s="741" t="s">
        <v>664</v>
      </c>
      <c r="AA31" s="740" t="s">
        <v>645</v>
      </c>
      <c r="AB31" s="463">
        <v>23.7</v>
      </c>
      <c r="AC31" s="463">
        <v>22.4</v>
      </c>
      <c r="AD31" s="463">
        <v>72.900000000000006</v>
      </c>
      <c r="AE31" s="463">
        <v>1.7</v>
      </c>
      <c r="AF31" s="463"/>
      <c r="AG31" s="463"/>
      <c r="AH31" s="463"/>
      <c r="AI31" s="484">
        <v>120.7</v>
      </c>
    </row>
    <row r="32" spans="2:44" ht="15.75" thickBot="1" x14ac:dyDescent="0.3">
      <c r="B32" s="465" t="s">
        <v>627</v>
      </c>
      <c r="C32" s="466" t="s">
        <v>632</v>
      </c>
      <c r="D32" s="467">
        <v>192.4</v>
      </c>
      <c r="E32" s="467">
        <v>96.6</v>
      </c>
      <c r="F32" s="467">
        <v>6.8</v>
      </c>
      <c r="G32" s="467" t="s">
        <v>188</v>
      </c>
      <c r="H32" s="467" t="s">
        <v>188</v>
      </c>
      <c r="I32" s="468">
        <f t="shared" si="11"/>
        <v>295.8</v>
      </c>
      <c r="J32" s="457"/>
      <c r="K32" s="471"/>
      <c r="Z32" s="742" t="s">
        <v>664</v>
      </c>
      <c r="AA32" s="739" t="s">
        <v>646</v>
      </c>
      <c r="AB32" s="485">
        <v>1379.5</v>
      </c>
      <c r="AC32" s="485">
        <v>3237.2</v>
      </c>
      <c r="AD32" s="485">
        <v>4060.3</v>
      </c>
      <c r="AE32" s="485">
        <v>100</v>
      </c>
      <c r="AF32" s="485"/>
      <c r="AG32" s="485"/>
      <c r="AH32" s="485"/>
      <c r="AI32" s="486">
        <v>8777</v>
      </c>
    </row>
    <row r="33" spans="2:35" x14ac:dyDescent="0.25">
      <c r="B33" s="1180" t="s">
        <v>628</v>
      </c>
      <c r="C33" s="453" t="s">
        <v>633</v>
      </c>
      <c r="D33" s="454">
        <v>387.7</v>
      </c>
      <c r="E33" s="454">
        <v>598</v>
      </c>
      <c r="F33" s="454">
        <v>314.39999999999998</v>
      </c>
      <c r="G33" s="454">
        <v>12.5</v>
      </c>
      <c r="H33" s="454" t="s">
        <v>188</v>
      </c>
      <c r="I33" s="469">
        <f t="shared" si="11"/>
        <v>1312.6</v>
      </c>
      <c r="J33" s="457"/>
      <c r="K33" s="458"/>
      <c r="Z33" s="741" t="s">
        <v>665</v>
      </c>
      <c r="AA33" s="740" t="s">
        <v>645</v>
      </c>
      <c r="AB33" s="463">
        <v>23.7</v>
      </c>
      <c r="AC33" s="463">
        <v>22.4</v>
      </c>
      <c r="AD33" s="463">
        <v>74.300000000000011</v>
      </c>
      <c r="AE33" s="463">
        <v>1.7</v>
      </c>
      <c r="AF33" s="463"/>
      <c r="AG33" s="463"/>
      <c r="AH33" s="463"/>
      <c r="AI33" s="484">
        <v>122.10000000000001</v>
      </c>
    </row>
    <row r="34" spans="2:35" ht="15" customHeight="1" thickBot="1" x14ac:dyDescent="0.3">
      <c r="B34" s="1180"/>
      <c r="C34" s="453" t="s">
        <v>634</v>
      </c>
      <c r="D34" s="454">
        <v>92.9</v>
      </c>
      <c r="E34" s="454">
        <v>1136.3</v>
      </c>
      <c r="F34" s="454">
        <v>1356.5</v>
      </c>
      <c r="G34" s="454" t="s">
        <v>188</v>
      </c>
      <c r="H34" s="454">
        <v>248.7</v>
      </c>
      <c r="I34" s="469">
        <f t="shared" si="11"/>
        <v>2834.3999999999996</v>
      </c>
      <c r="J34" s="457"/>
      <c r="K34" s="458"/>
      <c r="Z34" s="742" t="s">
        <v>665</v>
      </c>
      <c r="AA34" s="739" t="s">
        <v>646</v>
      </c>
      <c r="AB34" s="485">
        <v>1371.3</v>
      </c>
      <c r="AC34" s="485">
        <v>3237.2</v>
      </c>
      <c r="AD34" s="485">
        <v>4164.5</v>
      </c>
      <c r="AE34" s="485">
        <v>100</v>
      </c>
      <c r="AF34" s="485"/>
      <c r="AG34" s="485"/>
      <c r="AH34" s="485"/>
      <c r="AI34" s="486">
        <v>8873</v>
      </c>
    </row>
    <row r="35" spans="2:35" x14ac:dyDescent="0.25">
      <c r="B35" s="1180"/>
      <c r="C35" s="453" t="s">
        <v>635</v>
      </c>
      <c r="D35" s="454">
        <v>314.3</v>
      </c>
      <c r="E35" s="454">
        <v>332</v>
      </c>
      <c r="F35" s="454">
        <v>1609.5</v>
      </c>
      <c r="G35" s="454">
        <v>110.6</v>
      </c>
      <c r="H35" s="454">
        <v>783.2</v>
      </c>
      <c r="I35" s="469">
        <f t="shared" si="11"/>
        <v>3149.6000000000004</v>
      </c>
      <c r="J35" s="457"/>
      <c r="K35" s="458"/>
      <c r="Z35" s="741" t="s">
        <v>666</v>
      </c>
      <c r="AA35" s="740" t="s">
        <v>645</v>
      </c>
      <c r="AB35" s="463">
        <v>23.7</v>
      </c>
      <c r="AC35" s="463">
        <v>22.4</v>
      </c>
      <c r="AD35" s="463">
        <v>72.400000000000006</v>
      </c>
      <c r="AE35" s="463">
        <v>1.7</v>
      </c>
      <c r="AF35" s="463"/>
      <c r="AG35" s="463"/>
      <c r="AH35" s="463"/>
      <c r="AI35" s="484">
        <v>120.2</v>
      </c>
    </row>
    <row r="36" spans="2:35" ht="15.75" thickBot="1" x14ac:dyDescent="0.3">
      <c r="B36" s="1180"/>
      <c r="C36" s="453" t="s">
        <v>636</v>
      </c>
      <c r="D36" s="454">
        <v>300.39999999999998</v>
      </c>
      <c r="E36" s="454">
        <v>1317</v>
      </c>
      <c r="F36" s="454">
        <v>2009.6</v>
      </c>
      <c r="G36" s="454" t="s">
        <v>188</v>
      </c>
      <c r="H36" s="454" t="s">
        <v>188</v>
      </c>
      <c r="I36" s="469">
        <f t="shared" si="11"/>
        <v>3627</v>
      </c>
      <c r="J36" s="457"/>
      <c r="K36" s="458"/>
      <c r="Z36" s="742" t="s">
        <v>666</v>
      </c>
      <c r="AA36" s="739" t="s">
        <v>646</v>
      </c>
      <c r="AB36" s="485">
        <v>1372.8</v>
      </c>
      <c r="AC36" s="485">
        <v>3237.2</v>
      </c>
      <c r="AD36" s="485">
        <v>4060.3</v>
      </c>
      <c r="AE36" s="485">
        <v>100</v>
      </c>
      <c r="AF36" s="485"/>
      <c r="AG36" s="485"/>
      <c r="AH36" s="485"/>
      <c r="AI36" s="486">
        <v>8770.2999999999993</v>
      </c>
    </row>
    <row r="37" spans="2:35" x14ac:dyDescent="0.25">
      <c r="B37" s="1180"/>
      <c r="C37" s="453" t="s">
        <v>637</v>
      </c>
      <c r="D37" s="454">
        <v>706</v>
      </c>
      <c r="E37" s="454">
        <v>1736.1</v>
      </c>
      <c r="F37" s="454">
        <v>882.4</v>
      </c>
      <c r="G37" s="454" t="s">
        <v>188</v>
      </c>
      <c r="H37" s="454" t="s">
        <v>188</v>
      </c>
      <c r="I37" s="469">
        <f t="shared" si="11"/>
        <v>3324.5</v>
      </c>
      <c r="J37" s="457"/>
      <c r="Z37" s="741" t="s">
        <v>667</v>
      </c>
      <c r="AA37" s="740" t="s">
        <v>645</v>
      </c>
      <c r="AB37" s="463">
        <v>23.7</v>
      </c>
      <c r="AC37" s="463">
        <v>22.4</v>
      </c>
      <c r="AD37" s="463">
        <v>72.400000000000006</v>
      </c>
      <c r="AE37" s="463">
        <v>1.7</v>
      </c>
      <c r="AF37" s="463"/>
      <c r="AG37" s="463"/>
      <c r="AH37" s="463"/>
      <c r="AI37" s="484">
        <v>120.2</v>
      </c>
    </row>
    <row r="38" spans="2:35" ht="15.75" thickBot="1" x14ac:dyDescent="0.3">
      <c r="B38" s="1181"/>
      <c r="C38" s="455" t="s">
        <v>638</v>
      </c>
      <c r="D38" s="446">
        <v>4465</v>
      </c>
      <c r="E38" s="446">
        <v>1147.5999999999999</v>
      </c>
      <c r="F38" s="446" t="s">
        <v>188</v>
      </c>
      <c r="G38" s="446" t="s">
        <v>188</v>
      </c>
      <c r="H38" s="446" t="s">
        <v>188</v>
      </c>
      <c r="I38" s="470">
        <f t="shared" si="11"/>
        <v>5612.6</v>
      </c>
      <c r="J38" s="480"/>
      <c r="Z38" s="742" t="s">
        <v>667</v>
      </c>
      <c r="AA38" s="739" t="s">
        <v>646</v>
      </c>
      <c r="AB38" s="485">
        <v>1447.2</v>
      </c>
      <c r="AC38" s="485">
        <v>3237.2</v>
      </c>
      <c r="AD38" s="485">
        <v>4060.3</v>
      </c>
      <c r="AE38" s="485">
        <v>100</v>
      </c>
      <c r="AF38" s="485"/>
      <c r="AG38" s="485"/>
      <c r="AH38" s="485"/>
      <c r="AI38" s="486">
        <v>8844.7000000000007</v>
      </c>
    </row>
    <row r="39" spans="2:35" ht="15.75" thickBot="1" x14ac:dyDescent="0.3">
      <c r="B39" s="473"/>
      <c r="C39" s="458"/>
      <c r="D39" s="458"/>
      <c r="E39" s="458"/>
      <c r="F39" s="458"/>
      <c r="G39" s="458"/>
      <c r="H39" s="458"/>
      <c r="I39" s="481"/>
      <c r="J39" s="457"/>
      <c r="Z39" s="741" t="s">
        <v>668</v>
      </c>
      <c r="AA39" s="740" t="s">
        <v>645</v>
      </c>
      <c r="AB39" s="463">
        <v>24.5</v>
      </c>
      <c r="AC39" s="463">
        <v>38.299999999999997</v>
      </c>
      <c r="AD39" s="463">
        <v>69.599999999999994</v>
      </c>
      <c r="AE39" s="463">
        <v>1.7</v>
      </c>
      <c r="AF39" s="463"/>
      <c r="AG39" s="463"/>
      <c r="AH39" s="463"/>
      <c r="AI39" s="484">
        <v>134.09999999999997</v>
      </c>
    </row>
    <row r="40" spans="2:35" ht="15.75" thickBot="1" x14ac:dyDescent="0.3">
      <c r="B40" s="1177" t="s">
        <v>652</v>
      </c>
      <c r="C40" s="1178"/>
      <c r="D40" s="1178"/>
      <c r="E40" s="1178"/>
      <c r="F40" s="1178"/>
      <c r="G40" s="1178"/>
      <c r="H40" s="1178"/>
      <c r="I40" s="1179"/>
      <c r="J40" s="457"/>
      <c r="Z40" s="742" t="s">
        <v>668</v>
      </c>
      <c r="AA40" s="739" t="s">
        <v>646</v>
      </c>
      <c r="AB40" s="485">
        <v>1711.3</v>
      </c>
      <c r="AC40" s="485">
        <v>4243.7</v>
      </c>
      <c r="AD40" s="485">
        <v>3539.3999999999996</v>
      </c>
      <c r="AE40" s="485">
        <v>100</v>
      </c>
      <c r="AF40" s="485"/>
      <c r="AG40" s="485"/>
      <c r="AH40" s="485"/>
      <c r="AI40" s="486">
        <v>9594.4</v>
      </c>
    </row>
    <row r="41" spans="2:35" x14ac:dyDescent="0.25">
      <c r="B41" s="1152"/>
      <c r="C41" s="1153"/>
      <c r="D41" s="461" t="s">
        <v>640</v>
      </c>
      <c r="E41" s="461" t="s">
        <v>641</v>
      </c>
      <c r="F41" s="461" t="s">
        <v>642</v>
      </c>
      <c r="G41" s="461" t="s">
        <v>648</v>
      </c>
      <c r="H41" s="461" t="s">
        <v>649</v>
      </c>
      <c r="I41" s="462" t="s">
        <v>105</v>
      </c>
      <c r="J41" s="457"/>
      <c r="Z41" s="741" t="s">
        <v>669</v>
      </c>
      <c r="AA41" s="740" t="s">
        <v>645</v>
      </c>
      <c r="AB41" s="463">
        <v>24</v>
      </c>
      <c r="AC41" s="463">
        <v>32.700000000000003</v>
      </c>
      <c r="AD41" s="463">
        <v>48.5</v>
      </c>
      <c r="AE41" s="463">
        <v>1.8</v>
      </c>
      <c r="AF41" s="463"/>
      <c r="AG41" s="463"/>
      <c r="AH41" s="463"/>
      <c r="AI41" s="484">
        <v>107</v>
      </c>
    </row>
    <row r="42" spans="2:35" ht="15.75" thickBot="1" x14ac:dyDescent="0.3">
      <c r="B42" s="1170" t="s">
        <v>645</v>
      </c>
      <c r="C42" s="1171"/>
      <c r="D42" s="463">
        <f>20.4+14.8</f>
        <v>35.200000000000003</v>
      </c>
      <c r="E42" s="463">
        <f>22.2+18.9</f>
        <v>41.099999999999994</v>
      </c>
      <c r="F42" s="463">
        <f>68.9+49.5</f>
        <v>118.4</v>
      </c>
      <c r="G42" s="463">
        <f>1.7</f>
        <v>1.7</v>
      </c>
      <c r="H42" s="463">
        <v>15.5</v>
      </c>
      <c r="I42" s="440">
        <f t="shared" ref="I42:I50" si="12">SUM(D42:H42)</f>
        <v>211.89999999999998</v>
      </c>
      <c r="J42" s="457"/>
      <c r="Z42" s="742" t="s">
        <v>669</v>
      </c>
      <c r="AA42" s="739" t="s">
        <v>646</v>
      </c>
      <c r="AB42" s="485">
        <v>1406</v>
      </c>
      <c r="AC42" s="485">
        <v>2989.8999999999996</v>
      </c>
      <c r="AD42" s="485">
        <v>1579</v>
      </c>
      <c r="AE42" s="485">
        <v>107.8</v>
      </c>
      <c r="AF42" s="485"/>
      <c r="AG42" s="485"/>
      <c r="AH42" s="485"/>
      <c r="AI42" s="486">
        <v>6082.7</v>
      </c>
    </row>
    <row r="43" spans="2:35" ht="15.75" thickBot="1" x14ac:dyDescent="0.3">
      <c r="B43" s="1172" t="s">
        <v>646</v>
      </c>
      <c r="C43" s="1173"/>
      <c r="D43" s="439">
        <f>SUM(D44:D50)</f>
        <v>5667.1</v>
      </c>
      <c r="E43" s="439">
        <f>SUM(E44:E50)</f>
        <v>5741.7</v>
      </c>
      <c r="F43" s="439">
        <f>SUM(F44:F50)</f>
        <v>6412.7999999999993</v>
      </c>
      <c r="G43" s="439">
        <f>SUM(G44:G50)</f>
        <v>112.30000000000001</v>
      </c>
      <c r="H43" s="439">
        <f>SUM(H44:H50)</f>
        <v>1056.0999999999999</v>
      </c>
      <c r="I43" s="464">
        <f t="shared" si="12"/>
        <v>18989.999999999996</v>
      </c>
      <c r="Z43" s="741" t="s">
        <v>670</v>
      </c>
      <c r="AA43" s="740" t="s">
        <v>645</v>
      </c>
      <c r="AB43" s="463">
        <v>1.8</v>
      </c>
      <c r="AC43" s="463">
        <v>0.6</v>
      </c>
      <c r="AD43" s="463">
        <v>1.4</v>
      </c>
      <c r="AE43" s="463"/>
      <c r="AF43" s="463"/>
      <c r="AG43" s="463"/>
      <c r="AH43" s="463"/>
      <c r="AI43" s="484">
        <v>3.8</v>
      </c>
    </row>
    <row r="44" spans="2:35" ht="15.75" thickBot="1" x14ac:dyDescent="0.3">
      <c r="B44" s="465" t="s">
        <v>627</v>
      </c>
      <c r="C44" s="466" t="s">
        <v>632</v>
      </c>
      <c r="D44" s="467">
        <v>215.7</v>
      </c>
      <c r="E44" s="467">
        <v>86.2</v>
      </c>
      <c r="F44" s="467">
        <v>6.8</v>
      </c>
      <c r="G44" s="467" t="s">
        <v>188</v>
      </c>
      <c r="H44" s="467" t="s">
        <v>188</v>
      </c>
      <c r="I44" s="468">
        <f>SUM(D44:H44)</f>
        <v>308.7</v>
      </c>
      <c r="Z44" s="742" t="s">
        <v>670</v>
      </c>
      <c r="AA44" s="739" t="s">
        <v>646</v>
      </c>
      <c r="AB44" s="485">
        <v>19.7</v>
      </c>
      <c r="AC44" s="485">
        <v>123.5</v>
      </c>
      <c r="AD44" s="485">
        <v>69.2</v>
      </c>
      <c r="AE44" s="485"/>
      <c r="AF44" s="485"/>
      <c r="AG44" s="485"/>
      <c r="AH44" s="485"/>
      <c r="AI44" s="486">
        <v>212.39999999999998</v>
      </c>
    </row>
    <row r="45" spans="2:35" x14ac:dyDescent="0.25">
      <c r="B45" s="1180" t="s">
        <v>628</v>
      </c>
      <c r="C45" s="453" t="s">
        <v>633</v>
      </c>
      <c r="D45" s="454">
        <v>369</v>
      </c>
      <c r="E45" s="454">
        <v>641.5</v>
      </c>
      <c r="F45" s="454">
        <v>248.9</v>
      </c>
      <c r="G45" s="454">
        <v>12.9</v>
      </c>
      <c r="H45" s="454" t="s">
        <v>188</v>
      </c>
      <c r="I45" s="469">
        <f t="shared" si="12"/>
        <v>1272.3000000000002</v>
      </c>
      <c r="Z45" s="741" t="s">
        <v>671</v>
      </c>
      <c r="AA45" s="740" t="s">
        <v>645</v>
      </c>
      <c r="AB45" s="504">
        <v>4.7</v>
      </c>
      <c r="AC45" s="504">
        <v>1.2</v>
      </c>
      <c r="AD45" s="504"/>
      <c r="AE45" s="504"/>
      <c r="AF45" s="504"/>
      <c r="AG45" s="504"/>
      <c r="AH45" s="504"/>
      <c r="AI45" s="484">
        <v>5.9</v>
      </c>
    </row>
    <row r="46" spans="2:35" ht="15.75" thickBot="1" x14ac:dyDescent="0.3">
      <c r="B46" s="1180"/>
      <c r="C46" s="453" t="s">
        <v>634</v>
      </c>
      <c r="D46" s="454">
        <v>142</v>
      </c>
      <c r="E46" s="454">
        <v>868.9</v>
      </c>
      <c r="F46" s="454">
        <v>1283.8</v>
      </c>
      <c r="G46" s="454">
        <v>99.4</v>
      </c>
      <c r="H46" s="454">
        <v>272.89999999999998</v>
      </c>
      <c r="I46" s="469">
        <f t="shared" si="12"/>
        <v>2667</v>
      </c>
      <c r="Z46" s="742" t="s">
        <v>671</v>
      </c>
      <c r="AA46" s="739" t="s">
        <v>646</v>
      </c>
      <c r="AB46" s="485">
        <v>387.8</v>
      </c>
      <c r="AC46" s="485">
        <v>132</v>
      </c>
      <c r="AD46" s="485"/>
      <c r="AE46" s="485"/>
      <c r="AF46" s="485"/>
      <c r="AG46" s="485"/>
      <c r="AH46" s="485"/>
      <c r="AI46" s="486">
        <v>519.79999999999995</v>
      </c>
    </row>
    <row r="47" spans="2:35" x14ac:dyDescent="0.25">
      <c r="B47" s="1180"/>
      <c r="C47" s="453" t="s">
        <v>635</v>
      </c>
      <c r="D47" s="454">
        <v>107.3</v>
      </c>
      <c r="E47" s="454">
        <v>540.20000000000005</v>
      </c>
      <c r="F47" s="454">
        <v>1782.6</v>
      </c>
      <c r="G47" s="454" t="s">
        <v>188</v>
      </c>
      <c r="H47" s="454">
        <v>783.2</v>
      </c>
      <c r="I47" s="469">
        <f t="shared" si="12"/>
        <v>3213.3</v>
      </c>
    </row>
    <row r="48" spans="2:35" x14ac:dyDescent="0.25">
      <c r="B48" s="1180"/>
      <c r="C48" s="453" t="s">
        <v>636</v>
      </c>
      <c r="D48" s="454">
        <v>276.2</v>
      </c>
      <c r="E48" s="454">
        <v>1406.7</v>
      </c>
      <c r="F48" s="454">
        <v>2239.6999999999998</v>
      </c>
      <c r="G48" s="454" t="s">
        <v>188</v>
      </c>
      <c r="H48" s="454" t="s">
        <v>188</v>
      </c>
      <c r="I48" s="469">
        <f t="shared" si="12"/>
        <v>3922.6</v>
      </c>
    </row>
    <row r="49" spans="2:11" x14ac:dyDescent="0.25">
      <c r="B49" s="1180"/>
      <c r="C49" s="453" t="s">
        <v>637</v>
      </c>
      <c r="D49" s="454">
        <v>794</v>
      </c>
      <c r="E49" s="454">
        <v>1177.9000000000001</v>
      </c>
      <c r="F49" s="454">
        <v>851</v>
      </c>
      <c r="G49" s="454" t="s">
        <v>188</v>
      </c>
      <c r="H49" s="454" t="s">
        <v>188</v>
      </c>
      <c r="I49" s="469">
        <f t="shared" si="12"/>
        <v>2822.9</v>
      </c>
    </row>
    <row r="50" spans="2:11" ht="15.75" thickBot="1" x14ac:dyDescent="0.3">
      <c r="B50" s="1181"/>
      <c r="C50" s="455" t="s">
        <v>638</v>
      </c>
      <c r="D50" s="446">
        <v>3762.9</v>
      </c>
      <c r="E50" s="446">
        <v>1020.3</v>
      </c>
      <c r="F50" s="446" t="s">
        <v>188</v>
      </c>
      <c r="G50" s="446" t="s">
        <v>188</v>
      </c>
      <c r="H50" s="446" t="s">
        <v>188</v>
      </c>
      <c r="I50" s="470">
        <f t="shared" si="12"/>
        <v>4783.2</v>
      </c>
    </row>
    <row r="51" spans="2:11" ht="15.75" thickBot="1" x14ac:dyDescent="0.3">
      <c r="B51" s="473"/>
      <c r="C51" s="458"/>
      <c r="D51" s="458"/>
      <c r="E51" s="458"/>
      <c r="F51" s="458"/>
      <c r="G51" s="458"/>
      <c r="H51" s="458"/>
      <c r="I51" s="481"/>
    </row>
    <row r="52" spans="2:11" ht="15.75" thickBot="1" x14ac:dyDescent="0.3">
      <c r="B52" s="1177" t="s">
        <v>653</v>
      </c>
      <c r="C52" s="1178"/>
      <c r="D52" s="1178"/>
      <c r="E52" s="1178"/>
      <c r="F52" s="1178"/>
      <c r="G52" s="1178"/>
      <c r="H52" s="1178"/>
      <c r="I52" s="1179"/>
    </row>
    <row r="53" spans="2:11" x14ac:dyDescent="0.25">
      <c r="B53" s="1152"/>
      <c r="C53" s="1153"/>
      <c r="D53" s="461" t="s">
        <v>640</v>
      </c>
      <c r="E53" s="461" t="s">
        <v>641</v>
      </c>
      <c r="F53" s="461" t="s">
        <v>642</v>
      </c>
      <c r="G53" s="461" t="s">
        <v>648</v>
      </c>
      <c r="H53" s="461" t="s">
        <v>649</v>
      </c>
      <c r="I53" s="462" t="s">
        <v>105</v>
      </c>
    </row>
    <row r="54" spans="2:11" x14ac:dyDescent="0.25">
      <c r="B54" s="1170" t="s">
        <v>645</v>
      </c>
      <c r="C54" s="1171"/>
      <c r="D54" s="463">
        <f>20.4+15.9</f>
        <v>36.299999999999997</v>
      </c>
      <c r="E54" s="463">
        <f>21.9+19.3</f>
        <v>41.2</v>
      </c>
      <c r="F54" s="463">
        <f>71+50.3</f>
        <v>121.3</v>
      </c>
      <c r="G54" s="463">
        <f>1.7</f>
        <v>1.7</v>
      </c>
      <c r="H54" s="463">
        <v>15.5</v>
      </c>
      <c r="I54" s="440">
        <f t="shared" ref="I54:I62" si="13">SUM(D54:H54)</f>
        <v>216</v>
      </c>
      <c r="J54" s="457"/>
    </row>
    <row r="55" spans="2:11" ht="15.75" thickBot="1" x14ac:dyDescent="0.3">
      <c r="B55" s="1172" t="s">
        <v>646</v>
      </c>
      <c r="C55" s="1173"/>
      <c r="D55" s="439">
        <f>SUM(D56:D62)</f>
        <v>6166.2999999999993</v>
      </c>
      <c r="E55" s="439">
        <f>SUM(E56:E62)</f>
        <v>6219.6</v>
      </c>
      <c r="F55" s="439">
        <f>SUM(F56:F62)</f>
        <v>7352.9000000000005</v>
      </c>
      <c r="G55" s="439">
        <f>SUM(G56:G62)</f>
        <v>112.30000000000001</v>
      </c>
      <c r="H55" s="439">
        <f>SUM(H56:H62)</f>
        <v>1056.0999999999999</v>
      </c>
      <c r="I55" s="464">
        <f t="shared" si="13"/>
        <v>20907.199999999997</v>
      </c>
      <c r="J55" s="448"/>
    </row>
    <row r="56" spans="2:11" x14ac:dyDescent="0.25">
      <c r="B56" s="449" t="s">
        <v>627</v>
      </c>
      <c r="C56" s="466" t="s">
        <v>632</v>
      </c>
      <c r="D56" s="467">
        <v>166.4</v>
      </c>
      <c r="E56" s="467">
        <v>128.9</v>
      </c>
      <c r="F56" s="467">
        <v>8.6999999999999993</v>
      </c>
      <c r="G56" s="467" t="s">
        <v>188</v>
      </c>
      <c r="H56" s="467" t="s">
        <v>188</v>
      </c>
      <c r="I56" s="468">
        <f t="shared" si="13"/>
        <v>304</v>
      </c>
      <c r="J56" s="457"/>
      <c r="K56" s="429"/>
    </row>
    <row r="57" spans="2:11" x14ac:dyDescent="0.25">
      <c r="B57" s="1180" t="s">
        <v>628</v>
      </c>
      <c r="C57" s="482" t="s">
        <v>633</v>
      </c>
      <c r="D57" s="454">
        <v>436</v>
      </c>
      <c r="E57" s="454">
        <v>588.20000000000005</v>
      </c>
      <c r="F57" s="454">
        <v>146</v>
      </c>
      <c r="G57" s="454">
        <v>12.9</v>
      </c>
      <c r="H57" s="454" t="s">
        <v>188</v>
      </c>
      <c r="I57" s="469">
        <f t="shared" si="13"/>
        <v>1183.1000000000001</v>
      </c>
      <c r="J57" s="457"/>
      <c r="K57" s="429"/>
    </row>
    <row r="58" spans="2:11" x14ac:dyDescent="0.25">
      <c r="B58" s="1180"/>
      <c r="C58" s="482" t="s">
        <v>634</v>
      </c>
      <c r="D58" s="454">
        <v>139.9</v>
      </c>
      <c r="E58" s="454">
        <v>732.8</v>
      </c>
      <c r="F58" s="454">
        <v>1108.0999999999999</v>
      </c>
      <c r="G58" s="454">
        <v>99.4</v>
      </c>
      <c r="H58" s="454">
        <v>272.89999999999998</v>
      </c>
      <c r="I58" s="469">
        <f t="shared" si="13"/>
        <v>2353.1</v>
      </c>
      <c r="J58" s="457"/>
      <c r="K58" s="429"/>
    </row>
    <row r="59" spans="2:11" x14ac:dyDescent="0.25">
      <c r="B59" s="1180"/>
      <c r="C59" s="482" t="s">
        <v>635</v>
      </c>
      <c r="D59" s="454">
        <v>92.6</v>
      </c>
      <c r="E59" s="454">
        <v>739.3</v>
      </c>
      <c r="F59" s="454">
        <v>3650.5</v>
      </c>
      <c r="G59" s="454" t="s">
        <v>188</v>
      </c>
      <c r="H59" s="454">
        <v>783.2</v>
      </c>
      <c r="I59" s="469">
        <f t="shared" si="13"/>
        <v>5265.5999999999995</v>
      </c>
      <c r="J59" s="457"/>
      <c r="K59" s="429"/>
    </row>
    <row r="60" spans="2:11" ht="15" customHeight="1" x14ac:dyDescent="0.25">
      <c r="B60" s="1180"/>
      <c r="C60" s="482" t="s">
        <v>636</v>
      </c>
      <c r="D60" s="454">
        <v>321.2</v>
      </c>
      <c r="E60" s="454">
        <v>1056.9000000000001</v>
      </c>
      <c r="F60" s="454">
        <v>1120.8</v>
      </c>
      <c r="G60" s="454" t="s">
        <v>188</v>
      </c>
      <c r="H60" s="454" t="s">
        <v>188</v>
      </c>
      <c r="I60" s="469">
        <f t="shared" si="13"/>
        <v>2498.9</v>
      </c>
      <c r="J60" s="457"/>
      <c r="K60" s="429"/>
    </row>
    <row r="61" spans="2:11" x14ac:dyDescent="0.25">
      <c r="B61" s="1180"/>
      <c r="C61" s="482" t="s">
        <v>637</v>
      </c>
      <c r="D61" s="454">
        <v>1013.6</v>
      </c>
      <c r="E61" s="454">
        <v>1721.7</v>
      </c>
      <c r="F61" s="454">
        <v>1318.8</v>
      </c>
      <c r="G61" s="454" t="s">
        <v>188</v>
      </c>
      <c r="H61" s="454" t="s">
        <v>188</v>
      </c>
      <c r="I61" s="469">
        <f t="shared" si="13"/>
        <v>4054.1000000000004</v>
      </c>
      <c r="J61" s="457"/>
      <c r="K61" s="429"/>
    </row>
    <row r="62" spans="2:11" ht="15.75" thickBot="1" x14ac:dyDescent="0.3">
      <c r="B62" s="1181"/>
      <c r="C62" s="483" t="s">
        <v>638</v>
      </c>
      <c r="D62" s="446">
        <v>3996.6</v>
      </c>
      <c r="E62" s="446">
        <v>1251.8</v>
      </c>
      <c r="F62" s="446"/>
      <c r="G62" s="446" t="s">
        <v>188</v>
      </c>
      <c r="H62" s="446" t="s">
        <v>188</v>
      </c>
      <c r="I62" s="470">
        <f t="shared" si="13"/>
        <v>5248.4</v>
      </c>
      <c r="J62" s="457"/>
      <c r="K62" s="429"/>
    </row>
    <row r="63" spans="2:11" ht="13.9" customHeight="1" thickBot="1" x14ac:dyDescent="0.3">
      <c r="J63" s="457"/>
      <c r="K63" s="429"/>
    </row>
    <row r="64" spans="2:11" ht="15.75" thickBot="1" x14ac:dyDescent="0.3">
      <c r="B64" s="1161" t="s">
        <v>654</v>
      </c>
      <c r="C64" s="1162"/>
      <c r="D64" s="1162"/>
      <c r="E64" s="1162"/>
      <c r="F64" s="1162"/>
      <c r="G64" s="1162"/>
      <c r="H64" s="1163"/>
      <c r="I64" s="457"/>
      <c r="J64" s="457"/>
      <c r="K64" s="429"/>
    </row>
    <row r="65" spans="1:11" x14ac:dyDescent="0.25">
      <c r="B65" s="1152"/>
      <c r="C65" s="1153"/>
      <c r="D65" s="435" t="s">
        <v>640</v>
      </c>
      <c r="E65" s="435" t="s">
        <v>641</v>
      </c>
      <c r="F65" s="435" t="s">
        <v>642</v>
      </c>
      <c r="G65" s="435" t="s">
        <v>648</v>
      </c>
      <c r="H65" s="437" t="s">
        <v>105</v>
      </c>
      <c r="I65" s="457"/>
      <c r="J65" s="448"/>
      <c r="K65" s="429"/>
    </row>
    <row r="66" spans="1:11" x14ac:dyDescent="0.25">
      <c r="B66" s="1170" t="s">
        <v>645</v>
      </c>
      <c r="C66" s="1171"/>
      <c r="D66" s="463">
        <f>30.9+23.2</f>
        <v>54.099999999999994</v>
      </c>
      <c r="E66" s="463">
        <f>68.3+67.1</f>
        <v>135.39999999999998</v>
      </c>
      <c r="F66" s="463">
        <f>76.4+49.1</f>
        <v>125.5</v>
      </c>
      <c r="G66" s="463">
        <v>2.2000000000000002</v>
      </c>
      <c r="H66" s="484">
        <f t="shared" ref="H66:H74" si="14">SUM(D66:G66)</f>
        <v>317.2</v>
      </c>
      <c r="I66" s="457"/>
      <c r="J66" s="457"/>
      <c r="K66" s="448"/>
    </row>
    <row r="67" spans="1:11" ht="15.75" thickBot="1" x14ac:dyDescent="0.3">
      <c r="B67" s="1172" t="s">
        <v>646</v>
      </c>
      <c r="C67" s="1173"/>
      <c r="D67" s="485">
        <f>SUM(D68:D74)</f>
        <v>11099</v>
      </c>
      <c r="E67" s="485">
        <f>SUM(E68:E74)</f>
        <v>23725.4</v>
      </c>
      <c r="F67" s="485">
        <f>SUM(F68:F74)</f>
        <v>4857.2999999999993</v>
      </c>
      <c r="G67" s="485">
        <f>SUM(G68:G74)</f>
        <v>154.6</v>
      </c>
      <c r="H67" s="486">
        <f t="shared" si="14"/>
        <v>39836.299999999996</v>
      </c>
      <c r="I67" s="457"/>
      <c r="J67" s="457"/>
      <c r="K67" s="448"/>
    </row>
    <row r="68" spans="1:11" x14ac:dyDescent="0.25">
      <c r="B68" s="487" t="s">
        <v>627</v>
      </c>
      <c r="C68" s="450" t="s">
        <v>632</v>
      </c>
      <c r="D68" s="488">
        <v>107.8</v>
      </c>
      <c r="E68" s="467">
        <v>276.60000000000002</v>
      </c>
      <c r="F68" s="467" t="s">
        <v>188</v>
      </c>
      <c r="G68" s="467" t="s">
        <v>188</v>
      </c>
      <c r="H68" s="489">
        <f t="shared" si="14"/>
        <v>384.40000000000003</v>
      </c>
      <c r="I68" s="457"/>
      <c r="J68" s="457"/>
      <c r="K68" s="448"/>
    </row>
    <row r="69" spans="1:11" x14ac:dyDescent="0.25">
      <c r="B69" s="1174" t="s">
        <v>628</v>
      </c>
      <c r="C69" s="453" t="s">
        <v>633</v>
      </c>
      <c r="D69" s="463">
        <v>717.4</v>
      </c>
      <c r="E69" s="454">
        <v>691.5</v>
      </c>
      <c r="F69" s="454">
        <v>123.4</v>
      </c>
      <c r="G69" s="454">
        <v>18.899999999999999</v>
      </c>
      <c r="H69" s="490">
        <f t="shared" si="14"/>
        <v>1551.2000000000003</v>
      </c>
      <c r="I69" s="457"/>
      <c r="J69" s="457"/>
      <c r="K69" s="448"/>
    </row>
    <row r="70" spans="1:11" x14ac:dyDescent="0.25">
      <c r="B70" s="1175"/>
      <c r="C70" s="453" t="s">
        <v>634</v>
      </c>
      <c r="D70" s="491">
        <v>366.9</v>
      </c>
      <c r="E70" s="454">
        <v>1455.6</v>
      </c>
      <c r="F70" s="454">
        <v>553.1</v>
      </c>
      <c r="G70" s="454" t="s">
        <v>188</v>
      </c>
      <c r="H70" s="490">
        <f t="shared" si="14"/>
        <v>2375.6</v>
      </c>
      <c r="I70" s="457"/>
      <c r="J70" s="457"/>
      <c r="K70" s="448"/>
    </row>
    <row r="71" spans="1:11" x14ac:dyDescent="0.25">
      <c r="B71" s="1175"/>
      <c r="C71" s="453" t="s">
        <v>635</v>
      </c>
      <c r="D71" s="463">
        <v>641.79999999999995</v>
      </c>
      <c r="E71" s="454">
        <v>4732.6000000000004</v>
      </c>
      <c r="F71" s="454">
        <v>3454.4</v>
      </c>
      <c r="G71" s="454">
        <v>135.69999999999999</v>
      </c>
      <c r="H71" s="490">
        <f t="shared" si="14"/>
        <v>8964.5000000000018</v>
      </c>
      <c r="I71" s="457"/>
      <c r="J71" s="457"/>
      <c r="K71" s="448"/>
    </row>
    <row r="72" spans="1:11" x14ac:dyDescent="0.25">
      <c r="B72" s="1175"/>
      <c r="C72" s="453" t="s">
        <v>636</v>
      </c>
      <c r="D72" s="492">
        <v>566.5</v>
      </c>
      <c r="E72" s="454">
        <v>2259.1</v>
      </c>
      <c r="F72" s="454">
        <v>709.4</v>
      </c>
      <c r="G72" s="454" t="s">
        <v>188</v>
      </c>
      <c r="H72" s="490">
        <f t="shared" si="14"/>
        <v>3535</v>
      </c>
      <c r="I72" s="481"/>
      <c r="J72" s="457"/>
      <c r="K72" s="472"/>
    </row>
    <row r="73" spans="1:11" x14ac:dyDescent="0.25">
      <c r="B73" s="1175"/>
      <c r="C73" s="453" t="s">
        <v>637</v>
      </c>
      <c r="D73" s="463">
        <v>1615.9</v>
      </c>
      <c r="E73" s="454">
        <v>4407.8</v>
      </c>
      <c r="F73" s="454">
        <v>17</v>
      </c>
      <c r="G73" s="454" t="s">
        <v>188</v>
      </c>
      <c r="H73" s="490">
        <f t="shared" si="14"/>
        <v>6040.7000000000007</v>
      </c>
      <c r="I73" s="481"/>
      <c r="J73" s="457"/>
      <c r="K73" s="472"/>
    </row>
    <row r="74" spans="1:11" ht="15.75" thickBot="1" x14ac:dyDescent="0.3">
      <c r="B74" s="1176"/>
      <c r="C74" s="455" t="s">
        <v>638</v>
      </c>
      <c r="D74" s="485">
        <v>7082.7</v>
      </c>
      <c r="E74" s="446">
        <v>9902.2000000000007</v>
      </c>
      <c r="F74" s="446" t="s">
        <v>188</v>
      </c>
      <c r="G74" s="446" t="s">
        <v>188</v>
      </c>
      <c r="H74" s="493">
        <f t="shared" si="14"/>
        <v>16984.900000000001</v>
      </c>
      <c r="I74" s="481"/>
      <c r="J74" s="481"/>
      <c r="K74" s="472"/>
    </row>
    <row r="75" spans="1:11" ht="15.75" thickBot="1" x14ac:dyDescent="0.3">
      <c r="B75" s="494"/>
      <c r="C75" s="494"/>
      <c r="D75" s="494"/>
      <c r="E75" s="494"/>
      <c r="F75" s="494"/>
      <c r="G75" s="495"/>
      <c r="H75" s="496"/>
      <c r="I75" s="497"/>
      <c r="J75" s="481"/>
    </row>
    <row r="76" spans="1:11" ht="15.75" thickBot="1" x14ac:dyDescent="0.3">
      <c r="B76" s="1161" t="s">
        <v>655</v>
      </c>
      <c r="C76" s="1162"/>
      <c r="D76" s="1162"/>
      <c r="E76" s="1162"/>
      <c r="F76" s="1162"/>
      <c r="G76" s="1162"/>
      <c r="H76" s="1163"/>
      <c r="I76" s="457"/>
      <c r="J76" s="457"/>
    </row>
    <row r="77" spans="1:11" x14ac:dyDescent="0.25">
      <c r="B77" s="533"/>
      <c r="C77" s="534"/>
      <c r="D77" s="435" t="s">
        <v>640</v>
      </c>
      <c r="E77" s="435" t="s">
        <v>641</v>
      </c>
      <c r="F77" s="435" t="s">
        <v>642</v>
      </c>
      <c r="G77" s="435" t="s">
        <v>648</v>
      </c>
      <c r="H77" s="437" t="s">
        <v>105</v>
      </c>
      <c r="I77" s="457"/>
      <c r="J77" s="457"/>
      <c r="K77" s="472"/>
    </row>
    <row r="78" spans="1:11" x14ac:dyDescent="0.25">
      <c r="B78" s="1170" t="s">
        <v>645</v>
      </c>
      <c r="C78" s="1171"/>
      <c r="D78" s="463">
        <f>11+12.7</f>
        <v>23.7</v>
      </c>
      <c r="E78" s="463">
        <f>12+10.4</f>
        <v>22.4</v>
      </c>
      <c r="F78" s="463">
        <f>41.9+31</f>
        <v>72.900000000000006</v>
      </c>
      <c r="G78" s="463">
        <v>1.7</v>
      </c>
      <c r="H78" s="484">
        <f t="shared" ref="H78:H86" si="15">SUM(D78:G78)</f>
        <v>120.7</v>
      </c>
      <c r="I78" s="457"/>
      <c r="J78" s="457"/>
      <c r="K78" s="472"/>
    </row>
    <row r="79" spans="1:11" ht="15.75" thickBot="1" x14ac:dyDescent="0.3">
      <c r="A79" s="428"/>
      <c r="B79" s="530" t="s">
        <v>646</v>
      </c>
      <c r="C79" s="531"/>
      <c r="D79" s="485">
        <f>SUM(D80:D86)</f>
        <v>5930.5</v>
      </c>
      <c r="E79" s="485">
        <f>SUM(E80:E86)</f>
        <v>3979.2</v>
      </c>
      <c r="F79" s="485">
        <f>SUM(F80:F86)</f>
        <v>4060.3</v>
      </c>
      <c r="G79" s="485">
        <f>SUM(G80:G86)</f>
        <v>100</v>
      </c>
      <c r="H79" s="486">
        <f t="shared" si="15"/>
        <v>14070</v>
      </c>
      <c r="I79" s="457"/>
      <c r="J79" s="457"/>
      <c r="K79" s="448"/>
    </row>
    <row r="80" spans="1:11" x14ac:dyDescent="0.25">
      <c r="B80" s="487" t="s">
        <v>627</v>
      </c>
      <c r="C80" s="450" t="s">
        <v>632</v>
      </c>
      <c r="D80" s="488">
        <v>42.9</v>
      </c>
      <c r="E80" s="467">
        <v>132.80000000000001</v>
      </c>
      <c r="F80" s="467" t="s">
        <v>188</v>
      </c>
      <c r="G80" s="467" t="s">
        <v>188</v>
      </c>
      <c r="H80" s="489">
        <f t="shared" si="15"/>
        <v>175.70000000000002</v>
      </c>
      <c r="I80" s="457"/>
      <c r="J80" s="457"/>
      <c r="K80" s="448"/>
    </row>
    <row r="81" spans="2:11" x14ac:dyDescent="0.25">
      <c r="B81" s="498" t="s">
        <v>628</v>
      </c>
      <c r="C81" s="453" t="s">
        <v>633</v>
      </c>
      <c r="D81" s="463">
        <v>235</v>
      </c>
      <c r="E81" s="454">
        <v>146.80000000000001</v>
      </c>
      <c r="F81" s="454">
        <f>155.8</f>
        <v>155.80000000000001</v>
      </c>
      <c r="G81" s="454">
        <v>14.3</v>
      </c>
      <c r="H81" s="490">
        <f t="shared" si="15"/>
        <v>551.9</v>
      </c>
      <c r="I81" s="457"/>
      <c r="J81" s="457"/>
      <c r="K81" s="448"/>
    </row>
    <row r="82" spans="2:11" x14ac:dyDescent="0.25">
      <c r="B82" s="499"/>
      <c r="C82" s="453" t="s">
        <v>634</v>
      </c>
      <c r="D82" s="463">
        <v>163.1</v>
      </c>
      <c r="E82" s="454">
        <v>661.6</v>
      </c>
      <c r="F82" s="454">
        <f>730.1</f>
        <v>730.1</v>
      </c>
      <c r="G82" s="454">
        <v>85.7</v>
      </c>
      <c r="H82" s="490">
        <f t="shared" si="15"/>
        <v>1640.5000000000002</v>
      </c>
      <c r="I82" s="457"/>
      <c r="J82" s="457"/>
      <c r="K82" s="448"/>
    </row>
    <row r="83" spans="2:11" x14ac:dyDescent="0.25">
      <c r="B83" s="499"/>
      <c r="C83" s="453" t="s">
        <v>635</v>
      </c>
      <c r="D83" s="492">
        <v>569.6</v>
      </c>
      <c r="E83" s="454">
        <v>394.7</v>
      </c>
      <c r="F83" s="454">
        <f>1995.6</f>
        <v>1995.6</v>
      </c>
      <c r="G83" s="454" t="s">
        <v>188</v>
      </c>
      <c r="H83" s="490">
        <f t="shared" si="15"/>
        <v>2959.8999999999996</v>
      </c>
      <c r="I83" s="457"/>
      <c r="J83" s="457"/>
      <c r="K83" s="448"/>
    </row>
    <row r="84" spans="2:11" x14ac:dyDescent="0.25">
      <c r="B84" s="499"/>
      <c r="C84" s="453" t="s">
        <v>636</v>
      </c>
      <c r="D84" s="463">
        <v>163.19999999999999</v>
      </c>
      <c r="E84" s="454">
        <v>846.1</v>
      </c>
      <c r="F84" s="454">
        <f>426.3</f>
        <v>426.3</v>
      </c>
      <c r="G84" s="454" t="s">
        <v>188</v>
      </c>
      <c r="H84" s="490">
        <f t="shared" si="15"/>
        <v>1435.6</v>
      </c>
      <c r="I84" s="457"/>
      <c r="J84" s="457"/>
      <c r="K84" s="448"/>
    </row>
    <row r="85" spans="2:11" x14ac:dyDescent="0.25">
      <c r="B85" s="499"/>
      <c r="C85" s="453" t="s">
        <v>637</v>
      </c>
      <c r="D85" s="463">
        <v>1455.4</v>
      </c>
      <c r="E85" s="454">
        <v>773.5</v>
      </c>
      <c r="F85" s="454">
        <f>752.5</f>
        <v>752.5</v>
      </c>
      <c r="G85" s="454" t="s">
        <v>188</v>
      </c>
      <c r="H85" s="490">
        <f t="shared" si="15"/>
        <v>2981.4</v>
      </c>
      <c r="I85" s="457"/>
      <c r="J85" s="457"/>
      <c r="K85" s="448"/>
    </row>
    <row r="86" spans="2:11" ht="15.75" thickBot="1" x14ac:dyDescent="0.3">
      <c r="B86" s="500"/>
      <c r="C86" s="455" t="s">
        <v>638</v>
      </c>
      <c r="D86" s="485">
        <v>3301.3</v>
      </c>
      <c r="E86" s="446">
        <v>1023.7</v>
      </c>
      <c r="F86" s="446" t="s">
        <v>188</v>
      </c>
      <c r="G86" s="446" t="s">
        <v>188</v>
      </c>
      <c r="H86" s="493">
        <f t="shared" si="15"/>
        <v>4325</v>
      </c>
      <c r="I86" s="457"/>
      <c r="J86" s="457"/>
    </row>
    <row r="87" spans="2:11" ht="15.75" thickBot="1" x14ac:dyDescent="0.3">
      <c r="B87" s="473"/>
      <c r="C87" s="459"/>
      <c r="D87" s="459"/>
      <c r="E87" s="459"/>
      <c r="F87" s="459"/>
      <c r="G87" s="501"/>
      <c r="H87" s="501"/>
      <c r="I87" s="457"/>
      <c r="J87" s="457"/>
    </row>
    <row r="88" spans="2:11" ht="15.75" thickBot="1" x14ac:dyDescent="0.3">
      <c r="B88" s="1161" t="s">
        <v>656</v>
      </c>
      <c r="C88" s="1162"/>
      <c r="D88" s="1162"/>
      <c r="E88" s="1162"/>
      <c r="F88" s="1162"/>
      <c r="G88" s="1162"/>
      <c r="H88" s="1163"/>
      <c r="I88" s="457"/>
      <c r="J88" s="457"/>
      <c r="K88" s="448"/>
    </row>
    <row r="89" spans="2:11" x14ac:dyDescent="0.25">
      <c r="B89" s="1152"/>
      <c r="C89" s="1153"/>
      <c r="D89" s="435" t="s">
        <v>640</v>
      </c>
      <c r="E89" s="435" t="s">
        <v>641</v>
      </c>
      <c r="F89" s="435" t="s">
        <v>642</v>
      </c>
      <c r="G89" s="435" t="s">
        <v>648</v>
      </c>
      <c r="H89" s="437" t="s">
        <v>105</v>
      </c>
      <c r="I89" s="457"/>
      <c r="J89" s="457"/>
      <c r="K89" s="448"/>
    </row>
    <row r="90" spans="2:11" x14ac:dyDescent="0.25">
      <c r="B90" s="1170" t="s">
        <v>645</v>
      </c>
      <c r="C90" s="1171"/>
      <c r="D90" s="463">
        <f>D78</f>
        <v>23.7</v>
      </c>
      <c r="E90" s="463">
        <f>E78</f>
        <v>22.4</v>
      </c>
      <c r="F90" s="463">
        <f>F78</f>
        <v>72.900000000000006</v>
      </c>
      <c r="G90" s="463">
        <f>G78</f>
        <v>1.7</v>
      </c>
      <c r="H90" s="484">
        <f t="shared" ref="H90:H98" si="16">SUM(D90:G90)</f>
        <v>120.7</v>
      </c>
      <c r="I90" s="457"/>
      <c r="J90" s="457"/>
      <c r="K90" s="448"/>
    </row>
    <row r="91" spans="2:11" ht="15.75" thickBot="1" x14ac:dyDescent="0.3">
      <c r="B91" s="1172" t="s">
        <v>646</v>
      </c>
      <c r="C91" s="1173"/>
      <c r="D91" s="485">
        <f>SUM(D92:D98)</f>
        <v>3585.3</v>
      </c>
      <c r="E91" s="485">
        <f t="shared" ref="E91:G91" si="17">SUM(E92:E98)</f>
        <v>3979.2</v>
      </c>
      <c r="F91" s="485">
        <f t="shared" si="17"/>
        <v>4060.3</v>
      </c>
      <c r="G91" s="485">
        <f t="shared" si="17"/>
        <v>100</v>
      </c>
      <c r="H91" s="486">
        <f t="shared" si="16"/>
        <v>11724.8</v>
      </c>
      <c r="I91" s="457"/>
      <c r="J91" s="457"/>
      <c r="K91" s="448"/>
    </row>
    <row r="92" spans="2:11" x14ac:dyDescent="0.25">
      <c r="B92" s="487" t="s">
        <v>627</v>
      </c>
      <c r="C92" s="450" t="s">
        <v>632</v>
      </c>
      <c r="D92" s="488">
        <v>229.1</v>
      </c>
      <c r="E92" s="467">
        <f>E80</f>
        <v>132.80000000000001</v>
      </c>
      <c r="F92" s="467" t="str">
        <f>F80</f>
        <v>-</v>
      </c>
      <c r="G92" s="467" t="str">
        <f>G80</f>
        <v>-</v>
      </c>
      <c r="H92" s="489">
        <f t="shared" si="16"/>
        <v>361.9</v>
      </c>
      <c r="I92" s="457"/>
      <c r="J92" s="457"/>
      <c r="K92" s="448"/>
    </row>
    <row r="93" spans="2:11" x14ac:dyDescent="0.25">
      <c r="B93" s="1174" t="s">
        <v>628</v>
      </c>
      <c r="C93" s="453" t="s">
        <v>633</v>
      </c>
      <c r="D93" s="463">
        <v>115.7</v>
      </c>
      <c r="E93" s="454">
        <f t="shared" ref="E93:G98" si="18">E81</f>
        <v>146.80000000000001</v>
      </c>
      <c r="F93" s="454">
        <f t="shared" si="18"/>
        <v>155.80000000000001</v>
      </c>
      <c r="G93" s="454">
        <f t="shared" si="18"/>
        <v>14.3</v>
      </c>
      <c r="H93" s="490">
        <f t="shared" si="16"/>
        <v>432.6</v>
      </c>
      <c r="I93" s="457"/>
      <c r="J93" s="457"/>
      <c r="K93" s="448"/>
    </row>
    <row r="94" spans="2:11" x14ac:dyDescent="0.25">
      <c r="B94" s="1175"/>
      <c r="C94" s="453" t="s">
        <v>634</v>
      </c>
      <c r="D94" s="491">
        <v>187.3</v>
      </c>
      <c r="E94" s="454">
        <f t="shared" si="18"/>
        <v>661.6</v>
      </c>
      <c r="F94" s="454">
        <f t="shared" si="18"/>
        <v>730.1</v>
      </c>
      <c r="G94" s="454">
        <f t="shared" si="18"/>
        <v>85.7</v>
      </c>
      <c r="H94" s="490">
        <f t="shared" si="16"/>
        <v>1664.7</v>
      </c>
      <c r="I94" s="457"/>
      <c r="J94" s="457"/>
      <c r="K94" s="448"/>
    </row>
    <row r="95" spans="2:11" x14ac:dyDescent="0.25">
      <c r="B95" s="1175"/>
      <c r="C95" s="453" t="s">
        <v>635</v>
      </c>
      <c r="D95" s="463">
        <v>198.4</v>
      </c>
      <c r="E95" s="454">
        <f t="shared" si="18"/>
        <v>394.7</v>
      </c>
      <c r="F95" s="454">
        <f t="shared" si="18"/>
        <v>1995.6</v>
      </c>
      <c r="G95" s="454" t="str">
        <f t="shared" si="18"/>
        <v>-</v>
      </c>
      <c r="H95" s="490">
        <f t="shared" si="16"/>
        <v>2588.6999999999998</v>
      </c>
      <c r="I95" s="457"/>
      <c r="J95" s="457"/>
      <c r="K95" s="448"/>
    </row>
    <row r="96" spans="2:11" x14ac:dyDescent="0.25">
      <c r="B96" s="1175"/>
      <c r="C96" s="453" t="s">
        <v>636</v>
      </c>
      <c r="D96" s="492">
        <v>497.3</v>
      </c>
      <c r="E96" s="454">
        <f t="shared" si="18"/>
        <v>846.1</v>
      </c>
      <c r="F96" s="454">
        <f t="shared" si="18"/>
        <v>426.3</v>
      </c>
      <c r="G96" s="454" t="str">
        <f t="shared" si="18"/>
        <v>-</v>
      </c>
      <c r="H96" s="490">
        <f t="shared" si="16"/>
        <v>1769.7</v>
      </c>
      <c r="I96" s="457"/>
      <c r="J96" s="457"/>
      <c r="K96" s="448"/>
    </row>
    <row r="97" spans="2:11" x14ac:dyDescent="0.25">
      <c r="B97" s="1175"/>
      <c r="C97" s="453" t="s">
        <v>637</v>
      </c>
      <c r="D97" s="463">
        <v>1454.5</v>
      </c>
      <c r="E97" s="454">
        <f t="shared" si="18"/>
        <v>773.5</v>
      </c>
      <c r="F97" s="454">
        <f t="shared" si="18"/>
        <v>752.5</v>
      </c>
      <c r="G97" s="454" t="str">
        <f t="shared" si="18"/>
        <v>-</v>
      </c>
      <c r="H97" s="490">
        <f t="shared" si="16"/>
        <v>2980.5</v>
      </c>
      <c r="I97" s="457"/>
      <c r="J97" s="457"/>
      <c r="K97" s="448"/>
    </row>
    <row r="98" spans="2:11" ht="15.75" thickBot="1" x14ac:dyDescent="0.3">
      <c r="B98" s="1176"/>
      <c r="C98" s="455" t="s">
        <v>638</v>
      </c>
      <c r="D98" s="485">
        <v>903</v>
      </c>
      <c r="E98" s="446">
        <f t="shared" si="18"/>
        <v>1023.7</v>
      </c>
      <c r="F98" s="446" t="str">
        <f t="shared" si="18"/>
        <v>-</v>
      </c>
      <c r="G98" s="446" t="str">
        <f t="shared" si="18"/>
        <v>-</v>
      </c>
      <c r="H98" s="493">
        <f t="shared" si="16"/>
        <v>1926.7</v>
      </c>
      <c r="I98" s="457"/>
      <c r="J98" s="457"/>
    </row>
    <row r="99" spans="2:11" ht="15.75" thickBot="1" x14ac:dyDescent="0.3">
      <c r="B99" s="457"/>
      <c r="C99" s="473"/>
      <c r="D99" s="459"/>
      <c r="E99" s="459"/>
      <c r="F99" s="459"/>
      <c r="G99" s="459"/>
      <c r="H99" s="501"/>
      <c r="I99" s="457"/>
      <c r="J99" s="457"/>
    </row>
    <row r="100" spans="2:11" ht="15.75" thickBot="1" x14ac:dyDescent="0.3">
      <c r="B100" s="1161" t="s">
        <v>657</v>
      </c>
      <c r="C100" s="1162"/>
      <c r="D100" s="1162"/>
      <c r="E100" s="1162"/>
      <c r="F100" s="1162"/>
      <c r="G100" s="1162"/>
      <c r="H100" s="1163"/>
      <c r="I100" s="502"/>
      <c r="J100" s="457"/>
    </row>
    <row r="101" spans="2:11" x14ac:dyDescent="0.25">
      <c r="B101" s="1152"/>
      <c r="C101" s="1153"/>
      <c r="D101" s="435" t="s">
        <v>640</v>
      </c>
      <c r="E101" s="435" t="s">
        <v>641</v>
      </c>
      <c r="F101" s="435" t="s">
        <v>642</v>
      </c>
      <c r="G101" s="435" t="s">
        <v>658</v>
      </c>
      <c r="H101" s="437" t="s">
        <v>105</v>
      </c>
      <c r="I101" s="457"/>
      <c r="J101" s="457"/>
    </row>
    <row r="102" spans="2:11" x14ac:dyDescent="0.25">
      <c r="B102" s="1170" t="s">
        <v>645</v>
      </c>
      <c r="C102" s="1171"/>
      <c r="D102" s="463">
        <f>D78</f>
        <v>23.7</v>
      </c>
      <c r="E102" s="463">
        <f>E78</f>
        <v>22.4</v>
      </c>
      <c r="F102" s="463">
        <f>F78+1.4</f>
        <v>74.300000000000011</v>
      </c>
      <c r="G102" s="463">
        <f>G78</f>
        <v>1.7</v>
      </c>
      <c r="H102" s="484">
        <f t="shared" ref="H102" si="19">SUM(D102:G102)</f>
        <v>122.10000000000001</v>
      </c>
      <c r="I102" s="457"/>
      <c r="J102" s="457"/>
    </row>
    <row r="103" spans="2:11" ht="15.75" thickBot="1" x14ac:dyDescent="0.3">
      <c r="B103" s="1172" t="s">
        <v>646</v>
      </c>
      <c r="C103" s="1173"/>
      <c r="D103" s="485">
        <f>SUM(D104:D110)</f>
        <v>2738.8</v>
      </c>
      <c r="E103" s="485">
        <f>SUM(E104:E110)</f>
        <v>3979.2</v>
      </c>
      <c r="F103" s="485">
        <f>SUM(F104:F110)</f>
        <v>4164.5</v>
      </c>
      <c r="G103" s="485">
        <f>SUM(G104:G110)</f>
        <v>100</v>
      </c>
      <c r="H103" s="486">
        <f t="shared" ref="H103:H107" si="20">SUM(D103:G103)</f>
        <v>10982.5</v>
      </c>
      <c r="I103" s="457"/>
      <c r="J103" s="457"/>
    </row>
    <row r="104" spans="2:11" x14ac:dyDescent="0.25">
      <c r="B104" s="487" t="s">
        <v>627</v>
      </c>
      <c r="C104" s="450" t="s">
        <v>632</v>
      </c>
      <c r="D104" s="503">
        <v>269.60000000000002</v>
      </c>
      <c r="E104" s="467">
        <f>E80</f>
        <v>132.80000000000001</v>
      </c>
      <c r="F104" s="467" t="str">
        <f>F80</f>
        <v>-</v>
      </c>
      <c r="G104" s="467" t="str">
        <f>G80</f>
        <v>-</v>
      </c>
      <c r="H104" s="489">
        <f t="shared" si="20"/>
        <v>402.40000000000003</v>
      </c>
      <c r="I104" s="457"/>
      <c r="J104" s="448"/>
    </row>
    <row r="105" spans="2:11" x14ac:dyDescent="0.25">
      <c r="B105" s="1174" t="s">
        <v>628</v>
      </c>
      <c r="C105" s="453" t="s">
        <v>633</v>
      </c>
      <c r="D105" s="504">
        <v>141.30000000000001</v>
      </c>
      <c r="E105" s="454">
        <f t="shared" ref="E105:E110" si="21">E81</f>
        <v>146.80000000000001</v>
      </c>
      <c r="F105" s="454">
        <f>F81</f>
        <v>155.80000000000001</v>
      </c>
      <c r="G105" s="454">
        <f t="shared" ref="G105:G110" si="22">G81</f>
        <v>14.3</v>
      </c>
      <c r="H105" s="490">
        <f t="shared" si="20"/>
        <v>458.20000000000005</v>
      </c>
      <c r="I105" s="457"/>
      <c r="J105" s="448"/>
      <c r="K105" s="429"/>
    </row>
    <row r="106" spans="2:11" x14ac:dyDescent="0.25">
      <c r="B106" s="1175"/>
      <c r="C106" s="453" t="s">
        <v>634</v>
      </c>
      <c r="D106" s="505">
        <v>100.1</v>
      </c>
      <c r="E106" s="454">
        <f t="shared" si="21"/>
        <v>661.6</v>
      </c>
      <c r="F106" s="454">
        <f>F82+104.2</f>
        <v>834.30000000000007</v>
      </c>
      <c r="G106" s="454">
        <f t="shared" si="22"/>
        <v>85.7</v>
      </c>
      <c r="H106" s="490">
        <f t="shared" si="20"/>
        <v>1681.7</v>
      </c>
      <c r="I106" s="457"/>
      <c r="J106" s="448"/>
      <c r="K106" s="429"/>
    </row>
    <row r="107" spans="2:11" x14ac:dyDescent="0.25">
      <c r="B107" s="1175"/>
      <c r="C107" s="453" t="s">
        <v>635</v>
      </c>
      <c r="D107" s="504">
        <v>173.5</v>
      </c>
      <c r="E107" s="454">
        <f t="shared" si="21"/>
        <v>394.7</v>
      </c>
      <c r="F107" s="454">
        <f>F83</f>
        <v>1995.6</v>
      </c>
      <c r="G107" s="454" t="str">
        <f t="shared" si="22"/>
        <v>-</v>
      </c>
      <c r="H107" s="490">
        <f t="shared" si="20"/>
        <v>2563.8000000000002</v>
      </c>
      <c r="I107" s="457"/>
      <c r="J107" s="448"/>
      <c r="K107" s="429"/>
    </row>
    <row r="108" spans="2:11" x14ac:dyDescent="0.25">
      <c r="B108" s="1175"/>
      <c r="C108" s="453" t="s">
        <v>636</v>
      </c>
      <c r="D108" s="506">
        <v>667.5</v>
      </c>
      <c r="E108" s="454">
        <f t="shared" si="21"/>
        <v>846.1</v>
      </c>
      <c r="F108" s="454">
        <f>F84</f>
        <v>426.3</v>
      </c>
      <c r="G108" s="454" t="str">
        <f t="shared" si="22"/>
        <v>-</v>
      </c>
      <c r="H108" s="490">
        <f>SUM(D108:G108)</f>
        <v>1939.8999999999999</v>
      </c>
      <c r="I108" s="457"/>
      <c r="J108" s="448"/>
      <c r="K108" s="429"/>
    </row>
    <row r="109" spans="2:11" x14ac:dyDescent="0.25">
      <c r="B109" s="1175"/>
      <c r="C109" s="453" t="s">
        <v>637</v>
      </c>
      <c r="D109" s="504">
        <v>866.9</v>
      </c>
      <c r="E109" s="454">
        <f t="shared" si="21"/>
        <v>773.5</v>
      </c>
      <c r="F109" s="454">
        <f>F85</f>
        <v>752.5</v>
      </c>
      <c r="G109" s="454" t="str">
        <f t="shared" si="22"/>
        <v>-</v>
      </c>
      <c r="H109" s="490">
        <f>SUM(D109:G109)</f>
        <v>2392.9</v>
      </c>
      <c r="I109" s="457"/>
      <c r="J109" s="448"/>
      <c r="K109" s="429"/>
    </row>
    <row r="110" spans="2:11" ht="15.75" thickBot="1" x14ac:dyDescent="0.3">
      <c r="B110" s="1176"/>
      <c r="C110" s="455" t="s">
        <v>638</v>
      </c>
      <c r="D110" s="507">
        <v>519.9</v>
      </c>
      <c r="E110" s="446">
        <f t="shared" si="21"/>
        <v>1023.7</v>
      </c>
      <c r="F110" s="446" t="str">
        <f>F86</f>
        <v>-</v>
      </c>
      <c r="G110" s="446" t="str">
        <f t="shared" si="22"/>
        <v>-</v>
      </c>
      <c r="H110" s="493">
        <f>SUM(D110:G110)</f>
        <v>1543.6</v>
      </c>
      <c r="I110" s="457"/>
      <c r="J110" s="448"/>
      <c r="K110" s="429"/>
    </row>
    <row r="111" spans="2:11" ht="15.75" thickBot="1" x14ac:dyDescent="0.3">
      <c r="B111" s="457"/>
      <c r="C111" s="480"/>
      <c r="D111" s="480"/>
      <c r="E111" s="480"/>
      <c r="F111" s="480"/>
      <c r="G111" s="480"/>
      <c r="H111" s="480"/>
      <c r="I111" s="457"/>
      <c r="J111" s="448"/>
      <c r="K111" s="429"/>
    </row>
    <row r="112" spans="2:11" ht="15.75" thickBot="1" x14ac:dyDescent="0.3">
      <c r="B112" s="1161" t="s">
        <v>659</v>
      </c>
      <c r="C112" s="1162"/>
      <c r="D112" s="1162"/>
      <c r="E112" s="1162"/>
      <c r="F112" s="1162"/>
      <c r="G112" s="1162"/>
      <c r="H112" s="1163"/>
      <c r="I112" s="502"/>
      <c r="J112" s="448"/>
      <c r="K112" s="429"/>
    </row>
    <row r="113" spans="2:11" x14ac:dyDescent="0.25">
      <c r="B113" s="1152"/>
      <c r="C113" s="1153"/>
      <c r="D113" s="435" t="s">
        <v>640</v>
      </c>
      <c r="E113" s="435" t="s">
        <v>641</v>
      </c>
      <c r="F113" s="435" t="s">
        <v>642</v>
      </c>
      <c r="G113" s="435" t="s">
        <v>648</v>
      </c>
      <c r="H113" s="437" t="s">
        <v>105</v>
      </c>
      <c r="I113" s="457"/>
      <c r="J113" s="448"/>
      <c r="K113" s="429"/>
    </row>
    <row r="114" spans="2:11" x14ac:dyDescent="0.25">
      <c r="B114" s="1170" t="s">
        <v>645</v>
      </c>
      <c r="C114" s="1171"/>
      <c r="D114" s="463">
        <f>D78</f>
        <v>23.7</v>
      </c>
      <c r="E114" s="463">
        <f>E78</f>
        <v>22.4</v>
      </c>
      <c r="F114" s="463">
        <f>F78</f>
        <v>72.900000000000006</v>
      </c>
      <c r="G114" s="463">
        <f>G78</f>
        <v>1.7</v>
      </c>
      <c r="H114" s="484">
        <f t="shared" ref="H114:H122" si="23">SUM(D114:G114)</f>
        <v>120.7</v>
      </c>
      <c r="I114" s="457"/>
      <c r="J114" s="457"/>
      <c r="K114" s="429"/>
    </row>
    <row r="115" spans="2:11" ht="15.75" thickBot="1" x14ac:dyDescent="0.3">
      <c r="B115" s="1172" t="s">
        <v>646</v>
      </c>
      <c r="C115" s="1173"/>
      <c r="D115" s="485">
        <f>SUM(D116:D122)</f>
        <v>2113.1</v>
      </c>
      <c r="E115" s="485">
        <f>SUM(E116:E122)</f>
        <v>3979.2</v>
      </c>
      <c r="F115" s="485">
        <f>SUM(F116:F122)</f>
        <v>4060.3</v>
      </c>
      <c r="G115" s="485">
        <f>SUM(G116:G122)</f>
        <v>100</v>
      </c>
      <c r="H115" s="486">
        <f t="shared" si="23"/>
        <v>10252.599999999999</v>
      </c>
      <c r="I115" s="457"/>
      <c r="J115" s="457"/>
      <c r="K115" s="448"/>
    </row>
    <row r="116" spans="2:11" x14ac:dyDescent="0.25">
      <c r="B116" s="487" t="s">
        <v>627</v>
      </c>
      <c r="C116" s="450" t="s">
        <v>632</v>
      </c>
      <c r="D116" s="503">
        <v>333.5</v>
      </c>
      <c r="E116" s="488">
        <f>E80</f>
        <v>132.80000000000001</v>
      </c>
      <c r="F116" s="467" t="str">
        <f>F80</f>
        <v>-</v>
      </c>
      <c r="G116" s="467" t="str">
        <f>G80</f>
        <v>-</v>
      </c>
      <c r="H116" s="489">
        <f t="shared" si="23"/>
        <v>466.3</v>
      </c>
      <c r="I116" s="457"/>
      <c r="J116" s="448"/>
      <c r="K116" s="448"/>
    </row>
    <row r="117" spans="2:11" x14ac:dyDescent="0.25">
      <c r="B117" s="1174" t="s">
        <v>628</v>
      </c>
      <c r="C117" s="453" t="s">
        <v>633</v>
      </c>
      <c r="D117" s="504">
        <v>111</v>
      </c>
      <c r="E117" s="463">
        <f t="shared" ref="E117:G122" si="24">E81</f>
        <v>146.80000000000001</v>
      </c>
      <c r="F117" s="454">
        <f t="shared" si="24"/>
        <v>155.80000000000001</v>
      </c>
      <c r="G117" s="454">
        <f t="shared" si="24"/>
        <v>14.3</v>
      </c>
      <c r="H117" s="490">
        <f t="shared" si="23"/>
        <v>427.90000000000003</v>
      </c>
      <c r="I117" s="457"/>
      <c r="J117" s="448"/>
      <c r="K117" s="429"/>
    </row>
    <row r="118" spans="2:11" x14ac:dyDescent="0.25">
      <c r="B118" s="1175"/>
      <c r="C118" s="453" t="s">
        <v>634</v>
      </c>
      <c r="D118" s="505">
        <v>54.3</v>
      </c>
      <c r="E118" s="463">
        <f t="shared" si="24"/>
        <v>661.6</v>
      </c>
      <c r="F118" s="454">
        <f t="shared" si="24"/>
        <v>730.1</v>
      </c>
      <c r="G118" s="454">
        <f t="shared" si="24"/>
        <v>85.7</v>
      </c>
      <c r="H118" s="490">
        <f t="shared" si="23"/>
        <v>1531.7</v>
      </c>
      <c r="I118" s="457"/>
      <c r="J118" s="448"/>
      <c r="K118" s="429"/>
    </row>
    <row r="119" spans="2:11" x14ac:dyDescent="0.25">
      <c r="B119" s="1175"/>
      <c r="C119" s="453" t="s">
        <v>635</v>
      </c>
      <c r="D119" s="504">
        <v>140.19999999999999</v>
      </c>
      <c r="E119" s="463">
        <f t="shared" si="24"/>
        <v>394.7</v>
      </c>
      <c r="F119" s="454">
        <f t="shared" si="24"/>
        <v>1995.6</v>
      </c>
      <c r="G119" s="454" t="str">
        <f t="shared" si="24"/>
        <v>-</v>
      </c>
      <c r="H119" s="490">
        <f t="shared" si="23"/>
        <v>2530.5</v>
      </c>
      <c r="I119" s="457"/>
      <c r="J119" s="448"/>
      <c r="K119" s="429"/>
    </row>
    <row r="120" spans="2:11" x14ac:dyDescent="0.25">
      <c r="B120" s="1175"/>
      <c r="C120" s="453" t="s">
        <v>636</v>
      </c>
      <c r="D120" s="506">
        <v>964.4</v>
      </c>
      <c r="E120" s="463">
        <f t="shared" si="24"/>
        <v>846.1</v>
      </c>
      <c r="F120" s="454">
        <f t="shared" si="24"/>
        <v>426.3</v>
      </c>
      <c r="G120" s="454" t="str">
        <f t="shared" si="24"/>
        <v>-</v>
      </c>
      <c r="H120" s="490">
        <f t="shared" si="23"/>
        <v>2236.8000000000002</v>
      </c>
      <c r="I120" s="457"/>
      <c r="J120" s="448"/>
      <c r="K120" s="429"/>
    </row>
    <row r="121" spans="2:11" x14ac:dyDescent="0.25">
      <c r="B121" s="1175"/>
      <c r="C121" s="453" t="s">
        <v>637</v>
      </c>
      <c r="D121" s="504">
        <v>245.5</v>
      </c>
      <c r="E121" s="491">
        <f t="shared" si="24"/>
        <v>773.5</v>
      </c>
      <c r="F121" s="454">
        <f t="shared" si="24"/>
        <v>752.5</v>
      </c>
      <c r="G121" s="454" t="str">
        <f t="shared" si="24"/>
        <v>-</v>
      </c>
      <c r="H121" s="490">
        <f t="shared" si="23"/>
        <v>1771.5</v>
      </c>
      <c r="I121" s="457"/>
      <c r="J121" s="448"/>
      <c r="K121" s="429"/>
    </row>
    <row r="122" spans="2:11" ht="15.75" thickBot="1" x14ac:dyDescent="0.3">
      <c r="B122" s="1176"/>
      <c r="C122" s="455" t="s">
        <v>638</v>
      </c>
      <c r="D122" s="507">
        <v>264.2</v>
      </c>
      <c r="E122" s="485">
        <f t="shared" si="24"/>
        <v>1023.7</v>
      </c>
      <c r="F122" s="446" t="str">
        <f t="shared" si="24"/>
        <v>-</v>
      </c>
      <c r="G122" s="446" t="str">
        <f t="shared" si="24"/>
        <v>-</v>
      </c>
      <c r="H122" s="493">
        <f t="shared" si="23"/>
        <v>1287.9000000000001</v>
      </c>
      <c r="I122" s="457"/>
      <c r="J122" s="448"/>
      <c r="K122" s="429"/>
    </row>
    <row r="123" spans="2:11" ht="15.75" thickBot="1" x14ac:dyDescent="0.3">
      <c r="B123" s="457"/>
      <c r="C123" s="457"/>
      <c r="D123" s="459"/>
      <c r="E123" s="459"/>
      <c r="F123" s="459"/>
      <c r="G123" s="458"/>
      <c r="H123" s="501"/>
      <c r="I123" s="457"/>
      <c r="J123" s="448"/>
      <c r="K123" s="429"/>
    </row>
    <row r="124" spans="2:11" ht="15.75" thickBot="1" x14ac:dyDescent="0.3">
      <c r="B124" s="1161" t="s">
        <v>660</v>
      </c>
      <c r="C124" s="1162"/>
      <c r="D124" s="1162"/>
      <c r="E124" s="1162"/>
      <c r="F124" s="1162"/>
      <c r="G124" s="1162"/>
      <c r="H124" s="1163"/>
      <c r="I124" s="457"/>
      <c r="J124" s="448"/>
      <c r="K124" s="429"/>
    </row>
    <row r="125" spans="2:11" x14ac:dyDescent="0.25">
      <c r="B125" s="1152"/>
      <c r="C125" s="1153"/>
      <c r="D125" s="435" t="s">
        <v>640</v>
      </c>
      <c r="E125" s="435" t="s">
        <v>641</v>
      </c>
      <c r="F125" s="435" t="s">
        <v>642</v>
      </c>
      <c r="G125" s="435" t="s">
        <v>648</v>
      </c>
      <c r="H125" s="437" t="s">
        <v>105</v>
      </c>
      <c r="I125" s="457"/>
      <c r="J125" s="448"/>
      <c r="K125" s="429"/>
    </row>
    <row r="126" spans="2:11" x14ac:dyDescent="0.25">
      <c r="B126" s="1170" t="s">
        <v>645</v>
      </c>
      <c r="C126" s="1171"/>
      <c r="D126" s="463">
        <f>D78</f>
        <v>23.7</v>
      </c>
      <c r="E126" s="463">
        <f t="shared" ref="E126:G126" si="25">E78</f>
        <v>22.4</v>
      </c>
      <c r="F126" s="463">
        <f>F78+1.4</f>
        <v>74.300000000000011</v>
      </c>
      <c r="G126" s="463">
        <f t="shared" si="25"/>
        <v>1.7</v>
      </c>
      <c r="H126" s="484">
        <f t="shared" ref="H126:H134" si="26">SUM(D126:G126)</f>
        <v>122.10000000000001</v>
      </c>
      <c r="I126" s="457"/>
      <c r="J126" s="457"/>
      <c r="K126" s="429"/>
    </row>
    <row r="127" spans="2:11" ht="15.75" thickBot="1" x14ac:dyDescent="0.3">
      <c r="B127" s="1172" t="s">
        <v>646</v>
      </c>
      <c r="C127" s="1173"/>
      <c r="D127" s="485">
        <f>SUM(D128:D134)</f>
        <v>1772.8</v>
      </c>
      <c r="E127" s="485">
        <f>SUM(E128:E134)</f>
        <v>3979.2</v>
      </c>
      <c r="F127" s="485">
        <f>SUM(F128:F134)</f>
        <v>4164.5</v>
      </c>
      <c r="G127" s="485">
        <f>SUM(G128:G134)</f>
        <v>100</v>
      </c>
      <c r="H127" s="486">
        <f t="shared" si="26"/>
        <v>10016.5</v>
      </c>
      <c r="I127" s="457"/>
      <c r="J127" s="457"/>
    </row>
    <row r="128" spans="2:11" x14ac:dyDescent="0.25">
      <c r="B128" s="487" t="s">
        <v>627</v>
      </c>
      <c r="C128" s="450" t="s">
        <v>632</v>
      </c>
      <c r="D128" s="503">
        <v>378.1</v>
      </c>
      <c r="E128" s="488">
        <f>E80</f>
        <v>132.80000000000001</v>
      </c>
      <c r="F128" s="467" t="str">
        <f>F80</f>
        <v>-</v>
      </c>
      <c r="G128" s="467" t="str">
        <f>G80</f>
        <v>-</v>
      </c>
      <c r="H128" s="489">
        <f t="shared" si="26"/>
        <v>510.90000000000003</v>
      </c>
      <c r="I128" s="457"/>
      <c r="J128" s="457"/>
    </row>
    <row r="129" spans="2:10" x14ac:dyDescent="0.25">
      <c r="B129" s="1174" t="s">
        <v>628</v>
      </c>
      <c r="C129" s="453" t="s">
        <v>633</v>
      </c>
      <c r="D129" s="504">
        <v>80.5</v>
      </c>
      <c r="E129" s="463">
        <f t="shared" ref="E129:E134" si="27">E81</f>
        <v>146.80000000000001</v>
      </c>
      <c r="F129" s="454">
        <f>F81</f>
        <v>155.80000000000001</v>
      </c>
      <c r="G129" s="454">
        <f t="shared" ref="G129:G134" si="28">G81</f>
        <v>14.3</v>
      </c>
      <c r="H129" s="490">
        <f t="shared" si="26"/>
        <v>397.40000000000003</v>
      </c>
      <c r="I129" s="457"/>
      <c r="J129" s="457"/>
    </row>
    <row r="130" spans="2:10" x14ac:dyDescent="0.25">
      <c r="B130" s="1175"/>
      <c r="C130" s="453" t="s">
        <v>634</v>
      </c>
      <c r="D130" s="505">
        <v>17.3</v>
      </c>
      <c r="E130" s="463">
        <f t="shared" si="27"/>
        <v>661.6</v>
      </c>
      <c r="F130" s="454">
        <f>F82</f>
        <v>730.1</v>
      </c>
      <c r="G130" s="454">
        <f t="shared" si="28"/>
        <v>85.7</v>
      </c>
      <c r="H130" s="490">
        <f t="shared" si="26"/>
        <v>1494.7</v>
      </c>
      <c r="I130" s="457"/>
      <c r="J130" s="457"/>
    </row>
    <row r="131" spans="2:10" x14ac:dyDescent="0.25">
      <c r="B131" s="1175"/>
      <c r="C131" s="453" t="s">
        <v>635</v>
      </c>
      <c r="D131" s="504">
        <v>283.5</v>
      </c>
      <c r="E131" s="463">
        <f t="shared" si="27"/>
        <v>394.7</v>
      </c>
      <c r="F131" s="454">
        <f>F83+104.2</f>
        <v>2099.7999999999997</v>
      </c>
      <c r="G131" s="454" t="str">
        <f t="shared" si="28"/>
        <v>-</v>
      </c>
      <c r="H131" s="490">
        <f t="shared" si="26"/>
        <v>2778</v>
      </c>
      <c r="I131" s="457"/>
      <c r="J131" s="457"/>
    </row>
    <row r="132" spans="2:10" x14ac:dyDescent="0.25">
      <c r="B132" s="1175"/>
      <c r="C132" s="453" t="s">
        <v>636</v>
      </c>
      <c r="D132" s="506">
        <v>741.6</v>
      </c>
      <c r="E132" s="463">
        <f t="shared" si="27"/>
        <v>846.1</v>
      </c>
      <c r="F132" s="454">
        <f>F84</f>
        <v>426.3</v>
      </c>
      <c r="G132" s="454" t="str">
        <f t="shared" si="28"/>
        <v>-</v>
      </c>
      <c r="H132" s="490">
        <f t="shared" si="26"/>
        <v>2014</v>
      </c>
      <c r="I132" s="457"/>
      <c r="J132" s="457"/>
    </row>
    <row r="133" spans="2:10" x14ac:dyDescent="0.25">
      <c r="B133" s="1175"/>
      <c r="C133" s="453" t="s">
        <v>637</v>
      </c>
      <c r="D133" s="504">
        <v>271.8</v>
      </c>
      <c r="E133" s="463">
        <f t="shared" si="27"/>
        <v>773.5</v>
      </c>
      <c r="F133" s="454">
        <f>F85</f>
        <v>752.5</v>
      </c>
      <c r="G133" s="454" t="str">
        <f t="shared" si="28"/>
        <v>-</v>
      </c>
      <c r="H133" s="490">
        <f t="shared" si="26"/>
        <v>1797.8</v>
      </c>
      <c r="I133" s="457"/>
      <c r="J133" s="457"/>
    </row>
    <row r="134" spans="2:10" ht="15.75" thickBot="1" x14ac:dyDescent="0.3">
      <c r="B134" s="1176"/>
      <c r="C134" s="455" t="s">
        <v>638</v>
      </c>
      <c r="D134" s="507"/>
      <c r="E134" s="508">
        <f t="shared" si="27"/>
        <v>1023.7</v>
      </c>
      <c r="F134" s="446" t="str">
        <f>F86</f>
        <v>-</v>
      </c>
      <c r="G134" s="446" t="str">
        <f t="shared" si="28"/>
        <v>-</v>
      </c>
      <c r="H134" s="493">
        <f t="shared" si="26"/>
        <v>1023.7</v>
      </c>
      <c r="I134" s="457"/>
      <c r="J134" s="457"/>
    </row>
    <row r="135" spans="2:10" ht="15.75" thickBot="1" x14ac:dyDescent="0.3">
      <c r="B135" s="457"/>
      <c r="C135" s="473"/>
      <c r="D135" s="459"/>
      <c r="E135" s="459"/>
      <c r="F135" s="459"/>
      <c r="G135" s="459"/>
      <c r="H135" s="501"/>
      <c r="I135" s="457"/>
      <c r="J135" s="457"/>
    </row>
    <row r="136" spans="2:10" ht="15.75" thickBot="1" x14ac:dyDescent="0.3">
      <c r="B136" s="1161" t="s">
        <v>661</v>
      </c>
      <c r="C136" s="1162"/>
      <c r="D136" s="1162"/>
      <c r="E136" s="1162"/>
      <c r="F136" s="1162"/>
      <c r="G136" s="1162"/>
      <c r="H136" s="1163"/>
      <c r="I136" s="457"/>
      <c r="J136" s="457"/>
    </row>
    <row r="137" spans="2:10" x14ac:dyDescent="0.25">
      <c r="B137" s="1152"/>
      <c r="C137" s="1153"/>
      <c r="D137" s="435" t="s">
        <v>640</v>
      </c>
      <c r="E137" s="435" t="s">
        <v>641</v>
      </c>
      <c r="F137" s="435" t="s">
        <v>642</v>
      </c>
      <c r="G137" s="435" t="s">
        <v>648</v>
      </c>
      <c r="H137" s="437" t="s">
        <v>105</v>
      </c>
      <c r="I137" s="457"/>
      <c r="J137" s="457"/>
    </row>
    <row r="138" spans="2:10" x14ac:dyDescent="0.25">
      <c r="B138" s="1170" t="s">
        <v>645</v>
      </c>
      <c r="C138" s="1171"/>
      <c r="D138" s="463">
        <f>D78</f>
        <v>23.7</v>
      </c>
      <c r="E138" s="463">
        <f t="shared" ref="E138:G138" si="29">E78</f>
        <v>22.4</v>
      </c>
      <c r="F138" s="463">
        <f t="shared" si="29"/>
        <v>72.900000000000006</v>
      </c>
      <c r="G138" s="463">
        <f t="shared" si="29"/>
        <v>1.7</v>
      </c>
      <c r="H138" s="484">
        <f t="shared" ref="H138:H146" si="30">SUM(D138:G138)</f>
        <v>120.7</v>
      </c>
      <c r="I138" s="457"/>
      <c r="J138" s="457"/>
    </row>
    <row r="139" spans="2:10" ht="15.75" thickBot="1" x14ac:dyDescent="0.3">
      <c r="B139" s="1172" t="s">
        <v>646</v>
      </c>
      <c r="C139" s="1173"/>
      <c r="D139" s="485">
        <f>SUM(D140:D146)</f>
        <v>1521.3</v>
      </c>
      <c r="E139" s="485">
        <f>SUM(E140:E146)</f>
        <v>3979.2</v>
      </c>
      <c r="F139" s="485">
        <f>SUM(F140:F146)</f>
        <v>4060.3</v>
      </c>
      <c r="G139" s="485">
        <f>SUM(G140:G146)</f>
        <v>100</v>
      </c>
      <c r="H139" s="486">
        <f t="shared" si="30"/>
        <v>9660.7999999999993</v>
      </c>
      <c r="I139" s="457"/>
      <c r="J139" s="457"/>
    </row>
    <row r="140" spans="2:10" x14ac:dyDescent="0.25">
      <c r="B140" s="487" t="s">
        <v>627</v>
      </c>
      <c r="C140" s="450" t="s">
        <v>632</v>
      </c>
      <c r="D140" s="503">
        <v>389.7</v>
      </c>
      <c r="E140" s="488">
        <f>E80</f>
        <v>132.80000000000001</v>
      </c>
      <c r="F140" s="467" t="str">
        <f>F80</f>
        <v>-</v>
      </c>
      <c r="G140" s="467" t="str">
        <f>G80</f>
        <v>-</v>
      </c>
      <c r="H140" s="489">
        <f t="shared" si="30"/>
        <v>522.5</v>
      </c>
      <c r="I140" s="457"/>
      <c r="J140" s="457"/>
    </row>
    <row r="141" spans="2:10" x14ac:dyDescent="0.25">
      <c r="B141" s="1174" t="s">
        <v>628</v>
      </c>
      <c r="C141" s="453" t="s">
        <v>633</v>
      </c>
      <c r="D141" s="504">
        <v>65</v>
      </c>
      <c r="E141" s="463">
        <f t="shared" ref="E141:G146" si="31">E81</f>
        <v>146.80000000000001</v>
      </c>
      <c r="F141" s="454">
        <f t="shared" si="31"/>
        <v>155.80000000000001</v>
      </c>
      <c r="G141" s="454">
        <f t="shared" si="31"/>
        <v>14.3</v>
      </c>
      <c r="H141" s="490">
        <f t="shared" si="30"/>
        <v>381.90000000000003</v>
      </c>
      <c r="I141" s="457"/>
      <c r="J141" s="457"/>
    </row>
    <row r="142" spans="2:10" x14ac:dyDescent="0.25">
      <c r="B142" s="1175"/>
      <c r="C142" s="453" t="s">
        <v>634</v>
      </c>
      <c r="D142" s="504" t="s">
        <v>188</v>
      </c>
      <c r="E142" s="463">
        <f t="shared" si="31"/>
        <v>661.6</v>
      </c>
      <c r="F142" s="454">
        <f t="shared" si="31"/>
        <v>730.1</v>
      </c>
      <c r="G142" s="454">
        <f t="shared" si="31"/>
        <v>85.7</v>
      </c>
      <c r="H142" s="490">
        <f t="shared" si="30"/>
        <v>1477.4</v>
      </c>
      <c r="I142" s="457"/>
      <c r="J142" s="457"/>
    </row>
    <row r="143" spans="2:10" x14ac:dyDescent="0.25">
      <c r="B143" s="1175"/>
      <c r="C143" s="453" t="s">
        <v>635</v>
      </c>
      <c r="D143" s="504">
        <v>337.9</v>
      </c>
      <c r="E143" s="463">
        <f t="shared" si="31"/>
        <v>394.7</v>
      </c>
      <c r="F143" s="454">
        <f t="shared" si="31"/>
        <v>1995.6</v>
      </c>
      <c r="G143" s="454" t="str">
        <f t="shared" si="31"/>
        <v>-</v>
      </c>
      <c r="H143" s="490">
        <f t="shared" si="30"/>
        <v>2728.2</v>
      </c>
      <c r="I143" s="457"/>
      <c r="J143" s="457"/>
    </row>
    <row r="144" spans="2:10" x14ac:dyDescent="0.25">
      <c r="B144" s="1175"/>
      <c r="C144" s="453" t="s">
        <v>636</v>
      </c>
      <c r="D144" s="504">
        <v>657.3</v>
      </c>
      <c r="E144" s="463">
        <f t="shared" si="31"/>
        <v>846.1</v>
      </c>
      <c r="F144" s="454">
        <f t="shared" si="31"/>
        <v>426.3</v>
      </c>
      <c r="G144" s="454" t="str">
        <f t="shared" si="31"/>
        <v>-</v>
      </c>
      <c r="H144" s="490">
        <f t="shared" si="30"/>
        <v>1929.7</v>
      </c>
      <c r="I144" s="457"/>
      <c r="J144" s="457"/>
    </row>
    <row r="145" spans="2:10" x14ac:dyDescent="0.25">
      <c r="B145" s="1175"/>
      <c r="C145" s="453" t="s">
        <v>637</v>
      </c>
      <c r="D145" s="504">
        <v>71.400000000000006</v>
      </c>
      <c r="E145" s="491">
        <f t="shared" si="31"/>
        <v>773.5</v>
      </c>
      <c r="F145" s="454">
        <f t="shared" si="31"/>
        <v>752.5</v>
      </c>
      <c r="G145" s="454" t="str">
        <f t="shared" si="31"/>
        <v>-</v>
      </c>
      <c r="H145" s="490">
        <f t="shared" si="30"/>
        <v>1597.4</v>
      </c>
      <c r="I145" s="457"/>
      <c r="J145" s="457"/>
    </row>
    <row r="146" spans="2:10" ht="15.75" thickBot="1" x14ac:dyDescent="0.3">
      <c r="B146" s="1176"/>
      <c r="C146" s="455" t="s">
        <v>638</v>
      </c>
      <c r="D146" s="507"/>
      <c r="E146" s="485">
        <f t="shared" si="31"/>
        <v>1023.7</v>
      </c>
      <c r="F146" s="446" t="str">
        <f t="shared" si="31"/>
        <v>-</v>
      </c>
      <c r="G146" s="446" t="str">
        <f t="shared" si="31"/>
        <v>-</v>
      </c>
      <c r="H146" s="493">
        <f t="shared" si="30"/>
        <v>1023.7</v>
      </c>
      <c r="I146" s="457"/>
      <c r="J146" s="457"/>
    </row>
    <row r="147" spans="2:10" ht="15.75" thickBot="1" x14ac:dyDescent="0.3">
      <c r="B147" s="457"/>
      <c r="C147" s="473"/>
      <c r="D147" s="459"/>
      <c r="E147" s="459"/>
      <c r="F147" s="459"/>
      <c r="G147" s="459"/>
      <c r="H147" s="501"/>
      <c r="I147" s="457"/>
      <c r="J147" s="457"/>
    </row>
    <row r="148" spans="2:10" ht="15.75" thickBot="1" x14ac:dyDescent="0.3">
      <c r="B148" s="1161" t="s">
        <v>662</v>
      </c>
      <c r="C148" s="1162"/>
      <c r="D148" s="1162"/>
      <c r="E148" s="1162"/>
      <c r="F148" s="1162"/>
      <c r="G148" s="1162"/>
      <c r="H148" s="1163"/>
      <c r="I148" s="457"/>
      <c r="J148" s="457"/>
    </row>
    <row r="149" spans="2:10" x14ac:dyDescent="0.25">
      <c r="B149" s="1152"/>
      <c r="C149" s="1153"/>
      <c r="D149" s="435" t="s">
        <v>640</v>
      </c>
      <c r="E149" s="435" t="s">
        <v>641</v>
      </c>
      <c r="F149" s="435" t="s">
        <v>642</v>
      </c>
      <c r="G149" s="435" t="s">
        <v>648</v>
      </c>
      <c r="H149" s="437" t="s">
        <v>105</v>
      </c>
      <c r="I149" s="457"/>
      <c r="J149" s="457"/>
    </row>
    <row r="150" spans="2:10" x14ac:dyDescent="0.25">
      <c r="B150" s="1170" t="s">
        <v>645</v>
      </c>
      <c r="C150" s="1171"/>
      <c r="D150" s="463">
        <f>D78</f>
        <v>23.7</v>
      </c>
      <c r="E150" s="463">
        <f t="shared" ref="E150:G150" si="32">E78</f>
        <v>22.4</v>
      </c>
      <c r="F150" s="463">
        <f t="shared" si="32"/>
        <v>72.900000000000006</v>
      </c>
      <c r="G150" s="463">
        <f t="shared" si="32"/>
        <v>1.7</v>
      </c>
      <c r="H150" s="509">
        <f t="shared" ref="H150:H158" si="33">SUM(D150:G150)</f>
        <v>120.7</v>
      </c>
      <c r="I150" s="457"/>
      <c r="J150" s="457"/>
    </row>
    <row r="151" spans="2:10" ht="15.75" thickBot="1" x14ac:dyDescent="0.3">
      <c r="B151" s="1172" t="s">
        <v>646</v>
      </c>
      <c r="C151" s="1173"/>
      <c r="D151" s="485">
        <f>SUM(D152:D158)</f>
        <v>1441.2</v>
      </c>
      <c r="E151" s="485">
        <f>SUM(E152:E158)</f>
        <v>3237.2</v>
      </c>
      <c r="F151" s="485">
        <f>SUM(F152:F158)</f>
        <v>4060.3</v>
      </c>
      <c r="G151" s="485">
        <f>SUM(G152:G158)</f>
        <v>100</v>
      </c>
      <c r="H151" s="510">
        <f t="shared" si="33"/>
        <v>8838.7000000000007</v>
      </c>
      <c r="I151" s="457"/>
      <c r="J151" s="457"/>
    </row>
    <row r="152" spans="2:10" x14ac:dyDescent="0.25">
      <c r="B152" s="487" t="s">
        <v>627</v>
      </c>
      <c r="C152" s="450" t="s">
        <v>632</v>
      </c>
      <c r="D152" s="503">
        <v>428.6</v>
      </c>
      <c r="E152" s="488">
        <v>151.5</v>
      </c>
      <c r="F152" s="467" t="str">
        <f>F80</f>
        <v>-</v>
      </c>
      <c r="G152" s="467" t="str">
        <f>G80</f>
        <v>-</v>
      </c>
      <c r="H152" s="511">
        <f t="shared" si="33"/>
        <v>580.1</v>
      </c>
      <c r="I152" s="457"/>
      <c r="J152" s="457"/>
    </row>
    <row r="153" spans="2:10" x14ac:dyDescent="0.25">
      <c r="B153" s="1174" t="s">
        <v>628</v>
      </c>
      <c r="C153" s="453" t="s">
        <v>633</v>
      </c>
      <c r="D153" s="504">
        <v>19.5</v>
      </c>
      <c r="E153" s="463">
        <v>125.9</v>
      </c>
      <c r="F153" s="454">
        <f t="shared" ref="F153:G158" si="34">F81</f>
        <v>155.80000000000001</v>
      </c>
      <c r="G153" s="454">
        <f t="shared" si="34"/>
        <v>14.3</v>
      </c>
      <c r="H153" s="512">
        <f t="shared" si="33"/>
        <v>315.50000000000006</v>
      </c>
      <c r="I153" s="457"/>
      <c r="J153" s="457"/>
    </row>
    <row r="154" spans="2:10" x14ac:dyDescent="0.25">
      <c r="B154" s="1175"/>
      <c r="C154" s="453" t="s">
        <v>634</v>
      </c>
      <c r="D154" s="505" t="s">
        <v>188</v>
      </c>
      <c r="E154" s="463">
        <v>741.6</v>
      </c>
      <c r="F154" s="454">
        <f t="shared" si="34"/>
        <v>730.1</v>
      </c>
      <c r="G154" s="454">
        <f t="shared" si="34"/>
        <v>85.7</v>
      </c>
      <c r="H154" s="512">
        <f t="shared" si="33"/>
        <v>1557.4</v>
      </c>
      <c r="I154" s="457"/>
      <c r="J154" s="457"/>
    </row>
    <row r="155" spans="2:10" x14ac:dyDescent="0.25">
      <c r="B155" s="1175"/>
      <c r="C155" s="453" t="s">
        <v>635</v>
      </c>
      <c r="D155" s="504">
        <v>390</v>
      </c>
      <c r="E155" s="463">
        <v>324.2</v>
      </c>
      <c r="F155" s="454">
        <f t="shared" si="34"/>
        <v>1995.6</v>
      </c>
      <c r="G155" s="454" t="str">
        <f t="shared" si="34"/>
        <v>-</v>
      </c>
      <c r="H155" s="512">
        <f t="shared" si="33"/>
        <v>2709.8</v>
      </c>
      <c r="I155" s="457"/>
      <c r="J155" s="457"/>
    </row>
    <row r="156" spans="2:10" x14ac:dyDescent="0.25">
      <c r="B156" s="1175"/>
      <c r="C156" s="453" t="s">
        <v>636</v>
      </c>
      <c r="D156" s="506">
        <v>603.1</v>
      </c>
      <c r="E156" s="463">
        <v>608.29999999999995</v>
      </c>
      <c r="F156" s="454">
        <f t="shared" si="34"/>
        <v>426.3</v>
      </c>
      <c r="G156" s="454" t="str">
        <f t="shared" si="34"/>
        <v>-</v>
      </c>
      <c r="H156" s="512">
        <f t="shared" si="33"/>
        <v>1637.7</v>
      </c>
      <c r="I156" s="457"/>
      <c r="J156" s="457"/>
    </row>
    <row r="157" spans="2:10" x14ac:dyDescent="0.25">
      <c r="B157" s="1175"/>
      <c r="C157" s="453" t="s">
        <v>637</v>
      </c>
      <c r="D157" s="504" t="s">
        <v>188</v>
      </c>
      <c r="E157" s="491">
        <v>682.7</v>
      </c>
      <c r="F157" s="454">
        <f t="shared" si="34"/>
        <v>752.5</v>
      </c>
      <c r="G157" s="454" t="str">
        <f t="shared" si="34"/>
        <v>-</v>
      </c>
      <c r="H157" s="512">
        <f t="shared" si="33"/>
        <v>1435.2</v>
      </c>
      <c r="I157" s="457"/>
      <c r="J157" s="457"/>
    </row>
    <row r="158" spans="2:10" ht="15.75" thickBot="1" x14ac:dyDescent="0.3">
      <c r="B158" s="1176"/>
      <c r="C158" s="455" t="s">
        <v>638</v>
      </c>
      <c r="D158" s="507" t="s">
        <v>188</v>
      </c>
      <c r="E158" s="485">
        <v>603</v>
      </c>
      <c r="F158" s="446" t="str">
        <f t="shared" si="34"/>
        <v>-</v>
      </c>
      <c r="G158" s="446" t="str">
        <f t="shared" si="34"/>
        <v>-</v>
      </c>
      <c r="H158" s="513">
        <f t="shared" si="33"/>
        <v>603</v>
      </c>
      <c r="I158" s="457"/>
      <c r="J158" s="457"/>
    </row>
    <row r="159" spans="2:10" ht="15.75" thickBot="1" x14ac:dyDescent="0.3">
      <c r="B159" s="457"/>
      <c r="C159" s="457"/>
      <c r="D159" s="457"/>
      <c r="E159" s="457"/>
      <c r="F159" s="457"/>
      <c r="G159" s="457"/>
      <c r="H159" s="457"/>
      <c r="I159" s="457"/>
      <c r="J159" s="457"/>
    </row>
    <row r="160" spans="2:10" ht="15.75" thickBot="1" x14ac:dyDescent="0.3">
      <c r="B160" s="1161" t="s">
        <v>663</v>
      </c>
      <c r="C160" s="1162"/>
      <c r="D160" s="1162"/>
      <c r="E160" s="1162"/>
      <c r="F160" s="1162"/>
      <c r="G160" s="1162"/>
      <c r="H160" s="1163"/>
      <c r="I160" s="457"/>
      <c r="J160" s="457"/>
    </row>
    <row r="161" spans="2:10" x14ac:dyDescent="0.25">
      <c r="B161" s="1152"/>
      <c r="C161" s="1153"/>
      <c r="D161" s="435" t="s">
        <v>640</v>
      </c>
      <c r="E161" s="435" t="s">
        <v>641</v>
      </c>
      <c r="F161" s="435" t="s">
        <v>642</v>
      </c>
      <c r="G161" s="435" t="s">
        <v>648</v>
      </c>
      <c r="H161" s="437" t="s">
        <v>105</v>
      </c>
      <c r="I161" s="457"/>
      <c r="J161" s="457"/>
    </row>
    <row r="162" spans="2:10" x14ac:dyDescent="0.25">
      <c r="B162" s="1170" t="s">
        <v>645</v>
      </c>
      <c r="C162" s="1171"/>
      <c r="D162" s="463">
        <f>D78</f>
        <v>23.7</v>
      </c>
      <c r="E162" s="463">
        <f t="shared" ref="E162:G162" si="35">E78</f>
        <v>22.4</v>
      </c>
      <c r="F162" s="463">
        <f>F78+1.4</f>
        <v>74.300000000000011</v>
      </c>
      <c r="G162" s="463">
        <f t="shared" si="35"/>
        <v>1.7</v>
      </c>
      <c r="H162" s="484">
        <f t="shared" ref="H162:H170" si="36">SUM(D162:G162)</f>
        <v>122.10000000000001</v>
      </c>
      <c r="I162" s="457"/>
      <c r="J162" s="457"/>
    </row>
    <row r="163" spans="2:10" ht="15.75" thickBot="1" x14ac:dyDescent="0.3">
      <c r="B163" s="1172" t="s">
        <v>646</v>
      </c>
      <c r="C163" s="1173"/>
      <c r="D163" s="485">
        <f>SUM(D164:D170)</f>
        <v>1347.8</v>
      </c>
      <c r="E163" s="485">
        <f>SUM(E164:E170)</f>
        <v>3237.2</v>
      </c>
      <c r="F163" s="485">
        <f>SUM(F164:F170)</f>
        <v>4164.5</v>
      </c>
      <c r="G163" s="485">
        <f>SUM(G164:G170)</f>
        <v>100</v>
      </c>
      <c r="H163" s="486">
        <f t="shared" si="36"/>
        <v>8849.5</v>
      </c>
      <c r="I163" s="457"/>
      <c r="J163" s="457"/>
    </row>
    <row r="164" spans="2:10" x14ac:dyDescent="0.25">
      <c r="B164" s="487" t="s">
        <v>627</v>
      </c>
      <c r="C164" s="450" t="s">
        <v>632</v>
      </c>
      <c r="D164" s="503">
        <v>415.6</v>
      </c>
      <c r="E164" s="503">
        <f t="shared" ref="E164:E170" si="37">E152</f>
        <v>151.5</v>
      </c>
      <c r="F164" s="467" t="str">
        <f>F80</f>
        <v>-</v>
      </c>
      <c r="G164" s="467" t="str">
        <f>G80</f>
        <v>-</v>
      </c>
      <c r="H164" s="489">
        <f t="shared" si="36"/>
        <v>567.1</v>
      </c>
      <c r="I164" s="457"/>
      <c r="J164" s="457"/>
    </row>
    <row r="165" spans="2:10" x14ac:dyDescent="0.25">
      <c r="B165" s="1174" t="s">
        <v>628</v>
      </c>
      <c r="C165" s="453" t="s">
        <v>633</v>
      </c>
      <c r="D165" s="504">
        <v>19.5</v>
      </c>
      <c r="E165" s="504">
        <f t="shared" si="37"/>
        <v>125.9</v>
      </c>
      <c r="F165" s="454">
        <f>F81</f>
        <v>155.80000000000001</v>
      </c>
      <c r="G165" s="454">
        <f t="shared" ref="G165:G170" si="38">G81</f>
        <v>14.3</v>
      </c>
      <c r="H165" s="490">
        <f t="shared" si="36"/>
        <v>315.50000000000006</v>
      </c>
      <c r="I165" s="457"/>
      <c r="J165" s="457"/>
    </row>
    <row r="166" spans="2:10" x14ac:dyDescent="0.25">
      <c r="B166" s="1175"/>
      <c r="C166" s="453" t="s">
        <v>634</v>
      </c>
      <c r="D166" s="505" t="s">
        <v>188</v>
      </c>
      <c r="E166" s="504">
        <f t="shared" si="37"/>
        <v>741.6</v>
      </c>
      <c r="F166" s="454">
        <f>F82+104.2</f>
        <v>834.30000000000007</v>
      </c>
      <c r="G166" s="454">
        <f t="shared" si="38"/>
        <v>85.7</v>
      </c>
      <c r="H166" s="490">
        <f t="shared" si="36"/>
        <v>1661.6000000000001</v>
      </c>
      <c r="I166" s="457"/>
      <c r="J166" s="457"/>
    </row>
    <row r="167" spans="2:10" x14ac:dyDescent="0.25">
      <c r="B167" s="1175"/>
      <c r="C167" s="453" t="s">
        <v>635</v>
      </c>
      <c r="D167" s="504">
        <v>422.2</v>
      </c>
      <c r="E167" s="504">
        <f t="shared" si="37"/>
        <v>324.2</v>
      </c>
      <c r="F167" s="454">
        <f>F83</f>
        <v>1995.6</v>
      </c>
      <c r="G167" s="454" t="str">
        <f t="shared" si="38"/>
        <v>-</v>
      </c>
      <c r="H167" s="490">
        <f t="shared" si="36"/>
        <v>2742</v>
      </c>
      <c r="I167" s="457"/>
      <c r="J167" s="457"/>
    </row>
    <row r="168" spans="2:10" x14ac:dyDescent="0.25">
      <c r="B168" s="1175"/>
      <c r="C168" s="453" t="s">
        <v>636</v>
      </c>
      <c r="D168" s="506">
        <v>490.5</v>
      </c>
      <c r="E168" s="504">
        <f t="shared" si="37"/>
        <v>608.29999999999995</v>
      </c>
      <c r="F168" s="454">
        <f>F84</f>
        <v>426.3</v>
      </c>
      <c r="G168" s="454" t="str">
        <f t="shared" si="38"/>
        <v>-</v>
      </c>
      <c r="H168" s="490">
        <f t="shared" si="36"/>
        <v>1525.1</v>
      </c>
      <c r="I168" s="457"/>
      <c r="J168" s="457"/>
    </row>
    <row r="169" spans="2:10" x14ac:dyDescent="0.25">
      <c r="B169" s="1175"/>
      <c r="C169" s="453" t="s">
        <v>637</v>
      </c>
      <c r="D169" s="504" t="s">
        <v>188</v>
      </c>
      <c r="E169" s="505">
        <f t="shared" si="37"/>
        <v>682.7</v>
      </c>
      <c r="F169" s="454">
        <f>F85</f>
        <v>752.5</v>
      </c>
      <c r="G169" s="454" t="str">
        <f t="shared" si="38"/>
        <v>-</v>
      </c>
      <c r="H169" s="490">
        <f t="shared" si="36"/>
        <v>1435.2</v>
      </c>
      <c r="I169" s="457"/>
      <c r="J169" s="457"/>
    </row>
    <row r="170" spans="2:10" ht="15.75" thickBot="1" x14ac:dyDescent="0.3">
      <c r="B170" s="1176"/>
      <c r="C170" s="455" t="s">
        <v>638</v>
      </c>
      <c r="D170" s="507" t="s">
        <v>188</v>
      </c>
      <c r="E170" s="507">
        <f t="shared" si="37"/>
        <v>603</v>
      </c>
      <c r="F170" s="446" t="str">
        <f>F86</f>
        <v>-</v>
      </c>
      <c r="G170" s="446" t="str">
        <f t="shared" si="38"/>
        <v>-</v>
      </c>
      <c r="H170" s="493">
        <f t="shared" si="36"/>
        <v>603</v>
      </c>
      <c r="I170" s="457"/>
      <c r="J170" s="457"/>
    </row>
    <row r="171" spans="2:10" ht="15.75" thickBot="1" x14ac:dyDescent="0.3">
      <c r="B171" s="457"/>
      <c r="C171" s="457"/>
      <c r="D171" s="457"/>
      <c r="E171" s="457"/>
      <c r="F171" s="457"/>
      <c r="G171" s="457"/>
      <c r="H171" s="457"/>
      <c r="I171" s="457"/>
      <c r="J171" s="457"/>
    </row>
    <row r="172" spans="2:10" ht="15.75" thickBot="1" x14ac:dyDescent="0.3">
      <c r="B172" s="1161" t="s">
        <v>664</v>
      </c>
      <c r="C172" s="1162"/>
      <c r="D172" s="1162"/>
      <c r="E172" s="1162"/>
      <c r="F172" s="1162"/>
      <c r="G172" s="1162"/>
      <c r="H172" s="1163"/>
      <c r="I172" s="457"/>
      <c r="J172" s="457"/>
    </row>
    <row r="173" spans="2:10" x14ac:dyDescent="0.25">
      <c r="B173" s="1152"/>
      <c r="C173" s="1153"/>
      <c r="D173" s="435" t="s">
        <v>640</v>
      </c>
      <c r="E173" s="435" t="s">
        <v>641</v>
      </c>
      <c r="F173" s="435" t="s">
        <v>642</v>
      </c>
      <c r="G173" s="435" t="s">
        <v>648</v>
      </c>
      <c r="H173" s="437" t="s">
        <v>105</v>
      </c>
      <c r="I173" s="457"/>
      <c r="J173" s="457"/>
    </row>
    <row r="174" spans="2:10" x14ac:dyDescent="0.25">
      <c r="B174" s="1170" t="s">
        <v>645</v>
      </c>
      <c r="C174" s="1171"/>
      <c r="D174" s="463">
        <f>D78</f>
        <v>23.7</v>
      </c>
      <c r="E174" s="463">
        <f t="shared" ref="E174:G174" si="39">E78</f>
        <v>22.4</v>
      </c>
      <c r="F174" s="463">
        <f t="shared" si="39"/>
        <v>72.900000000000006</v>
      </c>
      <c r="G174" s="463">
        <f t="shared" si="39"/>
        <v>1.7</v>
      </c>
      <c r="H174" s="484">
        <f t="shared" ref="H174:H182" si="40">SUM(D174:G174)</f>
        <v>120.7</v>
      </c>
      <c r="I174" s="457"/>
      <c r="J174" s="457"/>
    </row>
    <row r="175" spans="2:10" ht="15.75" thickBot="1" x14ac:dyDescent="0.3">
      <c r="B175" s="1172" t="s">
        <v>646</v>
      </c>
      <c r="C175" s="1173"/>
      <c r="D175" s="485">
        <f>SUM(D176:D182)</f>
        <v>1379.5</v>
      </c>
      <c r="E175" s="485">
        <f>SUM(E176:E182)</f>
        <v>3237.2</v>
      </c>
      <c r="F175" s="485">
        <f>SUM(F176:F182)</f>
        <v>4060.3</v>
      </c>
      <c r="G175" s="485">
        <f>SUM(G176:G182)</f>
        <v>100</v>
      </c>
      <c r="H175" s="486">
        <f t="shared" si="40"/>
        <v>8777</v>
      </c>
      <c r="I175" s="457"/>
      <c r="J175" s="457"/>
    </row>
    <row r="176" spans="2:10" x14ac:dyDescent="0.25">
      <c r="B176" s="487" t="s">
        <v>627</v>
      </c>
      <c r="C176" s="450" t="s">
        <v>632</v>
      </c>
      <c r="D176" s="503">
        <v>429.8</v>
      </c>
      <c r="E176" s="503">
        <f>E152</f>
        <v>151.5</v>
      </c>
      <c r="F176" s="467" t="str">
        <f>F80</f>
        <v>-</v>
      </c>
      <c r="G176" s="467" t="str">
        <f>G80</f>
        <v>-</v>
      </c>
      <c r="H176" s="489">
        <f t="shared" si="40"/>
        <v>581.29999999999995</v>
      </c>
      <c r="I176" s="457"/>
      <c r="J176" s="457"/>
    </row>
    <row r="177" spans="2:10" x14ac:dyDescent="0.25">
      <c r="B177" s="1174" t="s">
        <v>628</v>
      </c>
      <c r="C177" s="453" t="s">
        <v>633</v>
      </c>
      <c r="D177" s="504">
        <v>19.5</v>
      </c>
      <c r="E177" s="504">
        <f t="shared" ref="E177:E182" si="41">E153</f>
        <v>125.9</v>
      </c>
      <c r="F177" s="454">
        <f t="shared" ref="F177:G182" si="42">F81</f>
        <v>155.80000000000001</v>
      </c>
      <c r="G177" s="454">
        <f t="shared" si="42"/>
        <v>14.3</v>
      </c>
      <c r="H177" s="490">
        <f t="shared" si="40"/>
        <v>315.50000000000006</v>
      </c>
      <c r="I177" s="457"/>
      <c r="J177" s="457"/>
    </row>
    <row r="178" spans="2:10" x14ac:dyDescent="0.25">
      <c r="B178" s="1175"/>
      <c r="C178" s="453" t="s">
        <v>634</v>
      </c>
      <c r="D178" s="505" t="s">
        <v>188</v>
      </c>
      <c r="E178" s="504">
        <f t="shared" si="41"/>
        <v>741.6</v>
      </c>
      <c r="F178" s="454">
        <f t="shared" si="42"/>
        <v>730.1</v>
      </c>
      <c r="G178" s="454">
        <f t="shared" si="42"/>
        <v>85.7</v>
      </c>
      <c r="H178" s="490">
        <f t="shared" si="40"/>
        <v>1557.4</v>
      </c>
      <c r="I178" s="457"/>
      <c r="J178" s="457"/>
    </row>
    <row r="179" spans="2:10" x14ac:dyDescent="0.25">
      <c r="B179" s="1175"/>
      <c r="C179" s="453" t="s">
        <v>635</v>
      </c>
      <c r="D179" s="504">
        <v>439.2</v>
      </c>
      <c r="E179" s="504">
        <f t="shared" si="41"/>
        <v>324.2</v>
      </c>
      <c r="F179" s="454">
        <f t="shared" si="42"/>
        <v>1995.6</v>
      </c>
      <c r="G179" s="454" t="str">
        <f t="shared" si="42"/>
        <v>-</v>
      </c>
      <c r="H179" s="490">
        <f t="shared" si="40"/>
        <v>2759</v>
      </c>
      <c r="I179" s="457"/>
      <c r="J179" s="457"/>
    </row>
    <row r="180" spans="2:10" x14ac:dyDescent="0.25">
      <c r="B180" s="1175"/>
      <c r="C180" s="453" t="s">
        <v>636</v>
      </c>
      <c r="D180" s="506">
        <v>491</v>
      </c>
      <c r="E180" s="504">
        <f t="shared" si="41"/>
        <v>608.29999999999995</v>
      </c>
      <c r="F180" s="454">
        <f t="shared" si="42"/>
        <v>426.3</v>
      </c>
      <c r="G180" s="454" t="str">
        <f t="shared" si="42"/>
        <v>-</v>
      </c>
      <c r="H180" s="490">
        <f t="shared" si="40"/>
        <v>1525.6</v>
      </c>
      <c r="I180" s="457"/>
      <c r="J180" s="457"/>
    </row>
    <row r="181" spans="2:10" x14ac:dyDescent="0.25">
      <c r="B181" s="1175"/>
      <c r="C181" s="453" t="s">
        <v>637</v>
      </c>
      <c r="D181" s="504" t="s">
        <v>188</v>
      </c>
      <c r="E181" s="505">
        <f t="shared" si="41"/>
        <v>682.7</v>
      </c>
      <c r="F181" s="454">
        <f t="shared" si="42"/>
        <v>752.5</v>
      </c>
      <c r="G181" s="454" t="str">
        <f t="shared" si="42"/>
        <v>-</v>
      </c>
      <c r="H181" s="490">
        <f t="shared" si="40"/>
        <v>1435.2</v>
      </c>
      <c r="I181" s="457"/>
      <c r="J181" s="457"/>
    </row>
    <row r="182" spans="2:10" ht="15.75" thickBot="1" x14ac:dyDescent="0.3">
      <c r="B182" s="1176"/>
      <c r="C182" s="455" t="s">
        <v>638</v>
      </c>
      <c r="D182" s="507" t="s">
        <v>188</v>
      </c>
      <c r="E182" s="507">
        <f t="shared" si="41"/>
        <v>603</v>
      </c>
      <c r="F182" s="446" t="str">
        <f t="shared" si="42"/>
        <v>-</v>
      </c>
      <c r="G182" s="446" t="str">
        <f t="shared" si="42"/>
        <v>-</v>
      </c>
      <c r="H182" s="493">
        <f t="shared" si="40"/>
        <v>603</v>
      </c>
      <c r="I182" s="457"/>
      <c r="J182" s="457"/>
    </row>
    <row r="183" spans="2:10" ht="15.75" thickBot="1" x14ac:dyDescent="0.3">
      <c r="B183" s="494"/>
      <c r="C183" s="494"/>
      <c r="D183" s="492"/>
      <c r="E183" s="492"/>
      <c r="F183" s="492"/>
      <c r="G183" s="492"/>
      <c r="H183" s="514"/>
      <c r="I183" s="457"/>
      <c r="J183" s="457"/>
    </row>
    <row r="184" spans="2:10" ht="15.75" thickBot="1" x14ac:dyDescent="0.3">
      <c r="B184" s="1161" t="s">
        <v>665</v>
      </c>
      <c r="C184" s="1162"/>
      <c r="D184" s="1162"/>
      <c r="E184" s="1162"/>
      <c r="F184" s="1162"/>
      <c r="G184" s="1162"/>
      <c r="H184" s="1163"/>
      <c r="I184" s="457"/>
      <c r="J184" s="457"/>
    </row>
    <row r="185" spans="2:10" x14ac:dyDescent="0.25">
      <c r="B185" s="1152"/>
      <c r="C185" s="1153"/>
      <c r="D185" s="435" t="s">
        <v>640</v>
      </c>
      <c r="E185" s="435" t="s">
        <v>641</v>
      </c>
      <c r="F185" s="435" t="s">
        <v>642</v>
      </c>
      <c r="G185" s="435" t="s">
        <v>648</v>
      </c>
      <c r="H185" s="437" t="s">
        <v>105</v>
      </c>
      <c r="I185" s="457"/>
      <c r="J185" s="457"/>
    </row>
    <row r="186" spans="2:10" x14ac:dyDescent="0.25">
      <c r="B186" s="1170" t="s">
        <v>645</v>
      </c>
      <c r="C186" s="1171"/>
      <c r="D186" s="463">
        <f>D78</f>
        <v>23.7</v>
      </c>
      <c r="E186" s="463">
        <f t="shared" ref="E186:G186" si="43">E78</f>
        <v>22.4</v>
      </c>
      <c r="F186" s="463">
        <f>F78+1.4</f>
        <v>74.300000000000011</v>
      </c>
      <c r="G186" s="463">
        <f t="shared" si="43"/>
        <v>1.7</v>
      </c>
      <c r="H186" s="484">
        <f t="shared" ref="H186:H194" si="44">SUM(D186:G186)</f>
        <v>122.10000000000001</v>
      </c>
      <c r="I186" s="457"/>
      <c r="J186" s="457"/>
    </row>
    <row r="187" spans="2:10" ht="15.75" thickBot="1" x14ac:dyDescent="0.3">
      <c r="B187" s="1172" t="s">
        <v>646</v>
      </c>
      <c r="C187" s="1173"/>
      <c r="D187" s="485">
        <f>SUM(D188:D194)</f>
        <v>1371.3</v>
      </c>
      <c r="E187" s="485">
        <f>SUM(E188:E194)</f>
        <v>3237.2</v>
      </c>
      <c r="F187" s="485">
        <f>SUM(F188:F194)</f>
        <v>4164.5</v>
      </c>
      <c r="G187" s="485">
        <f>SUM(G188:G194)</f>
        <v>100</v>
      </c>
      <c r="H187" s="486">
        <f t="shared" si="44"/>
        <v>8873</v>
      </c>
      <c r="I187" s="457"/>
      <c r="J187" s="457"/>
    </row>
    <row r="188" spans="2:10" x14ac:dyDescent="0.25">
      <c r="B188" s="487" t="s">
        <v>627</v>
      </c>
      <c r="C188" s="450" t="s">
        <v>632</v>
      </c>
      <c r="D188" s="503">
        <v>428.8</v>
      </c>
      <c r="E188" s="503">
        <f>E152</f>
        <v>151.5</v>
      </c>
      <c r="F188" s="467" t="str">
        <f>F80</f>
        <v>-</v>
      </c>
      <c r="G188" s="467" t="str">
        <f>G80</f>
        <v>-</v>
      </c>
      <c r="H188" s="489">
        <f t="shared" si="44"/>
        <v>580.29999999999995</v>
      </c>
      <c r="I188" s="457"/>
      <c r="J188" s="457"/>
    </row>
    <row r="189" spans="2:10" x14ac:dyDescent="0.25">
      <c r="B189" s="1174" t="s">
        <v>628</v>
      </c>
      <c r="C189" s="453" t="s">
        <v>633</v>
      </c>
      <c r="D189" s="504">
        <v>19.5</v>
      </c>
      <c r="E189" s="504">
        <f t="shared" ref="E189:E194" si="45">E153</f>
        <v>125.9</v>
      </c>
      <c r="F189" s="454">
        <f>F81</f>
        <v>155.80000000000001</v>
      </c>
      <c r="G189" s="454">
        <f t="shared" ref="G189:G194" si="46">G81</f>
        <v>14.3</v>
      </c>
      <c r="H189" s="490">
        <f t="shared" si="44"/>
        <v>315.50000000000006</v>
      </c>
      <c r="I189" s="457"/>
      <c r="J189" s="457"/>
    </row>
    <row r="190" spans="2:10" x14ac:dyDescent="0.25">
      <c r="B190" s="1175"/>
      <c r="C190" s="453" t="s">
        <v>634</v>
      </c>
      <c r="D190" s="505" t="s">
        <v>188</v>
      </c>
      <c r="E190" s="504">
        <f t="shared" si="45"/>
        <v>741.6</v>
      </c>
      <c r="F190" s="454">
        <f>F82+104.2</f>
        <v>834.30000000000007</v>
      </c>
      <c r="G190" s="454">
        <f t="shared" si="46"/>
        <v>85.7</v>
      </c>
      <c r="H190" s="490">
        <f t="shared" si="44"/>
        <v>1661.6000000000001</v>
      </c>
      <c r="I190" s="457"/>
      <c r="J190" s="457"/>
    </row>
    <row r="191" spans="2:10" x14ac:dyDescent="0.25">
      <c r="B191" s="1175"/>
      <c r="C191" s="453" t="s">
        <v>635</v>
      </c>
      <c r="D191" s="504">
        <v>439.2</v>
      </c>
      <c r="E191" s="504">
        <f t="shared" si="45"/>
        <v>324.2</v>
      </c>
      <c r="F191" s="454">
        <f>F83</f>
        <v>1995.6</v>
      </c>
      <c r="G191" s="454" t="str">
        <f t="shared" si="46"/>
        <v>-</v>
      </c>
      <c r="H191" s="490">
        <f t="shared" si="44"/>
        <v>2759</v>
      </c>
      <c r="I191" s="457"/>
      <c r="J191" s="457"/>
    </row>
    <row r="192" spans="2:10" x14ac:dyDescent="0.25">
      <c r="B192" s="1175"/>
      <c r="C192" s="453" t="s">
        <v>636</v>
      </c>
      <c r="D192" s="506">
        <v>483.8</v>
      </c>
      <c r="E192" s="504">
        <f t="shared" si="45"/>
        <v>608.29999999999995</v>
      </c>
      <c r="F192" s="454">
        <f>F84</f>
        <v>426.3</v>
      </c>
      <c r="G192" s="454" t="str">
        <f t="shared" si="46"/>
        <v>-</v>
      </c>
      <c r="H192" s="490">
        <f t="shared" si="44"/>
        <v>1518.3999999999999</v>
      </c>
      <c r="I192" s="457"/>
      <c r="J192" s="457"/>
    </row>
    <row r="193" spans="2:10" x14ac:dyDescent="0.25">
      <c r="B193" s="1175"/>
      <c r="C193" s="453" t="s">
        <v>637</v>
      </c>
      <c r="D193" s="504" t="s">
        <v>188</v>
      </c>
      <c r="E193" s="505">
        <f t="shared" si="45"/>
        <v>682.7</v>
      </c>
      <c r="F193" s="454">
        <f>F85</f>
        <v>752.5</v>
      </c>
      <c r="G193" s="454" t="str">
        <f t="shared" si="46"/>
        <v>-</v>
      </c>
      <c r="H193" s="490">
        <f t="shared" si="44"/>
        <v>1435.2</v>
      </c>
      <c r="I193" s="457"/>
      <c r="J193" s="457"/>
    </row>
    <row r="194" spans="2:10" ht="15.75" thickBot="1" x14ac:dyDescent="0.3">
      <c r="B194" s="1176"/>
      <c r="C194" s="455" t="s">
        <v>638</v>
      </c>
      <c r="D194" s="507" t="s">
        <v>188</v>
      </c>
      <c r="E194" s="507">
        <f t="shared" si="45"/>
        <v>603</v>
      </c>
      <c r="F194" s="446" t="str">
        <f>F86</f>
        <v>-</v>
      </c>
      <c r="G194" s="446" t="str">
        <f t="shared" si="46"/>
        <v>-</v>
      </c>
      <c r="H194" s="493">
        <f t="shared" si="44"/>
        <v>603</v>
      </c>
      <c r="I194" s="457"/>
      <c r="J194" s="457"/>
    </row>
    <row r="195" spans="2:10" ht="15.75" thickBot="1" x14ac:dyDescent="0.3">
      <c r="B195" s="494"/>
      <c r="C195" s="494"/>
      <c r="D195" s="492"/>
      <c r="E195" s="492"/>
      <c r="F195" s="492"/>
      <c r="G195" s="492"/>
      <c r="H195" s="514"/>
      <c r="I195" s="457"/>
      <c r="J195" s="457"/>
    </row>
    <row r="196" spans="2:10" ht="15.75" thickBot="1" x14ac:dyDescent="0.3">
      <c r="B196" s="1161" t="s">
        <v>666</v>
      </c>
      <c r="C196" s="1162"/>
      <c r="D196" s="1162"/>
      <c r="E196" s="1162"/>
      <c r="F196" s="1162"/>
      <c r="G196" s="1162"/>
      <c r="H196" s="1163"/>
      <c r="I196" s="457"/>
      <c r="J196" s="457"/>
    </row>
    <row r="197" spans="2:10" x14ac:dyDescent="0.25">
      <c r="B197" s="1152"/>
      <c r="C197" s="1153"/>
      <c r="D197" s="435" t="s">
        <v>640</v>
      </c>
      <c r="E197" s="435" t="s">
        <v>641</v>
      </c>
      <c r="F197" s="435" t="s">
        <v>642</v>
      </c>
      <c r="G197" s="435" t="s">
        <v>648</v>
      </c>
      <c r="H197" s="437" t="s">
        <v>105</v>
      </c>
      <c r="I197" s="457"/>
      <c r="J197" s="457"/>
    </row>
    <row r="198" spans="2:10" x14ac:dyDescent="0.25">
      <c r="B198" s="1170" t="s">
        <v>645</v>
      </c>
      <c r="C198" s="1171"/>
      <c r="D198" s="463">
        <f>D78</f>
        <v>23.7</v>
      </c>
      <c r="E198" s="463">
        <f t="shared" ref="E198:G198" si="47">E78</f>
        <v>22.4</v>
      </c>
      <c r="F198" s="463">
        <f>F78-0.5</f>
        <v>72.400000000000006</v>
      </c>
      <c r="G198" s="463">
        <f t="shared" si="47"/>
        <v>1.7</v>
      </c>
      <c r="H198" s="484">
        <f t="shared" ref="H198:H206" si="48">SUM(D198:G198)</f>
        <v>120.2</v>
      </c>
      <c r="I198" s="457"/>
      <c r="J198" s="457"/>
    </row>
    <row r="199" spans="2:10" ht="15.75" thickBot="1" x14ac:dyDescent="0.3">
      <c r="B199" s="1172" t="s">
        <v>646</v>
      </c>
      <c r="C199" s="1173"/>
      <c r="D199" s="485">
        <f>SUM(D200:D206)</f>
        <v>1372.8</v>
      </c>
      <c r="E199" s="485">
        <f>SUM(E200:E206)</f>
        <v>3237.2</v>
      </c>
      <c r="F199" s="485">
        <f>SUM(F200:F206)</f>
        <v>4060.3</v>
      </c>
      <c r="G199" s="485">
        <f>SUM(G200:G206)</f>
        <v>100</v>
      </c>
      <c r="H199" s="486">
        <f t="shared" si="48"/>
        <v>8770.2999999999993</v>
      </c>
      <c r="I199" s="457"/>
      <c r="J199" s="457"/>
    </row>
    <row r="200" spans="2:10" x14ac:dyDescent="0.25">
      <c r="B200" s="487" t="s">
        <v>627</v>
      </c>
      <c r="C200" s="450" t="s">
        <v>632</v>
      </c>
      <c r="D200" s="503">
        <v>428.8</v>
      </c>
      <c r="E200" s="503">
        <f>E152</f>
        <v>151.5</v>
      </c>
      <c r="F200" s="467" t="str">
        <f>F80</f>
        <v>-</v>
      </c>
      <c r="G200" s="467" t="str">
        <f>G80</f>
        <v>-</v>
      </c>
      <c r="H200" s="489">
        <f t="shared" si="48"/>
        <v>580.29999999999995</v>
      </c>
      <c r="I200" s="457"/>
      <c r="J200" s="457"/>
    </row>
    <row r="201" spans="2:10" x14ac:dyDescent="0.25">
      <c r="B201" s="1174" t="s">
        <v>628</v>
      </c>
      <c r="C201" s="453" t="s">
        <v>633</v>
      </c>
      <c r="D201" s="504">
        <v>19.5</v>
      </c>
      <c r="E201" s="504">
        <f t="shared" ref="E201:E206" si="49">E153</f>
        <v>125.9</v>
      </c>
      <c r="F201" s="454">
        <f t="shared" ref="F201:G206" si="50">F81</f>
        <v>155.80000000000001</v>
      </c>
      <c r="G201" s="454">
        <f t="shared" si="50"/>
        <v>14.3</v>
      </c>
      <c r="H201" s="490">
        <f t="shared" si="48"/>
        <v>315.50000000000006</v>
      </c>
      <c r="I201" s="457"/>
      <c r="J201" s="457"/>
    </row>
    <row r="202" spans="2:10" x14ac:dyDescent="0.25">
      <c r="B202" s="1175"/>
      <c r="C202" s="453" t="s">
        <v>634</v>
      </c>
      <c r="D202" s="505" t="s">
        <v>188</v>
      </c>
      <c r="E202" s="504">
        <f t="shared" si="49"/>
        <v>741.6</v>
      </c>
      <c r="F202" s="454">
        <f t="shared" si="50"/>
        <v>730.1</v>
      </c>
      <c r="G202" s="454">
        <f t="shared" si="50"/>
        <v>85.7</v>
      </c>
      <c r="H202" s="490">
        <f t="shared" si="48"/>
        <v>1557.4</v>
      </c>
      <c r="I202" s="457"/>
      <c r="J202" s="457"/>
    </row>
    <row r="203" spans="2:10" x14ac:dyDescent="0.25">
      <c r="B203" s="1175"/>
      <c r="C203" s="453" t="s">
        <v>635</v>
      </c>
      <c r="D203" s="504">
        <v>440.7</v>
      </c>
      <c r="E203" s="504">
        <f t="shared" si="49"/>
        <v>324.2</v>
      </c>
      <c r="F203" s="454">
        <f t="shared" si="50"/>
        <v>1995.6</v>
      </c>
      <c r="G203" s="454" t="str">
        <f t="shared" si="50"/>
        <v>-</v>
      </c>
      <c r="H203" s="490">
        <f t="shared" si="48"/>
        <v>2760.5</v>
      </c>
      <c r="I203" s="457"/>
      <c r="J203" s="457"/>
    </row>
    <row r="204" spans="2:10" x14ac:dyDescent="0.25">
      <c r="B204" s="1175"/>
      <c r="C204" s="453" t="s">
        <v>636</v>
      </c>
      <c r="D204" s="506">
        <v>483.8</v>
      </c>
      <c r="E204" s="504">
        <f t="shared" si="49"/>
        <v>608.29999999999995</v>
      </c>
      <c r="F204" s="454">
        <f t="shared" si="50"/>
        <v>426.3</v>
      </c>
      <c r="G204" s="454" t="str">
        <f t="shared" si="50"/>
        <v>-</v>
      </c>
      <c r="H204" s="490">
        <f t="shared" si="48"/>
        <v>1518.3999999999999</v>
      </c>
      <c r="I204" s="457"/>
      <c r="J204" s="457"/>
    </row>
    <row r="205" spans="2:10" x14ac:dyDescent="0.25">
      <c r="B205" s="1175"/>
      <c r="C205" s="453" t="s">
        <v>637</v>
      </c>
      <c r="D205" s="504" t="s">
        <v>188</v>
      </c>
      <c r="E205" s="505">
        <f t="shared" si="49"/>
        <v>682.7</v>
      </c>
      <c r="F205" s="454">
        <f t="shared" si="50"/>
        <v>752.5</v>
      </c>
      <c r="G205" s="454" t="str">
        <f t="shared" si="50"/>
        <v>-</v>
      </c>
      <c r="H205" s="490">
        <f t="shared" si="48"/>
        <v>1435.2</v>
      </c>
      <c r="I205" s="457"/>
      <c r="J205" s="457"/>
    </row>
    <row r="206" spans="2:10" ht="15.75" thickBot="1" x14ac:dyDescent="0.3">
      <c r="B206" s="1176"/>
      <c r="C206" s="455" t="s">
        <v>638</v>
      </c>
      <c r="D206" s="507" t="s">
        <v>188</v>
      </c>
      <c r="E206" s="507">
        <f t="shared" si="49"/>
        <v>603</v>
      </c>
      <c r="F206" s="446" t="str">
        <f t="shared" si="50"/>
        <v>-</v>
      </c>
      <c r="G206" s="446" t="str">
        <f t="shared" si="50"/>
        <v>-</v>
      </c>
      <c r="H206" s="493">
        <f t="shared" si="48"/>
        <v>603</v>
      </c>
      <c r="I206" s="457"/>
      <c r="J206" s="457"/>
    </row>
    <row r="207" spans="2:10" ht="15.75" thickBot="1" x14ac:dyDescent="0.3">
      <c r="B207" s="497"/>
      <c r="C207" s="515"/>
      <c r="D207" s="515"/>
      <c r="E207" s="515"/>
      <c r="F207" s="516"/>
      <c r="G207" s="517"/>
      <c r="H207" s="457"/>
      <c r="I207" s="457"/>
      <c r="J207" s="457"/>
    </row>
    <row r="208" spans="2:10" ht="15.75" thickBot="1" x14ac:dyDescent="0.3">
      <c r="B208" s="1161" t="s">
        <v>667</v>
      </c>
      <c r="C208" s="1162"/>
      <c r="D208" s="1162"/>
      <c r="E208" s="1162"/>
      <c r="F208" s="1162"/>
      <c r="G208" s="1162"/>
      <c r="H208" s="1163"/>
      <c r="I208" s="457"/>
      <c r="J208" s="457"/>
    </row>
    <row r="209" spans="2:10" x14ac:dyDescent="0.25">
      <c r="B209" s="1152"/>
      <c r="C209" s="1153"/>
      <c r="D209" s="435" t="s">
        <v>640</v>
      </c>
      <c r="E209" s="435" t="s">
        <v>641</v>
      </c>
      <c r="F209" s="435" t="s">
        <v>642</v>
      </c>
      <c r="G209" s="435" t="s">
        <v>648</v>
      </c>
      <c r="H209" s="437" t="s">
        <v>105</v>
      </c>
      <c r="I209" s="457"/>
      <c r="J209" s="457"/>
    </row>
    <row r="210" spans="2:10" x14ac:dyDescent="0.25">
      <c r="B210" s="1170" t="s">
        <v>645</v>
      </c>
      <c r="C210" s="1171"/>
      <c r="D210" s="463">
        <f>D78</f>
        <v>23.7</v>
      </c>
      <c r="E210" s="463">
        <f t="shared" ref="E210" si="51">E78</f>
        <v>22.4</v>
      </c>
      <c r="F210" s="463">
        <f>F78-0.5</f>
        <v>72.400000000000006</v>
      </c>
      <c r="G210" s="463">
        <f>G78</f>
        <v>1.7</v>
      </c>
      <c r="H210" s="484">
        <f t="shared" ref="H210:H218" si="52">SUM(D210:G210)</f>
        <v>120.2</v>
      </c>
      <c r="I210" s="457"/>
      <c r="J210" s="457"/>
    </row>
    <row r="211" spans="2:10" ht="15.75" thickBot="1" x14ac:dyDescent="0.3">
      <c r="B211" s="1172" t="s">
        <v>646</v>
      </c>
      <c r="C211" s="1173"/>
      <c r="D211" s="485">
        <f>SUM(D212:D218)</f>
        <v>1447.2</v>
      </c>
      <c r="E211" s="485">
        <f>SUM(E212:E218)</f>
        <v>3237.2</v>
      </c>
      <c r="F211" s="485">
        <f>SUM(F212:F218)</f>
        <v>4060.3</v>
      </c>
      <c r="G211" s="485">
        <f>SUM(G212:G218)</f>
        <v>100</v>
      </c>
      <c r="H211" s="486">
        <f t="shared" si="52"/>
        <v>8844.7000000000007</v>
      </c>
      <c r="I211" s="457"/>
      <c r="J211" s="457"/>
    </row>
    <row r="212" spans="2:10" x14ac:dyDescent="0.25">
      <c r="B212" s="487" t="s">
        <v>627</v>
      </c>
      <c r="C212" s="450" t="s">
        <v>632</v>
      </c>
      <c r="D212" s="503">
        <v>422.1</v>
      </c>
      <c r="E212" s="503">
        <f>E152</f>
        <v>151.5</v>
      </c>
      <c r="F212" s="467" t="str">
        <f>F80</f>
        <v>-</v>
      </c>
      <c r="G212" s="467" t="str">
        <f>G80</f>
        <v>-</v>
      </c>
      <c r="H212" s="489">
        <f t="shared" si="52"/>
        <v>573.6</v>
      </c>
      <c r="I212" s="457"/>
      <c r="J212" s="457"/>
    </row>
    <row r="213" spans="2:10" x14ac:dyDescent="0.25">
      <c r="B213" s="1174" t="s">
        <v>628</v>
      </c>
      <c r="C213" s="453" t="s">
        <v>633</v>
      </c>
      <c r="D213" s="504">
        <v>34.200000000000003</v>
      </c>
      <c r="E213" s="504">
        <f t="shared" ref="E213:E218" si="53">E153</f>
        <v>125.9</v>
      </c>
      <c r="F213" s="454">
        <f t="shared" ref="F213:G218" si="54">F81</f>
        <v>155.80000000000001</v>
      </c>
      <c r="G213" s="454">
        <f t="shared" si="54"/>
        <v>14.3</v>
      </c>
      <c r="H213" s="490">
        <f t="shared" si="52"/>
        <v>330.20000000000005</v>
      </c>
      <c r="I213" s="457"/>
      <c r="J213" s="457"/>
    </row>
    <row r="214" spans="2:10" x14ac:dyDescent="0.25">
      <c r="B214" s="1175"/>
      <c r="C214" s="453" t="s">
        <v>634</v>
      </c>
      <c r="D214" s="505" t="s">
        <v>188</v>
      </c>
      <c r="E214" s="504">
        <f t="shared" si="53"/>
        <v>741.6</v>
      </c>
      <c r="F214" s="454">
        <f t="shared" si="54"/>
        <v>730.1</v>
      </c>
      <c r="G214" s="454">
        <f t="shared" si="54"/>
        <v>85.7</v>
      </c>
      <c r="H214" s="490">
        <f t="shared" si="52"/>
        <v>1557.4</v>
      </c>
      <c r="I214" s="457"/>
      <c r="J214" s="457"/>
    </row>
    <row r="215" spans="2:10" x14ac:dyDescent="0.25">
      <c r="B215" s="1175"/>
      <c r="C215" s="453" t="s">
        <v>635</v>
      </c>
      <c r="D215" s="504">
        <v>452.2</v>
      </c>
      <c r="E215" s="504">
        <f t="shared" si="53"/>
        <v>324.2</v>
      </c>
      <c r="F215" s="454">
        <f t="shared" si="54"/>
        <v>1995.6</v>
      </c>
      <c r="G215" s="454" t="str">
        <f t="shared" si="54"/>
        <v>-</v>
      </c>
      <c r="H215" s="490">
        <f t="shared" si="52"/>
        <v>2772</v>
      </c>
      <c r="I215" s="457"/>
      <c r="J215" s="457"/>
    </row>
    <row r="216" spans="2:10" x14ac:dyDescent="0.25">
      <c r="B216" s="1175"/>
      <c r="C216" s="453" t="s">
        <v>636</v>
      </c>
      <c r="D216" s="506">
        <v>508.4</v>
      </c>
      <c r="E216" s="504">
        <f t="shared" si="53"/>
        <v>608.29999999999995</v>
      </c>
      <c r="F216" s="454">
        <f t="shared" si="54"/>
        <v>426.3</v>
      </c>
      <c r="G216" s="454" t="str">
        <f t="shared" si="54"/>
        <v>-</v>
      </c>
      <c r="H216" s="490">
        <f t="shared" si="52"/>
        <v>1542.9999999999998</v>
      </c>
      <c r="I216" s="457"/>
      <c r="J216" s="457"/>
    </row>
    <row r="217" spans="2:10" x14ac:dyDescent="0.25">
      <c r="B217" s="1175"/>
      <c r="C217" s="453" t="s">
        <v>637</v>
      </c>
      <c r="D217" s="504">
        <v>30.3</v>
      </c>
      <c r="E217" s="505">
        <f t="shared" si="53"/>
        <v>682.7</v>
      </c>
      <c r="F217" s="454">
        <f t="shared" si="54"/>
        <v>752.5</v>
      </c>
      <c r="G217" s="454" t="str">
        <f t="shared" si="54"/>
        <v>-</v>
      </c>
      <c r="H217" s="490">
        <f t="shared" si="52"/>
        <v>1465.5</v>
      </c>
      <c r="I217" s="457"/>
      <c r="J217" s="457"/>
    </row>
    <row r="218" spans="2:10" ht="15.75" thickBot="1" x14ac:dyDescent="0.3">
      <c r="B218" s="1176"/>
      <c r="C218" s="455" t="s">
        <v>638</v>
      </c>
      <c r="D218" s="507" t="s">
        <v>188</v>
      </c>
      <c r="E218" s="507">
        <f t="shared" si="53"/>
        <v>603</v>
      </c>
      <c r="F218" s="446" t="str">
        <f t="shared" si="54"/>
        <v>-</v>
      </c>
      <c r="G218" s="446" t="str">
        <f t="shared" si="54"/>
        <v>-</v>
      </c>
      <c r="H218" s="493">
        <f t="shared" si="52"/>
        <v>603</v>
      </c>
      <c r="I218" s="457"/>
      <c r="J218" s="457"/>
    </row>
    <row r="219" spans="2:10" ht="15.75" thickBot="1" x14ac:dyDescent="0.3">
      <c r="B219" s="494"/>
      <c r="C219" s="494"/>
      <c r="D219" s="492"/>
      <c r="E219" s="492"/>
      <c r="F219" s="492"/>
      <c r="G219" s="492"/>
      <c r="H219" s="514"/>
      <c r="I219" s="457"/>
      <c r="J219" s="457"/>
    </row>
    <row r="220" spans="2:10" ht="15.75" thickBot="1" x14ac:dyDescent="0.3">
      <c r="B220" s="1161" t="s">
        <v>668</v>
      </c>
      <c r="C220" s="1162"/>
      <c r="D220" s="1162"/>
      <c r="E220" s="1162"/>
      <c r="F220" s="1162"/>
      <c r="G220" s="1162"/>
      <c r="H220" s="1163"/>
      <c r="I220" s="457"/>
      <c r="J220" s="457"/>
    </row>
    <row r="221" spans="2:10" x14ac:dyDescent="0.25">
      <c r="B221" s="1152"/>
      <c r="C221" s="1153"/>
      <c r="D221" s="435" t="s">
        <v>640</v>
      </c>
      <c r="E221" s="435" t="s">
        <v>641</v>
      </c>
      <c r="F221" s="435" t="s">
        <v>642</v>
      </c>
      <c r="G221" s="435" t="s">
        <v>648</v>
      </c>
      <c r="H221" s="437" t="s">
        <v>105</v>
      </c>
      <c r="I221" s="457"/>
      <c r="J221" s="457"/>
    </row>
    <row r="222" spans="2:10" x14ac:dyDescent="0.25">
      <c r="B222" s="1170" t="s">
        <v>645</v>
      </c>
      <c r="C222" s="1171"/>
      <c r="D222" s="463">
        <v>24.5</v>
      </c>
      <c r="E222" s="463">
        <v>38.299999999999997</v>
      </c>
      <c r="F222" s="463">
        <f>41.1+28.5</f>
        <v>69.599999999999994</v>
      </c>
      <c r="G222" s="463">
        <v>1.7</v>
      </c>
      <c r="H222" s="484">
        <f t="shared" ref="H222:H230" si="55">SUM(D222:G222)</f>
        <v>134.09999999999997</v>
      </c>
      <c r="I222" s="457"/>
      <c r="J222" s="457"/>
    </row>
    <row r="223" spans="2:10" ht="15.75" thickBot="1" x14ac:dyDescent="0.3">
      <c r="B223" s="1172" t="s">
        <v>646</v>
      </c>
      <c r="C223" s="1173"/>
      <c r="D223" s="485">
        <f>SUM(D224:D230)</f>
        <v>1711.3</v>
      </c>
      <c r="E223" s="485">
        <f>SUM(E224:E230)</f>
        <v>4243.7</v>
      </c>
      <c r="F223" s="485">
        <f>SUM(F224:F230)</f>
        <v>3539.3999999999996</v>
      </c>
      <c r="G223" s="485">
        <f>SUM(G224:G230)</f>
        <v>100</v>
      </c>
      <c r="H223" s="486">
        <f t="shared" si="55"/>
        <v>9594.4</v>
      </c>
      <c r="I223" s="457"/>
      <c r="J223" s="457"/>
    </row>
    <row r="224" spans="2:10" x14ac:dyDescent="0.25">
      <c r="B224" s="487" t="s">
        <v>627</v>
      </c>
      <c r="C224" s="450" t="s">
        <v>632</v>
      </c>
      <c r="D224" s="503">
        <v>394.1</v>
      </c>
      <c r="E224" s="503">
        <v>206.3</v>
      </c>
      <c r="F224" s="467" t="s">
        <v>188</v>
      </c>
      <c r="G224" s="467" t="str">
        <f>G80</f>
        <v>-</v>
      </c>
      <c r="H224" s="489">
        <f t="shared" si="55"/>
        <v>600.40000000000009</v>
      </c>
      <c r="I224" s="457"/>
      <c r="J224" s="457"/>
    </row>
    <row r="225" spans="2:10" x14ac:dyDescent="0.25">
      <c r="B225" s="1174" t="s">
        <v>628</v>
      </c>
      <c r="C225" s="453" t="s">
        <v>633</v>
      </c>
      <c r="D225" s="504">
        <v>91.9</v>
      </c>
      <c r="E225" s="504">
        <v>435.3</v>
      </c>
      <c r="F225" s="454">
        <v>261.60000000000002</v>
      </c>
      <c r="G225" s="454">
        <f t="shared" ref="G225:G230" si="56">G81</f>
        <v>14.3</v>
      </c>
      <c r="H225" s="490">
        <f t="shared" si="55"/>
        <v>803.1</v>
      </c>
      <c r="I225" s="457"/>
      <c r="J225" s="457"/>
    </row>
    <row r="226" spans="2:10" x14ac:dyDescent="0.25">
      <c r="B226" s="1175"/>
      <c r="C226" s="453" t="s">
        <v>634</v>
      </c>
      <c r="D226" s="505" t="s">
        <v>188</v>
      </c>
      <c r="E226" s="504">
        <v>754.1</v>
      </c>
      <c r="F226" s="454">
        <v>1003.5</v>
      </c>
      <c r="G226" s="454">
        <f t="shared" si="56"/>
        <v>85.7</v>
      </c>
      <c r="H226" s="490">
        <f t="shared" si="55"/>
        <v>1843.3</v>
      </c>
      <c r="I226" s="457"/>
      <c r="J226" s="457"/>
    </row>
    <row r="227" spans="2:10" x14ac:dyDescent="0.25">
      <c r="B227" s="1175"/>
      <c r="C227" s="453" t="s">
        <v>635</v>
      </c>
      <c r="D227" s="504">
        <v>436.3</v>
      </c>
      <c r="E227" s="504">
        <v>344.1</v>
      </c>
      <c r="F227" s="454">
        <v>1618.9</v>
      </c>
      <c r="G227" s="454" t="str">
        <f t="shared" si="56"/>
        <v>-</v>
      </c>
      <c r="H227" s="490">
        <f t="shared" si="55"/>
        <v>2399.3000000000002</v>
      </c>
      <c r="I227" s="457"/>
      <c r="J227" s="457"/>
    </row>
    <row r="228" spans="2:10" x14ac:dyDescent="0.25">
      <c r="B228" s="1175"/>
      <c r="C228" s="453" t="s">
        <v>636</v>
      </c>
      <c r="D228" s="506">
        <v>655.5</v>
      </c>
      <c r="E228" s="504">
        <v>629.20000000000005</v>
      </c>
      <c r="F228" s="454">
        <v>95.7</v>
      </c>
      <c r="G228" s="454" t="str">
        <f t="shared" si="56"/>
        <v>-</v>
      </c>
      <c r="H228" s="490">
        <f t="shared" si="55"/>
        <v>1380.4</v>
      </c>
      <c r="I228" s="457"/>
      <c r="J228" s="457"/>
    </row>
    <row r="229" spans="2:10" x14ac:dyDescent="0.25">
      <c r="B229" s="1175"/>
      <c r="C229" s="453" t="s">
        <v>637</v>
      </c>
      <c r="D229" s="504">
        <v>133.5</v>
      </c>
      <c r="E229" s="505">
        <v>1301.4000000000001</v>
      </c>
      <c r="F229" s="454">
        <v>559.70000000000005</v>
      </c>
      <c r="G229" s="454" t="str">
        <f t="shared" si="56"/>
        <v>-</v>
      </c>
      <c r="H229" s="490">
        <f t="shared" si="55"/>
        <v>1994.6000000000001</v>
      </c>
      <c r="I229" s="457"/>
      <c r="J229" s="457"/>
    </row>
    <row r="230" spans="2:10" ht="15.75" thickBot="1" x14ac:dyDescent="0.3">
      <c r="B230" s="1176"/>
      <c r="C230" s="455" t="s">
        <v>638</v>
      </c>
      <c r="D230" s="507" t="s">
        <v>188</v>
      </c>
      <c r="E230" s="507">
        <v>573.29999999999995</v>
      </c>
      <c r="F230" s="446"/>
      <c r="G230" s="446" t="str">
        <f t="shared" si="56"/>
        <v>-</v>
      </c>
      <c r="H230" s="493">
        <f t="shared" si="55"/>
        <v>573.29999999999995</v>
      </c>
      <c r="I230" s="457"/>
      <c r="J230" s="457"/>
    </row>
    <row r="231" spans="2:10" ht="15.75" thickBot="1" x14ac:dyDescent="0.3">
      <c r="B231" s="494"/>
      <c r="C231" s="494"/>
      <c r="D231" s="492"/>
      <c r="E231" s="492"/>
      <c r="F231" s="492"/>
      <c r="G231" s="492"/>
      <c r="H231" s="514"/>
      <c r="I231" s="457"/>
      <c r="J231" s="457"/>
    </row>
    <row r="232" spans="2:10" ht="15.75" thickBot="1" x14ac:dyDescent="0.3">
      <c r="B232" s="1161" t="s">
        <v>669</v>
      </c>
      <c r="C232" s="1162"/>
      <c r="D232" s="1162"/>
      <c r="E232" s="1162"/>
      <c r="F232" s="1162"/>
      <c r="G232" s="1162"/>
      <c r="H232" s="1163"/>
      <c r="I232" s="457"/>
      <c r="J232" s="457"/>
    </row>
    <row r="233" spans="2:10" x14ac:dyDescent="0.25">
      <c r="B233" s="1152"/>
      <c r="C233" s="1153"/>
      <c r="D233" s="435" t="s">
        <v>640</v>
      </c>
      <c r="E233" s="435" t="s">
        <v>641</v>
      </c>
      <c r="F233" s="435" t="s">
        <v>642</v>
      </c>
      <c r="G233" s="435" t="s">
        <v>648</v>
      </c>
      <c r="H233" s="437" t="s">
        <v>105</v>
      </c>
      <c r="I233" s="457"/>
      <c r="J233" s="457"/>
    </row>
    <row r="234" spans="2:10" x14ac:dyDescent="0.25">
      <c r="B234" s="1170" t="s">
        <v>645</v>
      </c>
      <c r="C234" s="1171"/>
      <c r="D234" s="463">
        <f>12.4+11.6</f>
        <v>24</v>
      </c>
      <c r="E234" s="463">
        <f>18.8+13.9</f>
        <v>32.700000000000003</v>
      </c>
      <c r="F234" s="463">
        <f>31.2+17.3</f>
        <v>48.5</v>
      </c>
      <c r="G234" s="463">
        <f>1.8</f>
        <v>1.8</v>
      </c>
      <c r="H234" s="484">
        <f t="shared" ref="H234:H242" si="57">SUM(D234:G234)</f>
        <v>107</v>
      </c>
      <c r="I234" s="457"/>
      <c r="J234" s="457"/>
    </row>
    <row r="235" spans="2:10" ht="15.75" thickBot="1" x14ac:dyDescent="0.3">
      <c r="B235" s="1172" t="s">
        <v>646</v>
      </c>
      <c r="C235" s="1173"/>
      <c r="D235" s="485">
        <f>SUM(D236:D242)</f>
        <v>1406</v>
      </c>
      <c r="E235" s="485">
        <f>SUM(E236:E242)</f>
        <v>2989.8999999999996</v>
      </c>
      <c r="F235" s="485">
        <f>SUM(F236:F242)</f>
        <v>1579</v>
      </c>
      <c r="G235" s="485">
        <f>SUM(G236:G242)</f>
        <v>107.8</v>
      </c>
      <c r="H235" s="486">
        <f t="shared" si="57"/>
        <v>6082.7</v>
      </c>
      <c r="I235" s="457"/>
      <c r="J235" s="457"/>
    </row>
    <row r="236" spans="2:10" x14ac:dyDescent="0.25">
      <c r="B236" s="487" t="s">
        <v>627</v>
      </c>
      <c r="C236" s="450" t="s">
        <v>632</v>
      </c>
      <c r="D236" s="503">
        <v>377.6</v>
      </c>
      <c r="E236" s="503">
        <v>196.5</v>
      </c>
      <c r="F236" s="467">
        <v>156.30000000000001</v>
      </c>
      <c r="G236" s="467" t="s">
        <v>188</v>
      </c>
      <c r="H236" s="489">
        <f t="shared" si="57"/>
        <v>730.40000000000009</v>
      </c>
      <c r="I236" s="457"/>
      <c r="J236" s="457"/>
    </row>
    <row r="237" spans="2:10" x14ac:dyDescent="0.25">
      <c r="B237" s="1174" t="s">
        <v>628</v>
      </c>
      <c r="C237" s="453" t="s">
        <v>633</v>
      </c>
      <c r="D237" s="504">
        <v>57.8</v>
      </c>
      <c r="E237" s="504">
        <v>297.60000000000002</v>
      </c>
      <c r="F237" s="454">
        <v>187.4</v>
      </c>
      <c r="G237" s="454">
        <v>15.2</v>
      </c>
      <c r="H237" s="490">
        <f t="shared" si="57"/>
        <v>558.00000000000011</v>
      </c>
      <c r="I237" s="457"/>
      <c r="J237" s="457"/>
    </row>
    <row r="238" spans="2:10" x14ac:dyDescent="0.25">
      <c r="B238" s="1175"/>
      <c r="C238" s="453" t="s">
        <v>634</v>
      </c>
      <c r="D238" s="505" t="s">
        <v>188</v>
      </c>
      <c r="E238" s="504">
        <v>819.6</v>
      </c>
      <c r="F238" s="454">
        <v>525.6</v>
      </c>
      <c r="G238" s="454">
        <v>5.3</v>
      </c>
      <c r="H238" s="490">
        <f t="shared" si="57"/>
        <v>1350.5</v>
      </c>
      <c r="I238" s="457"/>
      <c r="J238" s="457"/>
    </row>
    <row r="239" spans="2:10" x14ac:dyDescent="0.25">
      <c r="B239" s="1175"/>
      <c r="C239" s="453" t="s">
        <v>635</v>
      </c>
      <c r="D239" s="504">
        <v>491.8</v>
      </c>
      <c r="E239" s="504">
        <v>413.7</v>
      </c>
      <c r="F239" s="454">
        <v>625.6</v>
      </c>
      <c r="G239" s="454">
        <v>87.3</v>
      </c>
      <c r="H239" s="490">
        <f t="shared" si="57"/>
        <v>1618.3999999999999</v>
      </c>
      <c r="I239" s="457"/>
      <c r="J239" s="457"/>
    </row>
    <row r="240" spans="2:10" x14ac:dyDescent="0.25">
      <c r="B240" s="1175"/>
      <c r="C240" s="453" t="s">
        <v>636</v>
      </c>
      <c r="D240" s="506">
        <v>478.8</v>
      </c>
      <c r="E240" s="504">
        <v>572.1</v>
      </c>
      <c r="F240" s="454">
        <v>84.1</v>
      </c>
      <c r="G240" s="454" t="s">
        <v>188</v>
      </c>
      <c r="H240" s="490">
        <f t="shared" si="57"/>
        <v>1135</v>
      </c>
      <c r="I240" s="457"/>
      <c r="J240" s="457"/>
    </row>
    <row r="241" spans="2:11" x14ac:dyDescent="0.25">
      <c r="B241" s="1175"/>
      <c r="C241" s="453" t="s">
        <v>637</v>
      </c>
      <c r="D241" s="504" t="s">
        <v>188</v>
      </c>
      <c r="E241" s="505">
        <v>509.7</v>
      </c>
      <c r="F241" s="454" t="s">
        <v>188</v>
      </c>
      <c r="G241" s="454" t="s">
        <v>188</v>
      </c>
      <c r="H241" s="490">
        <f t="shared" si="57"/>
        <v>509.7</v>
      </c>
      <c r="I241" s="457"/>
      <c r="J241" s="457"/>
    </row>
    <row r="242" spans="2:11" ht="15.75" thickBot="1" x14ac:dyDescent="0.3">
      <c r="B242" s="1176"/>
      <c r="C242" s="455" t="s">
        <v>638</v>
      </c>
      <c r="D242" s="507" t="s">
        <v>188</v>
      </c>
      <c r="E242" s="507">
        <v>180.7</v>
      </c>
      <c r="F242" s="446" t="s">
        <v>188</v>
      </c>
      <c r="G242" s="446" t="s">
        <v>188</v>
      </c>
      <c r="H242" s="493">
        <f t="shared" si="57"/>
        <v>180.7</v>
      </c>
      <c r="I242" s="457"/>
      <c r="J242" s="457"/>
    </row>
    <row r="243" spans="2:11" ht="15.75" thickBot="1" x14ac:dyDescent="0.3">
      <c r="B243" s="494"/>
      <c r="C243" s="494"/>
      <c r="D243" s="492"/>
      <c r="E243" s="492"/>
      <c r="F243" s="492"/>
      <c r="G243" s="492"/>
      <c r="H243" s="514"/>
      <c r="I243" s="457"/>
      <c r="J243" s="457"/>
    </row>
    <row r="244" spans="2:11" ht="15.75" thickBot="1" x14ac:dyDescent="0.3">
      <c r="B244" s="1161" t="s">
        <v>670</v>
      </c>
      <c r="C244" s="1162"/>
      <c r="D244" s="1162"/>
      <c r="E244" s="1162"/>
      <c r="F244" s="1162"/>
      <c r="G244" s="1163"/>
      <c r="H244" s="502"/>
      <c r="I244" s="502"/>
      <c r="J244" s="457"/>
    </row>
    <row r="245" spans="2:11" x14ac:dyDescent="0.25">
      <c r="B245" s="1152"/>
      <c r="C245" s="1153"/>
      <c r="D245" s="435" t="s">
        <v>640</v>
      </c>
      <c r="E245" s="435" t="s">
        <v>641</v>
      </c>
      <c r="F245" s="435" t="s">
        <v>642</v>
      </c>
      <c r="G245" s="437" t="s">
        <v>105</v>
      </c>
      <c r="H245" s="518"/>
      <c r="I245" s="448"/>
      <c r="J245" s="426"/>
      <c r="K245" s="429"/>
    </row>
    <row r="246" spans="2:11" x14ac:dyDescent="0.25">
      <c r="B246" s="1170" t="s">
        <v>645</v>
      </c>
      <c r="C246" s="1171"/>
      <c r="D246" s="463">
        <v>1.8</v>
      </c>
      <c r="E246" s="463">
        <v>0.6</v>
      </c>
      <c r="F246" s="463">
        <v>1.4</v>
      </c>
      <c r="G246" s="484">
        <f t="shared" ref="G246" si="58">SUM(D246:F246)</f>
        <v>3.8</v>
      </c>
      <c r="H246" s="519"/>
      <c r="I246" s="448"/>
      <c r="J246" s="520"/>
    </row>
    <row r="247" spans="2:11" ht="15.75" thickBot="1" x14ac:dyDescent="0.3">
      <c r="B247" s="1172" t="s">
        <v>646</v>
      </c>
      <c r="C247" s="1173"/>
      <c r="D247" s="521">
        <f>SUM(D248:D254)</f>
        <v>19.7</v>
      </c>
      <c r="E247" s="521">
        <f>SUM(E248:E254)</f>
        <v>123.5</v>
      </c>
      <c r="F247" s="521">
        <f>SUM(F248:F254)</f>
        <v>69.2</v>
      </c>
      <c r="G247" s="522">
        <f>SUM(D247:F247)</f>
        <v>212.39999999999998</v>
      </c>
      <c r="H247" s="519"/>
      <c r="I247" s="448"/>
      <c r="J247" s="448"/>
    </row>
    <row r="248" spans="2:11" x14ac:dyDescent="0.25">
      <c r="B248" s="465" t="s">
        <v>627</v>
      </c>
      <c r="C248" s="466" t="s">
        <v>632</v>
      </c>
      <c r="D248" s="523">
        <v>5.8</v>
      </c>
      <c r="E248" s="523" t="s">
        <v>188</v>
      </c>
      <c r="F248" s="467" t="s">
        <v>188</v>
      </c>
      <c r="G248" s="524">
        <f t="shared" ref="G248:G254" si="59">SUM(D248:F248)</f>
        <v>5.8</v>
      </c>
      <c r="H248" s="519"/>
      <c r="I248" s="448"/>
      <c r="J248" s="457"/>
      <c r="K248" s="429"/>
    </row>
    <row r="249" spans="2:11" x14ac:dyDescent="0.25">
      <c r="B249" s="1180" t="s">
        <v>628</v>
      </c>
      <c r="C249" s="453" t="s">
        <v>633</v>
      </c>
      <c r="D249" s="463" t="s">
        <v>188</v>
      </c>
      <c r="E249" s="463">
        <v>1.7</v>
      </c>
      <c r="F249" s="463" t="s">
        <v>188</v>
      </c>
      <c r="G249" s="490">
        <f t="shared" si="59"/>
        <v>1.7</v>
      </c>
      <c r="H249" s="519"/>
      <c r="I249" s="448"/>
      <c r="J249" s="457"/>
      <c r="K249" s="429"/>
    </row>
    <row r="250" spans="2:11" x14ac:dyDescent="0.25">
      <c r="B250" s="1180"/>
      <c r="C250" s="453" t="s">
        <v>634</v>
      </c>
      <c r="D250" s="463" t="s">
        <v>188</v>
      </c>
      <c r="E250" s="463">
        <v>26</v>
      </c>
      <c r="F250" s="463">
        <v>15.2</v>
      </c>
      <c r="G250" s="490">
        <f t="shared" si="59"/>
        <v>41.2</v>
      </c>
      <c r="H250" s="519"/>
      <c r="I250" s="448"/>
      <c r="J250" s="457"/>
      <c r="K250" s="429"/>
    </row>
    <row r="251" spans="2:11" x14ac:dyDescent="0.25">
      <c r="B251" s="1180"/>
      <c r="C251" s="453" t="s">
        <v>635</v>
      </c>
      <c r="D251" s="463">
        <v>13.9</v>
      </c>
      <c r="E251" s="463">
        <v>31.2</v>
      </c>
      <c r="F251" s="463">
        <v>54</v>
      </c>
      <c r="G251" s="490">
        <f t="shared" si="59"/>
        <v>99.1</v>
      </c>
      <c r="H251" s="519"/>
      <c r="I251" s="448"/>
      <c r="J251" s="457"/>
      <c r="K251" s="429"/>
    </row>
    <row r="252" spans="2:11" x14ac:dyDescent="0.25">
      <c r="B252" s="1180"/>
      <c r="C252" s="453" t="s">
        <v>636</v>
      </c>
      <c r="D252" s="463" t="s">
        <v>188</v>
      </c>
      <c r="E252" s="463">
        <v>64.599999999999994</v>
      </c>
      <c r="F252" s="463" t="s">
        <v>188</v>
      </c>
      <c r="G252" s="490">
        <f t="shared" si="59"/>
        <v>64.599999999999994</v>
      </c>
      <c r="H252" s="519"/>
      <c r="I252" s="448"/>
      <c r="J252" s="457"/>
      <c r="K252" s="429"/>
    </row>
    <row r="253" spans="2:11" x14ac:dyDescent="0.25">
      <c r="B253" s="1174"/>
      <c r="C253" s="453" t="s">
        <v>637</v>
      </c>
      <c r="D253" s="463" t="s">
        <v>188</v>
      </c>
      <c r="E253" s="463" t="s">
        <v>188</v>
      </c>
      <c r="F253" s="463" t="s">
        <v>188</v>
      </c>
      <c r="G253" s="490">
        <f t="shared" si="59"/>
        <v>0</v>
      </c>
      <c r="H253" s="519"/>
      <c r="I253" s="448"/>
      <c r="J253" s="457"/>
      <c r="K253" s="429"/>
    </row>
    <row r="254" spans="2:11" ht="15.75" thickBot="1" x14ac:dyDescent="0.3">
      <c r="B254" s="1181"/>
      <c r="C254" s="455" t="s">
        <v>638</v>
      </c>
      <c r="D254" s="485" t="s">
        <v>188</v>
      </c>
      <c r="E254" s="485" t="s">
        <v>188</v>
      </c>
      <c r="F254" s="485" t="s">
        <v>188</v>
      </c>
      <c r="G254" s="493">
        <f t="shared" si="59"/>
        <v>0</v>
      </c>
      <c r="H254" s="519"/>
      <c r="I254" s="448"/>
      <c r="J254" s="457"/>
      <c r="K254" s="429"/>
    </row>
    <row r="255" spans="2:11" ht="15.75" thickBot="1" x14ac:dyDescent="0.3">
      <c r="B255" s="497"/>
      <c r="C255" s="516"/>
      <c r="D255" s="516"/>
      <c r="E255" s="516"/>
      <c r="F255" s="516"/>
      <c r="G255" s="516"/>
      <c r="H255" s="457"/>
      <c r="I255" s="457"/>
      <c r="J255" s="457"/>
      <c r="K255" s="429"/>
    </row>
    <row r="256" spans="2:11" ht="15.75" thickBot="1" x14ac:dyDescent="0.3">
      <c r="B256" s="1161" t="s">
        <v>671</v>
      </c>
      <c r="C256" s="1162"/>
      <c r="D256" s="1162"/>
      <c r="E256" s="1162"/>
      <c r="F256" s="1163"/>
      <c r="G256" s="502"/>
      <c r="H256" s="457"/>
      <c r="I256" s="457"/>
      <c r="J256" s="429"/>
      <c r="K256" s="429"/>
    </row>
    <row r="257" spans="2:11" x14ac:dyDescent="0.25">
      <c r="B257" s="1152"/>
      <c r="C257" s="1153"/>
      <c r="D257" s="435" t="s">
        <v>640</v>
      </c>
      <c r="E257" s="435" t="s">
        <v>641</v>
      </c>
      <c r="F257" s="437" t="s">
        <v>105</v>
      </c>
      <c r="G257" s="520"/>
      <c r="H257" s="448"/>
      <c r="I257" s="457"/>
      <c r="J257" s="429"/>
      <c r="K257" s="429"/>
    </row>
    <row r="258" spans="2:11" ht="15.75" customHeight="1" x14ac:dyDescent="0.25">
      <c r="B258" s="1170" t="s">
        <v>645</v>
      </c>
      <c r="C258" s="1171"/>
      <c r="D258" s="504">
        <v>4.7</v>
      </c>
      <c r="E258" s="504">
        <v>1.2</v>
      </c>
      <c r="F258" s="484">
        <f t="shared" ref="F258:F266" si="60">SUM(D258:E258)</f>
        <v>5.9</v>
      </c>
      <c r="G258" s="520"/>
      <c r="H258" s="448"/>
      <c r="I258" s="520"/>
      <c r="J258" s="426"/>
      <c r="K258" s="429"/>
    </row>
    <row r="259" spans="2:11" ht="15.75" customHeight="1" thickBot="1" x14ac:dyDescent="0.3">
      <c r="B259" s="1172" t="s">
        <v>646</v>
      </c>
      <c r="C259" s="1173"/>
      <c r="D259" s="485">
        <f>SUM(D260:D266)</f>
        <v>387.8</v>
      </c>
      <c r="E259" s="485">
        <f>SUM(E260:E266)</f>
        <v>132</v>
      </c>
      <c r="F259" s="486">
        <f t="shared" si="60"/>
        <v>519.79999999999995</v>
      </c>
      <c r="G259" s="520"/>
      <c r="H259" s="448"/>
      <c r="I259" s="520"/>
      <c r="J259" s="426"/>
      <c r="K259" s="429"/>
    </row>
    <row r="260" spans="2:11" ht="15.75" customHeight="1" x14ac:dyDescent="0.25">
      <c r="B260" s="487" t="s">
        <v>627</v>
      </c>
      <c r="C260" s="450" t="s">
        <v>632</v>
      </c>
      <c r="D260" s="503">
        <v>128</v>
      </c>
      <c r="E260" s="503">
        <v>11</v>
      </c>
      <c r="F260" s="489">
        <f t="shared" si="60"/>
        <v>139</v>
      </c>
      <c r="G260" s="520"/>
      <c r="H260" s="448"/>
      <c r="I260" s="429"/>
      <c r="J260" s="429"/>
      <c r="K260" s="429"/>
    </row>
    <row r="261" spans="2:11" ht="15.75" customHeight="1" x14ac:dyDescent="0.25">
      <c r="B261" s="1174" t="s">
        <v>628</v>
      </c>
      <c r="C261" s="453" t="s">
        <v>633</v>
      </c>
      <c r="D261" s="504" t="s">
        <v>188</v>
      </c>
      <c r="E261" s="504">
        <v>1.8</v>
      </c>
      <c r="F261" s="490">
        <f t="shared" si="60"/>
        <v>1.8</v>
      </c>
      <c r="G261" s="520"/>
      <c r="H261" s="448"/>
      <c r="I261" s="429"/>
      <c r="J261" s="429"/>
      <c r="K261" s="429"/>
    </row>
    <row r="262" spans="2:11" ht="15.75" customHeight="1" x14ac:dyDescent="0.25">
      <c r="B262" s="1175"/>
      <c r="C262" s="453" t="s">
        <v>634</v>
      </c>
      <c r="D262" s="504" t="s">
        <v>188</v>
      </c>
      <c r="E262" s="504">
        <v>28.6</v>
      </c>
      <c r="F262" s="490">
        <f t="shared" si="60"/>
        <v>28.6</v>
      </c>
      <c r="G262" s="520"/>
      <c r="H262" s="448"/>
      <c r="I262" s="429"/>
      <c r="J262" s="429"/>
      <c r="K262" s="429"/>
    </row>
    <row r="263" spans="2:11" ht="15.75" customHeight="1" x14ac:dyDescent="0.25">
      <c r="B263" s="1175"/>
      <c r="C263" s="453" t="s">
        <v>635</v>
      </c>
      <c r="D263" s="504">
        <v>127.5</v>
      </c>
      <c r="E263" s="504">
        <v>37.299999999999997</v>
      </c>
      <c r="F263" s="490">
        <f t="shared" si="60"/>
        <v>164.8</v>
      </c>
      <c r="G263" s="520"/>
      <c r="H263" s="448"/>
      <c r="I263" s="429"/>
      <c r="J263" s="429"/>
      <c r="K263" s="429"/>
    </row>
    <row r="264" spans="2:11" ht="15.75" customHeight="1" x14ac:dyDescent="0.25">
      <c r="B264" s="1175"/>
      <c r="C264" s="453" t="s">
        <v>636</v>
      </c>
      <c r="D264" s="504">
        <v>132.30000000000001</v>
      </c>
      <c r="E264" s="504">
        <v>9.6</v>
      </c>
      <c r="F264" s="490">
        <f t="shared" si="60"/>
        <v>141.9</v>
      </c>
      <c r="G264" s="520"/>
      <c r="H264" s="448"/>
      <c r="I264" s="429"/>
      <c r="J264" s="429"/>
      <c r="K264" s="429"/>
    </row>
    <row r="265" spans="2:11" ht="15.75" customHeight="1" x14ac:dyDescent="0.25">
      <c r="B265" s="1175"/>
      <c r="C265" s="453" t="s">
        <v>637</v>
      </c>
      <c r="D265" s="504" t="s">
        <v>188</v>
      </c>
      <c r="E265" s="504">
        <v>12.5</v>
      </c>
      <c r="F265" s="490">
        <f t="shared" si="60"/>
        <v>12.5</v>
      </c>
      <c r="G265" s="520"/>
      <c r="H265" s="448"/>
      <c r="I265" s="429"/>
      <c r="J265" s="429"/>
      <c r="K265" s="429"/>
    </row>
    <row r="266" spans="2:11" ht="15.75" customHeight="1" thickBot="1" x14ac:dyDescent="0.3">
      <c r="B266" s="1176"/>
      <c r="C266" s="455" t="s">
        <v>638</v>
      </c>
      <c r="D266" s="525" t="s">
        <v>188</v>
      </c>
      <c r="E266" s="525">
        <v>31.2</v>
      </c>
      <c r="F266" s="493">
        <f t="shared" si="60"/>
        <v>31.2</v>
      </c>
      <c r="G266" s="520"/>
      <c r="H266" s="448"/>
      <c r="I266" s="429"/>
      <c r="J266" s="429"/>
      <c r="K266" s="429"/>
    </row>
    <row r="267" spans="2:11" ht="15.75" customHeight="1" thickBot="1" x14ac:dyDescent="0.3">
      <c r="B267" s="497"/>
      <c r="C267" s="516"/>
      <c r="D267" s="516"/>
      <c r="E267" s="516"/>
      <c r="F267" s="516"/>
      <c r="G267" s="516"/>
      <c r="H267" s="457"/>
      <c r="I267" s="457"/>
      <c r="J267" s="429"/>
      <c r="K267" s="429"/>
    </row>
    <row r="268" spans="2:11" ht="15.75" customHeight="1" thickBot="1" x14ac:dyDescent="0.3">
      <c r="B268" s="1177" t="s">
        <v>672</v>
      </c>
      <c r="C268" s="1178"/>
      <c r="D268" s="1178"/>
      <c r="E268" s="1178"/>
      <c r="F268" s="1178"/>
      <c r="G268" s="1179"/>
      <c r="H268" s="526"/>
      <c r="I268" s="457"/>
      <c r="J268" s="429"/>
      <c r="K268" s="429"/>
    </row>
    <row r="269" spans="2:11" ht="26.25" customHeight="1" x14ac:dyDescent="0.25">
      <c r="B269" s="1152"/>
      <c r="C269" s="1153"/>
      <c r="D269" s="527" t="s">
        <v>640</v>
      </c>
      <c r="E269" s="527" t="s">
        <v>673</v>
      </c>
      <c r="F269" s="528" t="s">
        <v>674</v>
      </c>
      <c r="G269" s="529" t="s">
        <v>105</v>
      </c>
      <c r="H269" s="457"/>
      <c r="I269" s="457"/>
      <c r="J269" s="429"/>
      <c r="K269" s="429"/>
    </row>
    <row r="270" spans="2:11" x14ac:dyDescent="0.25">
      <c r="B270" s="1170" t="s">
        <v>645</v>
      </c>
      <c r="C270" s="1171"/>
      <c r="D270" s="463">
        <v>2.2999999999999998</v>
      </c>
      <c r="E270" s="463">
        <v>0.4</v>
      </c>
      <c r="F270" s="463">
        <f>13.2+5.9+7.2</f>
        <v>26.3</v>
      </c>
      <c r="G270" s="484">
        <f t="shared" ref="G270:G278" si="61">SUM(D270:F270)</f>
        <v>29</v>
      </c>
      <c r="H270" s="457"/>
      <c r="I270" s="457"/>
      <c r="J270" s="520"/>
    </row>
    <row r="271" spans="2:11" ht="15.75" thickBot="1" x14ac:dyDescent="0.3">
      <c r="B271" s="1172" t="s">
        <v>646</v>
      </c>
      <c r="C271" s="1173"/>
      <c r="D271" s="485">
        <f>SUM(D272:D278)</f>
        <v>176</v>
      </c>
      <c r="E271" s="485">
        <f>SUM(E272:E278)</f>
        <v>31.5</v>
      </c>
      <c r="F271" s="485">
        <f>SUM(F272:F278)</f>
        <v>3120.4</v>
      </c>
      <c r="G271" s="447">
        <f>SUM(D271:F271)</f>
        <v>3327.9</v>
      </c>
      <c r="H271" s="457"/>
      <c r="I271" s="457"/>
      <c r="J271" s="457"/>
    </row>
    <row r="272" spans="2:11" x14ac:dyDescent="0.25">
      <c r="B272" s="487" t="s">
        <v>627</v>
      </c>
      <c r="C272" s="450" t="s">
        <v>632</v>
      </c>
      <c r="D272" s="488">
        <v>67.5</v>
      </c>
      <c r="E272" s="488">
        <v>4.5999999999999996</v>
      </c>
      <c r="F272" s="488" t="s">
        <v>188</v>
      </c>
      <c r="G272" s="452">
        <f t="shared" si="61"/>
        <v>72.099999999999994</v>
      </c>
      <c r="H272" s="457"/>
      <c r="I272" s="457"/>
      <c r="J272" s="448"/>
      <c r="K272" s="429"/>
    </row>
    <row r="273" spans="2:11" ht="16.5" customHeight="1" x14ac:dyDescent="0.25">
      <c r="B273" s="1174" t="s">
        <v>628</v>
      </c>
      <c r="C273" s="453" t="s">
        <v>633</v>
      </c>
      <c r="D273" s="463" t="s">
        <v>188</v>
      </c>
      <c r="E273" s="463" t="s">
        <v>188</v>
      </c>
      <c r="F273" s="463">
        <v>356.9</v>
      </c>
      <c r="G273" s="452">
        <f t="shared" si="61"/>
        <v>356.9</v>
      </c>
      <c r="H273" s="457"/>
      <c r="I273" s="457"/>
      <c r="J273" s="448"/>
      <c r="K273" s="429"/>
    </row>
    <row r="274" spans="2:11" x14ac:dyDescent="0.25">
      <c r="B274" s="1175"/>
      <c r="C274" s="453" t="s">
        <v>634</v>
      </c>
      <c r="D274" s="463" t="s">
        <v>188</v>
      </c>
      <c r="E274" s="463">
        <v>8.3000000000000007</v>
      </c>
      <c r="F274" s="463">
        <v>912.6</v>
      </c>
      <c r="G274" s="452">
        <f t="shared" si="61"/>
        <v>920.9</v>
      </c>
      <c r="H274" s="457"/>
      <c r="I274" s="457"/>
      <c r="J274" s="448"/>
      <c r="K274" s="429"/>
    </row>
    <row r="275" spans="2:11" x14ac:dyDescent="0.25">
      <c r="B275" s="1175"/>
      <c r="C275" s="453" t="s">
        <v>635</v>
      </c>
      <c r="D275" s="463">
        <v>108.5</v>
      </c>
      <c r="E275" s="463">
        <v>2.6</v>
      </c>
      <c r="F275" s="463">
        <v>1046.4000000000001</v>
      </c>
      <c r="G275" s="452">
        <f t="shared" si="61"/>
        <v>1157.5</v>
      </c>
      <c r="H275" s="457"/>
      <c r="I275" s="457"/>
      <c r="J275" s="448"/>
      <c r="K275" s="429"/>
    </row>
    <row r="276" spans="2:11" x14ac:dyDescent="0.25">
      <c r="B276" s="1175"/>
      <c r="C276" s="453" t="s">
        <v>636</v>
      </c>
      <c r="D276" s="463" t="s">
        <v>188</v>
      </c>
      <c r="E276" s="463">
        <v>16</v>
      </c>
      <c r="F276" s="463">
        <v>804.5</v>
      </c>
      <c r="G276" s="452">
        <f t="shared" si="61"/>
        <v>820.5</v>
      </c>
      <c r="H276" s="457"/>
      <c r="I276" s="457"/>
      <c r="J276" s="448"/>
      <c r="K276" s="429"/>
    </row>
    <row r="277" spans="2:11" x14ac:dyDescent="0.25">
      <c r="B277" s="1175"/>
      <c r="C277" s="453" t="s">
        <v>637</v>
      </c>
      <c r="D277" s="463" t="s">
        <v>188</v>
      </c>
      <c r="E277" s="463" t="s">
        <v>188</v>
      </c>
      <c r="F277" s="463" t="s">
        <v>188</v>
      </c>
      <c r="G277" s="452">
        <f t="shared" ref="G277" si="62">SUM(D277:F277)</f>
        <v>0</v>
      </c>
      <c r="H277" s="457"/>
      <c r="I277" s="457"/>
      <c r="J277" s="448"/>
      <c r="K277" s="429"/>
    </row>
    <row r="278" spans="2:11" ht="15.75" thickBot="1" x14ac:dyDescent="0.3">
      <c r="B278" s="1176"/>
      <c r="C278" s="455" t="s">
        <v>638</v>
      </c>
      <c r="D278" s="485" t="s">
        <v>188</v>
      </c>
      <c r="E278" s="485" t="s">
        <v>188</v>
      </c>
      <c r="F278" s="485" t="s">
        <v>188</v>
      </c>
      <c r="G278" s="456">
        <f t="shared" si="61"/>
        <v>0</v>
      </c>
      <c r="H278" s="458"/>
      <c r="I278" s="457"/>
      <c r="J278" s="448"/>
      <c r="K278" s="429"/>
    </row>
    <row r="279" spans="2:11" x14ac:dyDescent="0.25">
      <c r="B279" s="457"/>
      <c r="C279" s="457"/>
      <c r="D279" s="457"/>
      <c r="E279" s="457"/>
      <c r="F279" s="457"/>
      <c r="G279" s="457"/>
      <c r="H279" s="457"/>
      <c r="I279" s="457"/>
      <c r="J279" s="448"/>
      <c r="K279" s="429"/>
    </row>
    <row r="280" spans="2:11" x14ac:dyDescent="0.25">
      <c r="B280" s="457"/>
      <c r="C280" s="457"/>
      <c r="D280" s="457"/>
      <c r="E280" s="457"/>
      <c r="F280" s="457"/>
      <c r="G280" s="457"/>
      <c r="H280" s="457"/>
      <c r="I280" s="457"/>
      <c r="J280" s="448"/>
      <c r="K280" s="429"/>
    </row>
    <row r="281" spans="2:11" x14ac:dyDescent="0.25">
      <c r="B281" s="457"/>
      <c r="C281" s="458"/>
      <c r="D281" s="458"/>
      <c r="E281" s="458"/>
      <c r="F281" s="458"/>
      <c r="G281" s="458"/>
      <c r="H281" s="458"/>
      <c r="I281" s="458"/>
      <c r="J281" s="448"/>
      <c r="K281" s="429"/>
    </row>
    <row r="282" spans="2:11" x14ac:dyDescent="0.25">
      <c r="B282" s="457"/>
      <c r="C282" s="458"/>
      <c r="D282" s="458"/>
      <c r="E282" s="458"/>
      <c r="F282" s="458"/>
      <c r="G282" s="458"/>
      <c r="H282" s="458"/>
      <c r="I282" s="458"/>
      <c r="J282" s="457"/>
    </row>
    <row r="283" spans="2:11" x14ac:dyDescent="0.25">
      <c r="B283" s="457"/>
      <c r="C283" s="458"/>
      <c r="D283" s="458"/>
      <c r="E283" s="458"/>
      <c r="F283" s="458"/>
      <c r="G283" s="458"/>
      <c r="H283" s="458"/>
      <c r="I283" s="458"/>
      <c r="J283" s="457"/>
    </row>
    <row r="284" spans="2:11" x14ac:dyDescent="0.25">
      <c r="B284" s="457"/>
      <c r="C284" s="458"/>
      <c r="D284" s="458"/>
      <c r="E284" s="458"/>
      <c r="F284" s="458"/>
      <c r="G284" s="458"/>
      <c r="H284" s="458"/>
      <c r="I284" s="458"/>
      <c r="J284" s="457"/>
    </row>
    <row r="285" spans="2:11" x14ac:dyDescent="0.25">
      <c r="B285" s="457"/>
      <c r="C285" s="458"/>
      <c r="D285" s="458"/>
      <c r="E285" s="458"/>
      <c r="F285" s="458"/>
      <c r="G285" s="458"/>
      <c r="H285" s="458"/>
      <c r="I285" s="458"/>
      <c r="J285" s="457"/>
    </row>
    <row r="286" spans="2:11" x14ac:dyDescent="0.25">
      <c r="B286" s="457"/>
      <c r="C286" s="458"/>
      <c r="D286" s="458"/>
      <c r="E286" s="458"/>
      <c r="F286" s="458"/>
      <c r="G286" s="458"/>
      <c r="H286" s="458"/>
      <c r="I286" s="458"/>
      <c r="J286" s="457"/>
    </row>
    <row r="287" spans="2:11" x14ac:dyDescent="0.25">
      <c r="B287" s="457"/>
      <c r="C287" s="458"/>
      <c r="D287" s="458"/>
      <c r="E287" s="458"/>
      <c r="F287" s="458"/>
      <c r="G287" s="458"/>
      <c r="H287" s="458"/>
      <c r="I287" s="458"/>
      <c r="J287" s="457"/>
    </row>
    <row r="288" spans="2:11" x14ac:dyDescent="0.25">
      <c r="B288" s="457"/>
      <c r="C288" s="458"/>
      <c r="D288" s="458"/>
      <c r="E288" s="458"/>
      <c r="F288" s="458"/>
      <c r="G288" s="458"/>
      <c r="H288" s="458"/>
      <c r="I288" s="458"/>
      <c r="J288" s="457"/>
    </row>
    <row r="289" spans="2:10" x14ac:dyDescent="0.25">
      <c r="B289" s="457"/>
      <c r="C289" s="458"/>
      <c r="D289" s="458"/>
      <c r="E289" s="458"/>
      <c r="F289" s="458"/>
      <c r="G289" s="458"/>
      <c r="H289" s="458"/>
      <c r="I289" s="458"/>
      <c r="J289" s="457"/>
    </row>
    <row r="290" spans="2:10" x14ac:dyDescent="0.25">
      <c r="B290" s="457"/>
      <c r="C290" s="458"/>
      <c r="D290" s="458"/>
      <c r="E290" s="458"/>
      <c r="F290" s="458"/>
      <c r="G290" s="458"/>
      <c r="H290" s="458"/>
      <c r="I290" s="458"/>
      <c r="J290" s="457"/>
    </row>
    <row r="291" spans="2:10" x14ac:dyDescent="0.25">
      <c r="B291" s="457"/>
      <c r="C291" s="458"/>
      <c r="D291" s="458"/>
      <c r="E291" s="458"/>
      <c r="F291" s="458"/>
      <c r="G291" s="458"/>
      <c r="H291" s="458"/>
      <c r="I291" s="458"/>
      <c r="J291" s="457"/>
    </row>
    <row r="292" spans="2:10" x14ac:dyDescent="0.25">
      <c r="B292" s="457"/>
      <c r="C292" s="458"/>
      <c r="D292" s="458"/>
      <c r="E292" s="458"/>
      <c r="F292" s="458"/>
      <c r="G292" s="458"/>
      <c r="H292" s="458"/>
      <c r="I292" s="458"/>
      <c r="J292" s="457"/>
    </row>
    <row r="293" spans="2:10" x14ac:dyDescent="0.25">
      <c r="B293" s="457"/>
      <c r="C293" s="457"/>
      <c r="D293" s="457"/>
      <c r="E293" s="457"/>
      <c r="F293" s="457"/>
      <c r="G293" s="457"/>
      <c r="H293" s="457"/>
      <c r="I293" s="457"/>
      <c r="J293" s="457"/>
    </row>
    <row r="294" spans="2:10" x14ac:dyDescent="0.25">
      <c r="B294" s="457"/>
      <c r="C294" s="457"/>
      <c r="D294" s="457"/>
      <c r="E294" s="457"/>
      <c r="F294" s="457"/>
      <c r="G294" s="457"/>
      <c r="H294" s="457"/>
      <c r="I294" s="457"/>
      <c r="J294" s="457"/>
    </row>
    <row r="295" spans="2:10" x14ac:dyDescent="0.25">
      <c r="B295" s="457"/>
      <c r="C295" s="457"/>
      <c r="D295" s="457"/>
      <c r="E295" s="457"/>
      <c r="F295" s="457"/>
      <c r="G295" s="457"/>
      <c r="H295" s="457"/>
      <c r="I295" s="457"/>
      <c r="J295" s="457"/>
    </row>
    <row r="296" spans="2:10" x14ac:dyDescent="0.25">
      <c r="B296" s="457"/>
      <c r="C296" s="457"/>
      <c r="D296" s="457"/>
      <c r="E296" s="457"/>
      <c r="F296" s="457"/>
      <c r="G296" s="457"/>
      <c r="H296" s="457"/>
      <c r="I296" s="457"/>
      <c r="J296" s="457"/>
    </row>
    <row r="297" spans="2:10" x14ac:dyDescent="0.25">
      <c r="B297" s="457"/>
      <c r="C297" s="457"/>
      <c r="D297" s="457"/>
      <c r="E297" s="457"/>
      <c r="F297" s="457"/>
      <c r="G297" s="457"/>
      <c r="H297" s="457"/>
      <c r="I297" s="457"/>
      <c r="J297" s="457"/>
    </row>
    <row r="298" spans="2:10" x14ac:dyDescent="0.25">
      <c r="B298" s="457"/>
      <c r="C298" s="457"/>
      <c r="D298" s="457"/>
      <c r="E298" s="457"/>
      <c r="F298" s="457"/>
      <c r="G298" s="457"/>
      <c r="H298" s="457"/>
      <c r="I298" s="457"/>
      <c r="J298" s="457"/>
    </row>
    <row r="299" spans="2:10" x14ac:dyDescent="0.25">
      <c r="B299" s="457"/>
      <c r="C299" s="457"/>
      <c r="D299" s="457"/>
      <c r="E299" s="457"/>
      <c r="F299" s="457"/>
      <c r="G299" s="457"/>
      <c r="H299" s="457"/>
      <c r="I299" s="457"/>
      <c r="J299" s="457"/>
    </row>
    <row r="300" spans="2:10" x14ac:dyDescent="0.25">
      <c r="C300" s="429"/>
      <c r="D300" s="429"/>
      <c r="E300" s="429"/>
      <c r="F300" s="429"/>
      <c r="G300" s="429"/>
      <c r="H300" s="429"/>
      <c r="I300" s="429"/>
      <c r="J300" s="457"/>
    </row>
    <row r="301" spans="2:10" x14ac:dyDescent="0.25">
      <c r="C301" s="429"/>
      <c r="D301" s="429"/>
      <c r="E301" s="429"/>
      <c r="F301" s="429"/>
      <c r="G301" s="429"/>
      <c r="H301" s="429"/>
      <c r="I301" s="429"/>
      <c r="J301" s="457"/>
    </row>
    <row r="302" spans="2:10" x14ac:dyDescent="0.25">
      <c r="C302" s="429"/>
      <c r="D302" s="429"/>
      <c r="E302" s="429"/>
      <c r="F302" s="429"/>
      <c r="G302" s="429"/>
      <c r="H302" s="429"/>
      <c r="I302" s="429"/>
      <c r="J302" s="457"/>
    </row>
    <row r="303" spans="2:10" x14ac:dyDescent="0.25">
      <c r="C303" s="429"/>
      <c r="D303" s="429"/>
      <c r="E303" s="429"/>
      <c r="F303" s="429"/>
      <c r="G303" s="429"/>
      <c r="H303" s="429"/>
      <c r="I303" s="429"/>
      <c r="J303" s="429"/>
    </row>
    <row r="304" spans="2:10" x14ac:dyDescent="0.25">
      <c r="C304" s="429"/>
      <c r="D304" s="429"/>
      <c r="E304" s="429"/>
      <c r="F304" s="429"/>
      <c r="G304" s="429"/>
      <c r="H304" s="429"/>
      <c r="I304" s="429"/>
      <c r="J304" s="429"/>
    </row>
    <row r="305" spans="3:10" x14ac:dyDescent="0.25">
      <c r="C305" s="429"/>
      <c r="D305" s="429"/>
      <c r="E305" s="429"/>
      <c r="F305" s="429"/>
      <c r="G305" s="429"/>
      <c r="H305" s="429"/>
      <c r="I305" s="429"/>
      <c r="J305" s="429"/>
    </row>
    <row r="306" spans="3:10" x14ac:dyDescent="0.25">
      <c r="C306" s="429"/>
      <c r="D306" s="429"/>
      <c r="E306" s="429"/>
      <c r="F306" s="429"/>
      <c r="G306" s="429"/>
      <c r="H306" s="429"/>
      <c r="I306" s="429"/>
      <c r="J306" s="429"/>
    </row>
    <row r="307" spans="3:10" x14ac:dyDescent="0.25">
      <c r="C307" s="429"/>
      <c r="D307" s="429"/>
      <c r="E307" s="429"/>
      <c r="F307" s="429"/>
      <c r="G307" s="429"/>
      <c r="H307" s="429"/>
      <c r="I307" s="429"/>
      <c r="J307" s="429"/>
    </row>
    <row r="308" spans="3:10" x14ac:dyDescent="0.25">
      <c r="C308" s="429"/>
      <c r="D308" s="429"/>
      <c r="E308" s="429"/>
      <c r="F308" s="429"/>
      <c r="G308" s="429"/>
      <c r="H308" s="429"/>
      <c r="I308" s="429"/>
      <c r="J308" s="429"/>
    </row>
    <row r="309" spans="3:10" x14ac:dyDescent="0.25">
      <c r="C309" s="429"/>
      <c r="D309" s="429"/>
      <c r="E309" s="429"/>
      <c r="F309" s="429"/>
      <c r="G309" s="429"/>
      <c r="H309" s="429"/>
      <c r="I309" s="429"/>
      <c r="J309" s="429"/>
    </row>
    <row r="310" spans="3:10" x14ac:dyDescent="0.25">
      <c r="C310" s="429"/>
      <c r="D310" s="429"/>
      <c r="E310" s="429"/>
      <c r="F310" s="429"/>
      <c r="G310" s="429"/>
      <c r="H310" s="429"/>
      <c r="I310" s="429"/>
      <c r="J310" s="429"/>
    </row>
    <row r="311" spans="3:10" x14ac:dyDescent="0.25">
      <c r="C311" s="429"/>
      <c r="D311" s="429"/>
      <c r="E311" s="429"/>
      <c r="F311" s="429"/>
      <c r="G311" s="429"/>
      <c r="H311" s="429"/>
      <c r="I311" s="429"/>
      <c r="J311" s="429"/>
    </row>
    <row r="312" spans="3:10" x14ac:dyDescent="0.25">
      <c r="C312" s="429"/>
      <c r="D312" s="429"/>
      <c r="E312" s="429"/>
      <c r="F312" s="429"/>
      <c r="G312" s="429"/>
      <c r="H312" s="429"/>
      <c r="I312" s="429"/>
      <c r="J312" s="429"/>
    </row>
    <row r="313" spans="3:10" x14ac:dyDescent="0.25">
      <c r="C313" s="429"/>
      <c r="D313" s="429"/>
      <c r="E313" s="429"/>
      <c r="F313" s="429"/>
      <c r="G313" s="429"/>
      <c r="H313" s="429"/>
      <c r="I313" s="429"/>
      <c r="J313" s="429"/>
    </row>
    <row r="314" spans="3:10" x14ac:dyDescent="0.25">
      <c r="C314" s="429"/>
      <c r="D314" s="429"/>
      <c r="E314" s="429"/>
      <c r="F314" s="429"/>
      <c r="G314" s="429"/>
      <c r="H314" s="429"/>
      <c r="I314" s="429"/>
      <c r="J314" s="429"/>
    </row>
    <row r="315" spans="3:10" x14ac:dyDescent="0.25">
      <c r="C315" s="429"/>
      <c r="D315" s="429"/>
      <c r="E315" s="429"/>
      <c r="F315" s="429"/>
      <c r="G315" s="429"/>
      <c r="H315" s="429"/>
      <c r="I315" s="429"/>
      <c r="J315" s="429"/>
    </row>
    <row r="316" spans="3:10" x14ac:dyDescent="0.25">
      <c r="C316" s="429"/>
      <c r="D316" s="429"/>
      <c r="E316" s="429"/>
      <c r="F316" s="429"/>
      <c r="G316" s="429"/>
      <c r="H316" s="429"/>
      <c r="I316" s="429"/>
      <c r="J316" s="429"/>
    </row>
    <row r="317" spans="3:10" x14ac:dyDescent="0.25">
      <c r="C317" s="429"/>
      <c r="D317" s="429"/>
      <c r="E317" s="429"/>
      <c r="F317" s="429"/>
      <c r="G317" s="429"/>
      <c r="H317" s="429"/>
      <c r="I317" s="429"/>
      <c r="J317" s="429"/>
    </row>
    <row r="318" spans="3:10" x14ac:dyDescent="0.25">
      <c r="C318" s="429"/>
      <c r="D318" s="429"/>
      <c r="E318" s="429"/>
      <c r="F318" s="429"/>
      <c r="G318" s="429"/>
      <c r="H318" s="429"/>
      <c r="I318" s="429"/>
      <c r="J318" s="429"/>
    </row>
    <row r="319" spans="3:10" x14ac:dyDescent="0.25">
      <c r="C319" s="429"/>
      <c r="D319" s="429"/>
      <c r="E319" s="429"/>
      <c r="F319" s="429"/>
      <c r="G319" s="429"/>
      <c r="H319" s="429"/>
      <c r="I319" s="429"/>
      <c r="J319" s="429"/>
    </row>
    <row r="320" spans="3:10" x14ac:dyDescent="0.25">
      <c r="C320" s="429"/>
      <c r="D320" s="429"/>
      <c r="E320" s="429"/>
      <c r="F320" s="429"/>
      <c r="G320" s="429"/>
      <c r="H320" s="429"/>
      <c r="I320" s="429"/>
      <c r="J320" s="429"/>
    </row>
    <row r="321" spans="3:10" x14ac:dyDescent="0.25">
      <c r="C321" s="429"/>
      <c r="D321" s="429"/>
      <c r="E321" s="429"/>
      <c r="F321" s="429"/>
      <c r="G321" s="429"/>
      <c r="H321" s="429"/>
      <c r="I321" s="429"/>
      <c r="J321" s="429"/>
    </row>
    <row r="322" spans="3:10" x14ac:dyDescent="0.25">
      <c r="C322" s="429"/>
      <c r="D322" s="429"/>
      <c r="E322" s="429"/>
      <c r="F322" s="429"/>
      <c r="G322" s="429"/>
      <c r="H322" s="429"/>
      <c r="I322" s="429"/>
      <c r="J322" s="429"/>
    </row>
    <row r="323" spans="3:10" x14ac:dyDescent="0.25">
      <c r="C323" s="429"/>
      <c r="D323" s="429"/>
      <c r="E323" s="429"/>
      <c r="F323" s="429"/>
      <c r="G323" s="429"/>
      <c r="H323" s="429"/>
      <c r="I323" s="429"/>
      <c r="J323" s="429"/>
    </row>
    <row r="324" spans="3:10" x14ac:dyDescent="0.25">
      <c r="C324" s="429"/>
      <c r="D324" s="429"/>
      <c r="E324" s="429"/>
      <c r="F324" s="429"/>
      <c r="G324" s="429"/>
      <c r="H324" s="429"/>
      <c r="I324" s="429"/>
      <c r="J324" s="429"/>
    </row>
    <row r="325" spans="3:10" x14ac:dyDescent="0.25">
      <c r="C325" s="429"/>
      <c r="D325" s="429"/>
      <c r="E325" s="429"/>
      <c r="F325" s="429"/>
      <c r="G325" s="429"/>
      <c r="H325" s="429"/>
      <c r="I325" s="429"/>
      <c r="J325" s="429"/>
    </row>
    <row r="326" spans="3:10" x14ac:dyDescent="0.25">
      <c r="C326" s="429"/>
      <c r="D326" s="429"/>
      <c r="E326" s="429"/>
      <c r="F326" s="429"/>
      <c r="G326" s="429"/>
      <c r="H326" s="429"/>
      <c r="I326" s="429"/>
      <c r="J326" s="429"/>
    </row>
    <row r="327" spans="3:10" x14ac:dyDescent="0.25">
      <c r="C327" s="429"/>
      <c r="D327" s="429"/>
      <c r="E327" s="429"/>
      <c r="F327" s="429"/>
      <c r="G327" s="429"/>
      <c r="H327" s="429"/>
      <c r="I327" s="429"/>
      <c r="J327" s="429"/>
    </row>
    <row r="328" spans="3:10" x14ac:dyDescent="0.25">
      <c r="C328" s="429"/>
      <c r="D328" s="429"/>
      <c r="E328" s="429"/>
      <c r="F328" s="429"/>
      <c r="G328" s="429"/>
      <c r="H328" s="429"/>
      <c r="I328" s="429"/>
      <c r="J328" s="429"/>
    </row>
    <row r="329" spans="3:10" x14ac:dyDescent="0.25">
      <c r="C329" s="429"/>
      <c r="D329" s="429"/>
      <c r="E329" s="429"/>
      <c r="F329" s="429"/>
      <c r="G329" s="429"/>
      <c r="H329" s="429"/>
      <c r="I329" s="429"/>
      <c r="J329" s="429"/>
    </row>
    <row r="330" spans="3:10" x14ac:dyDescent="0.25">
      <c r="C330" s="429"/>
      <c r="D330" s="429"/>
      <c r="E330" s="429"/>
      <c r="F330" s="429"/>
      <c r="G330" s="429"/>
      <c r="H330" s="429"/>
      <c r="I330" s="429"/>
      <c r="J330" s="429"/>
    </row>
    <row r="331" spans="3:10" x14ac:dyDescent="0.25">
      <c r="C331" s="429"/>
      <c r="D331" s="429"/>
      <c r="E331" s="429"/>
      <c r="F331" s="429"/>
      <c r="G331" s="429"/>
      <c r="H331" s="429"/>
      <c r="I331" s="429"/>
      <c r="J331" s="429"/>
    </row>
    <row r="332" spans="3:10" x14ac:dyDescent="0.25">
      <c r="C332" s="429"/>
      <c r="D332" s="429"/>
      <c r="E332" s="429"/>
      <c r="F332" s="429"/>
      <c r="G332" s="429"/>
      <c r="H332" s="429"/>
      <c r="I332" s="429"/>
      <c r="J332" s="429"/>
    </row>
    <row r="333" spans="3:10" x14ac:dyDescent="0.25">
      <c r="C333" s="429"/>
      <c r="H333" s="429"/>
      <c r="I333" s="429"/>
      <c r="J333" s="429"/>
    </row>
    <row r="334" spans="3:10" x14ac:dyDescent="0.25">
      <c r="C334" s="429"/>
      <c r="H334" s="429"/>
      <c r="I334" s="429"/>
      <c r="J334" s="429"/>
    </row>
    <row r="335" spans="3:10" x14ac:dyDescent="0.25">
      <c r="C335" s="429"/>
      <c r="H335" s="429"/>
      <c r="I335" s="429"/>
      <c r="J335" s="429"/>
    </row>
    <row r="336" spans="3:10" x14ac:dyDescent="0.25">
      <c r="C336" s="429"/>
      <c r="H336" s="429"/>
      <c r="I336" s="429"/>
      <c r="J336" s="429"/>
    </row>
    <row r="337" spans="3:10" x14ac:dyDescent="0.25">
      <c r="C337" s="429"/>
      <c r="H337" s="429"/>
      <c r="I337" s="429"/>
      <c r="J337" s="429"/>
    </row>
    <row r="338" spans="3:10" x14ac:dyDescent="0.25">
      <c r="C338" s="429"/>
      <c r="H338" s="429"/>
      <c r="I338" s="429"/>
      <c r="J338" s="429"/>
    </row>
    <row r="339" spans="3:10" x14ac:dyDescent="0.25">
      <c r="H339" s="429"/>
      <c r="I339" s="429"/>
      <c r="J339" s="429"/>
    </row>
    <row r="340" spans="3:10" x14ac:dyDescent="0.25">
      <c r="H340" s="429"/>
      <c r="I340" s="429"/>
      <c r="J340" s="429"/>
    </row>
    <row r="341" spans="3:10" x14ac:dyDescent="0.25">
      <c r="H341" s="429"/>
      <c r="I341" s="429"/>
      <c r="J341" s="429"/>
    </row>
    <row r="342" spans="3:10" x14ac:dyDescent="0.25">
      <c r="H342" s="429"/>
      <c r="I342" s="429"/>
      <c r="J342" s="429"/>
    </row>
    <row r="343" spans="3:10" x14ac:dyDescent="0.25">
      <c r="I343" s="429"/>
      <c r="J343" s="429"/>
    </row>
    <row r="344" spans="3:10" x14ac:dyDescent="0.25">
      <c r="I344" s="429"/>
      <c r="J344" s="429"/>
    </row>
    <row r="345" spans="3:10" x14ac:dyDescent="0.25">
      <c r="J345" s="429"/>
    </row>
    <row r="346" spans="3:10" x14ac:dyDescent="0.25">
      <c r="J346" s="429"/>
    </row>
  </sheetData>
  <mergeCells count="127">
    <mergeCell ref="AK5:AK6"/>
    <mergeCell ref="B271:C271"/>
    <mergeCell ref="B273:B278"/>
    <mergeCell ref="B258:C258"/>
    <mergeCell ref="B259:C259"/>
    <mergeCell ref="B261:B266"/>
    <mergeCell ref="B268:G268"/>
    <mergeCell ref="B269:C269"/>
    <mergeCell ref="B270:C270"/>
    <mergeCell ref="B245:C245"/>
    <mergeCell ref="B246:C246"/>
    <mergeCell ref="B247:C247"/>
    <mergeCell ref="B249:B254"/>
    <mergeCell ref="B256:F256"/>
    <mergeCell ref="B257:C257"/>
    <mergeCell ref="B232:H232"/>
    <mergeCell ref="B233:C233"/>
    <mergeCell ref="B234:C234"/>
    <mergeCell ref="B235:C235"/>
    <mergeCell ref="B237:B242"/>
    <mergeCell ref="B244:G244"/>
    <mergeCell ref="B213:B218"/>
    <mergeCell ref="B220:H220"/>
    <mergeCell ref="B221:C221"/>
    <mergeCell ref="B222:C222"/>
    <mergeCell ref="B223:C223"/>
    <mergeCell ref="B225:B230"/>
    <mergeCell ref="B199:C199"/>
    <mergeCell ref="B201:B206"/>
    <mergeCell ref="B208:H208"/>
    <mergeCell ref="B209:C209"/>
    <mergeCell ref="B210:C210"/>
    <mergeCell ref="B211:C211"/>
    <mergeCell ref="B186:C186"/>
    <mergeCell ref="B187:C187"/>
    <mergeCell ref="B189:B194"/>
    <mergeCell ref="B196:H196"/>
    <mergeCell ref="B197:C197"/>
    <mergeCell ref="B198:C198"/>
    <mergeCell ref="B173:C173"/>
    <mergeCell ref="B174:C174"/>
    <mergeCell ref="B175:C175"/>
    <mergeCell ref="B177:B182"/>
    <mergeCell ref="B184:H184"/>
    <mergeCell ref="B185:C185"/>
    <mergeCell ref="B160:H160"/>
    <mergeCell ref="B161:C161"/>
    <mergeCell ref="B162:C162"/>
    <mergeCell ref="B163:C163"/>
    <mergeCell ref="B165:B170"/>
    <mergeCell ref="B172:H172"/>
    <mergeCell ref="B141:B146"/>
    <mergeCell ref="B148:H148"/>
    <mergeCell ref="B149:C149"/>
    <mergeCell ref="B150:C150"/>
    <mergeCell ref="B151:C151"/>
    <mergeCell ref="B153:B158"/>
    <mergeCell ref="B127:C127"/>
    <mergeCell ref="B129:B134"/>
    <mergeCell ref="B136:H136"/>
    <mergeCell ref="B137:C137"/>
    <mergeCell ref="B138:C138"/>
    <mergeCell ref="B139:C139"/>
    <mergeCell ref="B114:C114"/>
    <mergeCell ref="B115:C115"/>
    <mergeCell ref="B117:B122"/>
    <mergeCell ref="B124:H124"/>
    <mergeCell ref="B125:C125"/>
    <mergeCell ref="B126:C126"/>
    <mergeCell ref="B101:C101"/>
    <mergeCell ref="B102:C102"/>
    <mergeCell ref="B103:C103"/>
    <mergeCell ref="B105:B110"/>
    <mergeCell ref="B112:H112"/>
    <mergeCell ref="B113:C113"/>
    <mergeCell ref="B88:H88"/>
    <mergeCell ref="B89:C89"/>
    <mergeCell ref="B90:C90"/>
    <mergeCell ref="B91:C91"/>
    <mergeCell ref="B93:B98"/>
    <mergeCell ref="B100:H100"/>
    <mergeCell ref="B65:C65"/>
    <mergeCell ref="B66:C66"/>
    <mergeCell ref="B67:C67"/>
    <mergeCell ref="B69:B74"/>
    <mergeCell ref="B76:H76"/>
    <mergeCell ref="B78:C78"/>
    <mergeCell ref="B52:I52"/>
    <mergeCell ref="B53:C53"/>
    <mergeCell ref="B54:C54"/>
    <mergeCell ref="B55:C55"/>
    <mergeCell ref="B57:B62"/>
    <mergeCell ref="B64:H64"/>
    <mergeCell ref="B33:B38"/>
    <mergeCell ref="B40:I40"/>
    <mergeCell ref="B41:C41"/>
    <mergeCell ref="B42:C42"/>
    <mergeCell ref="B43:C43"/>
    <mergeCell ref="B45:B50"/>
    <mergeCell ref="B19:C19"/>
    <mergeCell ref="B21:B26"/>
    <mergeCell ref="B28:I28"/>
    <mergeCell ref="B29:C29"/>
    <mergeCell ref="B30:C30"/>
    <mergeCell ref="B31:C31"/>
    <mergeCell ref="B5:C5"/>
    <mergeCell ref="B6:C6"/>
    <mergeCell ref="B8:B14"/>
    <mergeCell ref="B16:I16"/>
    <mergeCell ref="B17:C17"/>
    <mergeCell ref="B18:C18"/>
    <mergeCell ref="T3:T4"/>
    <mergeCell ref="U3:U4"/>
    <mergeCell ref="V3:V4"/>
    <mergeCell ref="W3:W4"/>
    <mergeCell ref="X3:X4"/>
    <mergeCell ref="B4:C4"/>
    <mergeCell ref="B1:J2"/>
    <mergeCell ref="P2:P4"/>
    <mergeCell ref="R2:X2"/>
    <mergeCell ref="B3:I3"/>
    <mergeCell ref="L3:L4"/>
    <mergeCell ref="M3:M4"/>
    <mergeCell ref="Q3:Q4"/>
    <mergeCell ref="R3:R4"/>
    <mergeCell ref="S3:S4"/>
    <mergeCell ref="N3:N4"/>
  </mergeCells>
  <printOptions horizontalCentered="1"/>
  <pageMargins left="0.23622047244094491" right="0.23622047244094491" top="0.74803149606299213" bottom="0.55118110236220474" header="0.31496062992125984" footer="0.31496062992125984"/>
  <pageSetup paperSize="9" orientation="portrait" r:id="rId1"/>
  <ignoredErrors>
    <ignoredError sqref="E91:G91 F106 E103:G103 E102:F102 G102 E115:G115 E126:G127 F131 E139:G139 F151:G151 F162:G163 F166 F175:G175 F190 F198:G199 F210:G211 G277 AR11:AR16 F186:G187"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333FF"/>
    <outlinePr summaryBelow="0"/>
    <pageSetUpPr fitToPage="1"/>
  </sheetPr>
  <dimension ref="B1:S149"/>
  <sheetViews>
    <sheetView showGridLines="0" view="pageBreakPreview" zoomScale="70" zoomScaleNormal="70" zoomScaleSheetLayoutView="70" workbookViewId="0">
      <pane ySplit="11" topLeftCell="A39" activePane="bottomLeft" state="frozen"/>
      <selection activeCell="L22" sqref="L22"/>
      <selection pane="bottomLeft" activeCell="C83" sqref="C83"/>
    </sheetView>
  </sheetViews>
  <sheetFormatPr defaultColWidth="2.7109375" defaultRowHeight="12.75" outlineLevelRow="2" x14ac:dyDescent="0.25"/>
  <cols>
    <col min="1" max="1" width="2.7109375" style="305"/>
    <col min="2" max="2" width="39.42578125" style="305" bestFit="1" customWidth="1"/>
    <col min="3" max="3" width="30.140625" style="366" bestFit="1" customWidth="1"/>
    <col min="4" max="4" width="92.85546875" style="314" bestFit="1" customWidth="1"/>
    <col min="5" max="5" width="17" style="304" bestFit="1" customWidth="1"/>
    <col min="6" max="6" width="17.28515625" style="305" bestFit="1" customWidth="1"/>
    <col min="7" max="7" width="19.85546875" style="315" bestFit="1" customWidth="1"/>
    <col min="8" max="8" width="35" style="315" customWidth="1"/>
    <col min="9" max="17" width="2.7109375" style="305"/>
    <col min="18" max="18" width="15" style="305" bestFit="1" customWidth="1"/>
    <col min="19" max="19" width="11.85546875" style="305" customWidth="1"/>
    <col min="20" max="16384" width="2.7109375" style="305"/>
  </cols>
  <sheetData>
    <row r="1" spans="2:18" s="225" customFormat="1" ht="28.5" x14ac:dyDescent="0.6">
      <c r="B1" s="287" t="s">
        <v>0</v>
      </c>
      <c r="C1" s="285" t="str">
        <f>Obra!D1</f>
        <v>Atlantia</v>
      </c>
      <c r="D1" s="3"/>
      <c r="E1" s="3"/>
      <c r="F1" s="3"/>
      <c r="G1" s="367"/>
      <c r="H1" s="196"/>
      <c r="N1" s="267"/>
      <c r="O1" s="267"/>
      <c r="P1" s="280"/>
      <c r="Q1" s="267"/>
      <c r="R1" s="267"/>
    </row>
    <row r="2" spans="2:18" s="225" customFormat="1" ht="28.5" x14ac:dyDescent="0.6">
      <c r="B2" s="288" t="s">
        <v>1</v>
      </c>
      <c r="C2" s="425" t="str">
        <f>Obra!D2</f>
        <v>H empreendimentos</v>
      </c>
      <c r="D2" s="8"/>
      <c r="E2" s="8"/>
      <c r="F2" s="8"/>
      <c r="G2" s="368"/>
      <c r="H2" s="197"/>
      <c r="N2" s="267"/>
      <c r="O2" s="267"/>
      <c r="P2" s="280"/>
      <c r="Q2" s="267"/>
      <c r="R2" s="267"/>
    </row>
    <row r="3" spans="2:18" s="225" customFormat="1" ht="29.25" thickBot="1" x14ac:dyDescent="0.65">
      <c r="B3" s="369" t="s">
        <v>2</v>
      </c>
      <c r="C3" s="370" t="str">
        <f>Obra!D3</f>
        <v>R03 - Valquiria</v>
      </c>
      <c r="D3" s="371"/>
      <c r="E3" s="371"/>
      <c r="F3" s="371"/>
      <c r="G3" s="372"/>
      <c r="H3" s="197"/>
      <c r="N3" s="267"/>
      <c r="O3" s="267"/>
      <c r="P3" s="280"/>
      <c r="Q3" s="267"/>
      <c r="R3" s="267"/>
    </row>
    <row r="4" spans="2:18" s="225" customFormat="1" ht="35.25" thickBot="1" x14ac:dyDescent="0.3">
      <c r="B4" s="1184" t="s">
        <v>385</v>
      </c>
      <c r="C4" s="1185"/>
      <c r="D4" s="1185"/>
      <c r="E4" s="1185"/>
      <c r="F4" s="1185"/>
      <c r="G4" s="1185"/>
      <c r="H4" s="1186"/>
      <c r="N4" s="267"/>
      <c r="O4" s="267"/>
      <c r="P4" s="280"/>
      <c r="Q4" s="267"/>
      <c r="R4" s="267"/>
    </row>
    <row r="5" spans="2:18" s="311" customFormat="1" ht="9" thickBot="1" x14ac:dyDescent="0.2">
      <c r="B5" s="306"/>
      <c r="C5" s="307"/>
      <c r="D5" s="308"/>
      <c r="E5" s="309"/>
      <c r="F5" s="310"/>
    </row>
    <row r="6" spans="2:18" ht="16.5" x14ac:dyDescent="0.3">
      <c r="B6" s="312" t="s">
        <v>328</v>
      </c>
      <c r="C6" s="313">
        <f>SUMPRODUCT($E$12:$E$149,$F$12:$F$149)</f>
        <v>1249775.1500000001</v>
      </c>
    </row>
    <row r="7" spans="2:18" ht="16.5" x14ac:dyDescent="0.3">
      <c r="B7" s="316" t="s">
        <v>329</v>
      </c>
      <c r="C7" s="317">
        <f>SUMIFS($E$11:$E$149,$D$11:$D$149,"Área: ")</f>
        <v>956.51</v>
      </c>
    </row>
    <row r="8" spans="2:18" ht="16.5" x14ac:dyDescent="0.3">
      <c r="B8" s="316" t="s">
        <v>330</v>
      </c>
      <c r="C8" s="317">
        <f>SUMIFS($G$11:$G$149,$D$11:$D$149,"Acabamentos Especiais")</f>
        <v>0</v>
      </c>
    </row>
    <row r="9" spans="2:18" ht="17.25" thickBot="1" x14ac:dyDescent="0.35">
      <c r="B9" s="318" t="s">
        <v>331</v>
      </c>
      <c r="C9" s="319">
        <f>C6/C7</f>
        <v>1306.5991468986213</v>
      </c>
    </row>
    <row r="10" spans="2:18" s="311" customFormat="1" ht="9" thickBot="1" x14ac:dyDescent="0.2">
      <c r="B10" s="306"/>
      <c r="C10" s="307"/>
      <c r="D10" s="308"/>
      <c r="E10" s="309"/>
      <c r="F10" s="310"/>
      <c r="G10" s="320"/>
      <c r="H10" s="320"/>
    </row>
    <row r="11" spans="2:18" s="314" customFormat="1" ht="40.15" customHeight="1" x14ac:dyDescent="0.25">
      <c r="B11" s="321" t="s">
        <v>332</v>
      </c>
      <c r="C11" s="322" t="s">
        <v>269</v>
      </c>
      <c r="D11" s="323" t="s">
        <v>3</v>
      </c>
      <c r="E11" s="323" t="s">
        <v>333</v>
      </c>
      <c r="F11" s="324" t="s">
        <v>334</v>
      </c>
      <c r="G11" s="325" t="s">
        <v>335</v>
      </c>
      <c r="H11" s="325" t="s">
        <v>336</v>
      </c>
    </row>
    <row r="12" spans="2:18" s="314" customFormat="1" ht="12.75" customHeight="1" x14ac:dyDescent="0.25">
      <c r="B12" s="326" t="s">
        <v>337</v>
      </c>
      <c r="C12" s="327"/>
      <c r="D12" s="328"/>
      <c r="E12" s="329"/>
      <c r="F12" s="330"/>
      <c r="G12" s="331">
        <f>SUM(G13:G17)/2</f>
        <v>42978</v>
      </c>
      <c r="H12" s="331"/>
    </row>
    <row r="13" spans="2:18" s="314" customFormat="1" ht="12.75" customHeight="1" outlineLevel="1" x14ac:dyDescent="0.25">
      <c r="B13" s="332" t="str">
        <f>B12</f>
        <v>TERREO</v>
      </c>
      <c r="C13" s="333" t="s">
        <v>3619</v>
      </c>
      <c r="D13" s="334" t="s">
        <v>338</v>
      </c>
      <c r="E13" s="335">
        <v>30.5</v>
      </c>
      <c r="F13" s="336"/>
      <c r="G13" s="337">
        <f>SUM(G14:G17)</f>
        <v>42978</v>
      </c>
      <c r="H13" s="337"/>
    </row>
    <row r="14" spans="2:18" outlineLevel="2" x14ac:dyDescent="0.25">
      <c r="B14" s="332" t="str">
        <f t="shared" ref="B14:B63" si="0">B13</f>
        <v>TERREO</v>
      </c>
      <c r="C14" s="338" t="str">
        <f>C13</f>
        <v>Hall Principal</v>
      </c>
      <c r="D14" s="339" t="s">
        <v>370</v>
      </c>
      <c r="E14" s="340">
        <v>6</v>
      </c>
      <c r="F14" s="341">
        <v>2033</v>
      </c>
      <c r="G14" s="342">
        <f t="shared" ref="G14:G17" si="1">E14*F14</f>
        <v>12198</v>
      </c>
      <c r="H14" s="342"/>
    </row>
    <row r="15" spans="2:18" ht="15" customHeight="1" outlineLevel="2" x14ac:dyDescent="0.25">
      <c r="B15" s="332" t="str">
        <f t="shared" si="0"/>
        <v>TERREO</v>
      </c>
      <c r="C15" s="338" t="str">
        <f>C14</f>
        <v>Hall Principal</v>
      </c>
      <c r="D15" s="339" t="s">
        <v>339</v>
      </c>
      <c r="E15" s="340">
        <v>1</v>
      </c>
      <c r="F15" s="341">
        <v>4800</v>
      </c>
      <c r="G15" s="342">
        <f t="shared" si="1"/>
        <v>4800</v>
      </c>
      <c r="H15" s="344"/>
    </row>
    <row r="16" spans="2:18" ht="15" customHeight="1" outlineLevel="2" x14ac:dyDescent="0.25">
      <c r="B16" s="332" t="str">
        <f t="shared" si="0"/>
        <v>TERREO</v>
      </c>
      <c r="C16" s="338" t="str">
        <f>C15</f>
        <v>Hall Principal</v>
      </c>
      <c r="D16" s="339" t="s">
        <v>3631</v>
      </c>
      <c r="E16" s="340">
        <v>1</v>
      </c>
      <c r="F16" s="341">
        <v>980</v>
      </c>
      <c r="G16" s="342">
        <f t="shared" si="1"/>
        <v>980</v>
      </c>
      <c r="H16" s="343"/>
    </row>
    <row r="17" spans="2:8" ht="15" customHeight="1" outlineLevel="2" x14ac:dyDescent="0.25">
      <c r="B17" s="332" t="str">
        <f t="shared" si="0"/>
        <v>TERREO</v>
      </c>
      <c r="C17" s="338" t="str">
        <f>C16</f>
        <v>Hall Principal</v>
      </c>
      <c r="D17" s="347" t="s">
        <v>340</v>
      </c>
      <c r="E17" s="340">
        <v>1</v>
      </c>
      <c r="F17" s="341">
        <v>25000</v>
      </c>
      <c r="G17" s="342">
        <f t="shared" si="1"/>
        <v>25000</v>
      </c>
      <c r="H17" s="342"/>
    </row>
    <row r="18" spans="2:8" outlineLevel="1" x14ac:dyDescent="0.25">
      <c r="B18" s="332" t="str">
        <f t="shared" si="0"/>
        <v>TERREO</v>
      </c>
      <c r="C18" s="333" t="s">
        <v>3607</v>
      </c>
      <c r="D18" s="334" t="s">
        <v>338</v>
      </c>
      <c r="E18" s="335">
        <v>19.48</v>
      </c>
      <c r="F18" s="336"/>
      <c r="G18" s="337">
        <f>SUM(G19:G22)</f>
        <v>18450</v>
      </c>
      <c r="H18" s="337"/>
    </row>
    <row r="19" spans="2:8" outlineLevel="2" x14ac:dyDescent="0.25">
      <c r="B19" s="332" t="str">
        <f t="shared" si="0"/>
        <v>TERREO</v>
      </c>
      <c r="C19" s="338" t="str">
        <f>C18</f>
        <v>Bike Share</v>
      </c>
      <c r="D19" s="353" t="s">
        <v>3609</v>
      </c>
      <c r="E19" s="350">
        <v>7</v>
      </c>
      <c r="F19" s="351">
        <v>150</v>
      </c>
      <c r="G19" s="352">
        <f>E19*F19</f>
        <v>1050</v>
      </c>
      <c r="H19" s="352"/>
    </row>
    <row r="20" spans="2:8" ht="15" customHeight="1" outlineLevel="2" x14ac:dyDescent="0.25">
      <c r="B20" s="332" t="str">
        <f t="shared" si="0"/>
        <v>TERREO</v>
      </c>
      <c r="C20" s="338" t="str">
        <f>C19</f>
        <v>Bike Share</v>
      </c>
      <c r="D20" s="353" t="s">
        <v>3608</v>
      </c>
      <c r="E20" s="354">
        <v>1</v>
      </c>
      <c r="F20" s="355">
        <v>7500</v>
      </c>
      <c r="G20" s="342">
        <f t="shared" ref="G20:G22" si="2">E20*F20</f>
        <v>7500</v>
      </c>
      <c r="H20" s="342"/>
    </row>
    <row r="21" spans="2:8" ht="15" customHeight="1" outlineLevel="2" x14ac:dyDescent="0.25">
      <c r="B21" s="332" t="str">
        <f t="shared" si="0"/>
        <v>TERREO</v>
      </c>
      <c r="C21" s="338" t="str">
        <f t="shared" ref="C21" si="3">C20</f>
        <v>Bike Share</v>
      </c>
      <c r="D21" s="353" t="s">
        <v>3610</v>
      </c>
      <c r="E21" s="354">
        <v>4</v>
      </c>
      <c r="F21" s="355">
        <v>1250</v>
      </c>
      <c r="G21" s="342">
        <f t="shared" si="2"/>
        <v>5000</v>
      </c>
      <c r="H21" s="356"/>
    </row>
    <row r="22" spans="2:8" ht="15" customHeight="1" outlineLevel="2" x14ac:dyDescent="0.25">
      <c r="B22" s="332" t="str">
        <f t="shared" si="0"/>
        <v>TERREO</v>
      </c>
      <c r="C22" s="338" t="str">
        <f t="shared" ref="C22" si="4">C21</f>
        <v>Bike Share</v>
      </c>
      <c r="D22" s="339" t="s">
        <v>3631</v>
      </c>
      <c r="E22" s="340">
        <v>5</v>
      </c>
      <c r="F22" s="341">
        <v>980</v>
      </c>
      <c r="G22" s="342">
        <f t="shared" si="2"/>
        <v>4900</v>
      </c>
      <c r="H22" s="342"/>
    </row>
    <row r="23" spans="2:8" outlineLevel="1" x14ac:dyDescent="0.25">
      <c r="B23" s="332" t="str">
        <f t="shared" si="0"/>
        <v>TERREO</v>
      </c>
      <c r="C23" s="333" t="s">
        <v>3620</v>
      </c>
      <c r="D23" s="334" t="s">
        <v>338</v>
      </c>
      <c r="E23" s="335">
        <v>4.87</v>
      </c>
      <c r="F23" s="336"/>
      <c r="G23" s="337">
        <f>SUM(G24:G24)</f>
        <v>7890</v>
      </c>
      <c r="H23" s="337"/>
    </row>
    <row r="24" spans="2:8" outlineLevel="2" x14ac:dyDescent="0.25">
      <c r="B24" s="332" t="str">
        <f t="shared" si="0"/>
        <v>TERREO</v>
      </c>
      <c r="C24" s="338" t="str">
        <f>C23</f>
        <v>Pranchário</v>
      </c>
      <c r="D24" s="353" t="s">
        <v>3621</v>
      </c>
      <c r="E24" s="350">
        <v>1</v>
      </c>
      <c r="F24" s="351">
        <v>7890</v>
      </c>
      <c r="G24" s="352">
        <f>E24*F24</f>
        <v>7890</v>
      </c>
      <c r="H24" s="352"/>
    </row>
    <row r="25" spans="2:8" outlineLevel="1" x14ac:dyDescent="0.25">
      <c r="B25" s="332" t="str">
        <f t="shared" si="0"/>
        <v>TERREO</v>
      </c>
      <c r="C25" s="333" t="s">
        <v>341</v>
      </c>
      <c r="D25" s="334" t="s">
        <v>338</v>
      </c>
      <c r="E25" s="335">
        <v>43.41</v>
      </c>
      <c r="F25" s="336"/>
      <c r="G25" s="337">
        <f>SUM(G26:G39)</f>
        <v>158721</v>
      </c>
      <c r="H25" s="337"/>
    </row>
    <row r="26" spans="2:8" outlineLevel="2" x14ac:dyDescent="0.25">
      <c r="B26" s="332" t="str">
        <f t="shared" si="0"/>
        <v>TERREO</v>
      </c>
      <c r="C26" s="338" t="str">
        <f t="shared" ref="C26:C27" si="5">C25</f>
        <v xml:space="preserve"> Academia</v>
      </c>
      <c r="D26" s="349" t="s">
        <v>342</v>
      </c>
      <c r="E26" s="350">
        <v>3</v>
      </c>
      <c r="F26" s="351">
        <v>9000</v>
      </c>
      <c r="G26" s="352">
        <f>E26*F26</f>
        <v>27000</v>
      </c>
      <c r="H26" s="352"/>
    </row>
    <row r="27" spans="2:8" ht="15" customHeight="1" outlineLevel="2" x14ac:dyDescent="0.25">
      <c r="B27" s="332" t="str">
        <f t="shared" si="0"/>
        <v>TERREO</v>
      </c>
      <c r="C27" s="338" t="str">
        <f t="shared" si="5"/>
        <v xml:space="preserve"> Academia</v>
      </c>
      <c r="D27" s="353" t="s">
        <v>343</v>
      </c>
      <c r="E27" s="354">
        <v>2</v>
      </c>
      <c r="F27" s="355">
        <v>3245</v>
      </c>
      <c r="G27" s="342">
        <f t="shared" ref="G27:G31" si="6">E27*F27</f>
        <v>6490</v>
      </c>
      <c r="H27" s="342"/>
    </row>
    <row r="28" spans="2:8" ht="15" customHeight="1" outlineLevel="2" x14ac:dyDescent="0.25">
      <c r="B28" s="332" t="str">
        <f t="shared" si="0"/>
        <v>TERREO</v>
      </c>
      <c r="C28" s="338" t="str">
        <f t="shared" ref="C28" si="7">C27</f>
        <v xml:space="preserve"> Academia</v>
      </c>
      <c r="D28" s="353" t="s">
        <v>344</v>
      </c>
      <c r="E28" s="354">
        <v>1</v>
      </c>
      <c r="F28" s="355">
        <v>62000</v>
      </c>
      <c r="G28" s="342">
        <f t="shared" si="6"/>
        <v>62000</v>
      </c>
      <c r="H28" s="356"/>
    </row>
    <row r="29" spans="2:8" ht="15" customHeight="1" outlineLevel="2" x14ac:dyDescent="0.25">
      <c r="B29" s="332" t="str">
        <f t="shared" si="0"/>
        <v>TERREO</v>
      </c>
      <c r="C29" s="338" t="str">
        <f t="shared" ref="C29" si="8">C28</f>
        <v xml:space="preserve"> Academia</v>
      </c>
      <c r="D29" s="353" t="s">
        <v>345</v>
      </c>
      <c r="E29" s="354">
        <v>1</v>
      </c>
      <c r="F29" s="355">
        <v>3250</v>
      </c>
      <c r="G29" s="342">
        <f t="shared" si="6"/>
        <v>3250</v>
      </c>
      <c r="H29" s="342"/>
    </row>
    <row r="30" spans="2:8" ht="15" customHeight="1" outlineLevel="2" x14ac:dyDescent="0.25">
      <c r="B30" s="332" t="str">
        <f t="shared" si="0"/>
        <v>TERREO</v>
      </c>
      <c r="C30" s="338" t="str">
        <f t="shared" ref="C30" si="9">C29</f>
        <v xml:space="preserve"> Academia</v>
      </c>
      <c r="D30" s="353" t="s">
        <v>346</v>
      </c>
      <c r="E30" s="354">
        <v>1</v>
      </c>
      <c r="F30" s="355">
        <v>859</v>
      </c>
      <c r="G30" s="342">
        <f t="shared" si="6"/>
        <v>859</v>
      </c>
      <c r="H30" s="342"/>
    </row>
    <row r="31" spans="2:8" ht="15" customHeight="1" outlineLevel="2" x14ac:dyDescent="0.25">
      <c r="B31" s="332" t="str">
        <f t="shared" si="0"/>
        <v>TERREO</v>
      </c>
      <c r="C31" s="338" t="str">
        <f t="shared" ref="C31" si="10">C30</f>
        <v xml:space="preserve"> Academia</v>
      </c>
      <c r="D31" s="353" t="s">
        <v>347</v>
      </c>
      <c r="E31" s="354">
        <v>1</v>
      </c>
      <c r="F31" s="355">
        <v>2650</v>
      </c>
      <c r="G31" s="342">
        <f t="shared" si="6"/>
        <v>2650</v>
      </c>
      <c r="H31" s="342"/>
    </row>
    <row r="32" spans="2:8" ht="15" customHeight="1" outlineLevel="2" x14ac:dyDescent="0.25">
      <c r="B32" s="332" t="str">
        <f t="shared" si="0"/>
        <v>TERREO</v>
      </c>
      <c r="C32" s="338" t="str">
        <f t="shared" ref="C32" si="11">C31</f>
        <v xml:space="preserve"> Academia</v>
      </c>
      <c r="D32" s="353" t="s">
        <v>348</v>
      </c>
      <c r="E32" s="354">
        <v>6</v>
      </c>
      <c r="F32" s="355">
        <v>150</v>
      </c>
      <c r="G32" s="342">
        <f>E32*F32</f>
        <v>900</v>
      </c>
      <c r="H32" s="342"/>
    </row>
    <row r="33" spans="2:8" ht="15" customHeight="1" outlineLevel="2" x14ac:dyDescent="0.25">
      <c r="B33" s="332" t="str">
        <f t="shared" si="0"/>
        <v>TERREO</v>
      </c>
      <c r="C33" s="338" t="str">
        <f t="shared" ref="C33" si="12">C32</f>
        <v xml:space="preserve"> Academia</v>
      </c>
      <c r="D33" s="353" t="s">
        <v>3606</v>
      </c>
      <c r="E33" s="354">
        <v>1</v>
      </c>
      <c r="F33" s="355">
        <v>3500</v>
      </c>
      <c r="G33" s="342">
        <f t="shared" ref="G33:G39" si="13">E33*F33</f>
        <v>3500</v>
      </c>
      <c r="H33" s="342"/>
    </row>
    <row r="34" spans="2:8" ht="15" customHeight="1" outlineLevel="2" x14ac:dyDescent="0.25">
      <c r="B34" s="332" t="str">
        <f t="shared" si="0"/>
        <v>TERREO</v>
      </c>
      <c r="C34" s="338" t="str">
        <f t="shared" ref="C34" si="14">C33</f>
        <v xml:space="preserve"> Academia</v>
      </c>
      <c r="D34" s="347" t="s">
        <v>340</v>
      </c>
      <c r="E34" s="340">
        <v>1</v>
      </c>
      <c r="F34" s="341">
        <v>35500</v>
      </c>
      <c r="G34" s="342">
        <f t="shared" si="13"/>
        <v>35500</v>
      </c>
      <c r="H34" s="342"/>
    </row>
    <row r="35" spans="2:8" ht="15" customHeight="1" outlineLevel="2" x14ac:dyDescent="0.25">
      <c r="B35" s="332" t="str">
        <f t="shared" si="0"/>
        <v>TERREO</v>
      </c>
      <c r="C35" s="338" t="str">
        <f>C34</f>
        <v xml:space="preserve"> Academia</v>
      </c>
      <c r="D35" s="347" t="s">
        <v>349</v>
      </c>
      <c r="E35" s="340">
        <v>1</v>
      </c>
      <c r="F35" s="341">
        <v>1250</v>
      </c>
      <c r="G35" s="342">
        <f t="shared" si="13"/>
        <v>1250</v>
      </c>
      <c r="H35" s="342"/>
    </row>
    <row r="36" spans="2:8" ht="15" customHeight="1" outlineLevel="2" x14ac:dyDescent="0.25">
      <c r="B36" s="332" t="str">
        <f t="shared" si="0"/>
        <v>TERREO</v>
      </c>
      <c r="C36" s="338" t="str">
        <f>C35</f>
        <v xml:space="preserve"> Academia</v>
      </c>
      <c r="D36" s="353" t="s">
        <v>351</v>
      </c>
      <c r="E36" s="354">
        <v>2</v>
      </c>
      <c r="F36" s="355">
        <v>1200</v>
      </c>
      <c r="G36" s="342">
        <f t="shared" si="13"/>
        <v>2400</v>
      </c>
      <c r="H36" s="342"/>
    </row>
    <row r="37" spans="2:8" ht="15" customHeight="1" outlineLevel="2" x14ac:dyDescent="0.25">
      <c r="B37" s="332" t="str">
        <f t="shared" si="0"/>
        <v>TERREO</v>
      </c>
      <c r="C37" s="338" t="str">
        <f t="shared" ref="C37:C39" si="15">C36</f>
        <v xml:space="preserve"> Academia</v>
      </c>
      <c r="D37" s="353" t="s">
        <v>352</v>
      </c>
      <c r="E37" s="354">
        <v>10</v>
      </c>
      <c r="F37" s="355">
        <v>450</v>
      </c>
      <c r="G37" s="342">
        <f t="shared" si="13"/>
        <v>4500</v>
      </c>
      <c r="H37" s="342"/>
    </row>
    <row r="38" spans="2:8" ht="15" customHeight="1" outlineLevel="2" x14ac:dyDescent="0.25">
      <c r="B38" s="332" t="str">
        <f t="shared" si="0"/>
        <v>TERREO</v>
      </c>
      <c r="C38" s="338" t="str">
        <f t="shared" si="15"/>
        <v xml:space="preserve"> Academia</v>
      </c>
      <c r="D38" s="339" t="s">
        <v>3631</v>
      </c>
      <c r="E38" s="340">
        <v>7</v>
      </c>
      <c r="F38" s="341">
        <v>980</v>
      </c>
      <c r="G38" s="342">
        <f t="shared" si="13"/>
        <v>6860</v>
      </c>
      <c r="H38" s="342"/>
    </row>
    <row r="39" spans="2:8" ht="15" customHeight="1" outlineLevel="2" x14ac:dyDescent="0.25">
      <c r="B39" s="332" t="str">
        <f t="shared" si="0"/>
        <v>TERREO</v>
      </c>
      <c r="C39" s="338" t="str">
        <f t="shared" si="15"/>
        <v xml:space="preserve"> Academia</v>
      </c>
      <c r="D39" s="353" t="s">
        <v>353</v>
      </c>
      <c r="E39" s="354">
        <v>1</v>
      </c>
      <c r="F39" s="355">
        <v>1562</v>
      </c>
      <c r="G39" s="342">
        <f t="shared" si="13"/>
        <v>1562</v>
      </c>
      <c r="H39" s="342"/>
    </row>
    <row r="40" spans="2:8" outlineLevel="1" x14ac:dyDescent="0.25">
      <c r="B40" s="332" t="str">
        <f t="shared" si="0"/>
        <v>TERREO</v>
      </c>
      <c r="C40" s="333" t="s">
        <v>3611</v>
      </c>
      <c r="D40" s="334" t="s">
        <v>338</v>
      </c>
      <c r="E40" s="335">
        <v>14.42</v>
      </c>
      <c r="F40" s="336"/>
      <c r="G40" s="337">
        <f>SUM(G41:G45)</f>
        <v>99357.03</v>
      </c>
      <c r="H40" s="337"/>
    </row>
    <row r="41" spans="2:8" outlineLevel="2" x14ac:dyDescent="0.25">
      <c r="B41" s="332" t="str">
        <f t="shared" si="0"/>
        <v>TERREO</v>
      </c>
      <c r="C41" s="338" t="str">
        <f>C40</f>
        <v>Lavanderia</v>
      </c>
      <c r="D41" s="349" t="s">
        <v>3612</v>
      </c>
      <c r="E41" s="350">
        <v>1</v>
      </c>
      <c r="F41" s="351">
        <v>3000</v>
      </c>
      <c r="G41" s="352">
        <f>E41*F41</f>
        <v>3000</v>
      </c>
      <c r="H41" s="352"/>
    </row>
    <row r="42" spans="2:8" ht="15" customHeight="1" outlineLevel="2" x14ac:dyDescent="0.25">
      <c r="B42" s="332" t="str">
        <f t="shared" si="0"/>
        <v>TERREO</v>
      </c>
      <c r="C42" s="338" t="str">
        <f t="shared" ref="C42" si="16">C41</f>
        <v>Lavanderia</v>
      </c>
      <c r="D42" s="347" t="s">
        <v>340</v>
      </c>
      <c r="E42" s="340">
        <v>1</v>
      </c>
      <c r="F42" s="341">
        <v>15500</v>
      </c>
      <c r="G42" s="342">
        <f t="shared" ref="G42" si="17">E42*F42</f>
        <v>15500</v>
      </c>
      <c r="H42" s="342"/>
    </row>
    <row r="43" spans="2:8" ht="15" customHeight="1" outlineLevel="2" x14ac:dyDescent="0.25">
      <c r="B43" s="332" t="str">
        <f t="shared" si="0"/>
        <v>TERREO</v>
      </c>
      <c r="C43" s="338" t="str">
        <f t="shared" ref="C43" si="18">C42</f>
        <v>Lavanderia</v>
      </c>
      <c r="D43" s="353" t="s">
        <v>3613</v>
      </c>
      <c r="E43" s="354">
        <v>3</v>
      </c>
      <c r="F43" s="355">
        <v>22999.01</v>
      </c>
      <c r="G43" s="342">
        <f t="shared" ref="G43:G45" si="19">E43*F43</f>
        <v>68997.03</v>
      </c>
      <c r="H43" s="342"/>
    </row>
    <row r="44" spans="2:8" ht="15" customHeight="1" outlineLevel="2" x14ac:dyDescent="0.25">
      <c r="B44" s="332" t="str">
        <f t="shared" si="0"/>
        <v>TERREO</v>
      </c>
      <c r="C44" s="338" t="str">
        <f t="shared" ref="C44:C45" si="20">C43</f>
        <v>Lavanderia</v>
      </c>
      <c r="D44" s="353" t="s">
        <v>3614</v>
      </c>
      <c r="E44" s="354">
        <v>1</v>
      </c>
      <c r="F44" s="355">
        <v>5000</v>
      </c>
      <c r="G44" s="342">
        <f t="shared" si="19"/>
        <v>5000</v>
      </c>
      <c r="H44" s="342"/>
    </row>
    <row r="45" spans="2:8" ht="15" customHeight="1" outlineLevel="2" x14ac:dyDescent="0.25">
      <c r="B45" s="332" t="str">
        <f t="shared" si="0"/>
        <v>TERREO</v>
      </c>
      <c r="C45" s="338" t="str">
        <f t="shared" si="20"/>
        <v>Lavanderia</v>
      </c>
      <c r="D45" s="339" t="s">
        <v>3631</v>
      </c>
      <c r="E45" s="340">
        <v>7</v>
      </c>
      <c r="F45" s="341">
        <v>980</v>
      </c>
      <c r="G45" s="342">
        <f t="shared" si="19"/>
        <v>6860</v>
      </c>
      <c r="H45" s="356"/>
    </row>
    <row r="46" spans="2:8" outlineLevel="1" x14ac:dyDescent="0.25">
      <c r="B46" s="332" t="str">
        <f t="shared" si="0"/>
        <v>TERREO</v>
      </c>
      <c r="C46" s="333" t="s">
        <v>3616</v>
      </c>
      <c r="D46" s="334" t="s">
        <v>338</v>
      </c>
      <c r="E46" s="335">
        <v>43.41</v>
      </c>
      <c r="F46" s="336"/>
      <c r="G46" s="337">
        <f>SUM(G47:G49)</f>
        <v>76920</v>
      </c>
      <c r="H46" s="337"/>
    </row>
    <row r="47" spans="2:8" outlineLevel="2" x14ac:dyDescent="0.25">
      <c r="B47" s="332" t="str">
        <f t="shared" si="0"/>
        <v>TERREO</v>
      </c>
      <c r="C47" s="338" t="str">
        <f>C46</f>
        <v>Smart Market</v>
      </c>
      <c r="D47" s="349" t="s">
        <v>3617</v>
      </c>
      <c r="E47" s="350">
        <v>3</v>
      </c>
      <c r="F47" s="351">
        <v>12500</v>
      </c>
      <c r="G47" s="352">
        <f>E47*F47</f>
        <v>37500</v>
      </c>
      <c r="H47" s="352"/>
    </row>
    <row r="48" spans="2:8" ht="15" customHeight="1" outlineLevel="2" x14ac:dyDescent="0.25">
      <c r="B48" s="332" t="str">
        <f t="shared" si="0"/>
        <v>TERREO</v>
      </c>
      <c r="C48" s="338" t="str">
        <f t="shared" ref="C48:C49" si="21">C47</f>
        <v>Smart Market</v>
      </c>
      <c r="D48" s="347" t="s">
        <v>340</v>
      </c>
      <c r="E48" s="340">
        <v>1</v>
      </c>
      <c r="F48" s="341">
        <v>35500</v>
      </c>
      <c r="G48" s="342">
        <f t="shared" ref="G48:G49" si="22">E48*F48</f>
        <v>35500</v>
      </c>
      <c r="H48" s="342"/>
    </row>
    <row r="49" spans="2:8" ht="15" customHeight="1" outlineLevel="2" x14ac:dyDescent="0.25">
      <c r="B49" s="332" t="str">
        <f t="shared" si="0"/>
        <v>TERREO</v>
      </c>
      <c r="C49" s="338" t="str">
        <f t="shared" si="21"/>
        <v>Smart Market</v>
      </c>
      <c r="D49" s="339" t="s">
        <v>3631</v>
      </c>
      <c r="E49" s="340">
        <v>4</v>
      </c>
      <c r="F49" s="341">
        <v>980</v>
      </c>
      <c r="G49" s="342">
        <f t="shared" si="22"/>
        <v>3920</v>
      </c>
      <c r="H49" s="342"/>
    </row>
    <row r="50" spans="2:8" outlineLevel="1" x14ac:dyDescent="0.25">
      <c r="B50" s="332" t="str">
        <f t="shared" si="0"/>
        <v>TERREO</v>
      </c>
      <c r="C50" s="333" t="s">
        <v>3618</v>
      </c>
      <c r="D50" s="334" t="s">
        <v>338</v>
      </c>
      <c r="E50" s="335">
        <v>43.41</v>
      </c>
      <c r="F50" s="336"/>
      <c r="G50" s="337">
        <f>SUM(G51:G53)</f>
        <v>76920</v>
      </c>
      <c r="H50" s="337"/>
    </row>
    <row r="51" spans="2:8" outlineLevel="2" x14ac:dyDescent="0.25">
      <c r="B51" s="332" t="str">
        <f t="shared" si="0"/>
        <v>TERREO</v>
      </c>
      <c r="C51" s="338" t="str">
        <f>C50</f>
        <v>Delivery</v>
      </c>
      <c r="D51" s="349" t="s">
        <v>3617</v>
      </c>
      <c r="E51" s="350">
        <v>3</v>
      </c>
      <c r="F51" s="351">
        <v>12500</v>
      </c>
      <c r="G51" s="352">
        <f>E51*F51</f>
        <v>37500</v>
      </c>
      <c r="H51" s="352"/>
    </row>
    <row r="52" spans="2:8" ht="15" customHeight="1" outlineLevel="2" x14ac:dyDescent="0.25">
      <c r="B52" s="332" t="str">
        <f t="shared" si="0"/>
        <v>TERREO</v>
      </c>
      <c r="C52" s="338" t="str">
        <f t="shared" ref="C52:C53" si="23">C51</f>
        <v>Delivery</v>
      </c>
      <c r="D52" s="347" t="s">
        <v>340</v>
      </c>
      <c r="E52" s="340">
        <v>1</v>
      </c>
      <c r="F52" s="341">
        <v>35500</v>
      </c>
      <c r="G52" s="342">
        <f t="shared" ref="G52:G53" si="24">E52*F52</f>
        <v>35500</v>
      </c>
      <c r="H52" s="342"/>
    </row>
    <row r="53" spans="2:8" ht="15" customHeight="1" outlineLevel="2" x14ac:dyDescent="0.25">
      <c r="B53" s="332" t="str">
        <f t="shared" si="0"/>
        <v>TERREO</v>
      </c>
      <c r="C53" s="338" t="str">
        <f t="shared" si="23"/>
        <v>Delivery</v>
      </c>
      <c r="D53" s="339" t="s">
        <v>3631</v>
      </c>
      <c r="E53" s="340">
        <v>4</v>
      </c>
      <c r="F53" s="341">
        <v>980</v>
      </c>
      <c r="G53" s="342">
        <f t="shared" si="24"/>
        <v>3920</v>
      </c>
      <c r="H53" s="342"/>
    </row>
    <row r="54" spans="2:8" outlineLevel="1" x14ac:dyDescent="0.25">
      <c r="B54" s="332" t="str">
        <f t="shared" si="0"/>
        <v>TERREO</v>
      </c>
      <c r="C54" s="333" t="s">
        <v>3622</v>
      </c>
      <c r="D54" s="334" t="s">
        <v>338</v>
      </c>
      <c r="E54" s="335">
        <v>28.02</v>
      </c>
      <c r="F54" s="336"/>
      <c r="G54" s="337">
        <f>SUM(G55:G64)</f>
        <v>31461.9</v>
      </c>
      <c r="H54" s="337"/>
    </row>
    <row r="55" spans="2:8" outlineLevel="2" x14ac:dyDescent="0.25">
      <c r="B55" s="332" t="str">
        <f t="shared" si="0"/>
        <v>TERREO</v>
      </c>
      <c r="C55" s="338" t="str">
        <f>C54</f>
        <v>Coworking</v>
      </c>
      <c r="D55" s="349" t="s">
        <v>3612</v>
      </c>
      <c r="E55" s="350">
        <v>1</v>
      </c>
      <c r="F55" s="351">
        <v>3000</v>
      </c>
      <c r="G55" s="352">
        <f>E55*F55</f>
        <v>3000</v>
      </c>
      <c r="H55" s="352"/>
    </row>
    <row r="56" spans="2:8" ht="15" customHeight="1" outlineLevel="2" x14ac:dyDescent="0.25">
      <c r="B56" s="332" t="str">
        <f t="shared" si="0"/>
        <v>TERREO</v>
      </c>
      <c r="C56" s="338" t="str">
        <f>C55</f>
        <v>Coworking</v>
      </c>
      <c r="D56" s="353" t="s">
        <v>3623</v>
      </c>
      <c r="E56" s="354">
        <v>1</v>
      </c>
      <c r="F56" s="341">
        <v>7649.9</v>
      </c>
      <c r="G56" s="352">
        <f t="shared" ref="G56:G61" si="25">E56*F56</f>
        <v>7649.9</v>
      </c>
      <c r="H56" s="342"/>
    </row>
    <row r="57" spans="2:8" ht="15" customHeight="1" outlineLevel="2" x14ac:dyDescent="0.25">
      <c r="B57" s="332" t="str">
        <f t="shared" si="0"/>
        <v>TERREO</v>
      </c>
      <c r="C57" s="338" t="str">
        <f t="shared" ref="C57:C62" si="26">C56</f>
        <v>Coworking</v>
      </c>
      <c r="D57" s="353" t="s">
        <v>3624</v>
      </c>
      <c r="E57" s="354">
        <v>1</v>
      </c>
      <c r="F57" s="355">
        <v>3905</v>
      </c>
      <c r="G57" s="352">
        <f t="shared" si="25"/>
        <v>3905</v>
      </c>
      <c r="H57" s="342"/>
    </row>
    <row r="58" spans="2:8" ht="15" customHeight="1" outlineLevel="2" x14ac:dyDescent="0.25">
      <c r="B58" s="332" t="str">
        <f t="shared" si="0"/>
        <v>TERREO</v>
      </c>
      <c r="C58" s="338" t="str">
        <f t="shared" si="26"/>
        <v>Coworking</v>
      </c>
      <c r="D58" s="353" t="s">
        <v>3625</v>
      </c>
      <c r="E58" s="354">
        <v>1</v>
      </c>
      <c r="F58" s="355">
        <v>1850</v>
      </c>
      <c r="G58" s="352">
        <f t="shared" si="25"/>
        <v>1850</v>
      </c>
      <c r="H58" s="342"/>
    </row>
    <row r="59" spans="2:8" ht="15" customHeight="1" outlineLevel="2" x14ac:dyDescent="0.25">
      <c r="B59" s="332" t="str">
        <f t="shared" si="0"/>
        <v>TERREO</v>
      </c>
      <c r="C59" s="338" t="str">
        <f t="shared" si="26"/>
        <v>Coworking</v>
      </c>
      <c r="D59" s="353" t="s">
        <v>3626</v>
      </c>
      <c r="E59" s="354">
        <v>1</v>
      </c>
      <c r="F59" s="355">
        <v>2490</v>
      </c>
      <c r="G59" s="352">
        <f t="shared" si="25"/>
        <v>2490</v>
      </c>
      <c r="H59" s="342"/>
    </row>
    <row r="60" spans="2:8" ht="15" customHeight="1" outlineLevel="2" x14ac:dyDescent="0.25">
      <c r="B60" s="332" t="str">
        <f t="shared" si="0"/>
        <v>TERREO</v>
      </c>
      <c r="C60" s="338" t="str">
        <f t="shared" si="26"/>
        <v>Coworking</v>
      </c>
      <c r="D60" s="339" t="s">
        <v>370</v>
      </c>
      <c r="E60" s="354">
        <v>2</v>
      </c>
      <c r="F60" s="355">
        <v>2033</v>
      </c>
      <c r="G60" s="352">
        <f t="shared" si="25"/>
        <v>4066</v>
      </c>
      <c r="H60" s="342"/>
    </row>
    <row r="61" spans="2:8" ht="15" customHeight="1" outlineLevel="2" x14ac:dyDescent="0.25">
      <c r="B61" s="332" t="str">
        <f t="shared" si="0"/>
        <v>TERREO</v>
      </c>
      <c r="C61" s="338" t="str">
        <f t="shared" si="26"/>
        <v>Coworking</v>
      </c>
      <c r="D61" s="353" t="s">
        <v>3627</v>
      </c>
      <c r="E61" s="354">
        <v>2</v>
      </c>
      <c r="F61" s="355">
        <v>495.5</v>
      </c>
      <c r="G61" s="352">
        <f t="shared" si="25"/>
        <v>991</v>
      </c>
      <c r="H61" s="342"/>
    </row>
    <row r="62" spans="2:8" ht="15" customHeight="1" outlineLevel="2" x14ac:dyDescent="0.25">
      <c r="B62" s="332" t="str">
        <f t="shared" si="0"/>
        <v>TERREO</v>
      </c>
      <c r="C62" s="338" t="str">
        <f t="shared" si="26"/>
        <v>Coworking</v>
      </c>
      <c r="D62" s="353" t="s">
        <v>3628</v>
      </c>
      <c r="E62" s="354">
        <v>1</v>
      </c>
      <c r="F62" s="355">
        <v>2550</v>
      </c>
      <c r="G62" s="342">
        <f t="shared" ref="G62:G64" si="27">E62*F62</f>
        <v>2550</v>
      </c>
      <c r="H62" s="342"/>
    </row>
    <row r="63" spans="2:8" ht="15" customHeight="1" outlineLevel="2" x14ac:dyDescent="0.25">
      <c r="B63" s="332" t="str">
        <f t="shared" si="0"/>
        <v>TERREO</v>
      </c>
      <c r="C63" s="338" t="str">
        <f t="shared" ref="C63" si="28">C62</f>
        <v>Coworking</v>
      </c>
      <c r="D63" s="353" t="s">
        <v>3629</v>
      </c>
      <c r="E63" s="354">
        <v>1</v>
      </c>
      <c r="F63" s="355">
        <v>3000</v>
      </c>
      <c r="G63" s="342">
        <f t="shared" si="27"/>
        <v>3000</v>
      </c>
      <c r="H63" s="342"/>
    </row>
    <row r="64" spans="2:8" ht="15" customHeight="1" outlineLevel="2" x14ac:dyDescent="0.25">
      <c r="B64" s="332" t="str">
        <f>B63</f>
        <v>TERREO</v>
      </c>
      <c r="C64" s="338" t="str">
        <f>C63</f>
        <v>Coworking</v>
      </c>
      <c r="D64" s="339" t="s">
        <v>3631</v>
      </c>
      <c r="E64" s="340">
        <v>2</v>
      </c>
      <c r="F64" s="341">
        <v>980</v>
      </c>
      <c r="G64" s="342">
        <f t="shared" si="27"/>
        <v>1960</v>
      </c>
      <c r="H64" s="356"/>
    </row>
    <row r="65" spans="2:8" x14ac:dyDescent="0.25">
      <c r="B65" s="348" t="s">
        <v>389</v>
      </c>
      <c r="C65" s="327"/>
      <c r="D65" s="328"/>
      <c r="E65" s="329"/>
      <c r="F65" s="330"/>
      <c r="G65" s="331">
        <f>SUM(G66:G146)/2</f>
        <v>709894.22000000009</v>
      </c>
      <c r="H65" s="331"/>
    </row>
    <row r="66" spans="2:8" ht="12.75" customHeight="1" outlineLevel="1" x14ac:dyDescent="0.25">
      <c r="B66" s="346" t="str">
        <f>B65</f>
        <v>Rooftop</v>
      </c>
      <c r="C66" s="333" t="s">
        <v>3630</v>
      </c>
      <c r="D66" s="334" t="s">
        <v>338</v>
      </c>
      <c r="E66" s="335">
        <v>41.51</v>
      </c>
      <c r="F66" s="336"/>
      <c r="G66" s="337">
        <f>SUM(G67:G77)</f>
        <v>121287.5</v>
      </c>
      <c r="H66" s="337"/>
    </row>
    <row r="67" spans="2:8" outlineLevel="2" x14ac:dyDescent="0.25">
      <c r="B67" s="346" t="str">
        <f t="shared" ref="B67:B68" si="29">B66</f>
        <v>Rooftop</v>
      </c>
      <c r="C67" s="338" t="str">
        <f>C66</f>
        <v>Pub</v>
      </c>
      <c r="D67" s="357" t="s">
        <v>354</v>
      </c>
      <c r="E67" s="354">
        <v>1</v>
      </c>
      <c r="F67" s="355">
        <v>24000</v>
      </c>
      <c r="G67" s="352">
        <f t="shared" ref="G67:G77" si="30">E67*F67</f>
        <v>24000</v>
      </c>
      <c r="H67" s="352"/>
    </row>
    <row r="68" spans="2:8" ht="15" customHeight="1" outlineLevel="2" x14ac:dyDescent="0.25">
      <c r="B68" s="346" t="str">
        <f t="shared" si="29"/>
        <v>Rooftop</v>
      </c>
      <c r="C68" s="338" t="str">
        <f t="shared" ref="B68:C77" si="31">C67</f>
        <v>Pub</v>
      </c>
      <c r="D68" s="357" t="s">
        <v>340</v>
      </c>
      <c r="E68" s="354">
        <v>1</v>
      </c>
      <c r="F68" s="355">
        <v>49500</v>
      </c>
      <c r="G68" s="342">
        <f t="shared" si="30"/>
        <v>49500</v>
      </c>
      <c r="H68" s="356"/>
    </row>
    <row r="69" spans="2:8" ht="15" customHeight="1" outlineLevel="2" x14ac:dyDescent="0.25">
      <c r="B69" s="346" t="str">
        <f t="shared" si="31"/>
        <v>Rooftop</v>
      </c>
      <c r="C69" s="338" t="str">
        <f t="shared" si="31"/>
        <v>Pub</v>
      </c>
      <c r="D69" s="357" t="s">
        <v>355</v>
      </c>
      <c r="E69" s="354">
        <v>1</v>
      </c>
      <c r="F69" s="355">
        <v>1000</v>
      </c>
      <c r="G69" s="342">
        <f t="shared" si="30"/>
        <v>1000</v>
      </c>
      <c r="H69" s="342"/>
    </row>
    <row r="70" spans="2:8" ht="15" customHeight="1" outlineLevel="2" x14ac:dyDescent="0.25">
      <c r="B70" s="346" t="str">
        <f t="shared" si="31"/>
        <v>Rooftop</v>
      </c>
      <c r="C70" s="338" t="str">
        <f t="shared" si="31"/>
        <v>Pub</v>
      </c>
      <c r="D70" s="357" t="s">
        <v>356</v>
      </c>
      <c r="E70" s="354">
        <v>1</v>
      </c>
      <c r="F70" s="355">
        <v>400</v>
      </c>
      <c r="G70" s="342">
        <f t="shared" si="30"/>
        <v>400</v>
      </c>
      <c r="H70" s="342"/>
    </row>
    <row r="71" spans="2:8" ht="15" customHeight="1" outlineLevel="2" x14ac:dyDescent="0.25">
      <c r="B71" s="346" t="str">
        <f t="shared" si="31"/>
        <v>Rooftop</v>
      </c>
      <c r="C71" s="338" t="str">
        <f t="shared" si="31"/>
        <v>Pub</v>
      </c>
      <c r="D71" s="357" t="s">
        <v>357</v>
      </c>
      <c r="E71" s="354">
        <v>6</v>
      </c>
      <c r="F71" s="355">
        <v>2900</v>
      </c>
      <c r="G71" s="342">
        <f t="shared" si="30"/>
        <v>17400</v>
      </c>
      <c r="H71" s="342"/>
    </row>
    <row r="72" spans="2:8" ht="15" customHeight="1" outlineLevel="2" x14ac:dyDescent="0.25">
      <c r="B72" s="346" t="str">
        <f>B70</f>
        <v>Rooftop</v>
      </c>
      <c r="C72" s="338" t="str">
        <f>C70</f>
        <v>Pub</v>
      </c>
      <c r="D72" s="339" t="s">
        <v>358</v>
      </c>
      <c r="E72" s="340">
        <v>3</v>
      </c>
      <c r="F72" s="341">
        <v>980</v>
      </c>
      <c r="G72" s="342">
        <f t="shared" ref="G72" si="32">E72*F72</f>
        <v>2940</v>
      </c>
      <c r="H72" s="342"/>
    </row>
    <row r="73" spans="2:8" ht="15" customHeight="1" outlineLevel="2" x14ac:dyDescent="0.25">
      <c r="B73" s="346" t="str">
        <f>B71</f>
        <v>Rooftop</v>
      </c>
      <c r="C73" s="338" t="str">
        <f>C71</f>
        <v>Pub</v>
      </c>
      <c r="D73" s="339" t="s">
        <v>3631</v>
      </c>
      <c r="E73" s="340">
        <v>1</v>
      </c>
      <c r="F73" s="341">
        <v>980</v>
      </c>
      <c r="G73" s="342">
        <f t="shared" si="30"/>
        <v>980</v>
      </c>
      <c r="H73" s="342"/>
    </row>
    <row r="74" spans="2:8" ht="15" customHeight="1" outlineLevel="2" x14ac:dyDescent="0.25">
      <c r="B74" s="346" t="str">
        <f t="shared" si="31"/>
        <v>Rooftop</v>
      </c>
      <c r="C74" s="338" t="str">
        <f t="shared" si="31"/>
        <v>Pub</v>
      </c>
      <c r="D74" s="357" t="s">
        <v>359</v>
      </c>
      <c r="E74" s="354">
        <v>1</v>
      </c>
      <c r="F74" s="355">
        <v>15000</v>
      </c>
      <c r="G74" s="342">
        <f t="shared" si="30"/>
        <v>15000</v>
      </c>
      <c r="H74" s="342"/>
    </row>
    <row r="75" spans="2:8" ht="15" customHeight="1" outlineLevel="2" x14ac:dyDescent="0.25">
      <c r="B75" s="346" t="str">
        <f t="shared" ref="B75" si="33">B74</f>
        <v>Rooftop</v>
      </c>
      <c r="C75" s="338" t="str">
        <f t="shared" si="31"/>
        <v>Pub</v>
      </c>
      <c r="D75" s="357" t="s">
        <v>350</v>
      </c>
      <c r="E75" s="354">
        <v>1</v>
      </c>
      <c r="F75" s="355">
        <v>1000</v>
      </c>
      <c r="G75" s="342">
        <f t="shared" si="30"/>
        <v>1000</v>
      </c>
      <c r="H75" s="342"/>
    </row>
    <row r="76" spans="2:8" ht="15" customHeight="1" outlineLevel="2" x14ac:dyDescent="0.25">
      <c r="B76" s="346" t="str">
        <f t="shared" ref="B76:B81" si="34">B75</f>
        <v>Rooftop</v>
      </c>
      <c r="C76" s="338" t="str">
        <f t="shared" si="31"/>
        <v>Pub</v>
      </c>
      <c r="D76" s="358" t="s">
        <v>372</v>
      </c>
      <c r="E76" s="354">
        <v>5</v>
      </c>
      <c r="F76" s="341">
        <v>1561.7</v>
      </c>
      <c r="G76" s="342">
        <f t="shared" si="30"/>
        <v>7808.5</v>
      </c>
      <c r="H76" s="342"/>
    </row>
    <row r="77" spans="2:8" ht="15" customHeight="1" outlineLevel="2" x14ac:dyDescent="0.25">
      <c r="B77" s="346" t="str">
        <f t="shared" si="34"/>
        <v>Rooftop</v>
      </c>
      <c r="C77" s="338" t="str">
        <f t="shared" si="31"/>
        <v>Pub</v>
      </c>
      <c r="D77" s="357" t="s">
        <v>371</v>
      </c>
      <c r="E77" s="354">
        <v>1</v>
      </c>
      <c r="F77" s="355">
        <v>1259</v>
      </c>
      <c r="G77" s="342">
        <f t="shared" si="30"/>
        <v>1259</v>
      </c>
      <c r="H77" s="342"/>
    </row>
    <row r="78" spans="2:8" ht="13.15" customHeight="1" outlineLevel="1" x14ac:dyDescent="0.25">
      <c r="B78" s="346" t="str">
        <f t="shared" si="34"/>
        <v>Rooftop</v>
      </c>
      <c r="C78" s="333" t="s">
        <v>369</v>
      </c>
      <c r="D78" s="334" t="s">
        <v>338</v>
      </c>
      <c r="E78" s="335">
        <v>77.63</v>
      </c>
      <c r="F78" s="336"/>
      <c r="G78" s="337">
        <f>SUM(G79:G94)</f>
        <v>156845.81</v>
      </c>
      <c r="H78" s="337"/>
    </row>
    <row r="79" spans="2:8" ht="15" customHeight="1" outlineLevel="2" x14ac:dyDescent="0.25">
      <c r="B79" s="346" t="str">
        <f t="shared" si="34"/>
        <v>Rooftop</v>
      </c>
      <c r="C79" s="338" t="str">
        <f>C78</f>
        <v>Salão de Festas</v>
      </c>
      <c r="D79" s="339" t="s">
        <v>370</v>
      </c>
      <c r="E79" s="354">
        <v>2</v>
      </c>
      <c r="F79" s="355">
        <v>2033</v>
      </c>
      <c r="G79" s="342">
        <f t="shared" ref="G79:G94" si="35">E79*F79</f>
        <v>4066</v>
      </c>
      <c r="H79" s="342"/>
    </row>
    <row r="80" spans="2:8" ht="15" customHeight="1" outlineLevel="2" x14ac:dyDescent="0.25">
      <c r="B80" s="346" t="str">
        <f t="shared" si="34"/>
        <v>Rooftop</v>
      </c>
      <c r="C80" s="338" t="str">
        <f>C79</f>
        <v>Salão de Festas</v>
      </c>
      <c r="D80" s="358" t="s">
        <v>372</v>
      </c>
      <c r="E80" s="354">
        <v>6</v>
      </c>
      <c r="F80" s="341">
        <v>1561.7</v>
      </c>
      <c r="G80" s="342">
        <f t="shared" si="35"/>
        <v>9370.2000000000007</v>
      </c>
      <c r="H80" s="342"/>
    </row>
    <row r="81" spans="2:8" ht="15" customHeight="1" outlineLevel="2" x14ac:dyDescent="0.25">
      <c r="B81" s="346" t="str">
        <f t="shared" si="34"/>
        <v>Rooftop</v>
      </c>
      <c r="C81" s="338" t="str">
        <f>C80</f>
        <v>Salão de Festas</v>
      </c>
      <c r="D81" s="339" t="s">
        <v>3633</v>
      </c>
      <c r="E81" s="354">
        <v>1</v>
      </c>
      <c r="F81" s="355">
        <v>980</v>
      </c>
      <c r="G81" s="342">
        <f t="shared" si="35"/>
        <v>980</v>
      </c>
      <c r="H81" s="342"/>
    </row>
    <row r="82" spans="2:8" ht="15" customHeight="1" outlineLevel="2" x14ac:dyDescent="0.25">
      <c r="B82" s="346" t="str">
        <f t="shared" ref="B82" si="36">B81</f>
        <v>Rooftop</v>
      </c>
      <c r="C82" s="338" t="str">
        <f>C81</f>
        <v>Salão de Festas</v>
      </c>
      <c r="D82" s="339" t="s">
        <v>340</v>
      </c>
      <c r="E82" s="354">
        <v>1</v>
      </c>
      <c r="F82" s="355">
        <v>62000</v>
      </c>
      <c r="G82" s="342">
        <f t="shared" si="35"/>
        <v>62000</v>
      </c>
      <c r="H82" s="345"/>
    </row>
    <row r="83" spans="2:8" ht="15" customHeight="1" outlineLevel="2" x14ac:dyDescent="0.25">
      <c r="B83" s="346" t="str">
        <f t="shared" ref="B83" si="37">B82</f>
        <v>Rooftop</v>
      </c>
      <c r="C83" s="338" t="str">
        <f>C82</f>
        <v>Salão de Festas</v>
      </c>
      <c r="D83" s="357" t="s">
        <v>360</v>
      </c>
      <c r="E83" s="354">
        <v>4</v>
      </c>
      <c r="F83" s="355">
        <v>2507.5</v>
      </c>
      <c r="G83" s="342">
        <f t="shared" si="35"/>
        <v>10030</v>
      </c>
      <c r="H83" s="342"/>
    </row>
    <row r="84" spans="2:8" ht="15" customHeight="1" outlineLevel="2" x14ac:dyDescent="0.25">
      <c r="B84" s="346" t="str">
        <f t="shared" ref="B84" si="38">B83</f>
        <v>Rooftop</v>
      </c>
      <c r="C84" s="338" t="str">
        <f t="shared" ref="C84:C94" si="39">C83</f>
        <v>Salão de Festas</v>
      </c>
      <c r="D84" s="357" t="s">
        <v>382</v>
      </c>
      <c r="E84" s="354">
        <f>E83*4</f>
        <v>16</v>
      </c>
      <c r="F84" s="355">
        <v>1569.37</v>
      </c>
      <c r="G84" s="342">
        <f t="shared" si="35"/>
        <v>25109.919999999998</v>
      </c>
      <c r="H84" s="342"/>
    </row>
    <row r="85" spans="2:8" ht="15" customHeight="1" outlineLevel="2" x14ac:dyDescent="0.25">
      <c r="B85" s="346" t="str">
        <f t="shared" ref="B85" si="40">B84</f>
        <v>Rooftop</v>
      </c>
      <c r="C85" s="338" t="str">
        <f t="shared" si="39"/>
        <v>Salão de Festas</v>
      </c>
      <c r="D85" s="339" t="s">
        <v>374</v>
      </c>
      <c r="E85" s="354">
        <v>1</v>
      </c>
      <c r="F85" s="355">
        <v>1500</v>
      </c>
      <c r="G85" s="342">
        <f t="shared" si="35"/>
        <v>1500</v>
      </c>
      <c r="H85" s="342"/>
    </row>
    <row r="86" spans="2:8" ht="15" customHeight="1" outlineLevel="2" x14ac:dyDescent="0.25">
      <c r="B86" s="346" t="str">
        <f t="shared" ref="B86" si="41">B85</f>
        <v>Rooftop</v>
      </c>
      <c r="C86" s="338" t="str">
        <f t="shared" si="39"/>
        <v>Salão de Festas</v>
      </c>
      <c r="D86" s="347" t="s">
        <v>376</v>
      </c>
      <c r="E86" s="354">
        <v>1</v>
      </c>
      <c r="F86" s="355">
        <v>9270</v>
      </c>
      <c r="G86" s="342">
        <f t="shared" si="35"/>
        <v>9270</v>
      </c>
      <c r="H86" s="342"/>
    </row>
    <row r="87" spans="2:8" ht="15" customHeight="1" outlineLevel="2" x14ac:dyDescent="0.25">
      <c r="B87" s="346" t="str">
        <f t="shared" ref="B87" si="42">B86</f>
        <v>Rooftop</v>
      </c>
      <c r="C87" s="338" t="str">
        <f t="shared" si="39"/>
        <v>Salão de Festas</v>
      </c>
      <c r="D87" s="339" t="s">
        <v>377</v>
      </c>
      <c r="E87" s="354">
        <v>1</v>
      </c>
      <c r="F87" s="355">
        <v>1012.99</v>
      </c>
      <c r="G87" s="342">
        <f t="shared" si="35"/>
        <v>1012.99</v>
      </c>
      <c r="H87" s="342"/>
    </row>
    <row r="88" spans="2:8" ht="15" customHeight="1" outlineLevel="2" x14ac:dyDescent="0.25">
      <c r="B88" s="346" t="str">
        <f t="shared" ref="B88" si="43">B87</f>
        <v>Rooftop</v>
      </c>
      <c r="C88" s="338" t="str">
        <f t="shared" si="39"/>
        <v>Salão de Festas</v>
      </c>
      <c r="D88" s="339" t="s">
        <v>378</v>
      </c>
      <c r="E88" s="354">
        <v>1</v>
      </c>
      <c r="F88" s="355">
        <v>1672.28</v>
      </c>
      <c r="G88" s="342">
        <f t="shared" si="35"/>
        <v>1672.28</v>
      </c>
      <c r="H88" s="342"/>
    </row>
    <row r="89" spans="2:8" ht="15" customHeight="1" outlineLevel="2" x14ac:dyDescent="0.25">
      <c r="B89" s="346" t="str">
        <f t="shared" ref="B89" si="44">B88</f>
        <v>Rooftop</v>
      </c>
      <c r="C89" s="338" t="str">
        <f t="shared" si="39"/>
        <v>Salão de Festas</v>
      </c>
      <c r="D89" s="339" t="s">
        <v>3641</v>
      </c>
      <c r="E89" s="354">
        <v>3</v>
      </c>
      <c r="F89" s="355">
        <v>830.42</v>
      </c>
      <c r="G89" s="342">
        <f t="shared" si="35"/>
        <v>2491.2599999999998</v>
      </c>
      <c r="H89" s="342"/>
    </row>
    <row r="90" spans="2:8" ht="15" customHeight="1" outlineLevel="2" x14ac:dyDescent="0.25">
      <c r="B90" s="346" t="str">
        <f t="shared" ref="B90" si="45">B89</f>
        <v>Rooftop</v>
      </c>
      <c r="C90" s="338" t="str">
        <f t="shared" si="39"/>
        <v>Salão de Festas</v>
      </c>
      <c r="D90" s="339" t="s">
        <v>357</v>
      </c>
      <c r="E90" s="354">
        <v>6</v>
      </c>
      <c r="F90" s="355">
        <v>2900</v>
      </c>
      <c r="G90" s="342">
        <f t="shared" si="35"/>
        <v>17400</v>
      </c>
      <c r="H90" s="342"/>
    </row>
    <row r="91" spans="2:8" ht="15" customHeight="1" outlineLevel="2" x14ac:dyDescent="0.25">
      <c r="B91" s="346" t="str">
        <f t="shared" ref="B91" si="46">B90</f>
        <v>Rooftop</v>
      </c>
      <c r="C91" s="338" t="str">
        <f t="shared" si="39"/>
        <v>Salão de Festas</v>
      </c>
      <c r="D91" s="339" t="s">
        <v>380</v>
      </c>
      <c r="E91" s="354">
        <v>1</v>
      </c>
      <c r="F91" s="355">
        <v>980</v>
      </c>
      <c r="G91" s="342">
        <f t="shared" si="35"/>
        <v>980</v>
      </c>
      <c r="H91" s="342"/>
    </row>
    <row r="92" spans="2:8" ht="15" customHeight="1" outlineLevel="2" x14ac:dyDescent="0.25">
      <c r="B92" s="346" t="str">
        <f t="shared" ref="B92" si="47">B91</f>
        <v>Rooftop</v>
      </c>
      <c r="C92" s="338" t="str">
        <f t="shared" si="39"/>
        <v>Salão de Festas</v>
      </c>
      <c r="D92" s="358" t="s">
        <v>3632</v>
      </c>
      <c r="E92" s="354">
        <v>4</v>
      </c>
      <c r="F92" s="355">
        <v>950</v>
      </c>
      <c r="G92" s="342">
        <f t="shared" si="35"/>
        <v>3800</v>
      </c>
      <c r="H92" s="342"/>
    </row>
    <row r="93" spans="2:8" ht="15" customHeight="1" outlineLevel="2" x14ac:dyDescent="0.25">
      <c r="B93" s="346" t="str">
        <f t="shared" ref="B93:B98" si="48">B92</f>
        <v>Rooftop</v>
      </c>
      <c r="C93" s="338" t="str">
        <f t="shared" si="39"/>
        <v>Salão de Festas</v>
      </c>
      <c r="D93" s="358" t="s">
        <v>3634</v>
      </c>
      <c r="E93" s="354">
        <v>6</v>
      </c>
      <c r="F93" s="355">
        <v>650</v>
      </c>
      <c r="G93" s="342">
        <f t="shared" si="35"/>
        <v>3900</v>
      </c>
      <c r="H93" s="342"/>
    </row>
    <row r="94" spans="2:8" ht="15" customHeight="1" outlineLevel="2" x14ac:dyDescent="0.25">
      <c r="B94" s="346" t="str">
        <f t="shared" si="48"/>
        <v>Rooftop</v>
      </c>
      <c r="C94" s="338" t="str">
        <f t="shared" si="39"/>
        <v>Salão de Festas</v>
      </c>
      <c r="D94" s="339" t="s">
        <v>3635</v>
      </c>
      <c r="E94" s="354">
        <v>1</v>
      </c>
      <c r="F94" s="355">
        <v>3263.16</v>
      </c>
      <c r="G94" s="342">
        <f t="shared" si="35"/>
        <v>3263.16</v>
      </c>
      <c r="H94" s="342"/>
    </row>
    <row r="95" spans="2:8" outlineLevel="1" x14ac:dyDescent="0.25">
      <c r="B95" s="346" t="str">
        <f t="shared" si="48"/>
        <v>Rooftop</v>
      </c>
      <c r="C95" s="333" t="s">
        <v>361</v>
      </c>
      <c r="D95" s="334" t="s">
        <v>338</v>
      </c>
      <c r="E95" s="335">
        <v>24.43</v>
      </c>
      <c r="F95" s="336"/>
      <c r="G95" s="337">
        <f>SUM(G96:G103)</f>
        <v>81750</v>
      </c>
      <c r="H95" s="337"/>
    </row>
    <row r="96" spans="2:8" outlineLevel="2" x14ac:dyDescent="0.25">
      <c r="B96" s="346" t="str">
        <f t="shared" si="48"/>
        <v>Rooftop</v>
      </c>
      <c r="C96" s="338" t="str">
        <f>C95</f>
        <v>Brinquedoteca</v>
      </c>
      <c r="D96" s="358" t="s">
        <v>365</v>
      </c>
      <c r="E96" s="354">
        <v>1</v>
      </c>
      <c r="F96" s="355">
        <v>60000</v>
      </c>
      <c r="G96" s="352">
        <f t="shared" ref="G96:G103" si="49">E96*F96</f>
        <v>60000</v>
      </c>
      <c r="H96" s="352"/>
    </row>
    <row r="97" spans="2:8" ht="15" customHeight="1" outlineLevel="2" x14ac:dyDescent="0.25">
      <c r="B97" s="346" t="str">
        <f t="shared" si="48"/>
        <v>Rooftop</v>
      </c>
      <c r="C97" s="338" t="str">
        <f t="shared" ref="C97" si="50">C96</f>
        <v>Brinquedoteca</v>
      </c>
      <c r="D97" s="358" t="s">
        <v>3636</v>
      </c>
      <c r="E97" s="354">
        <v>1</v>
      </c>
      <c r="F97" s="355">
        <v>2590</v>
      </c>
      <c r="G97" s="342">
        <f t="shared" si="49"/>
        <v>2590</v>
      </c>
      <c r="H97" s="342"/>
    </row>
    <row r="98" spans="2:8" ht="15" customHeight="1" outlineLevel="2" x14ac:dyDescent="0.25">
      <c r="B98" s="346" t="str">
        <f t="shared" si="48"/>
        <v>Rooftop</v>
      </c>
      <c r="C98" s="338" t="str">
        <f t="shared" ref="B98:C99" si="51">C97</f>
        <v>Brinquedoteca</v>
      </c>
      <c r="D98" s="358" t="s">
        <v>362</v>
      </c>
      <c r="E98" s="354">
        <v>1</v>
      </c>
      <c r="F98" s="355">
        <v>1000</v>
      </c>
      <c r="G98" s="342">
        <f t="shared" si="49"/>
        <v>1000</v>
      </c>
      <c r="H98" s="345"/>
    </row>
    <row r="99" spans="2:8" ht="15" customHeight="1" outlineLevel="2" x14ac:dyDescent="0.25">
      <c r="B99" s="346" t="str">
        <f t="shared" si="51"/>
        <v>Rooftop</v>
      </c>
      <c r="C99" s="338" t="str">
        <f t="shared" si="51"/>
        <v>Brinquedoteca</v>
      </c>
      <c r="D99" s="358" t="s">
        <v>363</v>
      </c>
      <c r="E99" s="354">
        <v>2</v>
      </c>
      <c r="F99" s="355">
        <v>790</v>
      </c>
      <c r="G99" s="342">
        <f t="shared" si="49"/>
        <v>1580</v>
      </c>
      <c r="H99" s="342"/>
    </row>
    <row r="100" spans="2:8" ht="15" customHeight="1" outlineLevel="2" x14ac:dyDescent="0.25">
      <c r="B100" s="346" t="str">
        <f t="shared" ref="B100:C103" si="52">B99</f>
        <v>Rooftop</v>
      </c>
      <c r="C100" s="338" t="str">
        <f t="shared" si="52"/>
        <v>Brinquedoteca</v>
      </c>
      <c r="D100" s="358" t="s">
        <v>364</v>
      </c>
      <c r="E100" s="354">
        <v>2</v>
      </c>
      <c r="F100" s="355">
        <v>2900</v>
      </c>
      <c r="G100" s="342">
        <f t="shared" si="49"/>
        <v>5800</v>
      </c>
      <c r="H100" s="342"/>
    </row>
    <row r="101" spans="2:8" ht="15" customHeight="1" outlineLevel="2" x14ac:dyDescent="0.25">
      <c r="B101" s="346" t="str">
        <f t="shared" si="52"/>
        <v>Rooftop</v>
      </c>
      <c r="C101" s="338" t="str">
        <f t="shared" si="52"/>
        <v>Brinquedoteca</v>
      </c>
      <c r="D101" s="358" t="s">
        <v>366</v>
      </c>
      <c r="E101" s="354">
        <v>2</v>
      </c>
      <c r="F101" s="355">
        <v>890</v>
      </c>
      <c r="G101" s="342">
        <f t="shared" si="49"/>
        <v>1780</v>
      </c>
      <c r="H101" s="342"/>
    </row>
    <row r="102" spans="2:8" ht="15" customHeight="1" outlineLevel="2" x14ac:dyDescent="0.25">
      <c r="B102" s="346" t="str">
        <f t="shared" si="52"/>
        <v>Rooftop</v>
      </c>
      <c r="C102" s="338" t="str">
        <f t="shared" si="52"/>
        <v>Brinquedoteca</v>
      </c>
      <c r="D102" s="358" t="s">
        <v>367</v>
      </c>
      <c r="E102" s="354">
        <v>1</v>
      </c>
      <c r="F102" s="355">
        <v>5800</v>
      </c>
      <c r="G102" s="342">
        <f t="shared" si="49"/>
        <v>5800</v>
      </c>
      <c r="H102" s="345"/>
    </row>
    <row r="103" spans="2:8" ht="15" customHeight="1" outlineLevel="2" x14ac:dyDescent="0.25">
      <c r="B103" s="346" t="str">
        <f t="shared" si="52"/>
        <v>Rooftop</v>
      </c>
      <c r="C103" s="338" t="str">
        <f t="shared" si="52"/>
        <v>Brinquedoteca</v>
      </c>
      <c r="D103" s="358" t="s">
        <v>368</v>
      </c>
      <c r="E103" s="354">
        <v>1</v>
      </c>
      <c r="F103" s="355">
        <v>3200</v>
      </c>
      <c r="G103" s="342">
        <f t="shared" si="49"/>
        <v>3200</v>
      </c>
      <c r="H103" s="342"/>
    </row>
    <row r="104" spans="2:8" outlineLevel="1" x14ac:dyDescent="0.25">
      <c r="B104" s="346" t="str">
        <f t="shared" ref="B104" si="53">B103</f>
        <v>Rooftop</v>
      </c>
      <c r="C104" s="333" t="s">
        <v>3638</v>
      </c>
      <c r="D104" s="334" t="s">
        <v>338</v>
      </c>
      <c r="E104" s="335">
        <f>24.43+8.07</f>
        <v>32.5</v>
      </c>
      <c r="F104" s="336"/>
      <c r="G104" s="337">
        <f>SUM(G105:G110)</f>
        <v>63668.119999999995</v>
      </c>
      <c r="H104" s="337"/>
    </row>
    <row r="105" spans="2:8" outlineLevel="2" x14ac:dyDescent="0.25">
      <c r="B105" s="346" t="str">
        <f t="shared" ref="B105" si="54">B104</f>
        <v>Rooftop</v>
      </c>
      <c r="C105" s="338" t="str">
        <f>C104</f>
        <v xml:space="preserve">SPA e Sala de Massagem </v>
      </c>
      <c r="D105" s="358" t="s">
        <v>365</v>
      </c>
      <c r="E105" s="354">
        <v>1</v>
      </c>
      <c r="F105" s="355">
        <v>40000</v>
      </c>
      <c r="G105" s="352">
        <f t="shared" ref="G105:G110" si="55">E105*F105</f>
        <v>40000</v>
      </c>
      <c r="H105" s="352"/>
    </row>
    <row r="106" spans="2:8" ht="15" customHeight="1" outlineLevel="2" x14ac:dyDescent="0.25">
      <c r="B106" s="346" t="str">
        <f t="shared" ref="B106" si="56">B105</f>
        <v>Rooftop</v>
      </c>
      <c r="C106" s="338" t="str">
        <f t="shared" ref="C106" si="57">C105</f>
        <v xml:space="preserve">SPA e Sala de Massagem </v>
      </c>
      <c r="D106" s="358" t="s">
        <v>3637</v>
      </c>
      <c r="E106" s="354">
        <v>3</v>
      </c>
      <c r="F106" s="355">
        <v>2590</v>
      </c>
      <c r="G106" s="342">
        <f t="shared" si="55"/>
        <v>7770</v>
      </c>
      <c r="H106" s="342"/>
    </row>
    <row r="107" spans="2:8" ht="15" customHeight="1" outlineLevel="2" x14ac:dyDescent="0.25">
      <c r="B107" s="346" t="str">
        <f t="shared" ref="B107" si="58">B106</f>
        <v>Rooftop</v>
      </c>
      <c r="C107" s="338" t="str">
        <f t="shared" ref="C107" si="59">C106</f>
        <v xml:space="preserve">SPA e Sala de Massagem </v>
      </c>
      <c r="D107" s="358" t="s">
        <v>3639</v>
      </c>
      <c r="E107" s="354">
        <v>1</v>
      </c>
      <c r="F107" s="355">
        <v>3097</v>
      </c>
      <c r="G107" s="342">
        <f t="shared" si="55"/>
        <v>3097</v>
      </c>
      <c r="H107" s="345"/>
    </row>
    <row r="108" spans="2:8" ht="15" customHeight="1" outlineLevel="2" x14ac:dyDescent="0.25">
      <c r="B108" s="346" t="str">
        <f t="shared" ref="B108" si="60">B107</f>
        <v>Rooftop</v>
      </c>
      <c r="C108" s="338" t="str">
        <f t="shared" ref="C108:C109" si="61">C107</f>
        <v xml:space="preserve">SPA e Sala de Massagem </v>
      </c>
      <c r="D108" s="358" t="s">
        <v>3640</v>
      </c>
      <c r="E108" s="354">
        <v>3</v>
      </c>
      <c r="F108" s="355">
        <v>3167.04</v>
      </c>
      <c r="G108" s="342">
        <f t="shared" si="55"/>
        <v>9501.119999999999</v>
      </c>
      <c r="H108" s="342"/>
    </row>
    <row r="109" spans="2:8" ht="15" customHeight="1" outlineLevel="2" x14ac:dyDescent="0.25">
      <c r="B109" s="346" t="str">
        <f t="shared" ref="B109" si="62">B108</f>
        <v>Rooftop</v>
      </c>
      <c r="C109" s="338" t="str">
        <f t="shared" si="61"/>
        <v xml:space="preserve">SPA e Sala de Massagem </v>
      </c>
      <c r="D109" s="339" t="s">
        <v>3651</v>
      </c>
      <c r="E109" s="340">
        <f>E108</f>
        <v>3</v>
      </c>
      <c r="F109" s="341">
        <v>450</v>
      </c>
      <c r="G109" s="342">
        <f t="shared" ref="G109" si="63">E109*F109</f>
        <v>1350</v>
      </c>
      <c r="H109" s="342"/>
    </row>
    <row r="110" spans="2:8" ht="15" customHeight="1" outlineLevel="2" x14ac:dyDescent="0.25">
      <c r="B110" s="346" t="str">
        <f t="shared" ref="B110" si="64">B109</f>
        <v>Rooftop</v>
      </c>
      <c r="C110" s="338" t="str">
        <f>C109</f>
        <v xml:space="preserve">SPA e Sala de Massagem </v>
      </c>
      <c r="D110" s="358" t="s">
        <v>3634</v>
      </c>
      <c r="E110" s="354">
        <v>3</v>
      </c>
      <c r="F110" s="355">
        <v>650</v>
      </c>
      <c r="G110" s="342">
        <f t="shared" si="55"/>
        <v>1950</v>
      </c>
      <c r="H110" s="342"/>
    </row>
    <row r="111" spans="2:8" ht="13.15" customHeight="1" outlineLevel="1" x14ac:dyDescent="0.25">
      <c r="B111" s="346" t="str">
        <f t="shared" ref="B111" si="65">B110</f>
        <v>Rooftop</v>
      </c>
      <c r="C111" s="333" t="s">
        <v>3642</v>
      </c>
      <c r="D111" s="334" t="s">
        <v>338</v>
      </c>
      <c r="E111" s="335">
        <f>21.37+17.77</f>
        <v>39.14</v>
      </c>
      <c r="F111" s="336"/>
      <c r="G111" s="337">
        <f>SUM(G112:G122)</f>
        <v>131305.26</v>
      </c>
      <c r="H111" s="337"/>
    </row>
    <row r="112" spans="2:8" ht="15" outlineLevel="2" x14ac:dyDescent="0.25">
      <c r="B112" s="346" t="str">
        <f t="shared" ref="B112" si="66">B111</f>
        <v>Rooftop</v>
      </c>
      <c r="C112" s="338" t="str">
        <f>C111</f>
        <v>Bar Molhado / Estar</v>
      </c>
      <c r="D112" s="357" t="s">
        <v>371</v>
      </c>
      <c r="E112" s="354">
        <v>1</v>
      </c>
      <c r="F112" s="355">
        <v>1259</v>
      </c>
      <c r="G112" s="342">
        <f t="shared" ref="G112:G122" si="67">E112*F112</f>
        <v>1259</v>
      </c>
      <c r="H112" s="345"/>
    </row>
    <row r="113" spans="2:19" ht="15" customHeight="1" outlineLevel="2" x14ac:dyDescent="0.25">
      <c r="B113" s="346" t="str">
        <f t="shared" ref="B113" si="68">B112</f>
        <v>Rooftop</v>
      </c>
      <c r="C113" s="338" t="str">
        <f>C112</f>
        <v>Bar Molhado / Estar</v>
      </c>
      <c r="D113" s="339" t="s">
        <v>3643</v>
      </c>
      <c r="E113" s="354">
        <v>7</v>
      </c>
      <c r="F113" s="355">
        <v>2780</v>
      </c>
      <c r="G113" s="342">
        <f t="shared" si="67"/>
        <v>19460</v>
      </c>
      <c r="H113" s="345"/>
    </row>
    <row r="114" spans="2:19" ht="15" customHeight="1" outlineLevel="2" x14ac:dyDescent="0.25">
      <c r="B114" s="346" t="str">
        <f t="shared" ref="B114" si="69">B113</f>
        <v>Rooftop</v>
      </c>
      <c r="C114" s="338" t="str">
        <f>C112</f>
        <v>Bar Molhado / Estar</v>
      </c>
      <c r="D114" s="339" t="s">
        <v>370</v>
      </c>
      <c r="E114" s="354">
        <v>2</v>
      </c>
      <c r="F114" s="355">
        <v>2033</v>
      </c>
      <c r="G114" s="342">
        <f t="shared" si="67"/>
        <v>4066</v>
      </c>
      <c r="H114" s="345"/>
    </row>
    <row r="115" spans="2:19" ht="15" customHeight="1" outlineLevel="2" x14ac:dyDescent="0.25">
      <c r="B115" s="346" t="str">
        <f t="shared" ref="B115" si="70">B114</f>
        <v>Rooftop</v>
      </c>
      <c r="C115" s="338" t="str">
        <f>C112</f>
        <v>Bar Molhado / Estar</v>
      </c>
      <c r="D115" s="339" t="s">
        <v>371</v>
      </c>
      <c r="E115" s="354">
        <v>1</v>
      </c>
      <c r="F115" s="355">
        <v>1259</v>
      </c>
      <c r="G115" s="342">
        <f t="shared" si="67"/>
        <v>1259</v>
      </c>
      <c r="H115" s="345"/>
    </row>
    <row r="116" spans="2:19" ht="15" customHeight="1" outlineLevel="2" x14ac:dyDescent="0.25">
      <c r="B116" s="346" t="str">
        <f t="shared" ref="B116" si="71">B115</f>
        <v>Rooftop</v>
      </c>
      <c r="C116" s="338" t="str">
        <f>C112</f>
        <v>Bar Molhado / Estar</v>
      </c>
      <c r="D116" s="357" t="s">
        <v>340</v>
      </c>
      <c r="E116" s="354">
        <v>1</v>
      </c>
      <c r="F116" s="355">
        <v>59500</v>
      </c>
      <c r="G116" s="342">
        <f t="shared" si="67"/>
        <v>59500</v>
      </c>
      <c r="H116" s="342"/>
    </row>
    <row r="117" spans="2:19" ht="15" customHeight="1" outlineLevel="2" x14ac:dyDescent="0.25">
      <c r="B117" s="346" t="str">
        <f t="shared" ref="B117" si="72">B116</f>
        <v>Rooftop</v>
      </c>
      <c r="C117" s="338" t="str">
        <f>C113</f>
        <v>Bar Molhado / Estar</v>
      </c>
      <c r="D117" s="357" t="s">
        <v>379</v>
      </c>
      <c r="E117" s="354">
        <v>3</v>
      </c>
      <c r="F117" s="355">
        <v>830.42</v>
      </c>
      <c r="G117" s="342">
        <f t="shared" si="67"/>
        <v>2491.2599999999998</v>
      </c>
      <c r="H117" s="342"/>
    </row>
    <row r="118" spans="2:19" ht="15" customHeight="1" outlineLevel="2" x14ac:dyDescent="0.25">
      <c r="B118" s="346" t="str">
        <f t="shared" ref="B118" si="73">B117</f>
        <v>Rooftop</v>
      </c>
      <c r="C118" s="338" t="str">
        <f t="shared" ref="C118" si="74">C117</f>
        <v>Bar Molhado / Estar</v>
      </c>
      <c r="D118" s="339" t="s">
        <v>358</v>
      </c>
      <c r="E118" s="340">
        <v>4</v>
      </c>
      <c r="F118" s="341">
        <v>980</v>
      </c>
      <c r="G118" s="342">
        <f t="shared" si="67"/>
        <v>3920</v>
      </c>
      <c r="H118" s="342"/>
    </row>
    <row r="119" spans="2:19" ht="15" customHeight="1" outlineLevel="2" x14ac:dyDescent="0.25">
      <c r="B119" s="346" t="str">
        <f t="shared" ref="B119" si="75">B118</f>
        <v>Rooftop</v>
      </c>
      <c r="C119" s="338" t="str">
        <f>C117</f>
        <v>Bar Molhado / Estar</v>
      </c>
      <c r="D119" s="339" t="s">
        <v>3650</v>
      </c>
      <c r="E119" s="340">
        <v>3</v>
      </c>
      <c r="F119" s="341">
        <v>1790</v>
      </c>
      <c r="G119" s="342">
        <f t="shared" si="67"/>
        <v>5370</v>
      </c>
      <c r="H119" s="342"/>
    </row>
    <row r="120" spans="2:19" ht="15" customHeight="1" outlineLevel="2" x14ac:dyDescent="0.25">
      <c r="B120" s="346" t="str">
        <f t="shared" ref="B120" si="76">B119</f>
        <v>Rooftop</v>
      </c>
      <c r="C120" s="338" t="str">
        <f>C118</f>
        <v>Bar Molhado / Estar</v>
      </c>
      <c r="D120" s="339" t="s">
        <v>3651</v>
      </c>
      <c r="E120" s="340">
        <f>E119</f>
        <v>3</v>
      </c>
      <c r="F120" s="341">
        <v>450</v>
      </c>
      <c r="G120" s="342">
        <f t="shared" si="67"/>
        <v>1350</v>
      </c>
      <c r="H120" s="342"/>
    </row>
    <row r="121" spans="2:19" ht="15" customHeight="1" outlineLevel="2" x14ac:dyDescent="0.25">
      <c r="B121" s="346" t="str">
        <f t="shared" ref="B121" si="77">B120</f>
        <v>Rooftop</v>
      </c>
      <c r="C121" s="338" t="str">
        <f>C119</f>
        <v>Bar Molhado / Estar</v>
      </c>
      <c r="D121" s="359" t="s">
        <v>3662</v>
      </c>
      <c r="E121" s="340">
        <v>1</v>
      </c>
      <c r="F121" s="341">
        <v>29650</v>
      </c>
      <c r="G121" s="342">
        <f t="shared" ref="G121" si="78">E121*F121</f>
        <v>29650</v>
      </c>
      <c r="H121" s="342"/>
    </row>
    <row r="122" spans="2:19" ht="15" customHeight="1" outlineLevel="2" x14ac:dyDescent="0.25">
      <c r="B122" s="346" t="str">
        <f t="shared" ref="B122" si="79">B121</f>
        <v>Rooftop</v>
      </c>
      <c r="C122" s="338" t="str">
        <f>C120</f>
        <v>Bar Molhado / Estar</v>
      </c>
      <c r="D122" s="359" t="s">
        <v>3644</v>
      </c>
      <c r="E122" s="340">
        <v>1</v>
      </c>
      <c r="F122" s="341">
        <v>2980</v>
      </c>
      <c r="G122" s="342">
        <f t="shared" si="67"/>
        <v>2980</v>
      </c>
      <c r="H122" s="342"/>
    </row>
    <row r="123" spans="2:19" ht="13.15" customHeight="1" outlineLevel="1" x14ac:dyDescent="0.25">
      <c r="B123" s="346" t="str">
        <f t="shared" ref="B123" si="80">B122</f>
        <v>Rooftop</v>
      </c>
      <c r="C123" s="333" t="s">
        <v>3652</v>
      </c>
      <c r="D123" s="334" t="s">
        <v>338</v>
      </c>
      <c r="E123" s="335">
        <v>35.869999999999997</v>
      </c>
      <c r="F123" s="336"/>
      <c r="G123" s="337">
        <f>SUM(G124:G140)</f>
        <v>138057.53</v>
      </c>
      <c r="H123" s="337"/>
      <c r="R123" s="305" t="s">
        <v>3645</v>
      </c>
    </row>
    <row r="124" spans="2:19" ht="15" customHeight="1" outlineLevel="2" x14ac:dyDescent="0.25">
      <c r="B124" s="346" t="str">
        <f t="shared" ref="B124" si="81">B123</f>
        <v>Rooftop</v>
      </c>
      <c r="C124" s="338" t="str">
        <f>C123</f>
        <v>Espaço Campeiro</v>
      </c>
      <c r="D124" s="357" t="s">
        <v>340</v>
      </c>
      <c r="E124" s="354">
        <v>1</v>
      </c>
      <c r="F124" s="355">
        <v>59500</v>
      </c>
      <c r="G124" s="342">
        <f t="shared" ref="G124" si="82">E124*F124</f>
        <v>59500</v>
      </c>
      <c r="H124" s="342"/>
    </row>
    <row r="125" spans="2:19" ht="15" outlineLevel="2" x14ac:dyDescent="0.25">
      <c r="B125" s="346" t="str">
        <f t="shared" ref="B125" si="83">B124</f>
        <v>Rooftop</v>
      </c>
      <c r="C125" s="338" t="str">
        <f t="shared" ref="C125" si="84">C124</f>
        <v>Espaço Campeiro</v>
      </c>
      <c r="D125" s="357" t="s">
        <v>374</v>
      </c>
      <c r="E125" s="354">
        <v>1</v>
      </c>
      <c r="F125" s="355">
        <v>1500</v>
      </c>
      <c r="G125" s="342">
        <f t="shared" ref="G125:G140" si="85">E125*F125</f>
        <v>1500</v>
      </c>
      <c r="H125" s="345"/>
      <c r="R125" s="305" t="s">
        <v>3648</v>
      </c>
      <c r="S125" s="305" t="s">
        <v>3646</v>
      </c>
    </row>
    <row r="126" spans="2:19" ht="15" customHeight="1" outlineLevel="2" x14ac:dyDescent="0.25">
      <c r="B126" s="346" t="str">
        <f t="shared" ref="B126" si="86">B125</f>
        <v>Rooftop</v>
      </c>
      <c r="C126" s="338" t="str">
        <f>C125</f>
        <v>Espaço Campeiro</v>
      </c>
      <c r="D126" s="357" t="s">
        <v>375</v>
      </c>
      <c r="E126" s="354">
        <v>2</v>
      </c>
      <c r="F126" s="355">
        <v>3098</v>
      </c>
      <c r="G126" s="342">
        <f t="shared" si="85"/>
        <v>6196</v>
      </c>
      <c r="H126" s="345"/>
      <c r="R126" s="314" t="s">
        <v>3649</v>
      </c>
      <c r="S126" s="305" t="s">
        <v>3647</v>
      </c>
    </row>
    <row r="127" spans="2:19" ht="15" customHeight="1" outlineLevel="2" x14ac:dyDescent="0.25">
      <c r="B127" s="346" t="str">
        <f t="shared" ref="B127" si="87">B126</f>
        <v>Rooftop</v>
      </c>
      <c r="C127" s="338" t="str">
        <f>C125</f>
        <v>Espaço Campeiro</v>
      </c>
      <c r="D127" s="357" t="s">
        <v>3653</v>
      </c>
      <c r="E127" s="354">
        <v>1</v>
      </c>
      <c r="F127" s="355">
        <v>985</v>
      </c>
      <c r="G127" s="342">
        <f t="shared" si="85"/>
        <v>985</v>
      </c>
      <c r="H127" s="345"/>
    </row>
    <row r="128" spans="2:19" ht="15" customHeight="1" outlineLevel="2" x14ac:dyDescent="0.25">
      <c r="B128" s="346" t="str">
        <f t="shared" ref="B128" si="88">B127</f>
        <v>Rooftop</v>
      </c>
      <c r="C128" s="338" t="str">
        <f>C125</f>
        <v>Espaço Campeiro</v>
      </c>
      <c r="D128" s="347" t="s">
        <v>376</v>
      </c>
      <c r="E128" s="354">
        <v>1</v>
      </c>
      <c r="F128" s="355">
        <v>9270</v>
      </c>
      <c r="G128" s="342">
        <f t="shared" si="85"/>
        <v>9270</v>
      </c>
      <c r="H128" s="345"/>
    </row>
    <row r="129" spans="2:8" ht="15" customHeight="1" outlineLevel="2" x14ac:dyDescent="0.25">
      <c r="B129" s="346" t="str">
        <f t="shared" ref="B129" si="89">B128</f>
        <v>Rooftop</v>
      </c>
      <c r="C129" s="338" t="str">
        <f>C125</f>
        <v>Espaço Campeiro</v>
      </c>
      <c r="D129" s="357" t="s">
        <v>377</v>
      </c>
      <c r="E129" s="354">
        <v>1</v>
      </c>
      <c r="F129" s="355">
        <v>1012.99</v>
      </c>
      <c r="G129" s="342">
        <f t="shared" si="85"/>
        <v>1012.99</v>
      </c>
      <c r="H129" s="342"/>
    </row>
    <row r="130" spans="2:8" ht="15" customHeight="1" outlineLevel="2" x14ac:dyDescent="0.25">
      <c r="B130" s="346" t="str">
        <f t="shared" ref="B130" si="90">B129</f>
        <v>Rooftop</v>
      </c>
      <c r="C130" s="338" t="str">
        <f>C126</f>
        <v>Espaço Campeiro</v>
      </c>
      <c r="D130" s="357" t="s">
        <v>378</v>
      </c>
      <c r="E130" s="354">
        <v>1</v>
      </c>
      <c r="F130" s="355">
        <v>1672.28</v>
      </c>
      <c r="G130" s="342">
        <f t="shared" si="85"/>
        <v>1672.28</v>
      </c>
      <c r="H130" s="342"/>
    </row>
    <row r="131" spans="2:8" ht="15" customHeight="1" outlineLevel="2" x14ac:dyDescent="0.25">
      <c r="B131" s="346" t="str">
        <f t="shared" ref="B131" si="91">B130</f>
        <v>Rooftop</v>
      </c>
      <c r="C131" s="338" t="str">
        <f t="shared" ref="C131:C140" si="92">C130</f>
        <v>Espaço Campeiro</v>
      </c>
      <c r="D131" s="357" t="s">
        <v>3641</v>
      </c>
      <c r="E131" s="354">
        <v>3</v>
      </c>
      <c r="F131" s="355">
        <v>830.42</v>
      </c>
      <c r="G131" s="342">
        <f t="shared" si="85"/>
        <v>2491.2599999999998</v>
      </c>
      <c r="H131" s="342"/>
    </row>
    <row r="132" spans="2:8" ht="15" customHeight="1" outlineLevel="2" x14ac:dyDescent="0.25">
      <c r="B132" s="346" t="str">
        <f t="shared" ref="B132" si="93">B131</f>
        <v>Rooftop</v>
      </c>
      <c r="C132" s="338" t="str">
        <f t="shared" si="92"/>
        <v>Espaço Campeiro</v>
      </c>
      <c r="D132" s="339" t="s">
        <v>358</v>
      </c>
      <c r="E132" s="340">
        <v>4</v>
      </c>
      <c r="F132" s="341">
        <v>980</v>
      </c>
      <c r="G132" s="342">
        <f t="shared" si="85"/>
        <v>3920</v>
      </c>
      <c r="H132" s="342"/>
    </row>
    <row r="133" spans="2:8" ht="15" customHeight="1" outlineLevel="2" x14ac:dyDescent="0.25">
      <c r="B133" s="346" t="str">
        <f t="shared" ref="B133" si="94">B132</f>
        <v>Rooftop</v>
      </c>
      <c r="C133" s="338" t="str">
        <f t="shared" si="92"/>
        <v>Espaço Campeiro</v>
      </c>
      <c r="D133" s="357" t="s">
        <v>357</v>
      </c>
      <c r="E133" s="354">
        <v>4</v>
      </c>
      <c r="F133" s="355">
        <v>2900</v>
      </c>
      <c r="G133" s="342">
        <f t="shared" si="85"/>
        <v>11600</v>
      </c>
      <c r="H133" s="342"/>
    </row>
    <row r="134" spans="2:8" ht="15" customHeight="1" outlineLevel="2" x14ac:dyDescent="0.25">
      <c r="B134" s="346" t="str">
        <f t="shared" ref="B134" si="95">B133</f>
        <v>Rooftop</v>
      </c>
      <c r="C134" s="338" t="str">
        <f t="shared" si="92"/>
        <v>Espaço Campeiro</v>
      </c>
      <c r="D134" s="358" t="s">
        <v>3654</v>
      </c>
      <c r="E134" s="354">
        <f>7+8</f>
        <v>15</v>
      </c>
      <c r="F134" s="355">
        <v>1430</v>
      </c>
      <c r="G134" s="342">
        <f t="shared" si="85"/>
        <v>21450</v>
      </c>
      <c r="H134" s="342"/>
    </row>
    <row r="135" spans="2:8" ht="15" customHeight="1" outlineLevel="2" x14ac:dyDescent="0.25">
      <c r="B135" s="346" t="str">
        <f t="shared" ref="B135" si="96">B134</f>
        <v>Rooftop</v>
      </c>
      <c r="C135" s="338" t="str">
        <f t="shared" si="92"/>
        <v>Espaço Campeiro</v>
      </c>
      <c r="D135" s="358" t="s">
        <v>380</v>
      </c>
      <c r="E135" s="354">
        <v>1</v>
      </c>
      <c r="F135" s="355">
        <v>980</v>
      </c>
      <c r="G135" s="342">
        <f t="shared" si="85"/>
        <v>980</v>
      </c>
      <c r="H135" s="342"/>
    </row>
    <row r="136" spans="2:8" ht="15" customHeight="1" outlineLevel="2" x14ac:dyDescent="0.25">
      <c r="B136" s="346" t="str">
        <f t="shared" ref="B136" si="97">B135</f>
        <v>Rooftop</v>
      </c>
      <c r="C136" s="338" t="str">
        <f t="shared" si="92"/>
        <v>Espaço Campeiro</v>
      </c>
      <c r="D136" s="358" t="s">
        <v>380</v>
      </c>
      <c r="E136" s="354">
        <v>1</v>
      </c>
      <c r="F136" s="355">
        <v>980</v>
      </c>
      <c r="G136" s="342">
        <f t="shared" si="85"/>
        <v>980</v>
      </c>
      <c r="H136" s="342"/>
    </row>
    <row r="137" spans="2:8" ht="15" customHeight="1" outlineLevel="2" x14ac:dyDescent="0.25">
      <c r="B137" s="346" t="str">
        <f t="shared" ref="B137" si="98">B136</f>
        <v>Rooftop</v>
      </c>
      <c r="C137" s="338" t="str">
        <f t="shared" si="92"/>
        <v>Espaço Campeiro</v>
      </c>
      <c r="D137" s="358" t="s">
        <v>381</v>
      </c>
      <c r="E137" s="354">
        <v>4</v>
      </c>
      <c r="F137" s="355">
        <v>950</v>
      </c>
      <c r="G137" s="342">
        <f t="shared" si="85"/>
        <v>3800</v>
      </c>
      <c r="H137" s="342"/>
    </row>
    <row r="138" spans="2:8" ht="15" customHeight="1" outlineLevel="2" x14ac:dyDescent="0.25">
      <c r="B138" s="346" t="str">
        <f t="shared" ref="B138" si="99">B137</f>
        <v>Rooftop</v>
      </c>
      <c r="C138" s="338" t="str">
        <f t="shared" si="92"/>
        <v>Espaço Campeiro</v>
      </c>
      <c r="D138" s="339" t="s">
        <v>358</v>
      </c>
      <c r="E138" s="340">
        <v>3</v>
      </c>
      <c r="F138" s="341">
        <v>980</v>
      </c>
      <c r="G138" s="342">
        <f t="shared" si="85"/>
        <v>2940</v>
      </c>
      <c r="H138" s="342"/>
    </row>
    <row r="139" spans="2:8" ht="15" customHeight="1" outlineLevel="2" x14ac:dyDescent="0.25">
      <c r="B139" s="346" t="str">
        <f t="shared" ref="B139" si="100">B138</f>
        <v>Rooftop</v>
      </c>
      <c r="C139" s="338" t="str">
        <f t="shared" si="92"/>
        <v>Espaço Campeiro</v>
      </c>
      <c r="D139" s="339" t="s">
        <v>3631</v>
      </c>
      <c r="E139" s="340">
        <v>2</v>
      </c>
      <c r="F139" s="341">
        <v>980</v>
      </c>
      <c r="G139" s="342">
        <f t="shared" si="85"/>
        <v>1960</v>
      </c>
      <c r="H139" s="342"/>
    </row>
    <row r="140" spans="2:8" ht="15" customHeight="1" outlineLevel="2" x14ac:dyDescent="0.25">
      <c r="B140" s="346" t="str">
        <f t="shared" ref="B140" si="101">B139</f>
        <v>Rooftop</v>
      </c>
      <c r="C140" s="338" t="str">
        <f t="shared" si="92"/>
        <v>Espaço Campeiro</v>
      </c>
      <c r="D140" s="339" t="s">
        <v>3655</v>
      </c>
      <c r="E140" s="354">
        <v>1</v>
      </c>
      <c r="F140" s="355">
        <v>7800</v>
      </c>
      <c r="G140" s="342">
        <f t="shared" si="85"/>
        <v>7800</v>
      </c>
      <c r="H140" s="342"/>
    </row>
    <row r="141" spans="2:8" ht="12.75" customHeight="1" outlineLevel="1" x14ac:dyDescent="0.25">
      <c r="B141" s="346" t="str">
        <f t="shared" ref="B141" si="102">B140</f>
        <v>Rooftop</v>
      </c>
      <c r="C141" s="333" t="s">
        <v>3656</v>
      </c>
      <c r="D141" s="334" t="s">
        <v>338</v>
      </c>
      <c r="E141" s="335">
        <v>72.19</v>
      </c>
      <c r="F141" s="336"/>
      <c r="G141" s="337">
        <f>SUM(G142:G146)</f>
        <v>16980</v>
      </c>
      <c r="H141" s="337"/>
    </row>
    <row r="142" spans="2:8" ht="15" customHeight="1" outlineLevel="2" x14ac:dyDescent="0.25">
      <c r="B142" s="346" t="str">
        <f t="shared" ref="B142" si="103">B141</f>
        <v>Rooftop</v>
      </c>
      <c r="C142" s="338" t="str">
        <f>C141</f>
        <v>Praça</v>
      </c>
      <c r="D142" s="339" t="s">
        <v>3657</v>
      </c>
      <c r="E142" s="340">
        <v>1</v>
      </c>
      <c r="F142" s="341">
        <v>4980</v>
      </c>
      <c r="G142" s="342">
        <f t="shared" ref="G142:G146" si="104">E142*F142</f>
        <v>4980</v>
      </c>
      <c r="H142" s="342"/>
    </row>
    <row r="143" spans="2:8" outlineLevel="2" x14ac:dyDescent="0.25">
      <c r="B143" s="346" t="str">
        <f t="shared" ref="B143" si="105">B142</f>
        <v>Rooftop</v>
      </c>
      <c r="C143" s="338" t="str">
        <f t="shared" ref="C143:C146" si="106">C142</f>
        <v>Praça</v>
      </c>
      <c r="D143" s="339" t="s">
        <v>3658</v>
      </c>
      <c r="E143" s="340">
        <v>1</v>
      </c>
      <c r="F143" s="341">
        <v>3300</v>
      </c>
      <c r="G143" s="352">
        <f t="shared" si="104"/>
        <v>3300</v>
      </c>
      <c r="H143" s="342"/>
    </row>
    <row r="144" spans="2:8" ht="15" customHeight="1" outlineLevel="2" x14ac:dyDescent="0.25">
      <c r="B144" s="346" t="str">
        <f t="shared" ref="B144" si="107">B143</f>
        <v>Rooftop</v>
      </c>
      <c r="C144" s="338" t="str">
        <f t="shared" si="106"/>
        <v>Praça</v>
      </c>
      <c r="D144" s="358" t="s">
        <v>3659</v>
      </c>
      <c r="E144" s="354">
        <v>3</v>
      </c>
      <c r="F144" s="341">
        <v>1350</v>
      </c>
      <c r="G144" s="342">
        <f t="shared" si="104"/>
        <v>4050</v>
      </c>
      <c r="H144" s="342"/>
    </row>
    <row r="145" spans="2:8" ht="15" customHeight="1" outlineLevel="2" x14ac:dyDescent="0.25">
      <c r="B145" s="346" t="str">
        <f t="shared" ref="B145" si="108">B144</f>
        <v>Rooftop</v>
      </c>
      <c r="C145" s="338" t="str">
        <f t="shared" si="106"/>
        <v>Praça</v>
      </c>
      <c r="D145" s="358" t="s">
        <v>3660</v>
      </c>
      <c r="E145" s="354">
        <v>1</v>
      </c>
      <c r="F145" s="351">
        <v>1250</v>
      </c>
      <c r="G145" s="342">
        <f t="shared" si="104"/>
        <v>1250</v>
      </c>
      <c r="H145" s="342"/>
    </row>
    <row r="146" spans="2:8" ht="15" customHeight="1" outlineLevel="2" x14ac:dyDescent="0.25">
      <c r="B146" s="346" t="str">
        <f t="shared" ref="B146" si="109">B143</f>
        <v>Rooftop</v>
      </c>
      <c r="C146" s="338" t="str">
        <f t="shared" si="106"/>
        <v>Praça</v>
      </c>
      <c r="D146" s="339" t="s">
        <v>3661</v>
      </c>
      <c r="E146" s="340">
        <v>1</v>
      </c>
      <c r="F146" s="341">
        <v>3400</v>
      </c>
      <c r="G146" s="342">
        <f t="shared" si="104"/>
        <v>3400</v>
      </c>
      <c r="H146" s="342"/>
    </row>
    <row r="147" spans="2:8" x14ac:dyDescent="0.25">
      <c r="B147" s="348" t="s">
        <v>383</v>
      </c>
      <c r="C147" s="327"/>
      <c r="D147" s="328"/>
      <c r="E147" s="329"/>
      <c r="F147" s="330"/>
      <c r="G147" s="331">
        <f>SUM(G148:G149)/2</f>
        <v>27183</v>
      </c>
      <c r="H147" s="331"/>
    </row>
    <row r="148" spans="2:8" ht="12.75" customHeight="1" outlineLevel="1" x14ac:dyDescent="0.25">
      <c r="B148" s="346" t="str">
        <f>B147</f>
        <v>7º AO 19º PAVIMENTO - TIPO (X13)</v>
      </c>
      <c r="C148" s="906" t="s">
        <v>384</v>
      </c>
      <c r="D148" s="334" t="s">
        <v>338</v>
      </c>
      <c r="E148" s="335">
        <v>405.72</v>
      </c>
      <c r="F148" s="336"/>
      <c r="G148" s="337">
        <f>SUM(G149:G149)</f>
        <v>27183</v>
      </c>
      <c r="H148" s="337"/>
    </row>
    <row r="149" spans="2:8" ht="13.5" outlineLevel="2" thickBot="1" x14ac:dyDescent="0.3">
      <c r="B149" s="360" t="str">
        <f>B148</f>
        <v>7º AO 19º PAVIMENTO - TIPO (X13)</v>
      </c>
      <c r="C149" s="361" t="str">
        <f>C148</f>
        <v xml:space="preserve"> Circulação</v>
      </c>
      <c r="D149" s="362" t="s">
        <v>373</v>
      </c>
      <c r="E149" s="363">
        <f>3*13</f>
        <v>39</v>
      </c>
      <c r="F149" s="364">
        <v>697</v>
      </c>
      <c r="G149" s="365">
        <f>E149*F149</f>
        <v>27183</v>
      </c>
      <c r="H149" s="365"/>
    </row>
  </sheetData>
  <autoFilter ref="B11:H149" xr:uid="{00000000-0009-0000-0000-00000F000000}"/>
  <dataConsolidate/>
  <mergeCells count="1">
    <mergeCell ref="B4:H4"/>
  </mergeCells>
  <pageMargins left="0.511811024" right="0.511811024" top="0.78740157499999996" bottom="0.78740157499999996" header="0.31496062000000002" footer="0.31496062000000002"/>
  <pageSetup paperSize="9" scale="22" fitToWidth="0" orientation="landscape" r:id="rId1"/>
  <ignoredErrors>
    <ignoredError sqref="G141 G123 G111 G104 G95 G78 G54 G50 G46 G40 G25 G23 G18" 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FF"/>
  </sheetPr>
  <dimension ref="A1:J349"/>
  <sheetViews>
    <sheetView showGridLines="0" zoomScale="85" zoomScaleNormal="85" workbookViewId="0">
      <pane ySplit="1" topLeftCell="A2" activePane="bottomLeft" state="frozen"/>
      <selection activeCell="I2" sqref="I2"/>
      <selection pane="bottomLeft" activeCell="H29" sqref="H29"/>
    </sheetView>
  </sheetViews>
  <sheetFormatPr defaultRowHeight="15" x14ac:dyDescent="0.25"/>
  <cols>
    <col min="1" max="1" width="26" style="926" bestFit="1" customWidth="1"/>
    <col min="2" max="3" width="9.140625" style="926"/>
    <col min="4" max="4" width="42.140625" style="926" bestFit="1" customWidth="1"/>
    <col min="5" max="5" width="20.42578125" style="926" bestFit="1" customWidth="1"/>
    <col min="6" max="6" width="13.140625" style="927" bestFit="1" customWidth="1"/>
    <col min="7" max="7" width="11.5703125" style="927" bestFit="1" customWidth="1"/>
    <col min="8" max="8" width="9.140625" style="926"/>
    <col min="9" max="9" width="11.5703125" style="927" bestFit="1" customWidth="1"/>
    <col min="10" max="10" width="55.28515625" style="926" bestFit="1" customWidth="1"/>
    <col min="11" max="16384" width="9.140625" style="926"/>
  </cols>
  <sheetData>
    <row r="1" spans="1:10" ht="15" customHeight="1" x14ac:dyDescent="0.25">
      <c r="A1" s="952" t="s">
        <v>267</v>
      </c>
      <c r="B1" s="952" t="s">
        <v>4032</v>
      </c>
      <c r="C1" s="952" t="s">
        <v>4031</v>
      </c>
      <c r="D1" s="951" t="s">
        <v>4030</v>
      </c>
      <c r="E1" s="950" t="s">
        <v>4029</v>
      </c>
      <c r="F1" s="949" t="s">
        <v>4028</v>
      </c>
      <c r="G1" s="949" t="s">
        <v>4027</v>
      </c>
      <c r="I1" s="948" t="s">
        <v>4027</v>
      </c>
      <c r="J1" s="947" t="s">
        <v>267</v>
      </c>
    </row>
    <row r="2" spans="1:10" x14ac:dyDescent="0.25">
      <c r="A2" s="946" t="s">
        <v>4020</v>
      </c>
      <c r="B2" s="945">
        <v>3357</v>
      </c>
      <c r="C2" s="945" t="s">
        <v>3706</v>
      </c>
      <c r="D2" s="945" t="s">
        <v>4019</v>
      </c>
      <c r="E2" s="945" t="s">
        <v>4010</v>
      </c>
      <c r="F2" s="944">
        <v>1.82</v>
      </c>
      <c r="G2" s="943">
        <f t="shared" ref="G2:G65" si="0">F2*B2</f>
        <v>6109.74</v>
      </c>
      <c r="I2" s="983">
        <f t="shared" ref="I2:I20" si="1">SUMIFS($G$2:$G$349,$A$2:$A$349,$J2)</f>
        <v>69039.33</v>
      </c>
      <c r="J2" s="942" t="s">
        <v>4020</v>
      </c>
    </row>
    <row r="3" spans="1:10" x14ac:dyDescent="0.25">
      <c r="A3" s="939" t="s">
        <v>4020</v>
      </c>
      <c r="B3" s="938">
        <v>89</v>
      </c>
      <c r="C3" s="938" t="s">
        <v>3706</v>
      </c>
      <c r="D3" s="938" t="s">
        <v>4018</v>
      </c>
      <c r="E3" s="938" t="s">
        <v>4010</v>
      </c>
      <c r="F3" s="937">
        <v>3.49</v>
      </c>
      <c r="G3" s="936">
        <f t="shared" si="0"/>
        <v>310.61</v>
      </c>
      <c r="I3" s="984">
        <f t="shared" si="1"/>
        <v>22418.739999999998</v>
      </c>
      <c r="J3" s="941" t="s">
        <v>4012</v>
      </c>
    </row>
    <row r="4" spans="1:10" x14ac:dyDescent="0.25">
      <c r="A4" s="939" t="s">
        <v>4020</v>
      </c>
      <c r="B4" s="938">
        <v>3357</v>
      </c>
      <c r="C4" s="938" t="s">
        <v>3706</v>
      </c>
      <c r="D4" s="938" t="s">
        <v>4017</v>
      </c>
      <c r="E4" s="938" t="s">
        <v>4010</v>
      </c>
      <c r="F4" s="937">
        <v>3.02</v>
      </c>
      <c r="G4" s="936">
        <f t="shared" si="0"/>
        <v>10138.14</v>
      </c>
      <c r="I4" s="984">
        <f t="shared" si="1"/>
        <v>142520.5</v>
      </c>
      <c r="J4" s="941" t="s">
        <v>4005</v>
      </c>
    </row>
    <row r="5" spans="1:10" x14ac:dyDescent="0.25">
      <c r="A5" s="939" t="s">
        <v>4020</v>
      </c>
      <c r="B5" s="938">
        <v>89</v>
      </c>
      <c r="C5" s="938" t="s">
        <v>3706</v>
      </c>
      <c r="D5" s="938" t="s">
        <v>4016</v>
      </c>
      <c r="E5" s="938" t="s">
        <v>4010</v>
      </c>
      <c r="F5" s="937">
        <v>6.75</v>
      </c>
      <c r="G5" s="936">
        <f t="shared" si="0"/>
        <v>600.75</v>
      </c>
      <c r="I5" s="984">
        <f t="shared" si="1"/>
        <v>6794</v>
      </c>
      <c r="J5" s="941" t="s">
        <v>4004</v>
      </c>
    </row>
    <row r="6" spans="1:10" x14ac:dyDescent="0.25">
      <c r="A6" s="939" t="s">
        <v>4020</v>
      </c>
      <c r="B6" s="938">
        <v>2189</v>
      </c>
      <c r="C6" s="938" t="s">
        <v>3706</v>
      </c>
      <c r="D6" s="938" t="s">
        <v>4026</v>
      </c>
      <c r="E6" s="938" t="s">
        <v>4010</v>
      </c>
      <c r="F6" s="937">
        <v>7.57</v>
      </c>
      <c r="G6" s="936">
        <f t="shared" si="0"/>
        <v>16570.73</v>
      </c>
      <c r="I6" s="984">
        <f t="shared" si="1"/>
        <v>4606</v>
      </c>
      <c r="J6" s="941" t="s">
        <v>4003</v>
      </c>
    </row>
    <row r="7" spans="1:10" x14ac:dyDescent="0.25">
      <c r="A7" s="939" t="s">
        <v>4020</v>
      </c>
      <c r="B7" s="938">
        <v>938</v>
      </c>
      <c r="C7" s="938" t="s">
        <v>3706</v>
      </c>
      <c r="D7" s="938" t="s">
        <v>4025</v>
      </c>
      <c r="E7" s="938" t="s">
        <v>4010</v>
      </c>
      <c r="F7" s="937">
        <v>6.46</v>
      </c>
      <c r="G7" s="936">
        <f t="shared" si="0"/>
        <v>6059.48</v>
      </c>
      <c r="I7" s="984">
        <f t="shared" si="1"/>
        <v>6066</v>
      </c>
      <c r="J7" s="941" t="s">
        <v>4002</v>
      </c>
    </row>
    <row r="8" spans="1:10" x14ac:dyDescent="0.25">
      <c r="A8" s="939" t="s">
        <v>4020</v>
      </c>
      <c r="B8" s="938">
        <v>805</v>
      </c>
      <c r="C8" s="938" t="s">
        <v>3706</v>
      </c>
      <c r="D8" s="938" t="s">
        <v>4024</v>
      </c>
      <c r="E8" s="938" t="s">
        <v>4010</v>
      </c>
      <c r="F8" s="937">
        <v>9.09</v>
      </c>
      <c r="G8" s="936">
        <f t="shared" si="0"/>
        <v>7317.45</v>
      </c>
      <c r="I8" s="984">
        <f t="shared" si="1"/>
        <v>3037</v>
      </c>
      <c r="J8" s="941" t="s">
        <v>3990</v>
      </c>
    </row>
    <row r="9" spans="1:10" x14ac:dyDescent="0.25">
      <c r="A9" s="939" t="s">
        <v>4020</v>
      </c>
      <c r="B9" s="938">
        <v>89</v>
      </c>
      <c r="C9" s="938" t="s">
        <v>3706</v>
      </c>
      <c r="D9" s="938" t="s">
        <v>4023</v>
      </c>
      <c r="E9" s="938" t="s">
        <v>4010</v>
      </c>
      <c r="F9" s="937">
        <v>45.11</v>
      </c>
      <c r="G9" s="936">
        <f t="shared" si="0"/>
        <v>4014.79</v>
      </c>
      <c r="I9" s="984">
        <f t="shared" si="1"/>
        <v>2432</v>
      </c>
      <c r="J9" s="941" t="s">
        <v>3984</v>
      </c>
    </row>
    <row r="10" spans="1:10" x14ac:dyDescent="0.25">
      <c r="A10" s="939" t="s">
        <v>4020</v>
      </c>
      <c r="B10" s="938">
        <v>89</v>
      </c>
      <c r="C10" s="938" t="s">
        <v>3706</v>
      </c>
      <c r="D10" s="938" t="s">
        <v>4022</v>
      </c>
      <c r="E10" s="938" t="s">
        <v>4010</v>
      </c>
      <c r="F10" s="937">
        <v>7.45</v>
      </c>
      <c r="G10" s="936">
        <f t="shared" si="0"/>
        <v>663.05000000000007</v>
      </c>
      <c r="I10" s="984">
        <f t="shared" si="1"/>
        <v>162971.745</v>
      </c>
      <c r="J10" s="941" t="s">
        <v>3960</v>
      </c>
    </row>
    <row r="11" spans="1:10" x14ac:dyDescent="0.25">
      <c r="A11" s="939" t="s">
        <v>4020</v>
      </c>
      <c r="B11" s="938">
        <v>89</v>
      </c>
      <c r="C11" s="938" t="s">
        <v>3706</v>
      </c>
      <c r="D11" s="938" t="s">
        <v>4021</v>
      </c>
      <c r="E11" s="938" t="s">
        <v>4010</v>
      </c>
      <c r="F11" s="937">
        <v>7.45</v>
      </c>
      <c r="G11" s="936">
        <f t="shared" si="0"/>
        <v>663.05000000000007</v>
      </c>
      <c r="I11" s="984">
        <f t="shared" si="1"/>
        <v>63256.149999999994</v>
      </c>
      <c r="J11" s="941" t="s">
        <v>3954</v>
      </c>
    </row>
    <row r="12" spans="1:10" x14ac:dyDescent="0.25">
      <c r="A12" s="939" t="s">
        <v>4020</v>
      </c>
      <c r="B12" s="938">
        <v>6406</v>
      </c>
      <c r="C12" s="938" t="s">
        <v>3706</v>
      </c>
      <c r="D12" s="938" t="s">
        <v>4011</v>
      </c>
      <c r="E12" s="938" t="s">
        <v>4010</v>
      </c>
      <c r="F12" s="937">
        <v>2.59</v>
      </c>
      <c r="G12" s="936">
        <f t="shared" si="0"/>
        <v>16591.54</v>
      </c>
      <c r="I12" s="984">
        <f t="shared" si="1"/>
        <v>17858.14</v>
      </c>
      <c r="J12" s="941" t="s">
        <v>3944</v>
      </c>
    </row>
    <row r="13" spans="1:10" x14ac:dyDescent="0.25">
      <c r="A13" s="939" t="s">
        <v>4012</v>
      </c>
      <c r="B13" s="938">
        <v>201</v>
      </c>
      <c r="C13" s="938" t="s">
        <v>3706</v>
      </c>
      <c r="D13" s="938" t="s">
        <v>4019</v>
      </c>
      <c r="E13" s="938" t="s">
        <v>4010</v>
      </c>
      <c r="F13" s="937">
        <v>1.82</v>
      </c>
      <c r="G13" s="936">
        <f t="shared" si="0"/>
        <v>365.82</v>
      </c>
      <c r="I13" s="984">
        <f t="shared" si="1"/>
        <v>17171.449999999997</v>
      </c>
      <c r="J13" s="941" t="s">
        <v>3932</v>
      </c>
    </row>
    <row r="14" spans="1:10" x14ac:dyDescent="0.25">
      <c r="A14" s="939" t="s">
        <v>4012</v>
      </c>
      <c r="B14" s="938">
        <v>388</v>
      </c>
      <c r="C14" s="938" t="s">
        <v>3706</v>
      </c>
      <c r="D14" s="938" t="s">
        <v>4018</v>
      </c>
      <c r="E14" s="938" t="s">
        <v>4010</v>
      </c>
      <c r="F14" s="937">
        <v>3.49</v>
      </c>
      <c r="G14" s="936">
        <f t="shared" si="0"/>
        <v>1354.1200000000001</v>
      </c>
      <c r="I14" s="984">
        <f t="shared" si="1"/>
        <v>22251.660000000003</v>
      </c>
      <c r="J14" s="941" t="s">
        <v>3875</v>
      </c>
    </row>
    <row r="15" spans="1:10" x14ac:dyDescent="0.25">
      <c r="A15" s="939" t="s">
        <v>4012</v>
      </c>
      <c r="B15" s="938">
        <v>201</v>
      </c>
      <c r="C15" s="938" t="s">
        <v>3706</v>
      </c>
      <c r="D15" s="938" t="s">
        <v>4017</v>
      </c>
      <c r="E15" s="938" t="s">
        <v>4010</v>
      </c>
      <c r="F15" s="937">
        <v>3.02</v>
      </c>
      <c r="G15" s="936">
        <f t="shared" si="0"/>
        <v>607.02</v>
      </c>
      <c r="I15" s="984">
        <f t="shared" si="1"/>
        <v>8736.6999999999989</v>
      </c>
      <c r="J15" s="941" t="s">
        <v>3830</v>
      </c>
    </row>
    <row r="16" spans="1:10" x14ac:dyDescent="0.25">
      <c r="A16" s="939" t="s">
        <v>4012</v>
      </c>
      <c r="B16" s="938">
        <v>388</v>
      </c>
      <c r="C16" s="938" t="s">
        <v>3706</v>
      </c>
      <c r="D16" s="938" t="s">
        <v>4016</v>
      </c>
      <c r="E16" s="938" t="s">
        <v>4010</v>
      </c>
      <c r="F16" s="937">
        <v>6.75</v>
      </c>
      <c r="G16" s="936">
        <f t="shared" si="0"/>
        <v>2619</v>
      </c>
      <c r="I16" s="984">
        <f t="shared" si="1"/>
        <v>11848.558000000003</v>
      </c>
      <c r="J16" s="941" t="s">
        <v>3804</v>
      </c>
    </row>
    <row r="17" spans="1:10" x14ac:dyDescent="0.25">
      <c r="A17" s="939" t="s">
        <v>4012</v>
      </c>
      <c r="B17" s="938">
        <v>366</v>
      </c>
      <c r="C17" s="938" t="s">
        <v>3706</v>
      </c>
      <c r="D17" s="938" t="s">
        <v>4015</v>
      </c>
      <c r="E17" s="938" t="s">
        <v>4010</v>
      </c>
      <c r="F17" s="937">
        <v>16.489999999999998</v>
      </c>
      <c r="G17" s="936">
        <f t="shared" si="0"/>
        <v>6035.3399999999992</v>
      </c>
      <c r="I17" s="984">
        <f t="shared" si="1"/>
        <v>57478.539999999994</v>
      </c>
      <c r="J17" s="941" t="s">
        <v>3766</v>
      </c>
    </row>
    <row r="18" spans="1:10" x14ac:dyDescent="0.25">
      <c r="A18" s="939" t="s">
        <v>4012</v>
      </c>
      <c r="B18" s="938">
        <v>22</v>
      </c>
      <c r="C18" s="938" t="s">
        <v>3706</v>
      </c>
      <c r="D18" s="938" t="s">
        <v>4014</v>
      </c>
      <c r="E18" s="938" t="s">
        <v>4010</v>
      </c>
      <c r="F18" s="937">
        <v>49.56</v>
      </c>
      <c r="G18" s="936">
        <f t="shared" si="0"/>
        <v>1090.3200000000002</v>
      </c>
      <c r="I18" s="984">
        <f t="shared" si="1"/>
        <v>10671.45</v>
      </c>
      <c r="J18" s="941" t="s">
        <v>3761</v>
      </c>
    </row>
    <row r="19" spans="1:10" x14ac:dyDescent="0.25">
      <c r="A19" s="939" t="s">
        <v>4012</v>
      </c>
      <c r="B19" s="938">
        <v>307</v>
      </c>
      <c r="C19" s="938" t="s">
        <v>3706</v>
      </c>
      <c r="D19" s="938" t="s">
        <v>4013</v>
      </c>
      <c r="E19" s="938" t="s">
        <v>4010</v>
      </c>
      <c r="F19" s="937">
        <v>14.84</v>
      </c>
      <c r="G19" s="936">
        <f t="shared" si="0"/>
        <v>4555.88</v>
      </c>
      <c r="I19" s="984">
        <f t="shared" si="1"/>
        <v>27409.783999999992</v>
      </c>
      <c r="J19" s="941" t="s">
        <v>3716</v>
      </c>
    </row>
    <row r="20" spans="1:10" x14ac:dyDescent="0.25">
      <c r="A20" s="939" t="s">
        <v>4012</v>
      </c>
      <c r="B20" s="938">
        <v>2236</v>
      </c>
      <c r="C20" s="938" t="s">
        <v>3706</v>
      </c>
      <c r="D20" s="938" t="s">
        <v>4011</v>
      </c>
      <c r="E20" s="938" t="s">
        <v>4010</v>
      </c>
      <c r="F20" s="937">
        <v>2.59</v>
      </c>
      <c r="G20" s="936">
        <f t="shared" si="0"/>
        <v>5791.24</v>
      </c>
      <c r="I20" s="985">
        <f t="shared" si="1"/>
        <v>10076.89</v>
      </c>
      <c r="J20" s="940" t="s">
        <v>3707</v>
      </c>
    </row>
    <row r="21" spans="1:10" x14ac:dyDescent="0.25">
      <c r="A21" s="939" t="s">
        <v>4005</v>
      </c>
      <c r="B21" s="938">
        <v>20500</v>
      </c>
      <c r="C21" s="938" t="s">
        <v>54</v>
      </c>
      <c r="D21" s="938" t="s">
        <v>3986</v>
      </c>
      <c r="E21" s="938" t="s">
        <v>3977</v>
      </c>
      <c r="F21" s="937">
        <v>0.88</v>
      </c>
      <c r="G21" s="936">
        <f t="shared" si="0"/>
        <v>18040</v>
      </c>
    </row>
    <row r="22" spans="1:10" x14ac:dyDescent="0.25">
      <c r="A22" s="939" t="s">
        <v>4005</v>
      </c>
      <c r="B22" s="938">
        <v>20500</v>
      </c>
      <c r="C22" s="938" t="s">
        <v>54</v>
      </c>
      <c r="D22" s="938" t="s">
        <v>4001</v>
      </c>
      <c r="E22" s="938" t="s">
        <v>3977</v>
      </c>
      <c r="F22" s="937">
        <v>0.88</v>
      </c>
      <c r="G22" s="936">
        <f t="shared" si="0"/>
        <v>18040</v>
      </c>
    </row>
    <row r="23" spans="1:10" x14ac:dyDescent="0.25">
      <c r="A23" s="939" t="s">
        <v>4005</v>
      </c>
      <c r="B23" s="938">
        <v>20500</v>
      </c>
      <c r="C23" s="938" t="s">
        <v>54</v>
      </c>
      <c r="D23" s="938" t="s">
        <v>4000</v>
      </c>
      <c r="E23" s="938" t="s">
        <v>3977</v>
      </c>
      <c r="F23" s="937">
        <v>0.88</v>
      </c>
      <c r="G23" s="936">
        <f t="shared" si="0"/>
        <v>18040</v>
      </c>
    </row>
    <row r="24" spans="1:10" x14ac:dyDescent="0.25">
      <c r="A24" s="939" t="s">
        <v>4005</v>
      </c>
      <c r="B24" s="938">
        <v>13500</v>
      </c>
      <c r="C24" s="938" t="s">
        <v>54</v>
      </c>
      <c r="D24" s="938" t="s">
        <v>3999</v>
      </c>
      <c r="E24" s="938" t="s">
        <v>3977</v>
      </c>
      <c r="F24" s="937">
        <v>0.56000000000000005</v>
      </c>
      <c r="G24" s="936">
        <f t="shared" si="0"/>
        <v>7560.0000000000009</v>
      </c>
    </row>
    <row r="25" spans="1:10" x14ac:dyDescent="0.25">
      <c r="A25" s="939" t="s">
        <v>4005</v>
      </c>
      <c r="B25" s="938">
        <v>9000</v>
      </c>
      <c r="C25" s="938" t="s">
        <v>54</v>
      </c>
      <c r="D25" s="938" t="s">
        <v>3998</v>
      </c>
      <c r="E25" s="938" t="s">
        <v>3977</v>
      </c>
      <c r="F25" s="937">
        <v>0.56000000000000005</v>
      </c>
      <c r="G25" s="936">
        <f t="shared" si="0"/>
        <v>5040.0000000000009</v>
      </c>
    </row>
    <row r="26" spans="1:10" x14ac:dyDescent="0.25">
      <c r="A26" s="939" t="s">
        <v>4005</v>
      </c>
      <c r="B26" s="938">
        <v>9000</v>
      </c>
      <c r="C26" s="938" t="s">
        <v>54</v>
      </c>
      <c r="D26" s="938" t="s">
        <v>3997</v>
      </c>
      <c r="E26" s="938" t="s">
        <v>3977</v>
      </c>
      <c r="F26" s="937">
        <v>0.56000000000000005</v>
      </c>
      <c r="G26" s="936">
        <f t="shared" si="0"/>
        <v>5040.0000000000009</v>
      </c>
    </row>
    <row r="27" spans="1:10" x14ac:dyDescent="0.25">
      <c r="A27" s="939" t="s">
        <v>4005</v>
      </c>
      <c r="B27" s="938">
        <v>9000</v>
      </c>
      <c r="C27" s="938" t="s">
        <v>54</v>
      </c>
      <c r="D27" s="938" t="s">
        <v>3996</v>
      </c>
      <c r="E27" s="938" t="s">
        <v>3977</v>
      </c>
      <c r="F27" s="937">
        <v>0.56000000000000005</v>
      </c>
      <c r="G27" s="936">
        <f t="shared" si="0"/>
        <v>5040.0000000000009</v>
      </c>
    </row>
    <row r="28" spans="1:10" x14ac:dyDescent="0.25">
      <c r="A28" s="939" t="s">
        <v>4005</v>
      </c>
      <c r="B28" s="938">
        <v>18000</v>
      </c>
      <c r="C28" s="938" t="s">
        <v>54</v>
      </c>
      <c r="D28" s="938" t="s">
        <v>3995</v>
      </c>
      <c r="E28" s="938" t="s">
        <v>3977</v>
      </c>
      <c r="F28" s="937">
        <v>0.56000000000000005</v>
      </c>
      <c r="G28" s="936">
        <f t="shared" si="0"/>
        <v>10080.000000000002</v>
      </c>
    </row>
    <row r="29" spans="1:10" x14ac:dyDescent="0.25">
      <c r="A29" s="939" t="s">
        <v>4005</v>
      </c>
      <c r="B29" s="938">
        <v>4500</v>
      </c>
      <c r="C29" s="938" t="s">
        <v>54</v>
      </c>
      <c r="D29" s="938" t="s">
        <v>3988</v>
      </c>
      <c r="E29" s="938" t="s">
        <v>3977</v>
      </c>
      <c r="F29" s="937">
        <v>0.56000000000000005</v>
      </c>
      <c r="G29" s="936">
        <f t="shared" si="0"/>
        <v>2520.0000000000005</v>
      </c>
    </row>
    <row r="30" spans="1:10" x14ac:dyDescent="0.25">
      <c r="A30" s="939" t="s">
        <v>4005</v>
      </c>
      <c r="B30" s="938">
        <v>4500</v>
      </c>
      <c r="C30" s="938" t="s">
        <v>54</v>
      </c>
      <c r="D30" s="938" t="s">
        <v>3994</v>
      </c>
      <c r="E30" s="938" t="s">
        <v>3977</v>
      </c>
      <c r="F30" s="937">
        <v>0.56000000000000005</v>
      </c>
      <c r="G30" s="936">
        <f t="shared" si="0"/>
        <v>2520.0000000000005</v>
      </c>
    </row>
    <row r="31" spans="1:10" x14ac:dyDescent="0.25">
      <c r="A31" s="939" t="s">
        <v>4005</v>
      </c>
      <c r="B31" s="938">
        <v>4500</v>
      </c>
      <c r="C31" s="938" t="s">
        <v>54</v>
      </c>
      <c r="D31" s="938" t="s">
        <v>3851</v>
      </c>
      <c r="E31" s="938" t="s">
        <v>3977</v>
      </c>
      <c r="F31" s="937">
        <v>1.4</v>
      </c>
      <c r="G31" s="936">
        <f t="shared" si="0"/>
        <v>6300</v>
      </c>
    </row>
    <row r="32" spans="1:10" x14ac:dyDescent="0.25">
      <c r="A32" s="939" t="s">
        <v>4005</v>
      </c>
      <c r="B32" s="938">
        <v>4500</v>
      </c>
      <c r="C32" s="938" t="s">
        <v>54</v>
      </c>
      <c r="D32" s="938" t="s">
        <v>3850</v>
      </c>
      <c r="E32" s="938" t="s">
        <v>3977</v>
      </c>
      <c r="F32" s="937">
        <v>1.4</v>
      </c>
      <c r="G32" s="936">
        <f t="shared" si="0"/>
        <v>6300</v>
      </c>
    </row>
    <row r="33" spans="1:7" x14ac:dyDescent="0.25">
      <c r="A33" s="939" t="s">
        <v>4005</v>
      </c>
      <c r="B33" s="938">
        <v>4500</v>
      </c>
      <c r="C33" s="938" t="s">
        <v>54</v>
      </c>
      <c r="D33" s="938" t="s">
        <v>4009</v>
      </c>
      <c r="E33" s="938" t="s">
        <v>3977</v>
      </c>
      <c r="F33" s="937">
        <v>1.4</v>
      </c>
      <c r="G33" s="936">
        <f t="shared" si="0"/>
        <v>6300</v>
      </c>
    </row>
    <row r="34" spans="1:7" x14ac:dyDescent="0.25">
      <c r="A34" s="939" t="s">
        <v>4005</v>
      </c>
      <c r="B34" s="938">
        <v>4500</v>
      </c>
      <c r="C34" s="938" t="s">
        <v>54</v>
      </c>
      <c r="D34" s="938" t="s">
        <v>3993</v>
      </c>
      <c r="E34" s="938" t="s">
        <v>3977</v>
      </c>
      <c r="F34" s="937">
        <v>2.12</v>
      </c>
      <c r="G34" s="936">
        <f t="shared" si="0"/>
        <v>9540</v>
      </c>
    </row>
    <row r="35" spans="1:7" x14ac:dyDescent="0.25">
      <c r="A35" s="939" t="s">
        <v>4005</v>
      </c>
      <c r="B35" s="938">
        <v>4500</v>
      </c>
      <c r="C35" s="938" t="s">
        <v>54</v>
      </c>
      <c r="D35" s="938" t="s">
        <v>3992</v>
      </c>
      <c r="E35" s="938" t="s">
        <v>3977</v>
      </c>
      <c r="F35" s="937">
        <v>2.12</v>
      </c>
      <c r="G35" s="936">
        <f t="shared" si="0"/>
        <v>9540</v>
      </c>
    </row>
    <row r="36" spans="1:7" x14ac:dyDescent="0.25">
      <c r="A36" s="939" t="s">
        <v>4005</v>
      </c>
      <c r="B36" s="938">
        <v>4500</v>
      </c>
      <c r="C36" s="938" t="s">
        <v>54</v>
      </c>
      <c r="D36" s="938" t="s">
        <v>4008</v>
      </c>
      <c r="E36" s="938" t="s">
        <v>3977</v>
      </c>
      <c r="F36" s="937">
        <v>2.12</v>
      </c>
      <c r="G36" s="936">
        <f t="shared" si="0"/>
        <v>9540</v>
      </c>
    </row>
    <row r="37" spans="1:7" x14ac:dyDescent="0.25">
      <c r="A37" s="939" t="s">
        <v>4005</v>
      </c>
      <c r="B37" s="938">
        <v>300</v>
      </c>
      <c r="C37" s="938" t="s">
        <v>54</v>
      </c>
      <c r="D37" s="938" t="s">
        <v>4007</v>
      </c>
      <c r="E37" s="938"/>
      <c r="F37" s="937">
        <v>1.5</v>
      </c>
      <c r="G37" s="936">
        <f t="shared" si="0"/>
        <v>450</v>
      </c>
    </row>
    <row r="38" spans="1:7" x14ac:dyDescent="0.25">
      <c r="A38" s="939" t="s">
        <v>4005</v>
      </c>
      <c r="B38" s="938">
        <v>300</v>
      </c>
      <c r="C38" s="938" t="s">
        <v>54</v>
      </c>
      <c r="D38" s="938" t="s">
        <v>4006</v>
      </c>
      <c r="E38" s="938"/>
      <c r="F38" s="937">
        <v>1.5</v>
      </c>
      <c r="G38" s="936">
        <f t="shared" si="0"/>
        <v>450</v>
      </c>
    </row>
    <row r="39" spans="1:7" x14ac:dyDescent="0.25">
      <c r="A39" s="939" t="s">
        <v>4005</v>
      </c>
      <c r="B39" s="938">
        <v>445</v>
      </c>
      <c r="C39" s="938" t="s">
        <v>3706</v>
      </c>
      <c r="D39" s="938" t="s">
        <v>3840</v>
      </c>
      <c r="E39" s="938" t="s">
        <v>3839</v>
      </c>
      <c r="F39" s="937">
        <v>4.9000000000000004</v>
      </c>
      <c r="G39" s="936">
        <f t="shared" si="0"/>
        <v>2180.5</v>
      </c>
    </row>
    <row r="40" spans="1:7" x14ac:dyDescent="0.25">
      <c r="A40" s="939" t="s">
        <v>4004</v>
      </c>
      <c r="B40" s="938">
        <v>1200</v>
      </c>
      <c r="C40" s="938" t="s">
        <v>54</v>
      </c>
      <c r="D40" s="938" t="s">
        <v>3986</v>
      </c>
      <c r="E40" s="938" t="s">
        <v>3977</v>
      </c>
      <c r="F40" s="937">
        <v>0.88</v>
      </c>
      <c r="G40" s="936">
        <f t="shared" si="0"/>
        <v>1056</v>
      </c>
    </row>
    <row r="41" spans="1:7" x14ac:dyDescent="0.25">
      <c r="A41" s="939" t="s">
        <v>4004</v>
      </c>
      <c r="B41" s="938">
        <v>1200</v>
      </c>
      <c r="C41" s="938" t="s">
        <v>54</v>
      </c>
      <c r="D41" s="938" t="s">
        <v>4001</v>
      </c>
      <c r="E41" s="938" t="s">
        <v>3977</v>
      </c>
      <c r="F41" s="937">
        <v>0.88</v>
      </c>
      <c r="G41" s="936">
        <f t="shared" si="0"/>
        <v>1056</v>
      </c>
    </row>
    <row r="42" spans="1:7" x14ac:dyDescent="0.25">
      <c r="A42" s="939" t="s">
        <v>4004</v>
      </c>
      <c r="B42" s="938">
        <v>1200</v>
      </c>
      <c r="C42" s="938" t="s">
        <v>54</v>
      </c>
      <c r="D42" s="938" t="s">
        <v>4000</v>
      </c>
      <c r="E42" s="938" t="s">
        <v>3977</v>
      </c>
      <c r="F42" s="937">
        <v>0.88</v>
      </c>
      <c r="G42" s="936">
        <f t="shared" si="0"/>
        <v>1056</v>
      </c>
    </row>
    <row r="43" spans="1:7" x14ac:dyDescent="0.25">
      <c r="A43" s="939" t="s">
        <v>4004</v>
      </c>
      <c r="B43" s="938">
        <v>1500</v>
      </c>
      <c r="C43" s="938" t="s">
        <v>54</v>
      </c>
      <c r="D43" s="938" t="s">
        <v>3999</v>
      </c>
      <c r="E43" s="938" t="s">
        <v>3977</v>
      </c>
      <c r="F43" s="937">
        <v>0.56000000000000005</v>
      </c>
      <c r="G43" s="936">
        <f t="shared" si="0"/>
        <v>840.00000000000011</v>
      </c>
    </row>
    <row r="44" spans="1:7" x14ac:dyDescent="0.25">
      <c r="A44" s="939" t="s">
        <v>4004</v>
      </c>
      <c r="B44" s="938">
        <v>1600</v>
      </c>
      <c r="C44" s="938" t="s">
        <v>54</v>
      </c>
      <c r="D44" s="938" t="s">
        <v>3998</v>
      </c>
      <c r="E44" s="938" t="s">
        <v>3977</v>
      </c>
      <c r="F44" s="937">
        <v>0.56000000000000005</v>
      </c>
      <c r="G44" s="936">
        <f t="shared" si="0"/>
        <v>896.00000000000011</v>
      </c>
    </row>
    <row r="45" spans="1:7" x14ac:dyDescent="0.25">
      <c r="A45" s="939" t="s">
        <v>4004</v>
      </c>
      <c r="B45" s="938">
        <v>1600</v>
      </c>
      <c r="C45" s="938" t="s">
        <v>54</v>
      </c>
      <c r="D45" s="938" t="s">
        <v>3997</v>
      </c>
      <c r="E45" s="938" t="s">
        <v>3977</v>
      </c>
      <c r="F45" s="937">
        <v>0.56000000000000005</v>
      </c>
      <c r="G45" s="936">
        <f t="shared" si="0"/>
        <v>896.00000000000011</v>
      </c>
    </row>
    <row r="46" spans="1:7" x14ac:dyDescent="0.25">
      <c r="A46" s="939" t="s">
        <v>4004</v>
      </c>
      <c r="B46" s="938">
        <v>400</v>
      </c>
      <c r="C46" s="938" t="s">
        <v>54</v>
      </c>
      <c r="D46" s="938" t="s">
        <v>3996</v>
      </c>
      <c r="E46" s="938" t="s">
        <v>3977</v>
      </c>
      <c r="F46" s="937">
        <v>0.56000000000000005</v>
      </c>
      <c r="G46" s="936">
        <f t="shared" si="0"/>
        <v>224.00000000000003</v>
      </c>
    </row>
    <row r="47" spans="1:7" x14ac:dyDescent="0.25">
      <c r="A47" s="939" t="s">
        <v>4004</v>
      </c>
      <c r="B47" s="938">
        <v>400</v>
      </c>
      <c r="C47" s="938" t="s">
        <v>54</v>
      </c>
      <c r="D47" s="938" t="s">
        <v>3995</v>
      </c>
      <c r="E47" s="938" t="s">
        <v>3977</v>
      </c>
      <c r="F47" s="937">
        <v>0.56000000000000005</v>
      </c>
      <c r="G47" s="936">
        <f t="shared" si="0"/>
        <v>224.00000000000003</v>
      </c>
    </row>
    <row r="48" spans="1:7" x14ac:dyDescent="0.25">
      <c r="A48" s="939" t="s">
        <v>4004</v>
      </c>
      <c r="B48" s="938">
        <v>400</v>
      </c>
      <c r="C48" s="938" t="s">
        <v>54</v>
      </c>
      <c r="D48" s="938" t="s">
        <v>3988</v>
      </c>
      <c r="E48" s="938" t="s">
        <v>3977</v>
      </c>
      <c r="F48" s="937">
        <v>0.56000000000000005</v>
      </c>
      <c r="G48" s="936">
        <f t="shared" si="0"/>
        <v>224.00000000000003</v>
      </c>
    </row>
    <row r="49" spans="1:7" x14ac:dyDescent="0.25">
      <c r="A49" s="939" t="s">
        <v>4004</v>
      </c>
      <c r="B49" s="938">
        <v>400</v>
      </c>
      <c r="C49" s="938" t="s">
        <v>54</v>
      </c>
      <c r="D49" s="938" t="s">
        <v>3994</v>
      </c>
      <c r="E49" s="938" t="s">
        <v>3977</v>
      </c>
      <c r="F49" s="937">
        <v>0.56000000000000005</v>
      </c>
      <c r="G49" s="936">
        <f t="shared" si="0"/>
        <v>224.00000000000003</v>
      </c>
    </row>
    <row r="50" spans="1:7" x14ac:dyDescent="0.25">
      <c r="A50" s="939" t="s">
        <v>4004</v>
      </c>
      <c r="B50" s="938">
        <v>20</v>
      </c>
      <c r="C50" s="938" t="s">
        <v>3706</v>
      </c>
      <c r="D50" s="938" t="s">
        <v>3840</v>
      </c>
      <c r="E50" s="938" t="s">
        <v>3839</v>
      </c>
      <c r="F50" s="937">
        <v>4.9000000000000004</v>
      </c>
      <c r="G50" s="936">
        <f t="shared" si="0"/>
        <v>98</v>
      </c>
    </row>
    <row r="51" spans="1:7" x14ac:dyDescent="0.25">
      <c r="A51" s="939" t="s">
        <v>4003</v>
      </c>
      <c r="B51" s="938">
        <v>600</v>
      </c>
      <c r="C51" s="938" t="s">
        <v>54</v>
      </c>
      <c r="D51" s="938" t="s">
        <v>3986</v>
      </c>
      <c r="E51" s="938" t="s">
        <v>3977</v>
      </c>
      <c r="F51" s="937">
        <v>0.75</v>
      </c>
      <c r="G51" s="936">
        <f t="shared" si="0"/>
        <v>450</v>
      </c>
    </row>
    <row r="52" spans="1:7" x14ac:dyDescent="0.25">
      <c r="A52" s="939" t="s">
        <v>4003</v>
      </c>
      <c r="B52" s="938">
        <v>600</v>
      </c>
      <c r="C52" s="938" t="s">
        <v>54</v>
      </c>
      <c r="D52" s="938" t="s">
        <v>4001</v>
      </c>
      <c r="E52" s="938" t="s">
        <v>3977</v>
      </c>
      <c r="F52" s="937">
        <v>0.75</v>
      </c>
      <c r="G52" s="936">
        <f t="shared" si="0"/>
        <v>450</v>
      </c>
    </row>
    <row r="53" spans="1:7" x14ac:dyDescent="0.25">
      <c r="A53" s="939" t="s">
        <v>4003</v>
      </c>
      <c r="B53" s="938">
        <v>600</v>
      </c>
      <c r="C53" s="938" t="s">
        <v>54</v>
      </c>
      <c r="D53" s="938" t="s">
        <v>4000</v>
      </c>
      <c r="E53" s="938" t="s">
        <v>3977</v>
      </c>
      <c r="F53" s="937">
        <v>0.75</v>
      </c>
      <c r="G53" s="936">
        <f t="shared" si="0"/>
        <v>450</v>
      </c>
    </row>
    <row r="54" spans="1:7" x14ac:dyDescent="0.25">
      <c r="A54" s="939" t="s">
        <v>4003</v>
      </c>
      <c r="B54" s="938">
        <v>600</v>
      </c>
      <c r="C54" s="938" t="s">
        <v>54</v>
      </c>
      <c r="D54" s="938" t="s">
        <v>3999</v>
      </c>
      <c r="E54" s="938" t="s">
        <v>3977</v>
      </c>
      <c r="F54" s="937">
        <v>0.48</v>
      </c>
      <c r="G54" s="936">
        <f t="shared" si="0"/>
        <v>288</v>
      </c>
    </row>
    <row r="55" spans="1:7" x14ac:dyDescent="0.25">
      <c r="A55" s="939" t="s">
        <v>4003</v>
      </c>
      <c r="B55" s="938">
        <v>700</v>
      </c>
      <c r="C55" s="938" t="s">
        <v>54</v>
      </c>
      <c r="D55" s="938" t="s">
        <v>3998</v>
      </c>
      <c r="E55" s="938" t="s">
        <v>3977</v>
      </c>
      <c r="F55" s="937">
        <v>0.48</v>
      </c>
      <c r="G55" s="936">
        <f t="shared" si="0"/>
        <v>336</v>
      </c>
    </row>
    <row r="56" spans="1:7" x14ac:dyDescent="0.25">
      <c r="A56" s="939" t="s">
        <v>4003</v>
      </c>
      <c r="B56" s="938">
        <v>700</v>
      </c>
      <c r="C56" s="938" t="s">
        <v>54</v>
      </c>
      <c r="D56" s="938" t="s">
        <v>3997</v>
      </c>
      <c r="E56" s="938" t="s">
        <v>3977</v>
      </c>
      <c r="F56" s="937">
        <v>0.48</v>
      </c>
      <c r="G56" s="936">
        <f t="shared" si="0"/>
        <v>336</v>
      </c>
    </row>
    <row r="57" spans="1:7" x14ac:dyDescent="0.25">
      <c r="A57" s="939" t="s">
        <v>4003</v>
      </c>
      <c r="B57" s="938">
        <v>200</v>
      </c>
      <c r="C57" s="938" t="s">
        <v>54</v>
      </c>
      <c r="D57" s="938" t="s">
        <v>3996</v>
      </c>
      <c r="E57" s="938" t="s">
        <v>3977</v>
      </c>
      <c r="F57" s="937">
        <v>0.48</v>
      </c>
      <c r="G57" s="936">
        <f t="shared" si="0"/>
        <v>96</v>
      </c>
    </row>
    <row r="58" spans="1:7" x14ac:dyDescent="0.25">
      <c r="A58" s="939" t="s">
        <v>4003</v>
      </c>
      <c r="B58" s="938">
        <v>200</v>
      </c>
      <c r="C58" s="938" t="s">
        <v>54</v>
      </c>
      <c r="D58" s="938" t="s">
        <v>3995</v>
      </c>
      <c r="E58" s="938" t="s">
        <v>3977</v>
      </c>
      <c r="F58" s="937">
        <v>0.48</v>
      </c>
      <c r="G58" s="936">
        <f t="shared" si="0"/>
        <v>96</v>
      </c>
    </row>
    <row r="59" spans="1:7" x14ac:dyDescent="0.25">
      <c r="A59" s="939" t="s">
        <v>4003</v>
      </c>
      <c r="B59" s="938">
        <v>200</v>
      </c>
      <c r="C59" s="938" t="s">
        <v>54</v>
      </c>
      <c r="D59" s="938" t="s">
        <v>3988</v>
      </c>
      <c r="E59" s="938" t="s">
        <v>3977</v>
      </c>
      <c r="F59" s="937">
        <v>0.48</v>
      </c>
      <c r="G59" s="936">
        <f t="shared" si="0"/>
        <v>96</v>
      </c>
    </row>
    <row r="60" spans="1:7" x14ac:dyDescent="0.25">
      <c r="A60" s="939" t="s">
        <v>4003</v>
      </c>
      <c r="B60" s="938">
        <v>100</v>
      </c>
      <c r="C60" s="938" t="s">
        <v>54</v>
      </c>
      <c r="D60" s="938" t="s">
        <v>3994</v>
      </c>
      <c r="E60" s="938" t="s">
        <v>3977</v>
      </c>
      <c r="F60" s="937">
        <v>0.48</v>
      </c>
      <c r="G60" s="936">
        <f t="shared" si="0"/>
        <v>48</v>
      </c>
    </row>
    <row r="61" spans="1:7" x14ac:dyDescent="0.25">
      <c r="A61" s="939" t="s">
        <v>4003</v>
      </c>
      <c r="B61" s="938">
        <v>500</v>
      </c>
      <c r="C61" s="938" t="s">
        <v>54</v>
      </c>
      <c r="D61" s="938" t="s">
        <v>3851</v>
      </c>
      <c r="E61" s="938" t="s">
        <v>3977</v>
      </c>
      <c r="F61" s="937">
        <v>1.28</v>
      </c>
      <c r="G61" s="936">
        <f t="shared" si="0"/>
        <v>640</v>
      </c>
    </row>
    <row r="62" spans="1:7" x14ac:dyDescent="0.25">
      <c r="A62" s="939" t="s">
        <v>4003</v>
      </c>
      <c r="B62" s="938">
        <v>500</v>
      </c>
      <c r="C62" s="938" t="s">
        <v>54</v>
      </c>
      <c r="D62" s="938" t="s">
        <v>3850</v>
      </c>
      <c r="E62" s="938" t="s">
        <v>3977</v>
      </c>
      <c r="F62" s="937">
        <v>1.28</v>
      </c>
      <c r="G62" s="936">
        <f t="shared" si="0"/>
        <v>640</v>
      </c>
    </row>
    <row r="63" spans="1:7" x14ac:dyDescent="0.25">
      <c r="A63" s="939" t="s">
        <v>4003</v>
      </c>
      <c r="B63" s="938">
        <v>500</v>
      </c>
      <c r="C63" s="938" t="s">
        <v>54</v>
      </c>
      <c r="D63" s="938" t="s">
        <v>3849</v>
      </c>
      <c r="E63" s="938" t="s">
        <v>3977</v>
      </c>
      <c r="F63" s="937">
        <v>1.28</v>
      </c>
      <c r="G63" s="936">
        <f t="shared" si="0"/>
        <v>640</v>
      </c>
    </row>
    <row r="64" spans="1:7" x14ac:dyDescent="0.25">
      <c r="A64" s="939" t="s">
        <v>4003</v>
      </c>
      <c r="B64" s="938">
        <v>10</v>
      </c>
      <c r="C64" s="938" t="s">
        <v>3706</v>
      </c>
      <c r="D64" s="938" t="s">
        <v>3840</v>
      </c>
      <c r="E64" s="938" t="s">
        <v>3839</v>
      </c>
      <c r="F64" s="937">
        <v>4</v>
      </c>
      <c r="G64" s="936">
        <f t="shared" si="0"/>
        <v>40</v>
      </c>
    </row>
    <row r="65" spans="1:7" x14ac:dyDescent="0.25">
      <c r="A65" s="939" t="s">
        <v>4002</v>
      </c>
      <c r="B65" s="938">
        <v>500</v>
      </c>
      <c r="C65" s="938" t="s">
        <v>54</v>
      </c>
      <c r="D65" s="938" t="s">
        <v>3986</v>
      </c>
      <c r="E65" s="938" t="s">
        <v>3977</v>
      </c>
      <c r="F65" s="937">
        <v>0.88</v>
      </c>
      <c r="G65" s="936">
        <f t="shared" si="0"/>
        <v>440</v>
      </c>
    </row>
    <row r="66" spans="1:7" x14ac:dyDescent="0.25">
      <c r="A66" s="939" t="s">
        <v>4002</v>
      </c>
      <c r="B66" s="938">
        <v>500</v>
      </c>
      <c r="C66" s="938" t="s">
        <v>54</v>
      </c>
      <c r="D66" s="938" t="s">
        <v>4001</v>
      </c>
      <c r="E66" s="938" t="s">
        <v>3977</v>
      </c>
      <c r="F66" s="937">
        <v>0.88</v>
      </c>
      <c r="G66" s="936">
        <f t="shared" ref="G66:G129" si="2">F66*B66</f>
        <v>440</v>
      </c>
    </row>
    <row r="67" spans="1:7" x14ac:dyDescent="0.25">
      <c r="A67" s="939" t="s">
        <v>4002</v>
      </c>
      <c r="B67" s="938">
        <v>500</v>
      </c>
      <c r="C67" s="938" t="s">
        <v>54</v>
      </c>
      <c r="D67" s="938" t="s">
        <v>4000</v>
      </c>
      <c r="E67" s="938" t="s">
        <v>3977</v>
      </c>
      <c r="F67" s="937">
        <v>0.88</v>
      </c>
      <c r="G67" s="936">
        <f t="shared" si="2"/>
        <v>440</v>
      </c>
    </row>
    <row r="68" spans="1:7" x14ac:dyDescent="0.25">
      <c r="A68" s="939" t="s">
        <v>4002</v>
      </c>
      <c r="B68" s="938">
        <v>800</v>
      </c>
      <c r="C68" s="938" t="s">
        <v>54</v>
      </c>
      <c r="D68" s="938" t="s">
        <v>3999</v>
      </c>
      <c r="E68" s="938" t="s">
        <v>3977</v>
      </c>
      <c r="F68" s="937">
        <v>0.56000000000000005</v>
      </c>
      <c r="G68" s="936">
        <f t="shared" si="2"/>
        <v>448.00000000000006</v>
      </c>
    </row>
    <row r="69" spans="1:7" x14ac:dyDescent="0.25">
      <c r="A69" s="939" t="s">
        <v>4002</v>
      </c>
      <c r="B69" s="938">
        <v>1000</v>
      </c>
      <c r="C69" s="938" t="s">
        <v>54</v>
      </c>
      <c r="D69" s="938" t="s">
        <v>3998</v>
      </c>
      <c r="E69" s="938" t="s">
        <v>3977</v>
      </c>
      <c r="F69" s="937">
        <v>0.56000000000000005</v>
      </c>
      <c r="G69" s="936">
        <f t="shared" si="2"/>
        <v>560</v>
      </c>
    </row>
    <row r="70" spans="1:7" x14ac:dyDescent="0.25">
      <c r="A70" s="939" t="s">
        <v>4002</v>
      </c>
      <c r="B70" s="938">
        <v>1000</v>
      </c>
      <c r="C70" s="938" t="s">
        <v>54</v>
      </c>
      <c r="D70" s="938" t="s">
        <v>3997</v>
      </c>
      <c r="E70" s="938" t="s">
        <v>3977</v>
      </c>
      <c r="F70" s="937">
        <v>0.56000000000000005</v>
      </c>
      <c r="G70" s="936">
        <f t="shared" si="2"/>
        <v>560</v>
      </c>
    </row>
    <row r="71" spans="1:7" x14ac:dyDescent="0.25">
      <c r="A71" s="939" t="s">
        <v>4002</v>
      </c>
      <c r="B71" s="938">
        <v>200</v>
      </c>
      <c r="C71" s="938" t="s">
        <v>54</v>
      </c>
      <c r="D71" s="938" t="s">
        <v>3996</v>
      </c>
      <c r="E71" s="938" t="s">
        <v>3977</v>
      </c>
      <c r="F71" s="937">
        <v>0.56000000000000005</v>
      </c>
      <c r="G71" s="936">
        <f t="shared" si="2"/>
        <v>112.00000000000001</v>
      </c>
    </row>
    <row r="72" spans="1:7" x14ac:dyDescent="0.25">
      <c r="A72" s="939" t="s">
        <v>4002</v>
      </c>
      <c r="B72" s="938">
        <v>400</v>
      </c>
      <c r="C72" s="938" t="s">
        <v>54</v>
      </c>
      <c r="D72" s="938" t="s">
        <v>3995</v>
      </c>
      <c r="E72" s="938" t="s">
        <v>3977</v>
      </c>
      <c r="F72" s="937">
        <v>0.56000000000000005</v>
      </c>
      <c r="G72" s="936">
        <f t="shared" si="2"/>
        <v>224.00000000000003</v>
      </c>
    </row>
    <row r="73" spans="1:7" x14ac:dyDescent="0.25">
      <c r="A73" s="939" t="s">
        <v>4002</v>
      </c>
      <c r="B73" s="938">
        <v>200</v>
      </c>
      <c r="C73" s="938" t="s">
        <v>54</v>
      </c>
      <c r="D73" s="938" t="s">
        <v>3988</v>
      </c>
      <c r="E73" s="938" t="s">
        <v>3977</v>
      </c>
      <c r="F73" s="937">
        <v>0.56000000000000005</v>
      </c>
      <c r="G73" s="936">
        <f t="shared" si="2"/>
        <v>112.00000000000001</v>
      </c>
    </row>
    <row r="74" spans="1:7" x14ac:dyDescent="0.25">
      <c r="A74" s="939" t="s">
        <v>4002</v>
      </c>
      <c r="B74" s="938">
        <v>200</v>
      </c>
      <c r="C74" s="938" t="s">
        <v>54</v>
      </c>
      <c r="D74" s="938" t="s">
        <v>3994</v>
      </c>
      <c r="E74" s="938" t="s">
        <v>3977</v>
      </c>
      <c r="F74" s="937">
        <v>0.56000000000000005</v>
      </c>
      <c r="G74" s="936">
        <f t="shared" si="2"/>
        <v>112.00000000000001</v>
      </c>
    </row>
    <row r="75" spans="1:7" x14ac:dyDescent="0.25">
      <c r="A75" s="939" t="s">
        <v>4002</v>
      </c>
      <c r="B75" s="938">
        <v>600</v>
      </c>
      <c r="C75" s="938" t="s">
        <v>54</v>
      </c>
      <c r="D75" s="938" t="s">
        <v>3851</v>
      </c>
      <c r="E75" s="938" t="s">
        <v>3977</v>
      </c>
      <c r="F75" s="937">
        <v>1.4</v>
      </c>
      <c r="G75" s="936">
        <f t="shared" si="2"/>
        <v>840</v>
      </c>
    </row>
    <row r="76" spans="1:7" x14ac:dyDescent="0.25">
      <c r="A76" s="939" t="s">
        <v>4002</v>
      </c>
      <c r="B76" s="938">
        <v>600</v>
      </c>
      <c r="C76" s="938" t="s">
        <v>54</v>
      </c>
      <c r="D76" s="938" t="s">
        <v>3850</v>
      </c>
      <c r="E76" s="938" t="s">
        <v>3977</v>
      </c>
      <c r="F76" s="937">
        <v>1.4</v>
      </c>
      <c r="G76" s="936">
        <f t="shared" si="2"/>
        <v>840</v>
      </c>
    </row>
    <row r="77" spans="1:7" x14ac:dyDescent="0.25">
      <c r="A77" s="939" t="s">
        <v>4002</v>
      </c>
      <c r="B77" s="938">
        <v>600</v>
      </c>
      <c r="C77" s="938" t="s">
        <v>54</v>
      </c>
      <c r="D77" s="938" t="s">
        <v>3849</v>
      </c>
      <c r="E77" s="938" t="s">
        <v>3977</v>
      </c>
      <c r="F77" s="937">
        <v>1.4</v>
      </c>
      <c r="G77" s="936">
        <f t="shared" si="2"/>
        <v>840</v>
      </c>
    </row>
    <row r="78" spans="1:7" x14ac:dyDescent="0.25">
      <c r="A78" s="939" t="s">
        <v>4002</v>
      </c>
      <c r="B78" s="938">
        <v>20</v>
      </c>
      <c r="C78" s="938" t="s">
        <v>3706</v>
      </c>
      <c r="D78" s="938" t="s">
        <v>3840</v>
      </c>
      <c r="E78" s="938" t="s">
        <v>3839</v>
      </c>
      <c r="F78" s="937">
        <v>4.9000000000000004</v>
      </c>
      <c r="G78" s="936">
        <f t="shared" si="2"/>
        <v>98</v>
      </c>
    </row>
    <row r="79" spans="1:7" x14ac:dyDescent="0.25">
      <c r="A79" s="939" t="s">
        <v>3990</v>
      </c>
      <c r="B79" s="938">
        <v>600</v>
      </c>
      <c r="C79" s="938" t="s">
        <v>54</v>
      </c>
      <c r="D79" s="938" t="s">
        <v>3986</v>
      </c>
      <c r="E79" s="938" t="s">
        <v>3977</v>
      </c>
      <c r="F79" s="937">
        <v>0.88</v>
      </c>
      <c r="G79" s="936">
        <f t="shared" si="2"/>
        <v>528</v>
      </c>
    </row>
    <row r="80" spans="1:7" x14ac:dyDescent="0.25">
      <c r="A80" s="939" t="s">
        <v>3990</v>
      </c>
      <c r="B80" s="938">
        <v>600</v>
      </c>
      <c r="C80" s="938" t="s">
        <v>54</v>
      </c>
      <c r="D80" s="938" t="s">
        <v>4001</v>
      </c>
      <c r="E80" s="938" t="s">
        <v>3977</v>
      </c>
      <c r="F80" s="937">
        <v>0.88</v>
      </c>
      <c r="G80" s="936">
        <f t="shared" si="2"/>
        <v>528</v>
      </c>
    </row>
    <row r="81" spans="1:7" x14ac:dyDescent="0.25">
      <c r="A81" s="939" t="s">
        <v>3990</v>
      </c>
      <c r="B81" s="938">
        <v>600</v>
      </c>
      <c r="C81" s="938" t="s">
        <v>54</v>
      </c>
      <c r="D81" s="938" t="s">
        <v>4000</v>
      </c>
      <c r="E81" s="938" t="s">
        <v>3977</v>
      </c>
      <c r="F81" s="937">
        <v>0.88</v>
      </c>
      <c r="G81" s="936">
        <f t="shared" si="2"/>
        <v>528</v>
      </c>
    </row>
    <row r="82" spans="1:7" x14ac:dyDescent="0.25">
      <c r="A82" s="939" t="s">
        <v>3990</v>
      </c>
      <c r="B82" s="938">
        <v>200</v>
      </c>
      <c r="C82" s="938" t="s">
        <v>54</v>
      </c>
      <c r="D82" s="938" t="s">
        <v>3999</v>
      </c>
      <c r="E82" s="938" t="s">
        <v>3977</v>
      </c>
      <c r="F82" s="937">
        <v>0.56000000000000005</v>
      </c>
      <c r="G82" s="936">
        <f t="shared" si="2"/>
        <v>112.00000000000001</v>
      </c>
    </row>
    <row r="83" spans="1:7" x14ac:dyDescent="0.25">
      <c r="A83" s="939" t="s">
        <v>3990</v>
      </c>
      <c r="B83" s="938">
        <v>200</v>
      </c>
      <c r="C83" s="938" t="s">
        <v>54</v>
      </c>
      <c r="D83" s="938" t="s">
        <v>3998</v>
      </c>
      <c r="E83" s="938" t="s">
        <v>3977</v>
      </c>
      <c r="F83" s="937">
        <v>0.56000000000000005</v>
      </c>
      <c r="G83" s="936">
        <f t="shared" si="2"/>
        <v>112.00000000000001</v>
      </c>
    </row>
    <row r="84" spans="1:7" x14ac:dyDescent="0.25">
      <c r="A84" s="939" t="s">
        <v>3990</v>
      </c>
      <c r="B84" s="938">
        <v>200</v>
      </c>
      <c r="C84" s="938" t="s">
        <v>54</v>
      </c>
      <c r="D84" s="938" t="s">
        <v>3997</v>
      </c>
      <c r="E84" s="938" t="s">
        <v>3977</v>
      </c>
      <c r="F84" s="937">
        <v>0.56000000000000005</v>
      </c>
      <c r="G84" s="936">
        <f t="shared" si="2"/>
        <v>112.00000000000001</v>
      </c>
    </row>
    <row r="85" spans="1:7" x14ac:dyDescent="0.25">
      <c r="A85" s="939" t="s">
        <v>3990</v>
      </c>
      <c r="B85" s="938">
        <v>100</v>
      </c>
      <c r="C85" s="938" t="s">
        <v>54</v>
      </c>
      <c r="D85" s="938" t="s">
        <v>3996</v>
      </c>
      <c r="E85" s="938" t="s">
        <v>3977</v>
      </c>
      <c r="F85" s="937">
        <v>0.56000000000000005</v>
      </c>
      <c r="G85" s="936">
        <f t="shared" si="2"/>
        <v>56.000000000000007</v>
      </c>
    </row>
    <row r="86" spans="1:7" x14ac:dyDescent="0.25">
      <c r="A86" s="939" t="s">
        <v>3990</v>
      </c>
      <c r="B86" s="938">
        <v>100</v>
      </c>
      <c r="C86" s="938" t="s">
        <v>54</v>
      </c>
      <c r="D86" s="938" t="s">
        <v>3995</v>
      </c>
      <c r="E86" s="938" t="s">
        <v>3977</v>
      </c>
      <c r="F86" s="937">
        <v>0.56000000000000005</v>
      </c>
      <c r="G86" s="936">
        <f t="shared" si="2"/>
        <v>56.000000000000007</v>
      </c>
    </row>
    <row r="87" spans="1:7" x14ac:dyDescent="0.25">
      <c r="A87" s="939" t="s">
        <v>3990</v>
      </c>
      <c r="B87" s="938">
        <v>100</v>
      </c>
      <c r="C87" s="938" t="s">
        <v>54</v>
      </c>
      <c r="D87" s="938" t="s">
        <v>3988</v>
      </c>
      <c r="E87" s="938" t="s">
        <v>3977</v>
      </c>
      <c r="F87" s="937">
        <v>0.56000000000000005</v>
      </c>
      <c r="G87" s="936">
        <f t="shared" si="2"/>
        <v>56.000000000000007</v>
      </c>
    </row>
    <row r="88" spans="1:7" x14ac:dyDescent="0.25">
      <c r="A88" s="939" t="s">
        <v>3990</v>
      </c>
      <c r="B88" s="938">
        <v>100</v>
      </c>
      <c r="C88" s="938" t="s">
        <v>54</v>
      </c>
      <c r="D88" s="938" t="s">
        <v>3994</v>
      </c>
      <c r="E88" s="938" t="s">
        <v>3977</v>
      </c>
      <c r="F88" s="937">
        <v>0.56000000000000005</v>
      </c>
      <c r="G88" s="936">
        <f t="shared" si="2"/>
        <v>56.000000000000007</v>
      </c>
    </row>
    <row r="89" spans="1:7" x14ac:dyDescent="0.25">
      <c r="A89" s="939" t="s">
        <v>3990</v>
      </c>
      <c r="B89" s="938">
        <v>300</v>
      </c>
      <c r="C89" s="938" t="s">
        <v>54</v>
      </c>
      <c r="D89" s="938" t="s">
        <v>3993</v>
      </c>
      <c r="E89" s="938" t="s">
        <v>3977</v>
      </c>
      <c r="F89" s="937">
        <v>1.4</v>
      </c>
      <c r="G89" s="936">
        <f t="shared" si="2"/>
        <v>420</v>
      </c>
    </row>
    <row r="90" spans="1:7" x14ac:dyDescent="0.25">
      <c r="A90" s="939" t="s">
        <v>3990</v>
      </c>
      <c r="B90" s="938">
        <v>100</v>
      </c>
      <c r="C90" s="938" t="s">
        <v>54</v>
      </c>
      <c r="D90" s="938" t="s">
        <v>3992</v>
      </c>
      <c r="E90" s="938" t="s">
        <v>3977</v>
      </c>
      <c r="F90" s="937">
        <v>2.12</v>
      </c>
      <c r="G90" s="936">
        <f t="shared" si="2"/>
        <v>212</v>
      </c>
    </row>
    <row r="91" spans="1:7" x14ac:dyDescent="0.25">
      <c r="A91" s="939" t="s">
        <v>3990</v>
      </c>
      <c r="B91" s="938">
        <v>100</v>
      </c>
      <c r="C91" s="938" t="s">
        <v>54</v>
      </c>
      <c r="D91" s="938" t="s">
        <v>3991</v>
      </c>
      <c r="E91" s="938" t="s">
        <v>3977</v>
      </c>
      <c r="F91" s="937">
        <v>2.12</v>
      </c>
      <c r="G91" s="936">
        <f t="shared" si="2"/>
        <v>212</v>
      </c>
    </row>
    <row r="92" spans="1:7" x14ac:dyDescent="0.25">
      <c r="A92" s="939" t="s">
        <v>3990</v>
      </c>
      <c r="B92" s="938">
        <v>10</v>
      </c>
      <c r="C92" s="938" t="s">
        <v>3706</v>
      </c>
      <c r="D92" s="938" t="s">
        <v>3840</v>
      </c>
      <c r="E92" s="938" t="s">
        <v>3839</v>
      </c>
      <c r="F92" s="937">
        <v>4.9000000000000004</v>
      </c>
      <c r="G92" s="936">
        <f t="shared" si="2"/>
        <v>49</v>
      </c>
    </row>
    <row r="93" spans="1:7" x14ac:dyDescent="0.25">
      <c r="A93" s="939" t="s">
        <v>3984</v>
      </c>
      <c r="B93" s="938">
        <v>200</v>
      </c>
      <c r="C93" s="938" t="s">
        <v>54</v>
      </c>
      <c r="D93" s="938" t="s">
        <v>3989</v>
      </c>
      <c r="E93" s="938" t="s">
        <v>3977</v>
      </c>
      <c r="F93" s="937">
        <v>0.56000000000000005</v>
      </c>
      <c r="G93" s="936">
        <f t="shared" si="2"/>
        <v>112.00000000000001</v>
      </c>
    </row>
    <row r="94" spans="1:7" x14ac:dyDescent="0.25">
      <c r="A94" s="939" t="s">
        <v>3984</v>
      </c>
      <c r="B94" s="938">
        <v>200</v>
      </c>
      <c r="C94" s="938" t="s">
        <v>54</v>
      </c>
      <c r="D94" s="938" t="s">
        <v>3988</v>
      </c>
      <c r="E94" s="938" t="s">
        <v>3977</v>
      </c>
      <c r="F94" s="937">
        <v>0.56000000000000005</v>
      </c>
      <c r="G94" s="936">
        <f t="shared" si="2"/>
        <v>112.00000000000001</v>
      </c>
    </row>
    <row r="95" spans="1:7" x14ac:dyDescent="0.25">
      <c r="A95" s="939" t="s">
        <v>3984</v>
      </c>
      <c r="B95" s="938">
        <v>300</v>
      </c>
      <c r="C95" s="938" t="s">
        <v>54</v>
      </c>
      <c r="D95" s="938" t="s">
        <v>3987</v>
      </c>
      <c r="E95" s="938" t="s">
        <v>3977</v>
      </c>
      <c r="F95" s="937">
        <v>0.88</v>
      </c>
      <c r="G95" s="936">
        <f t="shared" si="2"/>
        <v>264</v>
      </c>
    </row>
    <row r="96" spans="1:7" x14ac:dyDescent="0.25">
      <c r="A96" s="939" t="s">
        <v>3984</v>
      </c>
      <c r="B96" s="938">
        <v>300</v>
      </c>
      <c r="C96" s="938" t="s">
        <v>54</v>
      </c>
      <c r="D96" s="938" t="s">
        <v>3986</v>
      </c>
      <c r="E96" s="938" t="s">
        <v>3977</v>
      </c>
      <c r="F96" s="937">
        <v>0.88</v>
      </c>
      <c r="G96" s="936">
        <f t="shared" si="2"/>
        <v>264</v>
      </c>
    </row>
    <row r="97" spans="1:7" x14ac:dyDescent="0.25">
      <c r="A97" s="939" t="s">
        <v>3984</v>
      </c>
      <c r="B97" s="938">
        <v>600</v>
      </c>
      <c r="C97" s="938" t="s">
        <v>54</v>
      </c>
      <c r="D97" s="938" t="s">
        <v>3985</v>
      </c>
      <c r="E97" s="938" t="s">
        <v>3977</v>
      </c>
      <c r="F97" s="937">
        <v>1.4</v>
      </c>
      <c r="G97" s="936">
        <f t="shared" si="2"/>
        <v>840</v>
      </c>
    </row>
    <row r="98" spans="1:7" x14ac:dyDescent="0.25">
      <c r="A98" s="939" t="s">
        <v>3984</v>
      </c>
      <c r="B98" s="938">
        <v>600</v>
      </c>
      <c r="C98" s="938" t="s">
        <v>54</v>
      </c>
      <c r="D98" s="938" t="s">
        <v>3851</v>
      </c>
      <c r="E98" s="938" t="s">
        <v>3977</v>
      </c>
      <c r="F98" s="937">
        <v>1.4</v>
      </c>
      <c r="G98" s="936">
        <f t="shared" si="2"/>
        <v>840</v>
      </c>
    </row>
    <row r="99" spans="1:7" x14ac:dyDescent="0.25">
      <c r="A99" s="939" t="s">
        <v>3960</v>
      </c>
      <c r="B99" s="938">
        <v>5600</v>
      </c>
      <c r="C99" s="938" t="s">
        <v>54</v>
      </c>
      <c r="D99" s="938" t="s">
        <v>3854</v>
      </c>
      <c r="E99" s="938" t="s">
        <v>3977</v>
      </c>
      <c r="F99" s="937">
        <v>3.2725</v>
      </c>
      <c r="G99" s="936">
        <f t="shared" si="2"/>
        <v>18326</v>
      </c>
    </row>
    <row r="100" spans="1:7" x14ac:dyDescent="0.25">
      <c r="A100" s="939" t="s">
        <v>3960</v>
      </c>
      <c r="B100" s="938">
        <v>5600</v>
      </c>
      <c r="C100" s="938" t="s">
        <v>54</v>
      </c>
      <c r="D100" s="938" t="s">
        <v>3983</v>
      </c>
      <c r="E100" s="938" t="s">
        <v>3977</v>
      </c>
      <c r="F100" s="937">
        <v>3.2725</v>
      </c>
      <c r="G100" s="936">
        <f t="shared" si="2"/>
        <v>18326</v>
      </c>
    </row>
    <row r="101" spans="1:7" x14ac:dyDescent="0.25">
      <c r="A101" s="939" t="s">
        <v>3960</v>
      </c>
      <c r="B101" s="938">
        <v>5600</v>
      </c>
      <c r="C101" s="938" t="s">
        <v>54</v>
      </c>
      <c r="D101" s="938" t="s">
        <v>3856</v>
      </c>
      <c r="E101" s="938" t="s">
        <v>3977</v>
      </c>
      <c r="F101" s="937">
        <v>3.2725</v>
      </c>
      <c r="G101" s="936">
        <f t="shared" si="2"/>
        <v>18326</v>
      </c>
    </row>
    <row r="102" spans="1:7" x14ac:dyDescent="0.25">
      <c r="A102" s="939" t="s">
        <v>3960</v>
      </c>
      <c r="B102" s="938">
        <v>8400</v>
      </c>
      <c r="C102" s="938" t="s">
        <v>54</v>
      </c>
      <c r="D102" s="938" t="s">
        <v>3853</v>
      </c>
      <c r="E102" s="938" t="s">
        <v>3977</v>
      </c>
      <c r="F102" s="937">
        <v>3.2725</v>
      </c>
      <c r="G102" s="936">
        <f t="shared" si="2"/>
        <v>27489</v>
      </c>
    </row>
    <row r="103" spans="1:7" x14ac:dyDescent="0.25">
      <c r="A103" s="939" t="s">
        <v>3960</v>
      </c>
      <c r="B103" s="938">
        <v>8400</v>
      </c>
      <c r="C103" s="938" t="s">
        <v>54</v>
      </c>
      <c r="D103" s="938" t="s">
        <v>3852</v>
      </c>
      <c r="E103" s="938" t="s">
        <v>3977</v>
      </c>
      <c r="F103" s="937">
        <v>3.2725</v>
      </c>
      <c r="G103" s="936">
        <f t="shared" si="2"/>
        <v>27489</v>
      </c>
    </row>
    <row r="104" spans="1:7" x14ac:dyDescent="0.25">
      <c r="A104" s="939" t="s">
        <v>3960</v>
      </c>
      <c r="B104" s="938">
        <v>100</v>
      </c>
      <c r="C104" s="938" t="s">
        <v>54</v>
      </c>
      <c r="D104" s="938" t="s">
        <v>3982</v>
      </c>
      <c r="E104" s="938" t="s">
        <v>3977</v>
      </c>
      <c r="F104" s="937">
        <v>7.86</v>
      </c>
      <c r="G104" s="936">
        <f t="shared" si="2"/>
        <v>786</v>
      </c>
    </row>
    <row r="105" spans="1:7" x14ac:dyDescent="0.25">
      <c r="A105" s="939" t="s">
        <v>3960</v>
      </c>
      <c r="B105" s="938">
        <v>100</v>
      </c>
      <c r="C105" s="938" t="s">
        <v>54</v>
      </c>
      <c r="D105" s="938" t="s">
        <v>3981</v>
      </c>
      <c r="E105" s="938" t="s">
        <v>3977</v>
      </c>
      <c r="F105" s="937">
        <v>7.86</v>
      </c>
      <c r="G105" s="936">
        <f t="shared" si="2"/>
        <v>786</v>
      </c>
    </row>
    <row r="106" spans="1:7" x14ac:dyDescent="0.25">
      <c r="A106" s="939" t="s">
        <v>3960</v>
      </c>
      <c r="B106" s="938">
        <v>100</v>
      </c>
      <c r="C106" s="938" t="s">
        <v>54</v>
      </c>
      <c r="D106" s="938" t="s">
        <v>3980</v>
      </c>
      <c r="E106" s="938" t="s">
        <v>3977</v>
      </c>
      <c r="F106" s="937">
        <v>7.86</v>
      </c>
      <c r="G106" s="936">
        <f t="shared" si="2"/>
        <v>786</v>
      </c>
    </row>
    <row r="107" spans="1:7" x14ac:dyDescent="0.25">
      <c r="A107" s="939" t="s">
        <v>3960</v>
      </c>
      <c r="B107" s="938">
        <v>100</v>
      </c>
      <c r="C107" s="938" t="s">
        <v>54</v>
      </c>
      <c r="D107" s="938" t="s">
        <v>3979</v>
      </c>
      <c r="E107" s="938" t="s">
        <v>3977</v>
      </c>
      <c r="F107" s="937">
        <v>7.86</v>
      </c>
      <c r="G107" s="936">
        <f t="shared" si="2"/>
        <v>786</v>
      </c>
    </row>
    <row r="108" spans="1:7" x14ac:dyDescent="0.25">
      <c r="A108" s="939" t="s">
        <v>3960</v>
      </c>
      <c r="B108" s="938">
        <v>100</v>
      </c>
      <c r="C108" s="938" t="s">
        <v>54</v>
      </c>
      <c r="D108" s="938" t="s">
        <v>3978</v>
      </c>
      <c r="E108" s="938" t="s">
        <v>3977</v>
      </c>
      <c r="F108" s="937">
        <v>4.58</v>
      </c>
      <c r="G108" s="936">
        <f t="shared" si="2"/>
        <v>458</v>
      </c>
    </row>
    <row r="109" spans="1:7" x14ac:dyDescent="0.25">
      <c r="A109" s="939" t="s">
        <v>3960</v>
      </c>
      <c r="B109" s="938">
        <v>15</v>
      </c>
      <c r="C109" s="938" t="s">
        <v>54</v>
      </c>
      <c r="D109" s="938" t="s">
        <v>3976</v>
      </c>
      <c r="E109" s="938" t="s">
        <v>3961</v>
      </c>
      <c r="F109" s="937">
        <v>8.32</v>
      </c>
      <c r="G109" s="936">
        <f t="shared" si="2"/>
        <v>124.80000000000001</v>
      </c>
    </row>
    <row r="110" spans="1:7" x14ac:dyDescent="0.25">
      <c r="A110" s="939" t="s">
        <v>3960</v>
      </c>
      <c r="B110" s="938">
        <v>15</v>
      </c>
      <c r="C110" s="938" t="s">
        <v>54</v>
      </c>
      <c r="D110" s="938" t="s">
        <v>3975</v>
      </c>
      <c r="E110" s="938" t="s">
        <v>3961</v>
      </c>
      <c r="F110" s="937">
        <v>16.88</v>
      </c>
      <c r="G110" s="936">
        <f t="shared" si="2"/>
        <v>253.2</v>
      </c>
    </row>
    <row r="111" spans="1:7" x14ac:dyDescent="0.25">
      <c r="A111" s="939" t="s">
        <v>3960</v>
      </c>
      <c r="B111" s="938">
        <v>15</v>
      </c>
      <c r="C111" s="938" t="s">
        <v>54</v>
      </c>
      <c r="D111" s="938" t="s">
        <v>3974</v>
      </c>
      <c r="E111" s="938" t="s">
        <v>3961</v>
      </c>
      <c r="F111" s="937">
        <v>16.88</v>
      </c>
      <c r="G111" s="936">
        <f t="shared" si="2"/>
        <v>253.2</v>
      </c>
    </row>
    <row r="112" spans="1:7" x14ac:dyDescent="0.25">
      <c r="A112" s="939" t="s">
        <v>3960</v>
      </c>
      <c r="B112" s="938">
        <v>15</v>
      </c>
      <c r="C112" s="938" t="s">
        <v>54</v>
      </c>
      <c r="D112" s="938" t="s">
        <v>3973</v>
      </c>
      <c r="E112" s="938" t="s">
        <v>3961</v>
      </c>
      <c r="F112" s="937">
        <v>16.88</v>
      </c>
      <c r="G112" s="936">
        <f t="shared" si="2"/>
        <v>253.2</v>
      </c>
    </row>
    <row r="113" spans="1:7" x14ac:dyDescent="0.25">
      <c r="A113" s="939" t="s">
        <v>3960</v>
      </c>
      <c r="B113" s="938">
        <v>15</v>
      </c>
      <c r="C113" s="938" t="s">
        <v>54</v>
      </c>
      <c r="D113" s="938" t="s">
        <v>3972</v>
      </c>
      <c r="E113" s="938" t="s">
        <v>3961</v>
      </c>
      <c r="F113" s="937">
        <v>60.4</v>
      </c>
      <c r="G113" s="936">
        <f t="shared" si="2"/>
        <v>906</v>
      </c>
    </row>
    <row r="114" spans="1:7" x14ac:dyDescent="0.25">
      <c r="A114" s="939" t="s">
        <v>3960</v>
      </c>
      <c r="B114" s="938">
        <v>176</v>
      </c>
      <c r="C114" s="938" t="s">
        <v>54</v>
      </c>
      <c r="D114" s="938" t="s">
        <v>3971</v>
      </c>
      <c r="E114" s="938" t="s">
        <v>3961</v>
      </c>
      <c r="F114" s="937">
        <v>60.4</v>
      </c>
      <c r="G114" s="936">
        <f t="shared" si="2"/>
        <v>10630.4</v>
      </c>
    </row>
    <row r="115" spans="1:7" x14ac:dyDescent="0.25">
      <c r="A115" s="939" t="s">
        <v>3960</v>
      </c>
      <c r="B115" s="938">
        <v>176</v>
      </c>
      <c r="C115" s="938" t="s">
        <v>54</v>
      </c>
      <c r="D115" s="938" t="s">
        <v>3970</v>
      </c>
      <c r="E115" s="938" t="s">
        <v>3961</v>
      </c>
      <c r="F115" s="937">
        <v>60.4</v>
      </c>
      <c r="G115" s="936">
        <f t="shared" si="2"/>
        <v>10630.4</v>
      </c>
    </row>
    <row r="116" spans="1:7" x14ac:dyDescent="0.25">
      <c r="A116" s="939" t="s">
        <v>3960</v>
      </c>
      <c r="B116" s="938">
        <v>176</v>
      </c>
      <c r="C116" s="938" t="s">
        <v>54</v>
      </c>
      <c r="D116" s="938" t="s">
        <v>3969</v>
      </c>
      <c r="E116" s="938" t="s">
        <v>3961</v>
      </c>
      <c r="F116" s="937">
        <v>60.4</v>
      </c>
      <c r="G116" s="936">
        <f t="shared" si="2"/>
        <v>10630.4</v>
      </c>
    </row>
    <row r="117" spans="1:7" x14ac:dyDescent="0.25">
      <c r="A117" s="939" t="s">
        <v>3960</v>
      </c>
      <c r="B117" s="938">
        <v>176</v>
      </c>
      <c r="C117" s="938" t="s">
        <v>54</v>
      </c>
      <c r="D117" s="938" t="s">
        <v>3968</v>
      </c>
      <c r="E117" s="938" t="s">
        <v>3961</v>
      </c>
      <c r="F117" s="937">
        <v>60.4</v>
      </c>
      <c r="G117" s="936">
        <f t="shared" si="2"/>
        <v>10630.4</v>
      </c>
    </row>
    <row r="118" spans="1:7" x14ac:dyDescent="0.25">
      <c r="A118" s="939" t="s">
        <v>3960</v>
      </c>
      <c r="B118" s="938">
        <v>40</v>
      </c>
      <c r="C118" s="938" t="s">
        <v>54</v>
      </c>
      <c r="D118" s="938" t="s">
        <v>3967</v>
      </c>
      <c r="E118" s="938" t="s">
        <v>3961</v>
      </c>
      <c r="F118" s="937">
        <v>23.154</v>
      </c>
      <c r="G118" s="936">
        <f t="shared" si="2"/>
        <v>926.16</v>
      </c>
    </row>
    <row r="119" spans="1:7" x14ac:dyDescent="0.25">
      <c r="A119" s="939" t="s">
        <v>3960</v>
      </c>
      <c r="B119" s="938">
        <v>40</v>
      </c>
      <c r="C119" s="938" t="s">
        <v>54</v>
      </c>
      <c r="D119" s="938" t="s">
        <v>3966</v>
      </c>
      <c r="E119" s="938" t="s">
        <v>3961</v>
      </c>
      <c r="F119" s="937">
        <v>23.154</v>
      </c>
      <c r="G119" s="936">
        <f t="shared" si="2"/>
        <v>926.16</v>
      </c>
    </row>
    <row r="120" spans="1:7" x14ac:dyDescent="0.25">
      <c r="A120" s="939" t="s">
        <v>3960</v>
      </c>
      <c r="B120" s="938">
        <v>40</v>
      </c>
      <c r="C120" s="938" t="s">
        <v>54</v>
      </c>
      <c r="D120" s="938" t="s">
        <v>3965</v>
      </c>
      <c r="E120" s="938" t="s">
        <v>3961</v>
      </c>
      <c r="F120" s="937">
        <v>23.154</v>
      </c>
      <c r="G120" s="936">
        <f t="shared" si="2"/>
        <v>926.16</v>
      </c>
    </row>
    <row r="121" spans="1:7" x14ac:dyDescent="0.25">
      <c r="A121" s="939" t="s">
        <v>3960</v>
      </c>
      <c r="B121" s="938">
        <v>60</v>
      </c>
      <c r="C121" s="938" t="s">
        <v>54</v>
      </c>
      <c r="D121" s="938" t="s">
        <v>3964</v>
      </c>
      <c r="E121" s="938" t="s">
        <v>3961</v>
      </c>
      <c r="F121" s="937">
        <v>23.154</v>
      </c>
      <c r="G121" s="936">
        <f t="shared" si="2"/>
        <v>1389.24</v>
      </c>
    </row>
    <row r="122" spans="1:7" x14ac:dyDescent="0.25">
      <c r="A122" s="939" t="s">
        <v>3960</v>
      </c>
      <c r="B122" s="938">
        <v>60</v>
      </c>
      <c r="C122" s="938" t="s">
        <v>54</v>
      </c>
      <c r="D122" s="938" t="s">
        <v>3963</v>
      </c>
      <c r="E122" s="938" t="s">
        <v>3961</v>
      </c>
      <c r="F122" s="937">
        <v>11.62</v>
      </c>
      <c r="G122" s="936">
        <f t="shared" si="2"/>
        <v>697.19999999999993</v>
      </c>
    </row>
    <row r="123" spans="1:7" x14ac:dyDescent="0.25">
      <c r="A123" s="939" t="s">
        <v>3960</v>
      </c>
      <c r="B123" s="938">
        <v>5</v>
      </c>
      <c r="C123" s="938" t="s">
        <v>54</v>
      </c>
      <c r="D123" s="938" t="s">
        <v>3962</v>
      </c>
      <c r="E123" s="938" t="s">
        <v>3961</v>
      </c>
      <c r="F123" s="937">
        <v>31.364999999999998</v>
      </c>
      <c r="G123" s="936">
        <f t="shared" si="2"/>
        <v>156.82499999999999</v>
      </c>
    </row>
    <row r="124" spans="1:7" x14ac:dyDescent="0.25">
      <c r="A124" s="939" t="s">
        <v>3960</v>
      </c>
      <c r="B124" s="938">
        <v>20</v>
      </c>
      <c r="C124" s="938" t="s">
        <v>3706</v>
      </c>
      <c r="D124" s="938" t="s">
        <v>3840</v>
      </c>
      <c r="E124" s="938" t="s">
        <v>3839</v>
      </c>
      <c r="F124" s="937">
        <v>4</v>
      </c>
      <c r="G124" s="936">
        <f t="shared" si="2"/>
        <v>80</v>
      </c>
    </row>
    <row r="125" spans="1:7" x14ac:dyDescent="0.25">
      <c r="A125" s="939" t="s">
        <v>3954</v>
      </c>
      <c r="B125" s="938">
        <v>255</v>
      </c>
      <c r="C125" s="938" t="s">
        <v>3706</v>
      </c>
      <c r="D125" s="938" t="s">
        <v>3959</v>
      </c>
      <c r="E125" s="938" t="s">
        <v>3957</v>
      </c>
      <c r="F125" s="937">
        <v>139.57</v>
      </c>
      <c r="G125" s="936">
        <f t="shared" si="2"/>
        <v>35590.35</v>
      </c>
    </row>
    <row r="126" spans="1:7" x14ac:dyDescent="0.25">
      <c r="A126" s="939" t="s">
        <v>3954</v>
      </c>
      <c r="B126" s="938">
        <v>130</v>
      </c>
      <c r="C126" s="938" t="s">
        <v>3706</v>
      </c>
      <c r="D126" s="938" t="s">
        <v>3958</v>
      </c>
      <c r="E126" s="938" t="s">
        <v>3957</v>
      </c>
      <c r="F126" s="937">
        <v>188.67</v>
      </c>
      <c r="G126" s="936">
        <f t="shared" si="2"/>
        <v>24527.1</v>
      </c>
    </row>
    <row r="127" spans="1:7" x14ac:dyDescent="0.25">
      <c r="A127" s="939" t="s">
        <v>3954</v>
      </c>
      <c r="B127" s="938">
        <v>467</v>
      </c>
      <c r="C127" s="938" t="s">
        <v>3706</v>
      </c>
      <c r="D127" s="938" t="s">
        <v>3956</v>
      </c>
      <c r="E127" s="938" t="s">
        <v>3955</v>
      </c>
      <c r="F127" s="937">
        <v>4.0999999999999996</v>
      </c>
      <c r="G127" s="936">
        <f t="shared" si="2"/>
        <v>1914.6999999999998</v>
      </c>
    </row>
    <row r="128" spans="1:7" x14ac:dyDescent="0.25">
      <c r="A128" s="939" t="s">
        <v>3954</v>
      </c>
      <c r="B128" s="938">
        <v>4</v>
      </c>
      <c r="C128" s="938" t="s">
        <v>3706</v>
      </c>
      <c r="D128" s="938" t="s">
        <v>3953</v>
      </c>
      <c r="E128" s="938" t="s">
        <v>3952</v>
      </c>
      <c r="F128" s="937">
        <v>306</v>
      </c>
      <c r="G128" s="936">
        <f t="shared" si="2"/>
        <v>1224</v>
      </c>
    </row>
    <row r="129" spans="1:7" x14ac:dyDescent="0.25">
      <c r="A129" s="939" t="s">
        <v>3944</v>
      </c>
      <c r="B129" s="938">
        <v>2251</v>
      </c>
      <c r="C129" s="938" t="s">
        <v>3706</v>
      </c>
      <c r="D129" s="938" t="s">
        <v>3951</v>
      </c>
      <c r="E129" s="938" t="s">
        <v>3949</v>
      </c>
      <c r="F129" s="937">
        <v>0.84</v>
      </c>
      <c r="G129" s="936">
        <f t="shared" si="2"/>
        <v>1890.84</v>
      </c>
    </row>
    <row r="130" spans="1:7" x14ac:dyDescent="0.25">
      <c r="A130" s="939" t="s">
        <v>3944</v>
      </c>
      <c r="B130" s="938">
        <v>664</v>
      </c>
      <c r="C130" s="938" t="s">
        <v>3706</v>
      </c>
      <c r="D130" s="938" t="s">
        <v>3950</v>
      </c>
      <c r="E130" s="938" t="s">
        <v>3949</v>
      </c>
      <c r="F130" s="937">
        <v>1.49</v>
      </c>
      <c r="G130" s="936">
        <f t="shared" ref="G130:G193" si="3">F130*B130</f>
        <v>989.36</v>
      </c>
    </row>
    <row r="131" spans="1:7" x14ac:dyDescent="0.25">
      <c r="A131" s="939" t="s">
        <v>3944</v>
      </c>
      <c r="B131" s="938">
        <v>91</v>
      </c>
      <c r="C131" s="938" t="s">
        <v>3706</v>
      </c>
      <c r="D131" s="938" t="s">
        <v>3948</v>
      </c>
      <c r="E131" s="938"/>
      <c r="F131" s="937">
        <v>1.45</v>
      </c>
      <c r="G131" s="936">
        <f t="shared" si="3"/>
        <v>131.94999999999999</v>
      </c>
    </row>
    <row r="132" spans="1:7" x14ac:dyDescent="0.25">
      <c r="A132" s="939" t="s">
        <v>3944</v>
      </c>
      <c r="B132" s="938">
        <v>4</v>
      </c>
      <c r="C132" s="938" t="s">
        <v>3706</v>
      </c>
      <c r="D132" s="938" t="s">
        <v>3947</v>
      </c>
      <c r="E132" s="938"/>
      <c r="F132" s="937">
        <v>2.89</v>
      </c>
      <c r="G132" s="936">
        <f t="shared" si="3"/>
        <v>11.56</v>
      </c>
    </row>
    <row r="133" spans="1:7" x14ac:dyDescent="0.25">
      <c r="A133" s="939" t="s">
        <v>3944</v>
      </c>
      <c r="B133" s="938">
        <v>179</v>
      </c>
      <c r="C133" s="938" t="s">
        <v>3706</v>
      </c>
      <c r="D133" s="938" t="s">
        <v>3946</v>
      </c>
      <c r="E133" s="938" t="s">
        <v>3930</v>
      </c>
      <c r="F133" s="937">
        <v>45.6</v>
      </c>
      <c r="G133" s="936">
        <f t="shared" si="3"/>
        <v>8162.4000000000005</v>
      </c>
    </row>
    <row r="134" spans="1:7" x14ac:dyDescent="0.25">
      <c r="A134" s="939" t="s">
        <v>3944</v>
      </c>
      <c r="B134" s="938">
        <v>173</v>
      </c>
      <c r="C134" s="938" t="s">
        <v>3706</v>
      </c>
      <c r="D134" s="938" t="s">
        <v>3931</v>
      </c>
      <c r="E134" s="938" t="s">
        <v>3930</v>
      </c>
      <c r="F134" s="937">
        <v>35.1</v>
      </c>
      <c r="G134" s="936">
        <f t="shared" si="3"/>
        <v>6072.3</v>
      </c>
    </row>
    <row r="135" spans="1:7" x14ac:dyDescent="0.25">
      <c r="A135" s="939" t="s">
        <v>3944</v>
      </c>
      <c r="B135" s="938">
        <v>15</v>
      </c>
      <c r="C135" s="938" t="s">
        <v>3706</v>
      </c>
      <c r="D135" s="938" t="s">
        <v>3945</v>
      </c>
      <c r="E135" s="938"/>
      <c r="F135" s="937">
        <v>23.71</v>
      </c>
      <c r="G135" s="936">
        <f t="shared" si="3"/>
        <v>355.65000000000003</v>
      </c>
    </row>
    <row r="136" spans="1:7" x14ac:dyDescent="0.25">
      <c r="A136" s="939" t="s">
        <v>3944</v>
      </c>
      <c r="B136" s="938">
        <v>6</v>
      </c>
      <c r="C136" s="938" t="s">
        <v>3706</v>
      </c>
      <c r="D136" s="938" t="s">
        <v>3933</v>
      </c>
      <c r="E136" s="938"/>
      <c r="F136" s="937">
        <v>12.88</v>
      </c>
      <c r="G136" s="936">
        <f t="shared" si="3"/>
        <v>77.28</v>
      </c>
    </row>
    <row r="137" spans="1:7" x14ac:dyDescent="0.25">
      <c r="A137" s="939" t="s">
        <v>3944</v>
      </c>
      <c r="B137" s="938">
        <v>40</v>
      </c>
      <c r="C137" s="938" t="s">
        <v>3706</v>
      </c>
      <c r="D137" s="938" t="s">
        <v>3895</v>
      </c>
      <c r="E137" s="938" t="s">
        <v>3839</v>
      </c>
      <c r="F137" s="937">
        <v>4.17</v>
      </c>
      <c r="G137" s="936">
        <f t="shared" si="3"/>
        <v>166.8</v>
      </c>
    </row>
    <row r="138" spans="1:7" x14ac:dyDescent="0.25">
      <c r="A138" s="939" t="s">
        <v>3932</v>
      </c>
      <c r="B138" s="938">
        <v>12</v>
      </c>
      <c r="C138" s="938" t="s">
        <v>3706</v>
      </c>
      <c r="D138" s="938" t="s">
        <v>3943</v>
      </c>
      <c r="E138" s="938" t="s">
        <v>3888</v>
      </c>
      <c r="F138" s="937">
        <v>168</v>
      </c>
      <c r="G138" s="936">
        <f t="shared" si="3"/>
        <v>2016</v>
      </c>
    </row>
    <row r="139" spans="1:7" x14ac:dyDescent="0.25">
      <c r="A139" s="939" t="s">
        <v>3932</v>
      </c>
      <c r="B139" s="938">
        <v>1</v>
      </c>
      <c r="C139" s="938" t="s">
        <v>3706</v>
      </c>
      <c r="D139" s="938" t="s">
        <v>3942</v>
      </c>
      <c r="E139" s="938" t="s">
        <v>3888</v>
      </c>
      <c r="F139" s="937">
        <v>305</v>
      </c>
      <c r="G139" s="936">
        <f t="shared" si="3"/>
        <v>305</v>
      </c>
    </row>
    <row r="140" spans="1:7" x14ac:dyDescent="0.25">
      <c r="A140" s="939" t="s">
        <v>3932</v>
      </c>
      <c r="B140" s="938">
        <v>1250</v>
      </c>
      <c r="C140" s="938" t="s">
        <v>3706</v>
      </c>
      <c r="D140" s="938" t="s">
        <v>3941</v>
      </c>
      <c r="E140" s="938"/>
      <c r="F140" s="937">
        <v>5.25</v>
      </c>
      <c r="G140" s="936">
        <f t="shared" si="3"/>
        <v>6562.5</v>
      </c>
    </row>
    <row r="141" spans="1:7" x14ac:dyDescent="0.25">
      <c r="A141" s="939" t="s">
        <v>3932</v>
      </c>
      <c r="B141" s="938">
        <v>30</v>
      </c>
      <c r="C141" s="938" t="s">
        <v>3706</v>
      </c>
      <c r="D141" s="938" t="s">
        <v>3940</v>
      </c>
      <c r="E141" s="938"/>
      <c r="F141" s="937">
        <v>13.11</v>
      </c>
      <c r="G141" s="936">
        <f t="shared" si="3"/>
        <v>393.29999999999995</v>
      </c>
    </row>
    <row r="142" spans="1:7" x14ac:dyDescent="0.25">
      <c r="A142" s="939" t="s">
        <v>3932</v>
      </c>
      <c r="B142" s="938">
        <v>90</v>
      </c>
      <c r="C142" s="938" t="s">
        <v>3706</v>
      </c>
      <c r="D142" s="938" t="s">
        <v>3939</v>
      </c>
      <c r="E142" s="938"/>
      <c r="F142" s="937"/>
      <c r="G142" s="936">
        <f t="shared" si="3"/>
        <v>0</v>
      </c>
    </row>
    <row r="143" spans="1:7" x14ac:dyDescent="0.25">
      <c r="A143" s="939" t="s">
        <v>3932</v>
      </c>
      <c r="B143" s="938">
        <v>1</v>
      </c>
      <c r="C143" s="938" t="s">
        <v>3706</v>
      </c>
      <c r="D143" s="938" t="s">
        <v>3938</v>
      </c>
      <c r="E143" s="938"/>
      <c r="F143" s="937">
        <v>2.68</v>
      </c>
      <c r="G143" s="936">
        <f t="shared" si="3"/>
        <v>2.68</v>
      </c>
    </row>
    <row r="144" spans="1:7" x14ac:dyDescent="0.25">
      <c r="A144" s="939" t="s">
        <v>3932</v>
      </c>
      <c r="B144" s="938">
        <v>1450</v>
      </c>
      <c r="C144" s="938" t="s">
        <v>3706</v>
      </c>
      <c r="D144" s="938" t="s">
        <v>3937</v>
      </c>
      <c r="E144" s="938"/>
      <c r="F144" s="937">
        <v>0.36</v>
      </c>
      <c r="G144" s="936">
        <f t="shared" si="3"/>
        <v>522</v>
      </c>
    </row>
    <row r="145" spans="1:7" x14ac:dyDescent="0.25">
      <c r="A145" s="939" t="s">
        <v>3932</v>
      </c>
      <c r="B145" s="938">
        <v>32</v>
      </c>
      <c r="C145" s="938" t="s">
        <v>3706</v>
      </c>
      <c r="D145" s="938" t="s">
        <v>3936</v>
      </c>
      <c r="E145" s="938"/>
      <c r="F145" s="937">
        <v>0.94</v>
      </c>
      <c r="G145" s="936">
        <f t="shared" si="3"/>
        <v>30.08</v>
      </c>
    </row>
    <row r="146" spans="1:7" x14ac:dyDescent="0.25">
      <c r="A146" s="939" t="s">
        <v>3932</v>
      </c>
      <c r="B146" s="938">
        <v>10</v>
      </c>
      <c r="C146" s="938" t="s">
        <v>3706</v>
      </c>
      <c r="D146" s="938" t="s">
        <v>3717</v>
      </c>
      <c r="E146" s="938"/>
      <c r="F146" s="937"/>
      <c r="G146" s="936">
        <f t="shared" si="3"/>
        <v>0</v>
      </c>
    </row>
    <row r="147" spans="1:7" x14ac:dyDescent="0.25">
      <c r="A147" s="939" t="s">
        <v>3932</v>
      </c>
      <c r="B147" s="938">
        <v>10</v>
      </c>
      <c r="C147" s="938" t="s">
        <v>3706</v>
      </c>
      <c r="D147" s="938" t="s">
        <v>3895</v>
      </c>
      <c r="E147" s="938" t="s">
        <v>3839</v>
      </c>
      <c r="F147" s="937">
        <v>4.9000000000000004</v>
      </c>
      <c r="G147" s="936">
        <f t="shared" si="3"/>
        <v>49</v>
      </c>
    </row>
    <row r="148" spans="1:7" x14ac:dyDescent="0.25">
      <c r="A148" s="939" t="s">
        <v>3932</v>
      </c>
      <c r="B148" s="938">
        <v>1000</v>
      </c>
      <c r="C148" s="938" t="s">
        <v>3706</v>
      </c>
      <c r="D148" s="938" t="s">
        <v>3935</v>
      </c>
      <c r="E148" s="938"/>
      <c r="F148" s="937">
        <v>7.2300000000000003E-2</v>
      </c>
      <c r="G148" s="936">
        <f t="shared" si="3"/>
        <v>72.3</v>
      </c>
    </row>
    <row r="149" spans="1:7" x14ac:dyDescent="0.25">
      <c r="A149" s="939" t="s">
        <v>3932</v>
      </c>
      <c r="B149" s="938">
        <v>100</v>
      </c>
      <c r="C149" s="938" t="s">
        <v>54</v>
      </c>
      <c r="D149" s="938" t="s">
        <v>3934</v>
      </c>
      <c r="E149" s="938"/>
      <c r="F149" s="937">
        <v>0.46089999999999998</v>
      </c>
      <c r="G149" s="936">
        <f t="shared" si="3"/>
        <v>46.089999999999996</v>
      </c>
    </row>
    <row r="150" spans="1:7" x14ac:dyDescent="0.25">
      <c r="A150" s="939" t="s">
        <v>3932</v>
      </c>
      <c r="B150" s="938">
        <v>10</v>
      </c>
      <c r="C150" s="938" t="s">
        <v>3706</v>
      </c>
      <c r="D150" s="938" t="s">
        <v>3933</v>
      </c>
      <c r="E150" s="938"/>
      <c r="F150" s="937">
        <v>15.15</v>
      </c>
      <c r="G150" s="936">
        <f t="shared" si="3"/>
        <v>151.5</v>
      </c>
    </row>
    <row r="151" spans="1:7" x14ac:dyDescent="0.25">
      <c r="A151" s="939" t="s">
        <v>3932</v>
      </c>
      <c r="B151" s="938">
        <v>170</v>
      </c>
      <c r="C151" s="938" t="s">
        <v>3706</v>
      </c>
      <c r="D151" s="938" t="s">
        <v>3931</v>
      </c>
      <c r="E151" s="938" t="s">
        <v>3930</v>
      </c>
      <c r="F151" s="937">
        <v>41.3</v>
      </c>
      <c r="G151" s="936">
        <f t="shared" si="3"/>
        <v>7020.9999999999991</v>
      </c>
    </row>
    <row r="152" spans="1:7" x14ac:dyDescent="0.25">
      <c r="A152" s="939" t="s">
        <v>3875</v>
      </c>
      <c r="B152" s="938">
        <v>3</v>
      </c>
      <c r="C152" s="938" t="s">
        <v>3706</v>
      </c>
      <c r="D152" s="938" t="s">
        <v>3929</v>
      </c>
      <c r="E152" s="938"/>
      <c r="F152" s="937">
        <v>125.07</v>
      </c>
      <c r="G152" s="936">
        <f t="shared" si="3"/>
        <v>375.21</v>
      </c>
    </row>
    <row r="153" spans="1:7" x14ac:dyDescent="0.25">
      <c r="A153" s="939" t="s">
        <v>3875</v>
      </c>
      <c r="B153" s="938">
        <v>9</v>
      </c>
      <c r="C153" s="938" t="s">
        <v>3706</v>
      </c>
      <c r="D153" s="938" t="s">
        <v>3928</v>
      </c>
      <c r="E153" s="938"/>
      <c r="F153" s="937">
        <v>78.010000000000005</v>
      </c>
      <c r="G153" s="936">
        <f t="shared" si="3"/>
        <v>702.09</v>
      </c>
    </row>
    <row r="154" spans="1:7" x14ac:dyDescent="0.25">
      <c r="A154" s="939" t="s">
        <v>3875</v>
      </c>
      <c r="B154" s="938">
        <v>4</v>
      </c>
      <c r="C154" s="938" t="s">
        <v>3706</v>
      </c>
      <c r="D154" s="938" t="s">
        <v>3927</v>
      </c>
      <c r="E154" s="938"/>
      <c r="F154" s="937">
        <v>29.6</v>
      </c>
      <c r="G154" s="936">
        <f t="shared" si="3"/>
        <v>118.4</v>
      </c>
    </row>
    <row r="155" spans="1:7" x14ac:dyDescent="0.25">
      <c r="A155" s="939" t="s">
        <v>3875</v>
      </c>
      <c r="B155" s="938">
        <v>2</v>
      </c>
      <c r="C155" s="938" t="s">
        <v>3706</v>
      </c>
      <c r="D155" s="938" t="s">
        <v>3926</v>
      </c>
      <c r="E155" s="938"/>
      <c r="F155" s="937">
        <v>43.75</v>
      </c>
      <c r="G155" s="936">
        <f t="shared" si="3"/>
        <v>87.5</v>
      </c>
    </row>
    <row r="156" spans="1:7" x14ac:dyDescent="0.25">
      <c r="A156" s="939" t="s">
        <v>3875</v>
      </c>
      <c r="B156" s="938">
        <v>10</v>
      </c>
      <c r="C156" s="938" t="s">
        <v>3706</v>
      </c>
      <c r="D156" s="938" t="s">
        <v>3925</v>
      </c>
      <c r="E156" s="938"/>
      <c r="F156" s="937">
        <v>24.25</v>
      </c>
      <c r="G156" s="936">
        <f t="shared" si="3"/>
        <v>242.5</v>
      </c>
    </row>
    <row r="157" spans="1:7" x14ac:dyDescent="0.25">
      <c r="A157" s="939" t="s">
        <v>3875</v>
      </c>
      <c r="B157" s="938">
        <v>2</v>
      </c>
      <c r="C157" s="938" t="s">
        <v>3706</v>
      </c>
      <c r="D157" s="938" t="s">
        <v>3924</v>
      </c>
      <c r="E157" s="938"/>
      <c r="F157" s="937">
        <v>8.31</v>
      </c>
      <c r="G157" s="936">
        <f t="shared" si="3"/>
        <v>16.62</v>
      </c>
    </row>
    <row r="158" spans="1:7" x14ac:dyDescent="0.25">
      <c r="A158" s="939" t="s">
        <v>3875</v>
      </c>
      <c r="B158" s="938">
        <v>4</v>
      </c>
      <c r="C158" s="938" t="s">
        <v>3706</v>
      </c>
      <c r="D158" s="938" t="s">
        <v>3923</v>
      </c>
      <c r="E158" s="938"/>
      <c r="F158" s="937">
        <v>30.58</v>
      </c>
      <c r="G158" s="936">
        <f t="shared" si="3"/>
        <v>122.32</v>
      </c>
    </row>
    <row r="159" spans="1:7" x14ac:dyDescent="0.25">
      <c r="A159" s="939" t="s">
        <v>3875</v>
      </c>
      <c r="B159" s="938">
        <v>22</v>
      </c>
      <c r="C159" s="938" t="s">
        <v>3706</v>
      </c>
      <c r="D159" s="938" t="s">
        <v>3922</v>
      </c>
      <c r="E159" s="938"/>
      <c r="F159" s="937">
        <v>15.49</v>
      </c>
      <c r="G159" s="936">
        <f t="shared" si="3"/>
        <v>340.78000000000003</v>
      </c>
    </row>
    <row r="160" spans="1:7" x14ac:dyDescent="0.25">
      <c r="A160" s="939" t="s">
        <v>3875</v>
      </c>
      <c r="B160" s="938">
        <v>6</v>
      </c>
      <c r="C160" s="938" t="s">
        <v>3706</v>
      </c>
      <c r="D160" s="938" t="s">
        <v>3921</v>
      </c>
      <c r="E160" s="938"/>
      <c r="F160" s="937">
        <v>4.72</v>
      </c>
      <c r="G160" s="936">
        <f t="shared" si="3"/>
        <v>28.32</v>
      </c>
    </row>
    <row r="161" spans="1:7" x14ac:dyDescent="0.25">
      <c r="A161" s="939" t="s">
        <v>3875</v>
      </c>
      <c r="B161" s="938">
        <v>2</v>
      </c>
      <c r="C161" s="938" t="s">
        <v>3706</v>
      </c>
      <c r="D161" s="938" t="s">
        <v>3920</v>
      </c>
      <c r="E161" s="938" t="s">
        <v>3860</v>
      </c>
      <c r="F161" s="937">
        <v>98.25</v>
      </c>
      <c r="G161" s="936">
        <f t="shared" si="3"/>
        <v>196.5</v>
      </c>
    </row>
    <row r="162" spans="1:7" x14ac:dyDescent="0.25">
      <c r="A162" s="939" t="s">
        <v>3875</v>
      </c>
      <c r="B162" s="938">
        <v>2</v>
      </c>
      <c r="C162" s="938" t="s">
        <v>3706</v>
      </c>
      <c r="D162" s="938" t="s">
        <v>3919</v>
      </c>
      <c r="E162" s="938" t="s">
        <v>3860</v>
      </c>
      <c r="F162" s="937">
        <v>5.16</v>
      </c>
      <c r="G162" s="936">
        <f t="shared" si="3"/>
        <v>10.32</v>
      </c>
    </row>
    <row r="163" spans="1:7" x14ac:dyDescent="0.25">
      <c r="A163" s="939" t="s">
        <v>3875</v>
      </c>
      <c r="B163" s="938">
        <v>8</v>
      </c>
      <c r="C163" s="938" t="s">
        <v>3706</v>
      </c>
      <c r="D163" s="938" t="s">
        <v>3918</v>
      </c>
      <c r="E163" s="938" t="s">
        <v>3860</v>
      </c>
      <c r="F163" s="937">
        <v>29.2</v>
      </c>
      <c r="G163" s="936">
        <f t="shared" si="3"/>
        <v>233.6</v>
      </c>
    </row>
    <row r="164" spans="1:7" x14ac:dyDescent="0.25">
      <c r="A164" s="939" t="s">
        <v>3875</v>
      </c>
      <c r="B164" s="938">
        <v>8</v>
      </c>
      <c r="C164" s="938" t="s">
        <v>3706</v>
      </c>
      <c r="D164" s="938" t="s">
        <v>3917</v>
      </c>
      <c r="E164" s="938" t="s">
        <v>3860</v>
      </c>
      <c r="F164" s="937">
        <v>3.49</v>
      </c>
      <c r="G164" s="936">
        <f t="shared" si="3"/>
        <v>27.92</v>
      </c>
    </row>
    <row r="165" spans="1:7" x14ac:dyDescent="0.25">
      <c r="A165" s="939" t="s">
        <v>3875</v>
      </c>
      <c r="B165" s="938">
        <v>2</v>
      </c>
      <c r="C165" s="938" t="s">
        <v>3706</v>
      </c>
      <c r="D165" s="938" t="s">
        <v>3916</v>
      </c>
      <c r="E165" s="938" t="s">
        <v>3860</v>
      </c>
      <c r="F165" s="937">
        <v>9.5299999999999994</v>
      </c>
      <c r="G165" s="936">
        <f t="shared" si="3"/>
        <v>19.059999999999999</v>
      </c>
    </row>
    <row r="166" spans="1:7" x14ac:dyDescent="0.25">
      <c r="A166" s="939" t="s">
        <v>3875</v>
      </c>
      <c r="B166" s="938">
        <v>2</v>
      </c>
      <c r="C166" s="938" t="s">
        <v>3706</v>
      </c>
      <c r="D166" s="938" t="s">
        <v>3915</v>
      </c>
      <c r="E166" s="938" t="s">
        <v>3860</v>
      </c>
      <c r="F166" s="937">
        <v>2.3199999999999998</v>
      </c>
      <c r="G166" s="936">
        <f t="shared" si="3"/>
        <v>4.6399999999999997</v>
      </c>
    </row>
    <row r="167" spans="1:7" x14ac:dyDescent="0.25">
      <c r="A167" s="939" t="s">
        <v>3875</v>
      </c>
      <c r="B167" s="938">
        <v>16</v>
      </c>
      <c r="C167" s="938" t="s">
        <v>3706</v>
      </c>
      <c r="D167" s="938" t="s">
        <v>3914</v>
      </c>
      <c r="E167" s="938" t="s">
        <v>3860</v>
      </c>
      <c r="F167" s="937">
        <v>6.75</v>
      </c>
      <c r="G167" s="936">
        <f t="shared" si="3"/>
        <v>108</v>
      </c>
    </row>
    <row r="168" spans="1:7" x14ac:dyDescent="0.25">
      <c r="A168" s="939" t="s">
        <v>3875</v>
      </c>
      <c r="B168" s="938">
        <v>16</v>
      </c>
      <c r="C168" s="938" t="s">
        <v>3706</v>
      </c>
      <c r="D168" s="938" t="s">
        <v>3913</v>
      </c>
      <c r="E168" s="938" t="s">
        <v>3860</v>
      </c>
      <c r="F168" s="937">
        <v>0.86</v>
      </c>
      <c r="G168" s="936">
        <f t="shared" si="3"/>
        <v>13.76</v>
      </c>
    </row>
    <row r="169" spans="1:7" x14ac:dyDescent="0.25">
      <c r="A169" s="939" t="s">
        <v>3875</v>
      </c>
      <c r="B169" s="938">
        <v>115</v>
      </c>
      <c r="C169" s="938" t="s">
        <v>3706</v>
      </c>
      <c r="D169" s="938" t="s">
        <v>3912</v>
      </c>
      <c r="E169" s="938" t="s">
        <v>3860</v>
      </c>
      <c r="F169" s="937">
        <v>3.32</v>
      </c>
      <c r="G169" s="936">
        <f t="shared" si="3"/>
        <v>381.79999999999995</v>
      </c>
    </row>
    <row r="170" spans="1:7" x14ac:dyDescent="0.25">
      <c r="A170" s="939" t="s">
        <v>3875</v>
      </c>
      <c r="B170" s="938">
        <v>115</v>
      </c>
      <c r="C170" s="938" t="s">
        <v>3706</v>
      </c>
      <c r="D170" s="938" t="s">
        <v>3911</v>
      </c>
      <c r="E170" s="938" t="s">
        <v>3860</v>
      </c>
      <c r="F170" s="937">
        <v>0.67</v>
      </c>
      <c r="G170" s="936">
        <f t="shared" si="3"/>
        <v>77.050000000000011</v>
      </c>
    </row>
    <row r="171" spans="1:7" x14ac:dyDescent="0.25">
      <c r="A171" s="939" t="s">
        <v>3875</v>
      </c>
      <c r="B171" s="938">
        <v>2</v>
      </c>
      <c r="C171" s="938" t="s">
        <v>3706</v>
      </c>
      <c r="D171" s="938" t="s">
        <v>3910</v>
      </c>
      <c r="E171" s="938" t="s">
        <v>3828</v>
      </c>
      <c r="F171" s="937">
        <v>129.31</v>
      </c>
      <c r="G171" s="936">
        <f t="shared" si="3"/>
        <v>258.62</v>
      </c>
    </row>
    <row r="172" spans="1:7" x14ac:dyDescent="0.25">
      <c r="A172" s="939" t="s">
        <v>3875</v>
      </c>
      <c r="B172" s="938">
        <v>9</v>
      </c>
      <c r="C172" s="938" t="s">
        <v>3706</v>
      </c>
      <c r="D172" s="938" t="s">
        <v>3909</v>
      </c>
      <c r="E172" s="938" t="s">
        <v>3828</v>
      </c>
      <c r="F172" s="937">
        <v>108.87</v>
      </c>
      <c r="G172" s="936">
        <f t="shared" si="3"/>
        <v>979.83</v>
      </c>
    </row>
    <row r="173" spans="1:7" x14ac:dyDescent="0.25">
      <c r="A173" s="939" t="s">
        <v>3875</v>
      </c>
      <c r="B173" s="938">
        <v>1</v>
      </c>
      <c r="C173" s="938" t="s">
        <v>3706</v>
      </c>
      <c r="D173" s="938" t="s">
        <v>3908</v>
      </c>
      <c r="E173" s="938" t="s">
        <v>3828</v>
      </c>
      <c r="F173" s="937">
        <v>71.22</v>
      </c>
      <c r="G173" s="936">
        <f t="shared" si="3"/>
        <v>71.22</v>
      </c>
    </row>
    <row r="174" spans="1:7" x14ac:dyDescent="0.25">
      <c r="A174" s="939" t="s">
        <v>3875</v>
      </c>
      <c r="B174" s="938">
        <v>4</v>
      </c>
      <c r="C174" s="938" t="s">
        <v>3706</v>
      </c>
      <c r="D174" s="938" t="s">
        <v>3907</v>
      </c>
      <c r="E174" s="938" t="s">
        <v>3828</v>
      </c>
      <c r="F174" s="937">
        <v>71.2</v>
      </c>
      <c r="G174" s="936">
        <f t="shared" si="3"/>
        <v>284.8</v>
      </c>
    </row>
    <row r="175" spans="1:7" x14ac:dyDescent="0.25">
      <c r="A175" s="939" t="s">
        <v>3875</v>
      </c>
      <c r="B175" s="938">
        <v>1</v>
      </c>
      <c r="C175" s="938" t="s">
        <v>3706</v>
      </c>
      <c r="D175" s="938" t="s">
        <v>3906</v>
      </c>
      <c r="E175" s="938" t="s">
        <v>3828</v>
      </c>
      <c r="F175" s="937">
        <v>125</v>
      </c>
      <c r="G175" s="936">
        <f t="shared" si="3"/>
        <v>125</v>
      </c>
    </row>
    <row r="176" spans="1:7" x14ac:dyDescent="0.25">
      <c r="A176" s="939" t="s">
        <v>3875</v>
      </c>
      <c r="B176" s="938">
        <v>1</v>
      </c>
      <c r="C176" s="938" t="s">
        <v>3706</v>
      </c>
      <c r="D176" s="938" t="s">
        <v>3905</v>
      </c>
      <c r="E176" s="938" t="s">
        <v>3828</v>
      </c>
      <c r="F176" s="937">
        <v>28.28</v>
      </c>
      <c r="G176" s="936">
        <f t="shared" si="3"/>
        <v>28.28</v>
      </c>
    </row>
    <row r="177" spans="1:7" x14ac:dyDescent="0.25">
      <c r="A177" s="939" t="s">
        <v>3875</v>
      </c>
      <c r="B177" s="938">
        <v>3</v>
      </c>
      <c r="C177" s="938" t="s">
        <v>3706</v>
      </c>
      <c r="D177" s="938" t="s">
        <v>3904</v>
      </c>
      <c r="E177" s="938" t="s">
        <v>3828</v>
      </c>
      <c r="F177" s="937">
        <v>16.46</v>
      </c>
      <c r="G177" s="936">
        <f t="shared" si="3"/>
        <v>49.38</v>
      </c>
    </row>
    <row r="178" spans="1:7" x14ac:dyDescent="0.25">
      <c r="A178" s="939" t="s">
        <v>3875</v>
      </c>
      <c r="B178" s="938">
        <v>15</v>
      </c>
      <c r="C178" s="938" t="s">
        <v>3706</v>
      </c>
      <c r="D178" s="938" t="s">
        <v>3903</v>
      </c>
      <c r="E178" s="938" t="s">
        <v>3828</v>
      </c>
      <c r="F178" s="937">
        <v>7.1</v>
      </c>
      <c r="G178" s="936">
        <f t="shared" si="3"/>
        <v>106.5</v>
      </c>
    </row>
    <row r="179" spans="1:7" x14ac:dyDescent="0.25">
      <c r="A179" s="939" t="s">
        <v>3875</v>
      </c>
      <c r="B179" s="938">
        <v>3</v>
      </c>
      <c r="C179" s="938" t="s">
        <v>3706</v>
      </c>
      <c r="D179" s="938" t="s">
        <v>3902</v>
      </c>
      <c r="E179" s="938"/>
      <c r="F179" s="937">
        <v>20.85</v>
      </c>
      <c r="G179" s="936">
        <f t="shared" si="3"/>
        <v>62.550000000000004</v>
      </c>
    </row>
    <row r="180" spans="1:7" x14ac:dyDescent="0.25">
      <c r="A180" s="939" t="s">
        <v>3875</v>
      </c>
      <c r="B180" s="938">
        <v>10</v>
      </c>
      <c r="C180" s="938" t="s">
        <v>3706</v>
      </c>
      <c r="D180" s="938" t="s">
        <v>3901</v>
      </c>
      <c r="E180" s="938"/>
      <c r="F180" s="937">
        <v>6.08</v>
      </c>
      <c r="G180" s="936">
        <f t="shared" si="3"/>
        <v>60.8</v>
      </c>
    </row>
    <row r="181" spans="1:7" x14ac:dyDescent="0.25">
      <c r="A181" s="939" t="s">
        <v>3875</v>
      </c>
      <c r="B181" s="938">
        <v>40</v>
      </c>
      <c r="C181" s="938" t="s">
        <v>3706</v>
      </c>
      <c r="D181" s="938" t="s">
        <v>3900</v>
      </c>
      <c r="E181" s="938"/>
      <c r="F181" s="937">
        <v>0.57999999999999996</v>
      </c>
      <c r="G181" s="936">
        <f t="shared" si="3"/>
        <v>23.2</v>
      </c>
    </row>
    <row r="182" spans="1:7" x14ac:dyDescent="0.25">
      <c r="A182" s="939" t="s">
        <v>3875</v>
      </c>
      <c r="B182" s="938">
        <v>120</v>
      </c>
      <c r="C182" s="938" t="s">
        <v>3706</v>
      </c>
      <c r="D182" s="938" t="s">
        <v>3899</v>
      </c>
      <c r="E182" s="938"/>
      <c r="F182" s="937">
        <v>7.0000000000000007E-2</v>
      </c>
      <c r="G182" s="936">
        <f t="shared" si="3"/>
        <v>8.4</v>
      </c>
    </row>
    <row r="183" spans="1:7" x14ac:dyDescent="0.25">
      <c r="A183" s="939" t="s">
        <v>3875</v>
      </c>
      <c r="B183" s="938">
        <v>800</v>
      </c>
      <c r="C183" s="938" t="s">
        <v>3706</v>
      </c>
      <c r="D183" s="938" t="s">
        <v>3898</v>
      </c>
      <c r="E183" s="938"/>
      <c r="F183" s="937">
        <v>7.0000000000000007E-2</v>
      </c>
      <c r="G183" s="936">
        <f t="shared" si="3"/>
        <v>56.000000000000007</v>
      </c>
    </row>
    <row r="184" spans="1:7" x14ac:dyDescent="0.25">
      <c r="A184" s="939" t="s">
        <v>3875</v>
      </c>
      <c r="B184" s="938">
        <v>500</v>
      </c>
      <c r="C184" s="938" t="s">
        <v>3706</v>
      </c>
      <c r="D184" s="938" t="s">
        <v>3897</v>
      </c>
      <c r="E184" s="938"/>
      <c r="F184" s="937">
        <v>0.14000000000000001</v>
      </c>
      <c r="G184" s="936">
        <f t="shared" si="3"/>
        <v>70</v>
      </c>
    </row>
    <row r="185" spans="1:7" x14ac:dyDescent="0.25">
      <c r="A185" s="939" t="s">
        <v>3875</v>
      </c>
      <c r="B185" s="938">
        <v>50</v>
      </c>
      <c r="C185" s="938" t="s">
        <v>54</v>
      </c>
      <c r="D185" s="938" t="s">
        <v>3896</v>
      </c>
      <c r="E185" s="938"/>
      <c r="F185" s="937">
        <v>1.0900000000000001</v>
      </c>
      <c r="G185" s="936">
        <f t="shared" si="3"/>
        <v>54.500000000000007</v>
      </c>
    </row>
    <row r="186" spans="1:7" x14ac:dyDescent="0.25">
      <c r="A186" s="939" t="s">
        <v>3875</v>
      </c>
      <c r="B186" s="938">
        <v>2</v>
      </c>
      <c r="C186" s="938" t="s">
        <v>3706</v>
      </c>
      <c r="D186" s="938" t="s">
        <v>3895</v>
      </c>
      <c r="E186" s="938" t="s">
        <v>3839</v>
      </c>
      <c r="F186" s="937">
        <v>4.43</v>
      </c>
      <c r="G186" s="936">
        <f t="shared" si="3"/>
        <v>8.86</v>
      </c>
    </row>
    <row r="187" spans="1:7" x14ac:dyDescent="0.25">
      <c r="A187" s="939" t="s">
        <v>3875</v>
      </c>
      <c r="B187" s="938">
        <v>2</v>
      </c>
      <c r="C187" s="938" t="s">
        <v>3706</v>
      </c>
      <c r="D187" s="938" t="s">
        <v>3894</v>
      </c>
      <c r="E187" s="938"/>
      <c r="F187" s="937">
        <v>682.94</v>
      </c>
      <c r="G187" s="936">
        <f t="shared" si="3"/>
        <v>1365.88</v>
      </c>
    </row>
    <row r="188" spans="1:7" x14ac:dyDescent="0.25">
      <c r="A188" s="939" t="s">
        <v>3875</v>
      </c>
      <c r="B188" s="938">
        <v>2</v>
      </c>
      <c r="C188" s="938" t="s">
        <v>3706</v>
      </c>
      <c r="D188" s="938" t="s">
        <v>3893</v>
      </c>
      <c r="E188" s="938"/>
      <c r="F188" s="937">
        <v>163.41</v>
      </c>
      <c r="G188" s="936">
        <f t="shared" si="3"/>
        <v>326.82</v>
      </c>
    </row>
    <row r="189" spans="1:7" x14ac:dyDescent="0.25">
      <c r="A189" s="939" t="s">
        <v>3875</v>
      </c>
      <c r="B189" s="938">
        <v>4</v>
      </c>
      <c r="C189" s="938" t="s">
        <v>3706</v>
      </c>
      <c r="D189" s="938" t="s">
        <v>3892</v>
      </c>
      <c r="E189" s="938"/>
      <c r="F189" s="937">
        <v>42.61</v>
      </c>
      <c r="G189" s="936">
        <f t="shared" si="3"/>
        <v>170.44</v>
      </c>
    </row>
    <row r="190" spans="1:7" x14ac:dyDescent="0.25">
      <c r="A190" s="939" t="s">
        <v>3875</v>
      </c>
      <c r="B190" s="938">
        <v>2</v>
      </c>
      <c r="C190" s="938" t="s">
        <v>3706</v>
      </c>
      <c r="D190" s="938" t="s">
        <v>3891</v>
      </c>
      <c r="E190" s="938"/>
      <c r="F190" s="937">
        <v>15.79</v>
      </c>
      <c r="G190" s="936">
        <f t="shared" si="3"/>
        <v>31.58</v>
      </c>
    </row>
    <row r="191" spans="1:7" x14ac:dyDescent="0.25">
      <c r="A191" s="939" t="s">
        <v>3875</v>
      </c>
      <c r="B191" s="938">
        <v>140</v>
      </c>
      <c r="C191" s="938" t="s">
        <v>54</v>
      </c>
      <c r="D191" s="938" t="s">
        <v>3890</v>
      </c>
      <c r="E191" s="938" t="s">
        <v>3888</v>
      </c>
      <c r="F191" s="937">
        <v>14.26</v>
      </c>
      <c r="G191" s="936">
        <f t="shared" si="3"/>
        <v>1996.3999999999999</v>
      </c>
    </row>
    <row r="192" spans="1:7" x14ac:dyDescent="0.25">
      <c r="A192" s="939" t="s">
        <v>3875</v>
      </c>
      <c r="B192" s="938">
        <v>140</v>
      </c>
      <c r="C192" s="938" t="s">
        <v>54</v>
      </c>
      <c r="D192" s="938" t="s">
        <v>3889</v>
      </c>
      <c r="E192" s="938" t="s">
        <v>3888</v>
      </c>
      <c r="F192" s="937">
        <v>9.6</v>
      </c>
      <c r="G192" s="936">
        <f t="shared" si="3"/>
        <v>1344</v>
      </c>
    </row>
    <row r="193" spans="1:7" x14ac:dyDescent="0.25">
      <c r="A193" s="939" t="s">
        <v>3875</v>
      </c>
      <c r="B193" s="938">
        <v>300</v>
      </c>
      <c r="C193" s="938" t="s">
        <v>54</v>
      </c>
      <c r="D193" s="938" t="s">
        <v>3887</v>
      </c>
      <c r="E193" s="938"/>
      <c r="F193" s="937">
        <v>9.9600000000000009</v>
      </c>
      <c r="G193" s="936">
        <f t="shared" si="3"/>
        <v>2988.0000000000005</v>
      </c>
    </row>
    <row r="194" spans="1:7" x14ac:dyDescent="0.25">
      <c r="A194" s="939" t="s">
        <v>3875</v>
      </c>
      <c r="B194" s="938">
        <v>5</v>
      </c>
      <c r="C194" s="938" t="s">
        <v>3706</v>
      </c>
      <c r="D194" s="938" t="s">
        <v>3886</v>
      </c>
      <c r="E194" s="938" t="s">
        <v>3885</v>
      </c>
      <c r="F194" s="937">
        <v>791.11</v>
      </c>
      <c r="G194" s="936">
        <f t="shared" ref="G194:G257" si="4">F194*B194</f>
        <v>3955.55</v>
      </c>
    </row>
    <row r="195" spans="1:7" x14ac:dyDescent="0.25">
      <c r="A195" s="939" t="s">
        <v>3875</v>
      </c>
      <c r="B195" s="938">
        <v>5</v>
      </c>
      <c r="C195" s="938" t="s">
        <v>3706</v>
      </c>
      <c r="D195" s="938" t="s">
        <v>3884</v>
      </c>
      <c r="E195" s="938" t="s">
        <v>3883</v>
      </c>
      <c r="F195" s="937">
        <v>613.65</v>
      </c>
      <c r="G195" s="936">
        <f t="shared" si="4"/>
        <v>3068.25</v>
      </c>
    </row>
    <row r="196" spans="1:7" x14ac:dyDescent="0.25">
      <c r="A196" s="939" t="s">
        <v>3875</v>
      </c>
      <c r="B196" s="938">
        <v>25</v>
      </c>
      <c r="C196" s="938" t="s">
        <v>54</v>
      </c>
      <c r="D196" s="938" t="s">
        <v>3882</v>
      </c>
      <c r="E196" s="938"/>
      <c r="F196" s="937">
        <v>37.33</v>
      </c>
      <c r="G196" s="936">
        <f t="shared" si="4"/>
        <v>933.25</v>
      </c>
    </row>
    <row r="197" spans="1:7" x14ac:dyDescent="0.25">
      <c r="A197" s="939" t="s">
        <v>3875</v>
      </c>
      <c r="B197" s="938">
        <v>30</v>
      </c>
      <c r="C197" s="938" t="s">
        <v>54</v>
      </c>
      <c r="D197" s="938" t="s">
        <v>3881</v>
      </c>
      <c r="E197" s="938"/>
      <c r="F197" s="937">
        <v>8.31</v>
      </c>
      <c r="G197" s="936">
        <f t="shared" si="4"/>
        <v>249.3</v>
      </c>
    </row>
    <row r="198" spans="1:7" x14ac:dyDescent="0.25">
      <c r="A198" s="939" t="s">
        <v>3875</v>
      </c>
      <c r="B198" s="938">
        <v>12</v>
      </c>
      <c r="C198" s="938" t="s">
        <v>3706</v>
      </c>
      <c r="D198" s="938" t="s">
        <v>3880</v>
      </c>
      <c r="E198" s="938"/>
      <c r="F198" s="937">
        <v>4.09</v>
      </c>
      <c r="G198" s="936">
        <f t="shared" si="4"/>
        <v>49.08</v>
      </c>
    </row>
    <row r="199" spans="1:7" x14ac:dyDescent="0.25">
      <c r="A199" s="939" t="s">
        <v>3875</v>
      </c>
      <c r="B199" s="938">
        <v>20</v>
      </c>
      <c r="C199" s="938" t="s">
        <v>3706</v>
      </c>
      <c r="D199" s="938" t="s">
        <v>3879</v>
      </c>
      <c r="E199" s="938"/>
      <c r="F199" s="937">
        <v>0.81</v>
      </c>
      <c r="G199" s="936">
        <f t="shared" si="4"/>
        <v>16.200000000000003</v>
      </c>
    </row>
    <row r="200" spans="1:7" x14ac:dyDescent="0.25">
      <c r="A200" s="939" t="s">
        <v>3875</v>
      </c>
      <c r="B200" s="938">
        <v>15</v>
      </c>
      <c r="C200" s="938" t="s">
        <v>54</v>
      </c>
      <c r="D200" s="938" t="s">
        <v>3878</v>
      </c>
      <c r="E200" s="938"/>
      <c r="F200" s="937">
        <v>2.08</v>
      </c>
      <c r="G200" s="936">
        <f t="shared" si="4"/>
        <v>31.200000000000003</v>
      </c>
    </row>
    <row r="201" spans="1:7" x14ac:dyDescent="0.25">
      <c r="A201" s="939" t="s">
        <v>3875</v>
      </c>
      <c r="B201" s="938">
        <v>8</v>
      </c>
      <c r="C201" s="938" t="s">
        <v>3706</v>
      </c>
      <c r="D201" s="938" t="s">
        <v>3877</v>
      </c>
      <c r="E201" s="938"/>
      <c r="F201" s="937">
        <v>0.65</v>
      </c>
      <c r="G201" s="936">
        <f t="shared" si="4"/>
        <v>5.2</v>
      </c>
    </row>
    <row r="202" spans="1:7" x14ac:dyDescent="0.25">
      <c r="A202" s="939" t="s">
        <v>3875</v>
      </c>
      <c r="B202" s="938">
        <v>6</v>
      </c>
      <c r="C202" s="938" t="s">
        <v>3706</v>
      </c>
      <c r="D202" s="938" t="s">
        <v>3876</v>
      </c>
      <c r="E202" s="938"/>
      <c r="F202" s="937">
        <v>47.7</v>
      </c>
      <c r="G202" s="936">
        <f t="shared" si="4"/>
        <v>286.20000000000005</v>
      </c>
    </row>
    <row r="203" spans="1:7" x14ac:dyDescent="0.25">
      <c r="A203" s="939" t="s">
        <v>3875</v>
      </c>
      <c r="B203" s="938">
        <v>6</v>
      </c>
      <c r="C203" s="938" t="s">
        <v>3706</v>
      </c>
      <c r="D203" s="938" t="s">
        <v>3874</v>
      </c>
      <c r="E203" s="938"/>
      <c r="F203" s="937">
        <v>13.33</v>
      </c>
      <c r="G203" s="936">
        <f t="shared" si="4"/>
        <v>79.98</v>
      </c>
    </row>
    <row r="204" spans="1:7" x14ac:dyDescent="0.25">
      <c r="A204" s="939" t="s">
        <v>3830</v>
      </c>
      <c r="B204" s="938">
        <v>180</v>
      </c>
      <c r="C204" s="938" t="s">
        <v>3706</v>
      </c>
      <c r="D204" s="938" t="s">
        <v>3873</v>
      </c>
      <c r="E204" s="938" t="s">
        <v>3860</v>
      </c>
      <c r="F204" s="937">
        <v>0.44800000000000001</v>
      </c>
      <c r="G204" s="936">
        <f t="shared" si="4"/>
        <v>80.64</v>
      </c>
    </row>
    <row r="205" spans="1:7" x14ac:dyDescent="0.25">
      <c r="A205" s="939" t="s">
        <v>3830</v>
      </c>
      <c r="B205" s="938">
        <v>60</v>
      </c>
      <c r="C205" s="938" t="s">
        <v>3706</v>
      </c>
      <c r="D205" s="938" t="s">
        <v>3872</v>
      </c>
      <c r="E205" s="938" t="s">
        <v>3860</v>
      </c>
      <c r="F205" s="937">
        <v>6.7359999999999998</v>
      </c>
      <c r="G205" s="936">
        <f t="shared" si="4"/>
        <v>404.15999999999997</v>
      </c>
    </row>
    <row r="206" spans="1:7" x14ac:dyDescent="0.25">
      <c r="A206" s="939" t="s">
        <v>3830</v>
      </c>
      <c r="B206" s="938">
        <v>68</v>
      </c>
      <c r="C206" s="938" t="s">
        <v>3706</v>
      </c>
      <c r="D206" s="938" t="s">
        <v>3871</v>
      </c>
      <c r="E206" s="938" t="s">
        <v>3860</v>
      </c>
      <c r="F206" s="937">
        <v>3.1520000000000001</v>
      </c>
      <c r="G206" s="936">
        <f t="shared" si="4"/>
        <v>214.33600000000001</v>
      </c>
    </row>
    <row r="207" spans="1:7" x14ac:dyDescent="0.25">
      <c r="A207" s="939" t="s">
        <v>3830</v>
      </c>
      <c r="B207" s="938">
        <v>124</v>
      </c>
      <c r="C207" s="938" t="s">
        <v>3706</v>
      </c>
      <c r="D207" s="938" t="s">
        <v>3870</v>
      </c>
      <c r="E207" s="938" t="s">
        <v>3860</v>
      </c>
      <c r="F207" s="937">
        <v>0.6</v>
      </c>
      <c r="G207" s="936">
        <f t="shared" si="4"/>
        <v>74.399999999999991</v>
      </c>
    </row>
    <row r="208" spans="1:7" x14ac:dyDescent="0.25">
      <c r="A208" s="939" t="s">
        <v>3830</v>
      </c>
      <c r="B208" s="938">
        <v>44</v>
      </c>
      <c r="C208" s="938" t="s">
        <v>3706</v>
      </c>
      <c r="D208" s="938" t="s">
        <v>3869</v>
      </c>
      <c r="E208" s="938" t="s">
        <v>3860</v>
      </c>
      <c r="F208" s="937">
        <v>1.512</v>
      </c>
      <c r="G208" s="936">
        <f t="shared" si="4"/>
        <v>66.528000000000006</v>
      </c>
    </row>
    <row r="209" spans="1:7" x14ac:dyDescent="0.25">
      <c r="A209" s="939" t="s">
        <v>3830</v>
      </c>
      <c r="B209" s="938">
        <v>12</v>
      </c>
      <c r="C209" s="938" t="s">
        <v>3706</v>
      </c>
      <c r="D209" s="938" t="s">
        <v>3868</v>
      </c>
      <c r="E209" s="938" t="s">
        <v>3860</v>
      </c>
      <c r="F209" s="937">
        <v>2.9119999999999999</v>
      </c>
      <c r="G209" s="936">
        <f t="shared" si="4"/>
        <v>34.944000000000003</v>
      </c>
    </row>
    <row r="210" spans="1:7" x14ac:dyDescent="0.25">
      <c r="A210" s="939" t="s">
        <v>3830</v>
      </c>
      <c r="B210" s="938">
        <v>300</v>
      </c>
      <c r="C210" s="938" t="s">
        <v>3859</v>
      </c>
      <c r="D210" s="938" t="s">
        <v>3867</v>
      </c>
      <c r="E210" s="938"/>
      <c r="F210" s="937">
        <v>8.7999999999999995E-2</v>
      </c>
      <c r="G210" s="936">
        <f t="shared" si="4"/>
        <v>26.4</v>
      </c>
    </row>
    <row r="211" spans="1:7" x14ac:dyDescent="0.25">
      <c r="A211" s="939" t="s">
        <v>3830</v>
      </c>
      <c r="B211" s="938">
        <v>44</v>
      </c>
      <c r="C211" s="938" t="s">
        <v>3706</v>
      </c>
      <c r="D211" s="938" t="s">
        <v>3866</v>
      </c>
      <c r="E211" s="938"/>
      <c r="F211" s="937">
        <v>27.52</v>
      </c>
      <c r="G211" s="936">
        <f t="shared" si="4"/>
        <v>1210.8799999999999</v>
      </c>
    </row>
    <row r="212" spans="1:7" x14ac:dyDescent="0.25">
      <c r="A212" s="939" t="s">
        <v>3830</v>
      </c>
      <c r="B212" s="938">
        <v>4</v>
      </c>
      <c r="C212" s="938" t="s">
        <v>3706</v>
      </c>
      <c r="D212" s="938" t="s">
        <v>3865</v>
      </c>
      <c r="E212" s="938"/>
      <c r="F212" s="937">
        <v>10.384</v>
      </c>
      <c r="G212" s="936">
        <f t="shared" si="4"/>
        <v>41.536000000000001</v>
      </c>
    </row>
    <row r="213" spans="1:7" x14ac:dyDescent="0.25">
      <c r="A213" s="939" t="s">
        <v>3830</v>
      </c>
      <c r="B213" s="938">
        <v>4</v>
      </c>
      <c r="C213" s="938" t="s">
        <v>3706</v>
      </c>
      <c r="D213" s="938" t="s">
        <v>3864</v>
      </c>
      <c r="E213" s="938" t="s">
        <v>3860</v>
      </c>
      <c r="F213" s="937">
        <v>1.512</v>
      </c>
      <c r="G213" s="936">
        <f t="shared" si="4"/>
        <v>6.048</v>
      </c>
    </row>
    <row r="214" spans="1:7" x14ac:dyDescent="0.25">
      <c r="A214" s="939" t="s">
        <v>3830</v>
      </c>
      <c r="B214" s="938">
        <v>8</v>
      </c>
      <c r="C214" s="938" t="s">
        <v>3706</v>
      </c>
      <c r="D214" s="938" t="s">
        <v>3863</v>
      </c>
      <c r="E214" s="938"/>
      <c r="F214" s="937">
        <v>4.0880000000000001</v>
      </c>
      <c r="G214" s="936">
        <f t="shared" si="4"/>
        <v>32.704000000000001</v>
      </c>
    </row>
    <row r="215" spans="1:7" x14ac:dyDescent="0.25">
      <c r="A215" s="939" t="s">
        <v>3830</v>
      </c>
      <c r="B215" s="938">
        <v>8</v>
      </c>
      <c r="C215" s="938" t="s">
        <v>3706</v>
      </c>
      <c r="D215" s="938" t="s">
        <v>3862</v>
      </c>
      <c r="E215" s="938" t="s">
        <v>3860</v>
      </c>
      <c r="F215" s="937">
        <v>1.512</v>
      </c>
      <c r="G215" s="936">
        <f t="shared" si="4"/>
        <v>12.096</v>
      </c>
    </row>
    <row r="216" spans="1:7" x14ac:dyDescent="0.25">
      <c r="A216" s="939" t="s">
        <v>3830</v>
      </c>
      <c r="B216" s="938">
        <v>20</v>
      </c>
      <c r="C216" s="938" t="s">
        <v>3706</v>
      </c>
      <c r="D216" s="938" t="s">
        <v>3861</v>
      </c>
      <c r="E216" s="938" t="s">
        <v>3860</v>
      </c>
      <c r="F216" s="937">
        <v>0.99199999999999999</v>
      </c>
      <c r="G216" s="936">
        <f t="shared" si="4"/>
        <v>19.84</v>
      </c>
    </row>
    <row r="217" spans="1:7" x14ac:dyDescent="0.25">
      <c r="A217" s="939" t="s">
        <v>3830</v>
      </c>
      <c r="B217" s="938">
        <v>300</v>
      </c>
      <c r="C217" s="938" t="s">
        <v>3859</v>
      </c>
      <c r="D217" s="938" t="s">
        <v>3858</v>
      </c>
      <c r="E217" s="938"/>
      <c r="F217" s="937">
        <v>0.16</v>
      </c>
      <c r="G217" s="936">
        <f t="shared" si="4"/>
        <v>48</v>
      </c>
    </row>
    <row r="218" spans="1:7" x14ac:dyDescent="0.25">
      <c r="A218" s="939" t="s">
        <v>3830</v>
      </c>
      <c r="B218" s="938">
        <v>100</v>
      </c>
      <c r="C218" s="938" t="s">
        <v>3706</v>
      </c>
      <c r="D218" s="938" t="s">
        <v>3857</v>
      </c>
      <c r="E218" s="938"/>
      <c r="F218" s="937">
        <v>11.391999999999999</v>
      </c>
      <c r="G218" s="936">
        <f t="shared" si="4"/>
        <v>1139.2</v>
      </c>
    </row>
    <row r="219" spans="1:7" x14ac:dyDescent="0.25">
      <c r="A219" s="939" t="s">
        <v>3830</v>
      </c>
      <c r="B219" s="938">
        <v>200</v>
      </c>
      <c r="C219" s="938" t="s">
        <v>54</v>
      </c>
      <c r="D219" s="938" t="s">
        <v>3856</v>
      </c>
      <c r="E219" s="938" t="s">
        <v>3841</v>
      </c>
      <c r="F219" s="937">
        <v>3.08</v>
      </c>
      <c r="G219" s="936">
        <f t="shared" si="4"/>
        <v>616</v>
      </c>
    </row>
    <row r="220" spans="1:7" x14ac:dyDescent="0.25">
      <c r="A220" s="939" t="s">
        <v>3830</v>
      </c>
      <c r="B220" s="938">
        <v>200</v>
      </c>
      <c r="C220" s="938" t="s">
        <v>54</v>
      </c>
      <c r="D220" s="938" t="s">
        <v>3855</v>
      </c>
      <c r="E220" s="938" t="s">
        <v>3841</v>
      </c>
      <c r="F220" s="937">
        <v>3.08</v>
      </c>
      <c r="G220" s="936">
        <f t="shared" si="4"/>
        <v>616</v>
      </c>
    </row>
    <row r="221" spans="1:7" x14ac:dyDescent="0.25">
      <c r="A221" s="939" t="s">
        <v>3830</v>
      </c>
      <c r="B221" s="938">
        <v>200</v>
      </c>
      <c r="C221" s="938" t="s">
        <v>54</v>
      </c>
      <c r="D221" s="938" t="s">
        <v>3854</v>
      </c>
      <c r="E221" s="938" t="s">
        <v>3841</v>
      </c>
      <c r="F221" s="937">
        <v>3.08</v>
      </c>
      <c r="G221" s="936">
        <f t="shared" si="4"/>
        <v>616</v>
      </c>
    </row>
    <row r="222" spans="1:7" x14ac:dyDescent="0.25">
      <c r="A222" s="939" t="s">
        <v>3830</v>
      </c>
      <c r="B222" s="938">
        <v>200</v>
      </c>
      <c r="C222" s="938" t="s">
        <v>54</v>
      </c>
      <c r="D222" s="938" t="s">
        <v>3853</v>
      </c>
      <c r="E222" s="938" t="s">
        <v>3841</v>
      </c>
      <c r="F222" s="937">
        <v>3.08</v>
      </c>
      <c r="G222" s="936">
        <f t="shared" si="4"/>
        <v>616</v>
      </c>
    </row>
    <row r="223" spans="1:7" x14ac:dyDescent="0.25">
      <c r="A223" s="939" t="s">
        <v>3830</v>
      </c>
      <c r="B223" s="938">
        <v>200</v>
      </c>
      <c r="C223" s="938" t="s">
        <v>54</v>
      </c>
      <c r="D223" s="938" t="s">
        <v>3852</v>
      </c>
      <c r="E223" s="938" t="s">
        <v>3841</v>
      </c>
      <c r="F223" s="937">
        <v>3.08</v>
      </c>
      <c r="G223" s="936">
        <f t="shared" si="4"/>
        <v>616</v>
      </c>
    </row>
    <row r="224" spans="1:7" x14ac:dyDescent="0.25">
      <c r="A224" s="939" t="s">
        <v>3830</v>
      </c>
      <c r="B224" s="938">
        <v>100</v>
      </c>
      <c r="C224" s="938" t="s">
        <v>54</v>
      </c>
      <c r="D224" s="938" t="s">
        <v>3851</v>
      </c>
      <c r="E224" s="938" t="s">
        <v>3841</v>
      </c>
      <c r="F224" s="937">
        <v>1.1751199999999999</v>
      </c>
      <c r="G224" s="936">
        <f t="shared" si="4"/>
        <v>117.512</v>
      </c>
    </row>
    <row r="225" spans="1:7" x14ac:dyDescent="0.25">
      <c r="A225" s="939" t="s">
        <v>3830</v>
      </c>
      <c r="B225" s="938">
        <v>100</v>
      </c>
      <c r="C225" s="938" t="s">
        <v>54</v>
      </c>
      <c r="D225" s="938" t="s">
        <v>3850</v>
      </c>
      <c r="E225" s="938" t="s">
        <v>3841</v>
      </c>
      <c r="F225" s="937">
        <v>1.1751199999999999</v>
      </c>
      <c r="G225" s="936">
        <f t="shared" si="4"/>
        <v>117.512</v>
      </c>
    </row>
    <row r="226" spans="1:7" x14ac:dyDescent="0.25">
      <c r="A226" s="939" t="s">
        <v>3830</v>
      </c>
      <c r="B226" s="938">
        <v>100</v>
      </c>
      <c r="C226" s="938" t="s">
        <v>54</v>
      </c>
      <c r="D226" s="938" t="s">
        <v>3849</v>
      </c>
      <c r="E226" s="938" t="s">
        <v>3841</v>
      </c>
      <c r="F226" s="937">
        <v>1.1751199999999999</v>
      </c>
      <c r="G226" s="936">
        <f t="shared" si="4"/>
        <v>117.512</v>
      </c>
    </row>
    <row r="227" spans="1:7" x14ac:dyDescent="0.25">
      <c r="A227" s="939" t="s">
        <v>3830</v>
      </c>
      <c r="B227" s="938">
        <v>200</v>
      </c>
      <c r="C227" s="938" t="s">
        <v>54</v>
      </c>
      <c r="D227" s="938" t="s">
        <v>3848</v>
      </c>
      <c r="E227" s="938" t="s">
        <v>3841</v>
      </c>
      <c r="F227" s="937">
        <v>0.71431999999999995</v>
      </c>
      <c r="G227" s="936">
        <f t="shared" si="4"/>
        <v>142.864</v>
      </c>
    </row>
    <row r="228" spans="1:7" x14ac:dyDescent="0.25">
      <c r="A228" s="939" t="s">
        <v>3830</v>
      </c>
      <c r="B228" s="938">
        <v>200</v>
      </c>
      <c r="C228" s="938" t="s">
        <v>54</v>
      </c>
      <c r="D228" s="938" t="s">
        <v>3847</v>
      </c>
      <c r="E228" s="938" t="s">
        <v>3841</v>
      </c>
      <c r="F228" s="937">
        <v>0.71431999999999995</v>
      </c>
      <c r="G228" s="936">
        <f t="shared" si="4"/>
        <v>142.864</v>
      </c>
    </row>
    <row r="229" spans="1:7" x14ac:dyDescent="0.25">
      <c r="A229" s="939" t="s">
        <v>3830</v>
      </c>
      <c r="B229" s="938">
        <v>200</v>
      </c>
      <c r="C229" s="938" t="s">
        <v>54</v>
      </c>
      <c r="D229" s="938" t="s">
        <v>3846</v>
      </c>
      <c r="E229" s="938" t="s">
        <v>3841</v>
      </c>
      <c r="F229" s="937">
        <v>0.71431999999999995</v>
      </c>
      <c r="G229" s="936">
        <f t="shared" si="4"/>
        <v>142.864</v>
      </c>
    </row>
    <row r="230" spans="1:7" x14ac:dyDescent="0.25">
      <c r="A230" s="939" t="s">
        <v>3830</v>
      </c>
      <c r="B230" s="938">
        <v>200</v>
      </c>
      <c r="C230" s="938" t="s">
        <v>54</v>
      </c>
      <c r="D230" s="938" t="s">
        <v>3845</v>
      </c>
      <c r="E230" s="938" t="s">
        <v>3841</v>
      </c>
      <c r="F230" s="937">
        <v>0.45328000000000002</v>
      </c>
      <c r="G230" s="936">
        <f t="shared" si="4"/>
        <v>90.656000000000006</v>
      </c>
    </row>
    <row r="231" spans="1:7" x14ac:dyDescent="0.25">
      <c r="A231" s="939" t="s">
        <v>3830</v>
      </c>
      <c r="B231" s="938">
        <v>200</v>
      </c>
      <c r="C231" s="938" t="s">
        <v>54</v>
      </c>
      <c r="D231" s="938" t="s">
        <v>3844</v>
      </c>
      <c r="E231" s="938" t="s">
        <v>3841</v>
      </c>
      <c r="F231" s="937">
        <v>0.45328000000000002</v>
      </c>
      <c r="G231" s="936">
        <f t="shared" si="4"/>
        <v>90.656000000000006</v>
      </c>
    </row>
    <row r="232" spans="1:7" x14ac:dyDescent="0.25">
      <c r="A232" s="939" t="s">
        <v>3830</v>
      </c>
      <c r="B232" s="938">
        <v>200</v>
      </c>
      <c r="C232" s="938" t="s">
        <v>54</v>
      </c>
      <c r="D232" s="938" t="s">
        <v>3843</v>
      </c>
      <c r="E232" s="938" t="s">
        <v>3841</v>
      </c>
      <c r="F232" s="937">
        <v>0.45328000000000002</v>
      </c>
      <c r="G232" s="936">
        <f t="shared" si="4"/>
        <v>90.656000000000006</v>
      </c>
    </row>
    <row r="233" spans="1:7" x14ac:dyDescent="0.25">
      <c r="A233" s="939" t="s">
        <v>3830</v>
      </c>
      <c r="B233" s="938">
        <v>400</v>
      </c>
      <c r="C233" s="938" t="s">
        <v>54</v>
      </c>
      <c r="D233" s="938" t="s">
        <v>3842</v>
      </c>
      <c r="E233" s="938" t="s">
        <v>3841</v>
      </c>
      <c r="F233" s="937">
        <v>0.45328000000000002</v>
      </c>
      <c r="G233" s="936">
        <f t="shared" si="4"/>
        <v>181.31200000000001</v>
      </c>
    </row>
    <row r="234" spans="1:7" x14ac:dyDescent="0.25">
      <c r="A234" s="939" t="s">
        <v>3830</v>
      </c>
      <c r="B234" s="938">
        <v>5</v>
      </c>
      <c r="C234" s="938" t="s">
        <v>3706</v>
      </c>
      <c r="D234" s="938" t="s">
        <v>3840</v>
      </c>
      <c r="E234" s="938" t="s">
        <v>3839</v>
      </c>
      <c r="F234" s="937">
        <v>3.76</v>
      </c>
      <c r="G234" s="936">
        <f t="shared" si="4"/>
        <v>18.799999999999997</v>
      </c>
    </row>
    <row r="235" spans="1:7" x14ac:dyDescent="0.25">
      <c r="A235" s="939" t="s">
        <v>3830</v>
      </c>
      <c r="B235" s="938">
        <v>2</v>
      </c>
      <c r="C235" s="938" t="s">
        <v>3706</v>
      </c>
      <c r="D235" s="938" t="s">
        <v>3838</v>
      </c>
      <c r="E235" s="938" t="s">
        <v>3737</v>
      </c>
      <c r="F235" s="937">
        <v>92.28</v>
      </c>
      <c r="G235" s="936">
        <f t="shared" si="4"/>
        <v>184.56</v>
      </c>
    </row>
    <row r="236" spans="1:7" x14ac:dyDescent="0.25">
      <c r="A236" s="939" t="s">
        <v>3830</v>
      </c>
      <c r="B236" s="938">
        <v>2</v>
      </c>
      <c r="C236" s="938" t="s">
        <v>3706</v>
      </c>
      <c r="D236" s="938" t="s">
        <v>3837</v>
      </c>
      <c r="E236" s="938" t="s">
        <v>3737</v>
      </c>
      <c r="F236" s="937">
        <v>10.432</v>
      </c>
      <c r="G236" s="936">
        <f t="shared" si="4"/>
        <v>20.864000000000001</v>
      </c>
    </row>
    <row r="237" spans="1:7" x14ac:dyDescent="0.25">
      <c r="A237" s="939" t="s">
        <v>3830</v>
      </c>
      <c r="B237" s="938">
        <v>6</v>
      </c>
      <c r="C237" s="938" t="s">
        <v>3706</v>
      </c>
      <c r="D237" s="938" t="s">
        <v>3836</v>
      </c>
      <c r="E237" s="938" t="s">
        <v>3737</v>
      </c>
      <c r="F237" s="937">
        <v>6.984</v>
      </c>
      <c r="G237" s="936">
        <f t="shared" si="4"/>
        <v>41.903999999999996</v>
      </c>
    </row>
    <row r="238" spans="1:7" x14ac:dyDescent="0.25">
      <c r="A238" s="939" t="s">
        <v>3830</v>
      </c>
      <c r="B238" s="938">
        <v>2</v>
      </c>
      <c r="C238" s="938" t="s">
        <v>3706</v>
      </c>
      <c r="D238" s="938" t="s">
        <v>3835</v>
      </c>
      <c r="E238" s="938" t="s">
        <v>3737</v>
      </c>
      <c r="F238" s="937">
        <v>100.56</v>
      </c>
      <c r="G238" s="936">
        <f t="shared" si="4"/>
        <v>201.12</v>
      </c>
    </row>
    <row r="239" spans="1:7" x14ac:dyDescent="0.25">
      <c r="A239" s="939" t="s">
        <v>3830</v>
      </c>
      <c r="B239" s="938">
        <v>40</v>
      </c>
      <c r="C239" s="938" t="s">
        <v>3706</v>
      </c>
      <c r="D239" s="938" t="s">
        <v>3834</v>
      </c>
      <c r="E239" s="938"/>
      <c r="F239" s="937">
        <v>0.80800000000000005</v>
      </c>
      <c r="G239" s="936">
        <f t="shared" si="4"/>
        <v>32.32</v>
      </c>
    </row>
    <row r="240" spans="1:7" x14ac:dyDescent="0.25">
      <c r="A240" s="939" t="s">
        <v>3830</v>
      </c>
      <c r="B240" s="938">
        <v>100</v>
      </c>
      <c r="C240" s="938" t="s">
        <v>3706</v>
      </c>
      <c r="D240" s="938" t="s">
        <v>3779</v>
      </c>
      <c r="E240" s="938"/>
      <c r="F240" s="937">
        <v>2.1920000000000002</v>
      </c>
      <c r="G240" s="936">
        <f t="shared" si="4"/>
        <v>219.20000000000002</v>
      </c>
    </row>
    <row r="241" spans="1:7" x14ac:dyDescent="0.25">
      <c r="A241" s="939" t="s">
        <v>3830</v>
      </c>
      <c r="B241" s="938">
        <v>60</v>
      </c>
      <c r="C241" s="938" t="s">
        <v>3833</v>
      </c>
      <c r="D241" s="938" t="s">
        <v>3832</v>
      </c>
      <c r="E241" s="938"/>
      <c r="F241" s="937">
        <v>8.8999999999999996E-2</v>
      </c>
      <c r="G241" s="936">
        <f t="shared" si="4"/>
        <v>5.34</v>
      </c>
    </row>
    <row r="242" spans="1:7" x14ac:dyDescent="0.25">
      <c r="A242" s="939" t="s">
        <v>3830</v>
      </c>
      <c r="B242" s="938">
        <v>2</v>
      </c>
      <c r="C242" s="938" t="s">
        <v>54</v>
      </c>
      <c r="D242" s="938" t="s">
        <v>3831</v>
      </c>
      <c r="E242" s="938"/>
      <c r="F242" s="937">
        <v>24.064</v>
      </c>
      <c r="G242" s="936">
        <f t="shared" si="4"/>
        <v>48.128</v>
      </c>
    </row>
    <row r="243" spans="1:7" x14ac:dyDescent="0.25">
      <c r="A243" s="939" t="s">
        <v>3830</v>
      </c>
      <c r="B243" s="938">
        <v>1</v>
      </c>
      <c r="C243" s="938" t="s">
        <v>3706</v>
      </c>
      <c r="D243" s="938" t="s">
        <v>3829</v>
      </c>
      <c r="E243" s="938" t="s">
        <v>3828</v>
      </c>
      <c r="F243" s="937">
        <v>238.34399999999999</v>
      </c>
      <c r="G243" s="936">
        <f t="shared" si="4"/>
        <v>238.34399999999999</v>
      </c>
    </row>
    <row r="244" spans="1:7" x14ac:dyDescent="0.25">
      <c r="A244" s="939" t="s">
        <v>3804</v>
      </c>
      <c r="B244" s="938">
        <v>64</v>
      </c>
      <c r="C244" s="938" t="s">
        <v>3706</v>
      </c>
      <c r="D244" s="938" t="s">
        <v>3827</v>
      </c>
      <c r="E244" s="938"/>
      <c r="F244" s="937">
        <v>40.89</v>
      </c>
      <c r="G244" s="936">
        <f t="shared" si="4"/>
        <v>2616.96</v>
      </c>
    </row>
    <row r="245" spans="1:7" x14ac:dyDescent="0.25">
      <c r="A245" s="939" t="s">
        <v>3804</v>
      </c>
      <c r="B245" s="938">
        <v>143</v>
      </c>
      <c r="C245" s="938" t="s">
        <v>3706</v>
      </c>
      <c r="D245" s="938" t="s">
        <v>3826</v>
      </c>
      <c r="E245" s="938" t="s">
        <v>3825</v>
      </c>
      <c r="F245" s="937">
        <v>46.45</v>
      </c>
      <c r="G245" s="936">
        <f t="shared" si="4"/>
        <v>6642.35</v>
      </c>
    </row>
    <row r="246" spans="1:7" x14ac:dyDescent="0.25">
      <c r="A246" s="939" t="s">
        <v>3804</v>
      </c>
      <c r="B246" s="938">
        <v>4</v>
      </c>
      <c r="C246" s="938" t="s">
        <v>3706</v>
      </c>
      <c r="D246" s="938" t="s">
        <v>3824</v>
      </c>
      <c r="E246" s="938"/>
      <c r="F246" s="937">
        <v>38.69</v>
      </c>
      <c r="G246" s="936">
        <f t="shared" si="4"/>
        <v>154.76</v>
      </c>
    </row>
    <row r="247" spans="1:7" x14ac:dyDescent="0.25">
      <c r="A247" s="939" t="s">
        <v>3804</v>
      </c>
      <c r="B247" s="938">
        <v>1</v>
      </c>
      <c r="C247" s="938" t="s">
        <v>3706</v>
      </c>
      <c r="D247" s="938" t="s">
        <v>3823</v>
      </c>
      <c r="E247" s="938" t="s">
        <v>3822</v>
      </c>
      <c r="F247" s="937">
        <v>12.05</v>
      </c>
      <c r="G247" s="936">
        <f t="shared" si="4"/>
        <v>12.05</v>
      </c>
    </row>
    <row r="248" spans="1:7" x14ac:dyDescent="0.25">
      <c r="A248" s="939" t="s">
        <v>3804</v>
      </c>
      <c r="B248" s="938">
        <v>91</v>
      </c>
      <c r="C248" s="938" t="s">
        <v>3706</v>
      </c>
      <c r="D248" s="938" t="s">
        <v>3821</v>
      </c>
      <c r="E248" s="938"/>
      <c r="F248" s="937">
        <v>8.61</v>
      </c>
      <c r="G248" s="936">
        <f t="shared" si="4"/>
        <v>783.51</v>
      </c>
    </row>
    <row r="249" spans="1:7" x14ac:dyDescent="0.25">
      <c r="A249" s="939" t="s">
        <v>3804</v>
      </c>
      <c r="B249" s="938">
        <v>178</v>
      </c>
      <c r="C249" s="938" t="s">
        <v>3706</v>
      </c>
      <c r="D249" s="938" t="s">
        <v>3820</v>
      </c>
      <c r="E249" s="938"/>
      <c r="F249" s="937">
        <v>1.99</v>
      </c>
      <c r="G249" s="936">
        <f t="shared" si="4"/>
        <v>354.21999999999997</v>
      </c>
    </row>
    <row r="250" spans="1:7" x14ac:dyDescent="0.25">
      <c r="A250" s="939" t="s">
        <v>3804</v>
      </c>
      <c r="B250" s="938">
        <v>534</v>
      </c>
      <c r="C250" s="938" t="s">
        <v>3706</v>
      </c>
      <c r="D250" s="938" t="s">
        <v>3819</v>
      </c>
      <c r="E250" s="938"/>
      <c r="F250" s="937">
        <v>0.34699999999999998</v>
      </c>
      <c r="G250" s="936">
        <f t="shared" si="4"/>
        <v>185.29799999999997</v>
      </c>
    </row>
    <row r="251" spans="1:7" x14ac:dyDescent="0.25">
      <c r="A251" s="939" t="s">
        <v>3804</v>
      </c>
      <c r="B251" s="938">
        <v>6</v>
      </c>
      <c r="C251" s="938" t="s">
        <v>3706</v>
      </c>
      <c r="D251" s="938" t="s">
        <v>3818</v>
      </c>
      <c r="E251" s="938"/>
      <c r="F251" s="937">
        <v>13.34</v>
      </c>
      <c r="G251" s="936">
        <f t="shared" si="4"/>
        <v>80.039999999999992</v>
      </c>
    </row>
    <row r="252" spans="1:7" x14ac:dyDescent="0.25">
      <c r="A252" s="939" t="s">
        <v>3804</v>
      </c>
      <c r="B252" s="938">
        <v>1600</v>
      </c>
      <c r="C252" s="938" t="s">
        <v>3706</v>
      </c>
      <c r="D252" s="938" t="s">
        <v>3817</v>
      </c>
      <c r="E252" s="938"/>
      <c r="F252" s="937">
        <v>0.26</v>
      </c>
      <c r="G252" s="936">
        <f t="shared" si="4"/>
        <v>416</v>
      </c>
    </row>
    <row r="253" spans="1:7" x14ac:dyDescent="0.25">
      <c r="A253" s="939" t="s">
        <v>3804</v>
      </c>
      <c r="B253" s="938">
        <v>1000</v>
      </c>
      <c r="C253" s="938" t="s">
        <v>3706</v>
      </c>
      <c r="D253" s="938" t="s">
        <v>3816</v>
      </c>
      <c r="E253" s="938"/>
      <c r="F253" s="937">
        <v>0.14000000000000001</v>
      </c>
      <c r="G253" s="936">
        <f t="shared" si="4"/>
        <v>140</v>
      </c>
    </row>
    <row r="254" spans="1:7" x14ac:dyDescent="0.25">
      <c r="A254" s="939" t="s">
        <v>3804</v>
      </c>
      <c r="B254" s="938">
        <v>600</v>
      </c>
      <c r="C254" s="938" t="s">
        <v>3706</v>
      </c>
      <c r="D254" s="938" t="s">
        <v>3815</v>
      </c>
      <c r="E254" s="938"/>
      <c r="F254" s="937">
        <v>0.12</v>
      </c>
      <c r="G254" s="936">
        <f t="shared" si="4"/>
        <v>72</v>
      </c>
    </row>
    <row r="255" spans="1:7" x14ac:dyDescent="0.25">
      <c r="A255" s="939" t="s">
        <v>3804</v>
      </c>
      <c r="B255" s="938">
        <v>50</v>
      </c>
      <c r="C255" s="938" t="s">
        <v>3706</v>
      </c>
      <c r="D255" s="938" t="s">
        <v>3814</v>
      </c>
      <c r="E255" s="938"/>
      <c r="F255" s="937">
        <v>4.95</v>
      </c>
      <c r="G255" s="936">
        <f t="shared" si="4"/>
        <v>247.5</v>
      </c>
    </row>
    <row r="256" spans="1:7" x14ac:dyDescent="0.25">
      <c r="A256" s="939" t="s">
        <v>3804</v>
      </c>
      <c r="B256" s="938">
        <v>20</v>
      </c>
      <c r="C256" s="938" t="s">
        <v>3706</v>
      </c>
      <c r="D256" s="938" t="s">
        <v>3813</v>
      </c>
      <c r="E256" s="938"/>
      <c r="F256" s="937">
        <v>0.2</v>
      </c>
      <c r="G256" s="936">
        <f t="shared" si="4"/>
        <v>4</v>
      </c>
    </row>
    <row r="257" spans="1:7" x14ac:dyDescent="0.25">
      <c r="A257" s="939" t="s">
        <v>3804</v>
      </c>
      <c r="B257" s="938">
        <v>1</v>
      </c>
      <c r="C257" s="938" t="s">
        <v>3706</v>
      </c>
      <c r="D257" s="938" t="s">
        <v>3812</v>
      </c>
      <c r="E257" s="938" t="s">
        <v>3811</v>
      </c>
      <c r="F257" s="937">
        <v>40.619999999999997</v>
      </c>
      <c r="G257" s="936">
        <f t="shared" si="4"/>
        <v>40.619999999999997</v>
      </c>
    </row>
    <row r="258" spans="1:7" x14ac:dyDescent="0.25">
      <c r="A258" s="939" t="s">
        <v>3804</v>
      </c>
      <c r="B258" s="938">
        <v>1</v>
      </c>
      <c r="C258" s="938" t="s">
        <v>3706</v>
      </c>
      <c r="D258" s="938" t="s">
        <v>3810</v>
      </c>
      <c r="E258" s="938" t="s">
        <v>3809</v>
      </c>
      <c r="F258" s="937">
        <v>16.010000000000002</v>
      </c>
      <c r="G258" s="936">
        <f t="shared" ref="G258:G321" si="5">F258*B258</f>
        <v>16.010000000000002</v>
      </c>
    </row>
    <row r="259" spans="1:7" x14ac:dyDescent="0.25">
      <c r="A259" s="939" t="s">
        <v>3804</v>
      </c>
      <c r="B259" s="938">
        <v>1</v>
      </c>
      <c r="C259" s="938" t="s">
        <v>3706</v>
      </c>
      <c r="D259" s="938" t="s">
        <v>3808</v>
      </c>
      <c r="E259" s="938" t="s">
        <v>3807</v>
      </c>
      <c r="F259" s="937">
        <v>12.58</v>
      </c>
      <c r="G259" s="936">
        <f t="shared" si="5"/>
        <v>12.58</v>
      </c>
    </row>
    <row r="260" spans="1:7" x14ac:dyDescent="0.25">
      <c r="A260" s="939" t="s">
        <v>3804</v>
      </c>
      <c r="B260" s="938">
        <v>1</v>
      </c>
      <c r="C260" s="938" t="s">
        <v>3706</v>
      </c>
      <c r="D260" s="938" t="s">
        <v>3806</v>
      </c>
      <c r="E260" s="938" t="s">
        <v>3805</v>
      </c>
      <c r="F260" s="937">
        <v>50</v>
      </c>
      <c r="G260" s="936">
        <f t="shared" si="5"/>
        <v>50</v>
      </c>
    </row>
    <row r="261" spans="1:7" x14ac:dyDescent="0.25">
      <c r="A261" s="939" t="s">
        <v>3804</v>
      </c>
      <c r="B261" s="938">
        <v>1</v>
      </c>
      <c r="C261" s="938" t="s">
        <v>3706</v>
      </c>
      <c r="D261" s="938" t="s">
        <v>3803</v>
      </c>
      <c r="E261" s="938" t="s">
        <v>3802</v>
      </c>
      <c r="F261" s="937">
        <v>20.66</v>
      </c>
      <c r="G261" s="936">
        <f t="shared" si="5"/>
        <v>20.66</v>
      </c>
    </row>
    <row r="262" spans="1:7" x14ac:dyDescent="0.25">
      <c r="A262" s="939" t="s">
        <v>3766</v>
      </c>
      <c r="B262" s="938">
        <v>1</v>
      </c>
      <c r="C262" s="938" t="s">
        <v>3706</v>
      </c>
      <c r="D262" s="938" t="s">
        <v>3743</v>
      </c>
      <c r="E262" s="938"/>
      <c r="F262" s="937">
        <v>497</v>
      </c>
      <c r="G262" s="936">
        <f t="shared" si="5"/>
        <v>497</v>
      </c>
    </row>
    <row r="263" spans="1:7" x14ac:dyDescent="0.25">
      <c r="A263" s="939" t="s">
        <v>3766</v>
      </c>
      <c r="B263" s="938">
        <v>2</v>
      </c>
      <c r="C263" s="938" t="s">
        <v>3706</v>
      </c>
      <c r="D263" s="938" t="s">
        <v>3801</v>
      </c>
      <c r="E263" s="938"/>
      <c r="F263" s="937">
        <v>61.59</v>
      </c>
      <c r="G263" s="936">
        <f t="shared" si="5"/>
        <v>123.18</v>
      </c>
    </row>
    <row r="264" spans="1:7" x14ac:dyDescent="0.25">
      <c r="A264" s="939" t="s">
        <v>3766</v>
      </c>
      <c r="B264" s="938">
        <v>4</v>
      </c>
      <c r="C264" s="938" t="s">
        <v>3706</v>
      </c>
      <c r="D264" s="938" t="s">
        <v>3800</v>
      </c>
      <c r="E264" s="938"/>
      <c r="F264" s="937">
        <v>42.25</v>
      </c>
      <c r="G264" s="936">
        <f t="shared" si="5"/>
        <v>169</v>
      </c>
    </row>
    <row r="265" spans="1:7" x14ac:dyDescent="0.25">
      <c r="A265" s="939" t="s">
        <v>3766</v>
      </c>
      <c r="B265" s="938">
        <v>4</v>
      </c>
      <c r="C265" s="938" t="s">
        <v>3706</v>
      </c>
      <c r="D265" s="938" t="s">
        <v>3799</v>
      </c>
      <c r="E265" s="938"/>
      <c r="F265" s="937">
        <v>42.25</v>
      </c>
      <c r="G265" s="936">
        <f t="shared" si="5"/>
        <v>169</v>
      </c>
    </row>
    <row r="266" spans="1:7" x14ac:dyDescent="0.25">
      <c r="A266" s="939" t="s">
        <v>3766</v>
      </c>
      <c r="B266" s="938">
        <v>3</v>
      </c>
      <c r="C266" s="938" t="s">
        <v>3706</v>
      </c>
      <c r="D266" s="938" t="s">
        <v>3798</v>
      </c>
      <c r="E266" s="938"/>
      <c r="F266" s="937">
        <v>42.25</v>
      </c>
      <c r="G266" s="936">
        <f t="shared" si="5"/>
        <v>126.75</v>
      </c>
    </row>
    <row r="267" spans="1:7" x14ac:dyDescent="0.25">
      <c r="A267" s="939" t="s">
        <v>3766</v>
      </c>
      <c r="B267" s="938">
        <v>89</v>
      </c>
      <c r="C267" s="938" t="s">
        <v>3706</v>
      </c>
      <c r="D267" s="938" t="s">
        <v>3797</v>
      </c>
      <c r="E267" s="938"/>
      <c r="F267" s="937">
        <v>31.8</v>
      </c>
      <c r="G267" s="936">
        <f t="shared" si="5"/>
        <v>2830.2000000000003</v>
      </c>
    </row>
    <row r="268" spans="1:7" x14ac:dyDescent="0.25">
      <c r="A268" s="939" t="s">
        <v>3766</v>
      </c>
      <c r="B268" s="938">
        <v>181</v>
      </c>
      <c r="C268" s="938" t="s">
        <v>3706</v>
      </c>
      <c r="D268" s="938" t="s">
        <v>3796</v>
      </c>
      <c r="E268" s="938"/>
      <c r="F268" s="937">
        <v>7.55</v>
      </c>
      <c r="G268" s="936">
        <f t="shared" si="5"/>
        <v>1366.55</v>
      </c>
    </row>
    <row r="269" spans="1:7" x14ac:dyDescent="0.25">
      <c r="A269" s="939" t="s">
        <v>3766</v>
      </c>
      <c r="B269" s="938">
        <v>3</v>
      </c>
      <c r="C269" s="938" t="s">
        <v>3706</v>
      </c>
      <c r="D269" s="938" t="s">
        <v>3795</v>
      </c>
      <c r="E269" s="938"/>
      <c r="F269" s="937">
        <v>7.55</v>
      </c>
      <c r="G269" s="936">
        <f t="shared" si="5"/>
        <v>22.65</v>
      </c>
    </row>
    <row r="270" spans="1:7" x14ac:dyDescent="0.25">
      <c r="A270" s="939" t="s">
        <v>3766</v>
      </c>
      <c r="B270" s="938">
        <v>180</v>
      </c>
      <c r="C270" s="938" t="s">
        <v>3706</v>
      </c>
      <c r="D270" s="938" t="s">
        <v>3794</v>
      </c>
      <c r="E270" s="938"/>
      <c r="F270" s="937">
        <v>7.55</v>
      </c>
      <c r="G270" s="936">
        <f t="shared" si="5"/>
        <v>1359</v>
      </c>
    </row>
    <row r="271" spans="1:7" x14ac:dyDescent="0.25">
      <c r="A271" s="939" t="s">
        <v>3766</v>
      </c>
      <c r="B271" s="938">
        <v>503</v>
      </c>
      <c r="C271" s="938" t="s">
        <v>3706</v>
      </c>
      <c r="D271" s="938" t="s">
        <v>3793</v>
      </c>
      <c r="E271" s="938"/>
      <c r="F271" s="937">
        <v>7.55</v>
      </c>
      <c r="G271" s="936">
        <f t="shared" si="5"/>
        <v>3797.65</v>
      </c>
    </row>
    <row r="272" spans="1:7" x14ac:dyDescent="0.25">
      <c r="A272" s="939" t="s">
        <v>3766</v>
      </c>
      <c r="B272" s="938">
        <v>8</v>
      </c>
      <c r="C272" s="938" t="s">
        <v>3706</v>
      </c>
      <c r="D272" s="938" t="s">
        <v>3792</v>
      </c>
      <c r="E272" s="938"/>
      <c r="F272" s="937">
        <v>7.55</v>
      </c>
      <c r="G272" s="936">
        <f t="shared" si="5"/>
        <v>60.4</v>
      </c>
    </row>
    <row r="273" spans="1:7" x14ac:dyDescent="0.25">
      <c r="A273" s="939" t="s">
        <v>3766</v>
      </c>
      <c r="B273" s="938">
        <v>216</v>
      </c>
      <c r="C273" s="938" t="s">
        <v>3706</v>
      </c>
      <c r="D273" s="938" t="s">
        <v>3791</v>
      </c>
      <c r="E273" s="938"/>
      <c r="F273" s="937">
        <v>7.55</v>
      </c>
      <c r="G273" s="936">
        <f t="shared" si="5"/>
        <v>1630.8</v>
      </c>
    </row>
    <row r="274" spans="1:7" x14ac:dyDescent="0.25">
      <c r="A274" s="939" t="s">
        <v>3766</v>
      </c>
      <c r="B274" s="938">
        <v>2</v>
      </c>
      <c r="C274" s="938" t="s">
        <v>3706</v>
      </c>
      <c r="D274" s="938" t="s">
        <v>3790</v>
      </c>
      <c r="E274" s="938"/>
      <c r="F274" s="937">
        <v>20.100000000000001</v>
      </c>
      <c r="G274" s="936">
        <f t="shared" si="5"/>
        <v>40.200000000000003</v>
      </c>
    </row>
    <row r="275" spans="1:7" x14ac:dyDescent="0.25">
      <c r="A275" s="939" t="s">
        <v>3766</v>
      </c>
      <c r="B275" s="938">
        <v>291</v>
      </c>
      <c r="C275" s="938" t="s">
        <v>3706</v>
      </c>
      <c r="D275" s="938" t="s">
        <v>3789</v>
      </c>
      <c r="E275" s="938"/>
      <c r="F275" s="937">
        <v>43</v>
      </c>
      <c r="G275" s="936">
        <f t="shared" si="5"/>
        <v>12513</v>
      </c>
    </row>
    <row r="276" spans="1:7" x14ac:dyDescent="0.25">
      <c r="A276" s="939" t="s">
        <v>3766</v>
      </c>
      <c r="B276" s="938">
        <v>94</v>
      </c>
      <c r="C276" s="938" t="s">
        <v>3706</v>
      </c>
      <c r="D276" s="938" t="s">
        <v>3788</v>
      </c>
      <c r="E276" s="938"/>
      <c r="F276" s="937">
        <v>168.94</v>
      </c>
      <c r="G276" s="936">
        <f t="shared" si="5"/>
        <v>15880.36</v>
      </c>
    </row>
    <row r="277" spans="1:7" x14ac:dyDescent="0.25">
      <c r="A277" s="939" t="s">
        <v>3766</v>
      </c>
      <c r="B277" s="938">
        <v>4</v>
      </c>
      <c r="C277" s="938" t="s">
        <v>3706</v>
      </c>
      <c r="D277" s="938" t="s">
        <v>3787</v>
      </c>
      <c r="E277" s="938"/>
      <c r="F277" s="937">
        <v>136.72</v>
      </c>
      <c r="G277" s="936">
        <f t="shared" si="5"/>
        <v>546.88</v>
      </c>
    </row>
    <row r="278" spans="1:7" x14ac:dyDescent="0.25">
      <c r="A278" s="939" t="s">
        <v>3766</v>
      </c>
      <c r="B278" s="938">
        <v>11</v>
      </c>
      <c r="C278" s="938" t="s">
        <v>3706</v>
      </c>
      <c r="D278" s="938" t="s">
        <v>3786</v>
      </c>
      <c r="E278" s="938"/>
      <c r="F278" s="937">
        <v>116.24</v>
      </c>
      <c r="G278" s="936">
        <f t="shared" si="5"/>
        <v>1278.6399999999999</v>
      </c>
    </row>
    <row r="279" spans="1:7" x14ac:dyDescent="0.25">
      <c r="A279" s="939" t="s">
        <v>3766</v>
      </c>
      <c r="B279" s="938">
        <v>1</v>
      </c>
      <c r="C279" s="938" t="s">
        <v>3706</v>
      </c>
      <c r="D279" s="938" t="s">
        <v>3785</v>
      </c>
      <c r="E279" s="938"/>
      <c r="F279" s="937">
        <v>91.47</v>
      </c>
      <c r="G279" s="936">
        <f t="shared" si="5"/>
        <v>91.47</v>
      </c>
    </row>
    <row r="280" spans="1:7" x14ac:dyDescent="0.25">
      <c r="A280" s="939" t="s">
        <v>3766</v>
      </c>
      <c r="B280" s="938">
        <v>2</v>
      </c>
      <c r="C280" s="938" t="s">
        <v>3706</v>
      </c>
      <c r="D280" s="938" t="s">
        <v>3784</v>
      </c>
      <c r="E280" s="938"/>
      <c r="F280" s="937">
        <v>99.97</v>
      </c>
      <c r="G280" s="936">
        <f t="shared" si="5"/>
        <v>199.94</v>
      </c>
    </row>
    <row r="281" spans="1:7" x14ac:dyDescent="0.25">
      <c r="A281" s="939" t="s">
        <v>3766</v>
      </c>
      <c r="B281" s="938">
        <v>15</v>
      </c>
      <c r="C281" s="938" t="s">
        <v>3706</v>
      </c>
      <c r="D281" s="938" t="s">
        <v>3783</v>
      </c>
      <c r="E281" s="938"/>
      <c r="F281" s="937">
        <v>0.27</v>
      </c>
      <c r="G281" s="936">
        <f t="shared" si="5"/>
        <v>4.0500000000000007</v>
      </c>
    </row>
    <row r="282" spans="1:7" x14ac:dyDescent="0.25">
      <c r="A282" s="939" t="s">
        <v>3766</v>
      </c>
      <c r="B282" s="938">
        <v>385</v>
      </c>
      <c r="C282" s="938" t="s">
        <v>3706</v>
      </c>
      <c r="D282" s="938" t="s">
        <v>3782</v>
      </c>
      <c r="E282" s="938"/>
      <c r="F282" s="937">
        <v>0.19</v>
      </c>
      <c r="G282" s="936">
        <f t="shared" si="5"/>
        <v>73.150000000000006</v>
      </c>
    </row>
    <row r="283" spans="1:7" x14ac:dyDescent="0.25">
      <c r="A283" s="939" t="s">
        <v>3766</v>
      </c>
      <c r="B283" s="938">
        <v>1215</v>
      </c>
      <c r="C283" s="938" t="s">
        <v>3706</v>
      </c>
      <c r="D283" s="938" t="s">
        <v>3781</v>
      </c>
      <c r="E283" s="938"/>
      <c r="F283" s="937">
        <v>0.14000000000000001</v>
      </c>
      <c r="G283" s="936">
        <f t="shared" si="5"/>
        <v>170.10000000000002</v>
      </c>
    </row>
    <row r="284" spans="1:7" x14ac:dyDescent="0.25">
      <c r="A284" s="939" t="s">
        <v>3766</v>
      </c>
      <c r="B284" s="938">
        <v>835</v>
      </c>
      <c r="C284" s="938" t="s">
        <v>3706</v>
      </c>
      <c r="D284" s="938" t="s">
        <v>3780</v>
      </c>
      <c r="E284" s="938"/>
      <c r="F284" s="937">
        <v>0.16</v>
      </c>
      <c r="G284" s="936">
        <f t="shared" si="5"/>
        <v>133.6</v>
      </c>
    </row>
    <row r="285" spans="1:7" x14ac:dyDescent="0.25">
      <c r="A285" s="939" t="s">
        <v>3766</v>
      </c>
      <c r="B285" s="938">
        <v>1410</v>
      </c>
      <c r="C285" s="938" t="s">
        <v>3706</v>
      </c>
      <c r="D285" s="938" t="s">
        <v>3779</v>
      </c>
      <c r="E285" s="938"/>
      <c r="F285" s="937">
        <v>0.08</v>
      </c>
      <c r="G285" s="936">
        <f t="shared" si="5"/>
        <v>112.8</v>
      </c>
    </row>
    <row r="286" spans="1:7" x14ac:dyDescent="0.25">
      <c r="A286" s="939" t="s">
        <v>3766</v>
      </c>
      <c r="B286" s="938">
        <v>598</v>
      </c>
      <c r="C286" s="938" t="s">
        <v>3706</v>
      </c>
      <c r="D286" s="938" t="s">
        <v>3778</v>
      </c>
      <c r="E286" s="938"/>
      <c r="F286" s="937">
        <v>0.06</v>
      </c>
      <c r="G286" s="936">
        <f t="shared" si="5"/>
        <v>35.879999999999995</v>
      </c>
    </row>
    <row r="287" spans="1:7" x14ac:dyDescent="0.25">
      <c r="A287" s="939" t="s">
        <v>3766</v>
      </c>
      <c r="B287" s="938">
        <v>25</v>
      </c>
      <c r="C287" s="938" t="s">
        <v>3706</v>
      </c>
      <c r="D287" s="938" t="s">
        <v>3777</v>
      </c>
      <c r="E287" s="938" t="s">
        <v>3769</v>
      </c>
      <c r="F287" s="937">
        <v>3.2</v>
      </c>
      <c r="G287" s="936">
        <f t="shared" si="5"/>
        <v>80</v>
      </c>
    </row>
    <row r="288" spans="1:7" x14ac:dyDescent="0.25">
      <c r="A288" s="939" t="s">
        <v>3766</v>
      </c>
      <c r="B288" s="938">
        <v>5</v>
      </c>
      <c r="C288" s="938" t="s">
        <v>3706</v>
      </c>
      <c r="D288" s="938" t="s">
        <v>3776</v>
      </c>
      <c r="E288" s="938"/>
      <c r="F288" s="937">
        <v>140.30000000000001</v>
      </c>
      <c r="G288" s="936">
        <f t="shared" si="5"/>
        <v>701.5</v>
      </c>
    </row>
    <row r="289" spans="1:7" x14ac:dyDescent="0.25">
      <c r="A289" s="939" t="s">
        <v>3766</v>
      </c>
      <c r="B289" s="938">
        <v>38</v>
      </c>
      <c r="C289" s="938" t="s">
        <v>3706</v>
      </c>
      <c r="D289" s="938" t="s">
        <v>3775</v>
      </c>
      <c r="E289" s="938"/>
      <c r="F289" s="937">
        <v>80.349999999999994</v>
      </c>
      <c r="G289" s="936">
        <f t="shared" si="5"/>
        <v>3053.2999999999997</v>
      </c>
    </row>
    <row r="290" spans="1:7" x14ac:dyDescent="0.25">
      <c r="A290" s="939" t="s">
        <v>3766</v>
      </c>
      <c r="B290" s="938">
        <v>4</v>
      </c>
      <c r="C290" s="938" t="s">
        <v>3706</v>
      </c>
      <c r="D290" s="938" t="s">
        <v>3774</v>
      </c>
      <c r="E290" s="938"/>
      <c r="F290" s="937">
        <v>46.24</v>
      </c>
      <c r="G290" s="936">
        <f t="shared" si="5"/>
        <v>184.96</v>
      </c>
    </row>
    <row r="291" spans="1:7" x14ac:dyDescent="0.25">
      <c r="A291" s="939" t="s">
        <v>3766</v>
      </c>
      <c r="B291" s="938">
        <v>5</v>
      </c>
      <c r="C291" s="938" t="s">
        <v>3706</v>
      </c>
      <c r="D291" s="938" t="s">
        <v>3773</v>
      </c>
      <c r="E291" s="938" t="s">
        <v>3769</v>
      </c>
      <c r="F291" s="937">
        <v>0.79</v>
      </c>
      <c r="G291" s="936">
        <f t="shared" si="5"/>
        <v>3.95</v>
      </c>
    </row>
    <row r="292" spans="1:7" x14ac:dyDescent="0.25">
      <c r="A292" s="939" t="s">
        <v>3766</v>
      </c>
      <c r="B292" s="938">
        <v>1</v>
      </c>
      <c r="C292" s="938" t="s">
        <v>3706</v>
      </c>
      <c r="D292" s="938" t="s">
        <v>3772</v>
      </c>
      <c r="E292" s="938" t="s">
        <v>3769</v>
      </c>
      <c r="F292" s="937">
        <v>1.66</v>
      </c>
      <c r="G292" s="936">
        <f t="shared" si="5"/>
        <v>1.66</v>
      </c>
    </row>
    <row r="293" spans="1:7" x14ac:dyDescent="0.25">
      <c r="A293" s="939" t="s">
        <v>3766</v>
      </c>
      <c r="B293" s="938">
        <v>40</v>
      </c>
      <c r="C293" s="938" t="s">
        <v>3706</v>
      </c>
      <c r="D293" s="938" t="s">
        <v>3771</v>
      </c>
      <c r="E293" s="938" t="s">
        <v>3769</v>
      </c>
      <c r="F293" s="937">
        <v>1.94</v>
      </c>
      <c r="G293" s="936">
        <f t="shared" si="5"/>
        <v>77.599999999999994</v>
      </c>
    </row>
    <row r="294" spans="1:7" x14ac:dyDescent="0.25">
      <c r="A294" s="939" t="s">
        <v>3766</v>
      </c>
      <c r="B294" s="938">
        <v>2</v>
      </c>
      <c r="C294" s="938" t="s">
        <v>3706</v>
      </c>
      <c r="D294" s="938" t="s">
        <v>3770</v>
      </c>
      <c r="E294" s="938" t="s">
        <v>3769</v>
      </c>
      <c r="F294" s="937">
        <v>2.46</v>
      </c>
      <c r="G294" s="936">
        <f t="shared" si="5"/>
        <v>4.92</v>
      </c>
    </row>
    <row r="295" spans="1:7" x14ac:dyDescent="0.25">
      <c r="A295" s="939" t="s">
        <v>3766</v>
      </c>
      <c r="B295" s="938">
        <v>280</v>
      </c>
      <c r="C295" s="938" t="s">
        <v>3706</v>
      </c>
      <c r="D295" s="938" t="s">
        <v>3768</v>
      </c>
      <c r="E295" s="938"/>
      <c r="F295" s="937">
        <v>17.39</v>
      </c>
      <c r="G295" s="936">
        <f t="shared" si="5"/>
        <v>4869.2</v>
      </c>
    </row>
    <row r="296" spans="1:7" x14ac:dyDescent="0.25">
      <c r="A296" s="939" t="s">
        <v>3766</v>
      </c>
      <c r="B296" s="938">
        <v>280</v>
      </c>
      <c r="C296" s="938" t="s">
        <v>3706</v>
      </c>
      <c r="D296" s="938" t="s">
        <v>3767</v>
      </c>
      <c r="E296" s="938"/>
      <c r="F296" s="937">
        <v>17.39</v>
      </c>
      <c r="G296" s="936">
        <f t="shared" si="5"/>
        <v>4869.2</v>
      </c>
    </row>
    <row r="297" spans="1:7" x14ac:dyDescent="0.25">
      <c r="A297" s="939" t="s">
        <v>3766</v>
      </c>
      <c r="B297" s="938">
        <v>20</v>
      </c>
      <c r="C297" s="938" t="s">
        <v>3706</v>
      </c>
      <c r="D297" s="938" t="s">
        <v>3717</v>
      </c>
      <c r="E297" s="938"/>
      <c r="F297" s="937">
        <v>20</v>
      </c>
      <c r="G297" s="936">
        <f t="shared" si="5"/>
        <v>400</v>
      </c>
    </row>
    <row r="298" spans="1:7" x14ac:dyDescent="0.25">
      <c r="A298" s="939" t="s">
        <v>3761</v>
      </c>
      <c r="B298" s="938">
        <v>1</v>
      </c>
      <c r="C298" s="938" t="s">
        <v>3706</v>
      </c>
      <c r="D298" s="938" t="s">
        <v>3765</v>
      </c>
      <c r="E298" s="938" t="s">
        <v>3751</v>
      </c>
      <c r="F298" s="937">
        <v>3500</v>
      </c>
      <c r="G298" s="936">
        <f t="shared" si="5"/>
        <v>3500</v>
      </c>
    </row>
    <row r="299" spans="1:7" x14ac:dyDescent="0.25">
      <c r="A299" s="939" t="s">
        <v>3761</v>
      </c>
      <c r="B299" s="938">
        <v>1</v>
      </c>
      <c r="C299" s="938" t="s">
        <v>3706</v>
      </c>
      <c r="D299" s="938" t="s">
        <v>3764</v>
      </c>
      <c r="E299" s="938" t="s">
        <v>3759</v>
      </c>
      <c r="F299" s="937">
        <v>279.79000000000002</v>
      </c>
      <c r="G299" s="936">
        <f t="shared" si="5"/>
        <v>279.79000000000002</v>
      </c>
    </row>
    <row r="300" spans="1:7" x14ac:dyDescent="0.25">
      <c r="A300" s="939" t="s">
        <v>3761</v>
      </c>
      <c r="B300" s="938">
        <v>1</v>
      </c>
      <c r="C300" s="938" t="s">
        <v>3706</v>
      </c>
      <c r="D300" s="938" t="s">
        <v>3763</v>
      </c>
      <c r="E300" s="938" t="s">
        <v>3759</v>
      </c>
      <c r="F300" s="937">
        <v>139.56</v>
      </c>
      <c r="G300" s="936">
        <f t="shared" si="5"/>
        <v>139.56</v>
      </c>
    </row>
    <row r="301" spans="1:7" x14ac:dyDescent="0.25">
      <c r="A301" s="939" t="s">
        <v>3761</v>
      </c>
      <c r="B301" s="938">
        <v>93</v>
      </c>
      <c r="C301" s="938" t="s">
        <v>3706</v>
      </c>
      <c r="D301" s="938" t="s">
        <v>3762</v>
      </c>
      <c r="E301" s="938" t="s">
        <v>3759</v>
      </c>
      <c r="F301" s="937">
        <v>71.239999999999995</v>
      </c>
      <c r="G301" s="936">
        <f t="shared" si="5"/>
        <v>6625.32</v>
      </c>
    </row>
    <row r="302" spans="1:7" x14ac:dyDescent="0.25">
      <c r="A302" s="939" t="s">
        <v>3761</v>
      </c>
      <c r="B302" s="938">
        <v>3</v>
      </c>
      <c r="C302" s="938" t="s">
        <v>3706</v>
      </c>
      <c r="D302" s="938" t="s">
        <v>3760</v>
      </c>
      <c r="E302" s="938" t="s">
        <v>3759</v>
      </c>
      <c r="F302" s="937">
        <v>42.26</v>
      </c>
      <c r="G302" s="936">
        <f t="shared" si="5"/>
        <v>126.78</v>
      </c>
    </row>
    <row r="303" spans="1:7" x14ac:dyDescent="0.25">
      <c r="A303" s="939" t="s">
        <v>3716</v>
      </c>
      <c r="B303" s="938">
        <v>2</v>
      </c>
      <c r="C303" s="938" t="s">
        <v>3706</v>
      </c>
      <c r="D303" s="938" t="s">
        <v>3758</v>
      </c>
      <c r="E303" s="938" t="s">
        <v>3751</v>
      </c>
      <c r="F303" s="937">
        <v>3805.58</v>
      </c>
      <c r="G303" s="936">
        <f t="shared" si="5"/>
        <v>7611.16</v>
      </c>
    </row>
    <row r="304" spans="1:7" x14ac:dyDescent="0.25">
      <c r="A304" s="939" t="s">
        <v>3716</v>
      </c>
      <c r="B304" s="938">
        <v>1</v>
      </c>
      <c r="C304" s="938" t="s">
        <v>3706</v>
      </c>
      <c r="D304" s="938" t="s">
        <v>3757</v>
      </c>
      <c r="E304" s="938" t="s">
        <v>3755</v>
      </c>
      <c r="F304" s="937">
        <v>3044.4639999999999</v>
      </c>
      <c r="G304" s="936">
        <f t="shared" si="5"/>
        <v>3044.4639999999999</v>
      </c>
    </row>
    <row r="305" spans="1:7" x14ac:dyDescent="0.25">
      <c r="A305" s="939" t="s">
        <v>3716</v>
      </c>
      <c r="B305" s="938">
        <v>1</v>
      </c>
      <c r="C305" s="938" t="s">
        <v>3706</v>
      </c>
      <c r="D305" s="938" t="s">
        <v>3756</v>
      </c>
      <c r="E305" s="938" t="s">
        <v>3755</v>
      </c>
      <c r="F305" s="937">
        <v>2131.75</v>
      </c>
      <c r="G305" s="936">
        <f t="shared" si="5"/>
        <v>2131.75</v>
      </c>
    </row>
    <row r="306" spans="1:7" x14ac:dyDescent="0.25">
      <c r="A306" s="939" t="s">
        <v>3716</v>
      </c>
      <c r="B306" s="938">
        <v>1</v>
      </c>
      <c r="C306" s="938" t="s">
        <v>3706</v>
      </c>
      <c r="D306" s="938" t="s">
        <v>3754</v>
      </c>
      <c r="E306" s="938" t="s">
        <v>3751</v>
      </c>
      <c r="F306" s="937">
        <v>494.96</v>
      </c>
      <c r="G306" s="936">
        <f t="shared" si="5"/>
        <v>494.96</v>
      </c>
    </row>
    <row r="307" spans="1:7" x14ac:dyDescent="0.25">
      <c r="A307" s="939" t="s">
        <v>3716</v>
      </c>
      <c r="B307" s="938">
        <v>1</v>
      </c>
      <c r="C307" s="938" t="s">
        <v>3706</v>
      </c>
      <c r="D307" s="938" t="s">
        <v>3753</v>
      </c>
      <c r="E307" s="938" t="s">
        <v>3751</v>
      </c>
      <c r="F307" s="937">
        <v>196.7</v>
      </c>
      <c r="G307" s="936">
        <f t="shared" si="5"/>
        <v>196.7</v>
      </c>
    </row>
    <row r="308" spans="1:7" x14ac:dyDescent="0.25">
      <c r="A308" s="939" t="s">
        <v>3716</v>
      </c>
      <c r="B308" s="938">
        <v>1</v>
      </c>
      <c r="C308" s="938" t="s">
        <v>3706</v>
      </c>
      <c r="D308" s="938" t="s">
        <v>3752</v>
      </c>
      <c r="E308" s="938" t="s">
        <v>3751</v>
      </c>
      <c r="F308" s="937">
        <v>633.98</v>
      </c>
      <c r="G308" s="936">
        <f t="shared" si="5"/>
        <v>633.98</v>
      </c>
    </row>
    <row r="309" spans="1:7" x14ac:dyDescent="0.25">
      <c r="A309" s="939" t="s">
        <v>3716</v>
      </c>
      <c r="B309" s="938">
        <v>1</v>
      </c>
      <c r="C309" s="938" t="s">
        <v>3706</v>
      </c>
      <c r="D309" s="938" t="s">
        <v>3750</v>
      </c>
      <c r="E309" s="938" t="s">
        <v>3749</v>
      </c>
      <c r="F309" s="937">
        <v>1678.42</v>
      </c>
      <c r="G309" s="936">
        <f t="shared" si="5"/>
        <v>1678.42</v>
      </c>
    </row>
    <row r="310" spans="1:7" x14ac:dyDescent="0.25">
      <c r="A310" s="939" t="s">
        <v>3716</v>
      </c>
      <c r="B310" s="938">
        <v>2</v>
      </c>
      <c r="C310" s="938" t="s">
        <v>3706</v>
      </c>
      <c r="D310" s="938" t="s">
        <v>3745</v>
      </c>
      <c r="E310" s="938" t="s">
        <v>3748</v>
      </c>
      <c r="F310" s="937">
        <v>321.89</v>
      </c>
      <c r="G310" s="936">
        <f t="shared" si="5"/>
        <v>643.78</v>
      </c>
    </row>
    <row r="311" spans="1:7" x14ac:dyDescent="0.25">
      <c r="A311" s="939" t="s">
        <v>3716</v>
      </c>
      <c r="B311" s="938">
        <v>2</v>
      </c>
      <c r="C311" s="938" t="s">
        <v>3706</v>
      </c>
      <c r="D311" s="938" t="s">
        <v>3745</v>
      </c>
      <c r="E311" s="938" t="s">
        <v>3747</v>
      </c>
      <c r="F311" s="937">
        <v>321.89</v>
      </c>
      <c r="G311" s="936">
        <f t="shared" si="5"/>
        <v>643.78</v>
      </c>
    </row>
    <row r="312" spans="1:7" x14ac:dyDescent="0.25">
      <c r="A312" s="939" t="s">
        <v>3716</v>
      </c>
      <c r="B312" s="938">
        <v>2</v>
      </c>
      <c r="C312" s="938" t="s">
        <v>3706</v>
      </c>
      <c r="D312" s="938" t="s">
        <v>3745</v>
      </c>
      <c r="E312" s="938" t="s">
        <v>3746</v>
      </c>
      <c r="F312" s="937">
        <v>321.89</v>
      </c>
      <c r="G312" s="936">
        <f t="shared" si="5"/>
        <v>643.78</v>
      </c>
    </row>
    <row r="313" spans="1:7" x14ac:dyDescent="0.25">
      <c r="A313" s="939" t="s">
        <v>3716</v>
      </c>
      <c r="B313" s="938">
        <v>2</v>
      </c>
      <c r="C313" s="938" t="s">
        <v>3706</v>
      </c>
      <c r="D313" s="938" t="s">
        <v>3745</v>
      </c>
      <c r="E313" s="938" t="s">
        <v>3744</v>
      </c>
      <c r="F313" s="937">
        <v>321.89</v>
      </c>
      <c r="G313" s="936">
        <f t="shared" si="5"/>
        <v>643.78</v>
      </c>
    </row>
    <row r="314" spans="1:7" x14ac:dyDescent="0.25">
      <c r="A314" s="939" t="s">
        <v>3716</v>
      </c>
      <c r="B314" s="938">
        <v>1</v>
      </c>
      <c r="C314" s="938" t="s">
        <v>3706</v>
      </c>
      <c r="D314" s="938" t="s">
        <v>3743</v>
      </c>
      <c r="E314" s="938" t="s">
        <v>3742</v>
      </c>
      <c r="F314" s="937">
        <v>321.89</v>
      </c>
      <c r="G314" s="936">
        <f t="shared" si="5"/>
        <v>321.89</v>
      </c>
    </row>
    <row r="315" spans="1:7" x14ac:dyDescent="0.25">
      <c r="A315" s="939" t="s">
        <v>3716</v>
      </c>
      <c r="B315" s="938">
        <v>1</v>
      </c>
      <c r="C315" s="938" t="s">
        <v>3706</v>
      </c>
      <c r="D315" s="938" t="s">
        <v>3741</v>
      </c>
      <c r="E315" s="938" t="s">
        <v>3737</v>
      </c>
      <c r="F315" s="937">
        <v>61.59</v>
      </c>
      <c r="G315" s="936">
        <f t="shared" si="5"/>
        <v>61.59</v>
      </c>
    </row>
    <row r="316" spans="1:7" x14ac:dyDescent="0.25">
      <c r="A316" s="939" t="s">
        <v>3716</v>
      </c>
      <c r="B316" s="938">
        <v>89</v>
      </c>
      <c r="C316" s="938" t="s">
        <v>3706</v>
      </c>
      <c r="D316" s="938" t="s">
        <v>3740</v>
      </c>
      <c r="E316" s="938" t="s">
        <v>3737</v>
      </c>
      <c r="F316" s="937">
        <v>31.8</v>
      </c>
      <c r="G316" s="936">
        <f t="shared" si="5"/>
        <v>2830.2000000000003</v>
      </c>
    </row>
    <row r="317" spans="1:7" x14ac:dyDescent="0.25">
      <c r="A317" s="939" t="s">
        <v>3716</v>
      </c>
      <c r="B317" s="938">
        <v>4</v>
      </c>
      <c r="C317" s="938" t="s">
        <v>3706</v>
      </c>
      <c r="D317" s="938" t="s">
        <v>3739</v>
      </c>
      <c r="E317" s="938" t="s">
        <v>3737</v>
      </c>
      <c r="F317" s="937">
        <v>42.25</v>
      </c>
      <c r="G317" s="936">
        <f t="shared" si="5"/>
        <v>169</v>
      </c>
    </row>
    <row r="318" spans="1:7" x14ac:dyDescent="0.25">
      <c r="A318" s="939" t="s">
        <v>3716</v>
      </c>
      <c r="B318" s="938">
        <v>3</v>
      </c>
      <c r="C318" s="938" t="s">
        <v>3706</v>
      </c>
      <c r="D318" s="938" t="s">
        <v>3738</v>
      </c>
      <c r="E318" s="938" t="s">
        <v>3737</v>
      </c>
      <c r="F318" s="937">
        <v>53.57</v>
      </c>
      <c r="G318" s="936">
        <f t="shared" si="5"/>
        <v>160.71</v>
      </c>
    </row>
    <row r="319" spans="1:7" x14ac:dyDescent="0.25">
      <c r="A319" s="939" t="s">
        <v>3716</v>
      </c>
      <c r="B319" s="938">
        <v>16</v>
      </c>
      <c r="C319" s="938" t="s">
        <v>3706</v>
      </c>
      <c r="D319" s="938" t="s">
        <v>3736</v>
      </c>
      <c r="E319" s="938"/>
      <c r="F319" s="937">
        <v>10.62</v>
      </c>
      <c r="G319" s="936">
        <f t="shared" si="5"/>
        <v>169.92</v>
      </c>
    </row>
    <row r="320" spans="1:7" x14ac:dyDescent="0.25">
      <c r="A320" s="939" t="s">
        <v>3716</v>
      </c>
      <c r="B320" s="938">
        <v>10</v>
      </c>
      <c r="C320" s="938" t="s">
        <v>3706</v>
      </c>
      <c r="D320" s="938" t="s">
        <v>3735</v>
      </c>
      <c r="E320" s="938"/>
      <c r="F320" s="937">
        <v>3.82</v>
      </c>
      <c r="G320" s="936">
        <f t="shared" si="5"/>
        <v>38.199999999999996</v>
      </c>
    </row>
    <row r="321" spans="1:7" x14ac:dyDescent="0.25">
      <c r="A321" s="939" t="s">
        <v>3716</v>
      </c>
      <c r="B321" s="938">
        <v>56</v>
      </c>
      <c r="C321" s="938" t="s">
        <v>3706</v>
      </c>
      <c r="D321" s="938" t="s">
        <v>3734</v>
      </c>
      <c r="E321" s="938"/>
      <c r="F321" s="937">
        <v>3.12</v>
      </c>
      <c r="G321" s="936">
        <f t="shared" si="5"/>
        <v>174.72</v>
      </c>
    </row>
    <row r="322" spans="1:7" x14ac:dyDescent="0.25">
      <c r="A322" s="939" t="s">
        <v>3716</v>
      </c>
      <c r="B322" s="938">
        <v>20</v>
      </c>
      <c r="C322" s="938" t="s">
        <v>3706</v>
      </c>
      <c r="D322" s="938" t="s">
        <v>3733</v>
      </c>
      <c r="E322" s="938"/>
      <c r="F322" s="937">
        <v>2.42</v>
      </c>
      <c r="G322" s="936">
        <f t="shared" ref="G322:G348" si="6">F322*B322</f>
        <v>48.4</v>
      </c>
    </row>
    <row r="323" spans="1:7" x14ac:dyDescent="0.25">
      <c r="A323" s="939" t="s">
        <v>3716</v>
      </c>
      <c r="B323" s="938">
        <v>10</v>
      </c>
      <c r="C323" s="938" t="s">
        <v>3706</v>
      </c>
      <c r="D323" s="938" t="s">
        <v>3732</v>
      </c>
      <c r="E323" s="938"/>
      <c r="F323" s="937">
        <v>1.26</v>
      </c>
      <c r="G323" s="936">
        <f t="shared" si="6"/>
        <v>12.6</v>
      </c>
    </row>
    <row r="324" spans="1:7" x14ac:dyDescent="0.25">
      <c r="A324" s="939" t="s">
        <v>3716</v>
      </c>
      <c r="B324" s="938">
        <v>20</v>
      </c>
      <c r="C324" s="938" t="s">
        <v>3706</v>
      </c>
      <c r="D324" s="938" t="s">
        <v>3731</v>
      </c>
      <c r="E324" s="938"/>
      <c r="F324" s="937">
        <v>1</v>
      </c>
      <c r="G324" s="936">
        <f t="shared" si="6"/>
        <v>20</v>
      </c>
    </row>
    <row r="325" spans="1:7" x14ac:dyDescent="0.25">
      <c r="A325" s="939" t="s">
        <v>3716</v>
      </c>
      <c r="B325" s="938">
        <v>200</v>
      </c>
      <c r="C325" s="938" t="s">
        <v>3706</v>
      </c>
      <c r="D325" s="938" t="s">
        <v>3730</v>
      </c>
      <c r="E325" s="938"/>
      <c r="F325" s="937">
        <v>0.67</v>
      </c>
      <c r="G325" s="936">
        <f t="shared" si="6"/>
        <v>134</v>
      </c>
    </row>
    <row r="326" spans="1:7" x14ac:dyDescent="0.25">
      <c r="A326" s="939" t="s">
        <v>3716</v>
      </c>
      <c r="B326" s="938">
        <v>600</v>
      </c>
      <c r="C326" s="938" t="s">
        <v>3706</v>
      </c>
      <c r="D326" s="938" t="s">
        <v>3729</v>
      </c>
      <c r="E326" s="938"/>
      <c r="F326" s="937">
        <v>5.95</v>
      </c>
      <c r="G326" s="936">
        <f t="shared" si="6"/>
        <v>3570</v>
      </c>
    </row>
    <row r="327" spans="1:7" x14ac:dyDescent="0.25">
      <c r="A327" s="939" t="s">
        <v>3716</v>
      </c>
      <c r="B327" s="938">
        <v>200</v>
      </c>
      <c r="C327" s="938" t="s">
        <v>3706</v>
      </c>
      <c r="D327" s="938" t="s">
        <v>3728</v>
      </c>
      <c r="E327" s="938"/>
      <c r="F327" s="937">
        <v>0.19</v>
      </c>
      <c r="G327" s="936">
        <f t="shared" si="6"/>
        <v>38</v>
      </c>
    </row>
    <row r="328" spans="1:7" x14ac:dyDescent="0.25">
      <c r="A328" s="939" t="s">
        <v>3716</v>
      </c>
      <c r="B328" s="938">
        <v>10</v>
      </c>
      <c r="C328" s="938" t="s">
        <v>54</v>
      </c>
      <c r="D328" s="938" t="s">
        <v>3727</v>
      </c>
      <c r="E328" s="938"/>
      <c r="F328" s="937">
        <v>10.56</v>
      </c>
      <c r="G328" s="936">
        <f t="shared" si="6"/>
        <v>105.60000000000001</v>
      </c>
    </row>
    <row r="329" spans="1:7" x14ac:dyDescent="0.25">
      <c r="A329" s="939" t="s">
        <v>3716</v>
      </c>
      <c r="B329" s="938">
        <v>10</v>
      </c>
      <c r="C329" s="938" t="s">
        <v>54</v>
      </c>
      <c r="D329" s="938" t="s">
        <v>3726</v>
      </c>
      <c r="E329" s="938"/>
      <c r="F329" s="937">
        <v>10.56</v>
      </c>
      <c r="G329" s="936">
        <f t="shared" si="6"/>
        <v>105.60000000000001</v>
      </c>
    </row>
    <row r="330" spans="1:7" x14ac:dyDescent="0.25">
      <c r="A330" s="939" t="s">
        <v>3716</v>
      </c>
      <c r="B330" s="938">
        <v>10</v>
      </c>
      <c r="C330" s="938" t="s">
        <v>54</v>
      </c>
      <c r="D330" s="938" t="s">
        <v>3725</v>
      </c>
      <c r="E330" s="938"/>
      <c r="F330" s="937">
        <v>10.56</v>
      </c>
      <c r="G330" s="936">
        <f t="shared" si="6"/>
        <v>105.60000000000001</v>
      </c>
    </row>
    <row r="331" spans="1:7" x14ac:dyDescent="0.25">
      <c r="A331" s="939" t="s">
        <v>3716</v>
      </c>
      <c r="B331" s="938">
        <v>10</v>
      </c>
      <c r="C331" s="938" t="s">
        <v>54</v>
      </c>
      <c r="D331" s="938" t="s">
        <v>3724</v>
      </c>
      <c r="E331" s="938"/>
      <c r="F331" s="937">
        <v>10.56</v>
      </c>
      <c r="G331" s="936">
        <f t="shared" si="6"/>
        <v>105.60000000000001</v>
      </c>
    </row>
    <row r="332" spans="1:7" x14ac:dyDescent="0.25">
      <c r="A332" s="939" t="s">
        <v>3716</v>
      </c>
      <c r="B332" s="938">
        <v>10</v>
      </c>
      <c r="C332" s="938" t="s">
        <v>54</v>
      </c>
      <c r="D332" s="938" t="s">
        <v>3723</v>
      </c>
      <c r="E332" s="938"/>
      <c r="F332" s="937">
        <v>10.56</v>
      </c>
      <c r="G332" s="936">
        <f t="shared" si="6"/>
        <v>105.60000000000001</v>
      </c>
    </row>
    <row r="333" spans="1:7" x14ac:dyDescent="0.25">
      <c r="A333" s="939" t="s">
        <v>3716</v>
      </c>
      <c r="B333" s="938">
        <v>20</v>
      </c>
      <c r="C333" s="938" t="s">
        <v>54</v>
      </c>
      <c r="D333" s="938" t="s">
        <v>3722</v>
      </c>
      <c r="E333" s="938"/>
      <c r="F333" s="937">
        <v>3.01</v>
      </c>
      <c r="G333" s="936">
        <f t="shared" si="6"/>
        <v>60.199999999999996</v>
      </c>
    </row>
    <row r="334" spans="1:7" x14ac:dyDescent="0.25">
      <c r="A334" s="939" t="s">
        <v>3716</v>
      </c>
      <c r="B334" s="938">
        <v>20</v>
      </c>
      <c r="C334" s="938" t="s">
        <v>54</v>
      </c>
      <c r="D334" s="938" t="s">
        <v>3721</v>
      </c>
      <c r="E334" s="938"/>
      <c r="F334" s="937">
        <v>3.01</v>
      </c>
      <c r="G334" s="936">
        <f t="shared" si="6"/>
        <v>60.199999999999996</v>
      </c>
    </row>
    <row r="335" spans="1:7" x14ac:dyDescent="0.25">
      <c r="A335" s="939" t="s">
        <v>3716</v>
      </c>
      <c r="B335" s="938">
        <v>20</v>
      </c>
      <c r="C335" s="938" t="s">
        <v>54</v>
      </c>
      <c r="D335" s="938" t="s">
        <v>3720</v>
      </c>
      <c r="E335" s="938"/>
      <c r="F335" s="937">
        <v>3.01</v>
      </c>
      <c r="G335" s="936">
        <f t="shared" si="6"/>
        <v>60.199999999999996</v>
      </c>
    </row>
    <row r="336" spans="1:7" x14ac:dyDescent="0.25">
      <c r="A336" s="939" t="s">
        <v>3716</v>
      </c>
      <c r="B336" s="938">
        <v>20</v>
      </c>
      <c r="C336" s="938" t="s">
        <v>54</v>
      </c>
      <c r="D336" s="938" t="s">
        <v>3719</v>
      </c>
      <c r="E336" s="938"/>
      <c r="F336" s="937">
        <v>3.01</v>
      </c>
      <c r="G336" s="936">
        <f t="shared" si="6"/>
        <v>60.199999999999996</v>
      </c>
    </row>
    <row r="337" spans="1:7" x14ac:dyDescent="0.25">
      <c r="A337" s="939" t="s">
        <v>3716</v>
      </c>
      <c r="B337" s="938">
        <v>20</v>
      </c>
      <c r="C337" s="938" t="s">
        <v>54</v>
      </c>
      <c r="D337" s="938" t="s">
        <v>3718</v>
      </c>
      <c r="E337" s="938"/>
      <c r="F337" s="937">
        <v>3.01</v>
      </c>
      <c r="G337" s="936">
        <f t="shared" si="6"/>
        <v>60.199999999999996</v>
      </c>
    </row>
    <row r="338" spans="1:7" x14ac:dyDescent="0.25">
      <c r="A338" s="939" t="s">
        <v>3716</v>
      </c>
      <c r="B338" s="938">
        <v>20</v>
      </c>
      <c r="C338" s="938" t="s">
        <v>3706</v>
      </c>
      <c r="D338" s="938" t="s">
        <v>3717</v>
      </c>
      <c r="E338" s="938"/>
      <c r="F338" s="937">
        <v>20</v>
      </c>
      <c r="G338" s="936">
        <f t="shared" si="6"/>
        <v>400</v>
      </c>
    </row>
    <row r="339" spans="1:7" x14ac:dyDescent="0.25">
      <c r="A339" s="939" t="s">
        <v>3716</v>
      </c>
      <c r="B339" s="938">
        <v>1</v>
      </c>
      <c r="C339" s="938" t="s">
        <v>3706</v>
      </c>
      <c r="D339" s="938" t="s">
        <v>3715</v>
      </c>
      <c r="E339" s="938"/>
      <c r="F339" s="937">
        <v>65</v>
      </c>
      <c r="G339" s="936">
        <f t="shared" si="6"/>
        <v>65</v>
      </c>
    </row>
    <row r="340" spans="1:7" x14ac:dyDescent="0.25">
      <c r="A340" s="939" t="s">
        <v>3707</v>
      </c>
      <c r="B340" s="938">
        <v>16</v>
      </c>
      <c r="C340" s="938" t="s">
        <v>3706</v>
      </c>
      <c r="D340" s="938" t="s">
        <v>3714</v>
      </c>
      <c r="E340" s="938"/>
      <c r="F340" s="937">
        <v>145.63999999999999</v>
      </c>
      <c r="G340" s="936">
        <f t="shared" si="6"/>
        <v>2330.2399999999998</v>
      </c>
    </row>
    <row r="341" spans="1:7" x14ac:dyDescent="0.25">
      <c r="A341" s="939" t="s">
        <v>3707</v>
      </c>
      <c r="B341" s="938">
        <v>2</v>
      </c>
      <c r="C341" s="938" t="s">
        <v>3706</v>
      </c>
      <c r="D341" s="938" t="s">
        <v>3713</v>
      </c>
      <c r="E341" s="938"/>
      <c r="F341" s="937">
        <v>270</v>
      </c>
      <c r="G341" s="936">
        <f t="shared" si="6"/>
        <v>540</v>
      </c>
    </row>
    <row r="342" spans="1:7" x14ac:dyDescent="0.25">
      <c r="A342" s="939" t="s">
        <v>3707</v>
      </c>
      <c r="B342" s="938">
        <v>9</v>
      </c>
      <c r="C342" s="938" t="s">
        <v>3706</v>
      </c>
      <c r="D342" s="938" t="s">
        <v>3712</v>
      </c>
      <c r="E342" s="938"/>
      <c r="F342" s="937">
        <v>59.51</v>
      </c>
      <c r="G342" s="936">
        <f t="shared" si="6"/>
        <v>535.59</v>
      </c>
    </row>
    <row r="343" spans="1:7" x14ac:dyDescent="0.25">
      <c r="A343" s="939" t="s">
        <v>3707</v>
      </c>
      <c r="B343" s="938">
        <v>1</v>
      </c>
      <c r="C343" s="938" t="s">
        <v>3706</v>
      </c>
      <c r="D343" s="938" t="s">
        <v>3711</v>
      </c>
      <c r="E343" s="938"/>
      <c r="F343" s="937">
        <v>59.51</v>
      </c>
      <c r="G343" s="936">
        <f t="shared" si="6"/>
        <v>59.51</v>
      </c>
    </row>
    <row r="344" spans="1:7" x14ac:dyDescent="0.25">
      <c r="A344" s="939" t="s">
        <v>3707</v>
      </c>
      <c r="B344" s="938">
        <v>54</v>
      </c>
      <c r="C344" s="938" t="s">
        <v>3706</v>
      </c>
      <c r="D344" s="938" t="s">
        <v>3711</v>
      </c>
      <c r="E344" s="938"/>
      <c r="F344" s="937">
        <v>59.51</v>
      </c>
      <c r="G344" s="936">
        <f t="shared" si="6"/>
        <v>3213.54</v>
      </c>
    </row>
    <row r="345" spans="1:7" x14ac:dyDescent="0.25">
      <c r="A345" s="939" t="s">
        <v>3707</v>
      </c>
      <c r="B345" s="938">
        <v>95</v>
      </c>
      <c r="C345" s="938" t="s">
        <v>3706</v>
      </c>
      <c r="D345" s="938" t="s">
        <v>3710</v>
      </c>
      <c r="E345" s="938"/>
      <c r="F345" s="937">
        <v>25.58</v>
      </c>
      <c r="G345" s="936">
        <f t="shared" si="6"/>
        <v>2430.1</v>
      </c>
    </row>
    <row r="346" spans="1:7" x14ac:dyDescent="0.25">
      <c r="A346" s="939" t="s">
        <v>3707</v>
      </c>
      <c r="B346" s="938">
        <v>1</v>
      </c>
      <c r="C346" s="938" t="s">
        <v>3706</v>
      </c>
      <c r="D346" s="938" t="s">
        <v>3709</v>
      </c>
      <c r="E346" s="938"/>
      <c r="F346" s="937">
        <v>46.91</v>
      </c>
      <c r="G346" s="936">
        <f t="shared" si="6"/>
        <v>46.91</v>
      </c>
    </row>
    <row r="347" spans="1:7" x14ac:dyDescent="0.25">
      <c r="A347" s="939" t="s">
        <v>3707</v>
      </c>
      <c r="B347" s="938">
        <v>2</v>
      </c>
      <c r="C347" s="938" t="s">
        <v>3706</v>
      </c>
      <c r="D347" s="938" t="s">
        <v>3708</v>
      </c>
      <c r="E347" s="938"/>
      <c r="F347" s="937">
        <v>266</v>
      </c>
      <c r="G347" s="936">
        <f t="shared" si="6"/>
        <v>532</v>
      </c>
    </row>
    <row r="348" spans="1:7" x14ac:dyDescent="0.25">
      <c r="A348" s="935" t="s">
        <v>3707</v>
      </c>
      <c r="B348" s="934">
        <v>1</v>
      </c>
      <c r="C348" s="934" t="s">
        <v>3706</v>
      </c>
      <c r="D348" s="934" t="s">
        <v>3705</v>
      </c>
      <c r="E348" s="934"/>
      <c r="F348" s="933">
        <v>389</v>
      </c>
      <c r="G348" s="932">
        <f t="shared" si="6"/>
        <v>389</v>
      </c>
    </row>
    <row r="349" spans="1:7" x14ac:dyDescent="0.25">
      <c r="A349" s="931" t="s">
        <v>56</v>
      </c>
      <c r="B349" s="930"/>
      <c r="C349" s="930"/>
      <c r="D349" s="930"/>
      <c r="E349" s="930"/>
      <c r="F349" s="929"/>
      <c r="G349" s="928">
        <f>SUM(G1:G348)</f>
        <v>666644.63699999929</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00FF"/>
  </sheetPr>
  <dimension ref="A1:J139"/>
  <sheetViews>
    <sheetView showGridLines="0" zoomScale="85" zoomScaleNormal="85" workbookViewId="0">
      <pane ySplit="1" topLeftCell="A2" activePane="bottomLeft" state="frozen"/>
      <selection activeCell="I2" sqref="I2"/>
      <selection pane="bottomLeft" activeCell="I2" sqref="I2:I8"/>
    </sheetView>
  </sheetViews>
  <sheetFormatPr defaultRowHeight="15" x14ac:dyDescent="0.25"/>
  <cols>
    <col min="1" max="1" width="36.42578125" style="926" bestFit="1" customWidth="1"/>
    <col min="2" max="3" width="9.140625" style="926"/>
    <col min="4" max="4" width="7.140625" style="926" customWidth="1"/>
    <col min="5" max="5" width="20.42578125" style="926" bestFit="1" customWidth="1"/>
    <col min="6" max="6" width="18" style="927" bestFit="1" customWidth="1"/>
    <col min="7" max="7" width="14.5703125" style="927" bestFit="1" customWidth="1"/>
    <col min="8" max="8" width="7.140625" style="926" customWidth="1"/>
    <col min="9" max="9" width="14.5703125" style="926" bestFit="1" customWidth="1"/>
    <col min="10" max="10" width="47.5703125" style="926" bestFit="1" customWidth="1"/>
    <col min="11" max="16384" width="9.140625" style="926"/>
  </cols>
  <sheetData>
    <row r="1" spans="1:10" ht="15" customHeight="1" x14ac:dyDescent="0.25">
      <c r="A1" s="952" t="s">
        <v>267</v>
      </c>
      <c r="B1" s="952" t="s">
        <v>4032</v>
      </c>
      <c r="C1" s="952" t="s">
        <v>4031</v>
      </c>
      <c r="D1" s="951" t="s">
        <v>4030</v>
      </c>
      <c r="E1" s="950" t="s">
        <v>4029</v>
      </c>
      <c r="F1" s="949" t="s">
        <v>4028</v>
      </c>
      <c r="G1" s="949" t="s">
        <v>4027</v>
      </c>
      <c r="I1" s="948" t="s">
        <v>4027</v>
      </c>
      <c r="J1" s="947" t="s">
        <v>267</v>
      </c>
    </row>
    <row r="2" spans="1:10" x14ac:dyDescent="0.25">
      <c r="A2" s="946" t="s">
        <v>4138</v>
      </c>
      <c r="B2" s="953">
        <v>513.29999999999995</v>
      </c>
      <c r="C2" s="945" t="s">
        <v>54</v>
      </c>
      <c r="D2" s="945" t="s">
        <v>4137</v>
      </c>
      <c r="E2" s="945" t="s">
        <v>4097</v>
      </c>
      <c r="F2" s="937">
        <v>5.73</v>
      </c>
      <c r="G2" s="943">
        <f t="shared" ref="G2:G33" si="0">F2*B2</f>
        <v>2941.2089999999998</v>
      </c>
      <c r="I2" s="957">
        <f t="shared" ref="I2:I8" si="1">SUMIFS($G$2:$G$139,$A$2:$A$139,$J2)</f>
        <v>65860.368899999987</v>
      </c>
      <c r="J2" s="942" t="s">
        <v>4138</v>
      </c>
    </row>
    <row r="3" spans="1:10" x14ac:dyDescent="0.25">
      <c r="A3" s="946" t="s">
        <v>4138</v>
      </c>
      <c r="B3" s="953">
        <v>1157.94</v>
      </c>
      <c r="C3" s="945" t="s">
        <v>54</v>
      </c>
      <c r="D3" s="945" t="s">
        <v>4137</v>
      </c>
      <c r="E3" s="945" t="s">
        <v>4096</v>
      </c>
      <c r="F3" s="937">
        <v>9.4600000000000009</v>
      </c>
      <c r="G3" s="943">
        <f t="shared" si="0"/>
        <v>10954.112400000002</v>
      </c>
      <c r="I3" s="956">
        <f t="shared" si="1"/>
        <v>55851.221933333334</v>
      </c>
      <c r="J3" s="942" t="s">
        <v>4134</v>
      </c>
    </row>
    <row r="4" spans="1:10" x14ac:dyDescent="0.25">
      <c r="A4" s="946" t="s">
        <v>4138</v>
      </c>
      <c r="B4" s="953">
        <v>328.09</v>
      </c>
      <c r="C4" s="945" t="s">
        <v>54</v>
      </c>
      <c r="D4" s="945" t="s">
        <v>4137</v>
      </c>
      <c r="E4" s="945" t="s">
        <v>4094</v>
      </c>
      <c r="F4" s="937">
        <v>12.42</v>
      </c>
      <c r="G4" s="943">
        <f t="shared" si="0"/>
        <v>4074.8777999999998</v>
      </c>
      <c r="I4" s="956">
        <f t="shared" si="1"/>
        <v>87870.16366250001</v>
      </c>
      <c r="J4" s="942" t="s">
        <v>4100</v>
      </c>
    </row>
    <row r="5" spans="1:10" x14ac:dyDescent="0.25">
      <c r="A5" s="946" t="s">
        <v>4138</v>
      </c>
      <c r="B5" s="953">
        <v>3358.5</v>
      </c>
      <c r="C5" s="945" t="s">
        <v>54</v>
      </c>
      <c r="D5" s="945" t="s">
        <v>4137</v>
      </c>
      <c r="E5" s="945" t="s">
        <v>4135</v>
      </c>
      <c r="F5" s="937">
        <v>13.12</v>
      </c>
      <c r="G5" s="943">
        <f t="shared" si="0"/>
        <v>44063.519999999997</v>
      </c>
      <c r="I5" s="956">
        <f t="shared" si="1"/>
        <v>53106.307199999996</v>
      </c>
      <c r="J5" s="942" t="s">
        <v>4092</v>
      </c>
    </row>
    <row r="6" spans="1:10" x14ac:dyDescent="0.25">
      <c r="A6" s="946" t="s">
        <v>4138</v>
      </c>
      <c r="B6" s="953">
        <v>98.85</v>
      </c>
      <c r="C6" s="945" t="s">
        <v>54</v>
      </c>
      <c r="D6" s="945" t="s">
        <v>4137</v>
      </c>
      <c r="E6" s="945" t="s">
        <v>4132</v>
      </c>
      <c r="F6" s="937">
        <v>34.29</v>
      </c>
      <c r="G6" s="943">
        <f t="shared" si="0"/>
        <v>3389.5664999999999</v>
      </c>
      <c r="I6" s="956">
        <f t="shared" si="1"/>
        <v>2257.34</v>
      </c>
      <c r="J6" s="942" t="s">
        <v>4085</v>
      </c>
    </row>
    <row r="7" spans="1:10" x14ac:dyDescent="0.25">
      <c r="A7" s="946" t="s">
        <v>4138</v>
      </c>
      <c r="B7" s="953">
        <v>9.56</v>
      </c>
      <c r="C7" s="945" t="s">
        <v>54</v>
      </c>
      <c r="D7" s="945" t="s">
        <v>4137</v>
      </c>
      <c r="E7" s="945" t="s">
        <v>4136</v>
      </c>
      <c r="F7" s="937">
        <v>45.72</v>
      </c>
      <c r="G7" s="943">
        <f t="shared" si="0"/>
        <v>437.08320000000003</v>
      </c>
      <c r="I7" s="956">
        <f t="shared" si="1"/>
        <v>69395.583039999998</v>
      </c>
      <c r="J7" s="942" t="s">
        <v>4055</v>
      </c>
    </row>
    <row r="8" spans="1:10" x14ac:dyDescent="0.25">
      <c r="A8" s="939" t="s">
        <v>4134</v>
      </c>
      <c r="B8" s="953">
        <v>2.61</v>
      </c>
      <c r="C8" s="945" t="s">
        <v>54</v>
      </c>
      <c r="D8" s="945" t="s">
        <v>4133</v>
      </c>
      <c r="E8" s="945" t="s">
        <v>4094</v>
      </c>
      <c r="F8" s="937">
        <v>26.58</v>
      </c>
      <c r="G8" s="943">
        <f t="shared" si="0"/>
        <v>69.373799999999989</v>
      </c>
      <c r="I8" s="955">
        <f t="shared" si="1"/>
        <v>49646.171999999991</v>
      </c>
      <c r="J8" s="954" t="s">
        <v>4035</v>
      </c>
    </row>
    <row r="9" spans="1:10" x14ac:dyDescent="0.25">
      <c r="A9" s="939" t="s">
        <v>4134</v>
      </c>
      <c r="B9" s="953">
        <v>1237.6099999999999</v>
      </c>
      <c r="C9" s="945" t="s">
        <v>54</v>
      </c>
      <c r="D9" s="945" t="s">
        <v>4133</v>
      </c>
      <c r="E9" s="945" t="s">
        <v>4135</v>
      </c>
      <c r="F9" s="937">
        <v>38.013333333333335</v>
      </c>
      <c r="G9" s="943">
        <f t="shared" si="0"/>
        <v>47045.681466666669</v>
      </c>
    </row>
    <row r="10" spans="1:10" x14ac:dyDescent="0.25">
      <c r="A10" s="939" t="s">
        <v>4134</v>
      </c>
      <c r="B10" s="953">
        <v>121.9</v>
      </c>
      <c r="C10" s="945" t="s">
        <v>54</v>
      </c>
      <c r="D10" s="945" t="s">
        <v>4133</v>
      </c>
      <c r="E10" s="945" t="s">
        <v>4132</v>
      </c>
      <c r="F10" s="937">
        <v>71.666666666666671</v>
      </c>
      <c r="G10" s="943">
        <f t="shared" si="0"/>
        <v>8736.1666666666679</v>
      </c>
    </row>
    <row r="11" spans="1:10" x14ac:dyDescent="0.25">
      <c r="A11" s="939" t="s">
        <v>4100</v>
      </c>
      <c r="B11" s="953">
        <v>65</v>
      </c>
      <c r="C11" s="945" t="s">
        <v>3859</v>
      </c>
      <c r="D11" s="945" t="s">
        <v>4130</v>
      </c>
      <c r="E11" s="945" t="s">
        <v>4131</v>
      </c>
      <c r="F11" s="937">
        <v>2.72</v>
      </c>
      <c r="G11" s="943">
        <f t="shared" si="0"/>
        <v>176.8</v>
      </c>
    </row>
    <row r="12" spans="1:10" x14ac:dyDescent="0.25">
      <c r="A12" s="939" t="s">
        <v>4100</v>
      </c>
      <c r="B12" s="953">
        <v>37</v>
      </c>
      <c r="C12" s="945" t="s">
        <v>3859</v>
      </c>
      <c r="D12" s="945" t="s">
        <v>4130</v>
      </c>
      <c r="E12" s="945" t="s">
        <v>4103</v>
      </c>
      <c r="F12" s="937">
        <v>14.9</v>
      </c>
      <c r="G12" s="943">
        <f t="shared" si="0"/>
        <v>551.30000000000007</v>
      </c>
    </row>
    <row r="13" spans="1:10" x14ac:dyDescent="0.25">
      <c r="A13" s="939" t="s">
        <v>4100</v>
      </c>
      <c r="B13" s="953">
        <v>7</v>
      </c>
      <c r="C13" s="945" t="s">
        <v>3859</v>
      </c>
      <c r="D13" s="945" t="s">
        <v>4129</v>
      </c>
      <c r="E13" s="945" t="s">
        <v>4116</v>
      </c>
      <c r="F13" s="937">
        <v>31.25</v>
      </c>
      <c r="G13" s="943">
        <f t="shared" si="0"/>
        <v>218.75</v>
      </c>
    </row>
    <row r="14" spans="1:10" x14ac:dyDescent="0.25">
      <c r="A14" s="939" t="s">
        <v>4100</v>
      </c>
      <c r="B14" s="953">
        <v>2</v>
      </c>
      <c r="C14" s="945" t="s">
        <v>3859</v>
      </c>
      <c r="D14" s="945" t="s">
        <v>4128</v>
      </c>
      <c r="E14" s="945" t="s">
        <v>4068</v>
      </c>
      <c r="F14" s="937">
        <v>13.6</v>
      </c>
      <c r="G14" s="943">
        <f t="shared" si="0"/>
        <v>27.2</v>
      </c>
    </row>
    <row r="15" spans="1:10" x14ac:dyDescent="0.25">
      <c r="A15" s="939" t="s">
        <v>4100</v>
      </c>
      <c r="B15" s="953">
        <v>18</v>
      </c>
      <c r="C15" s="945" t="s">
        <v>3859</v>
      </c>
      <c r="D15" s="945" t="s">
        <v>4128</v>
      </c>
      <c r="E15" s="945" t="s">
        <v>4105</v>
      </c>
      <c r="F15" s="937">
        <v>20.02</v>
      </c>
      <c r="G15" s="943">
        <f t="shared" si="0"/>
        <v>360.36</v>
      </c>
    </row>
    <row r="16" spans="1:10" x14ac:dyDescent="0.25">
      <c r="A16" s="939" t="s">
        <v>4100</v>
      </c>
      <c r="B16" s="953">
        <v>29</v>
      </c>
      <c r="C16" s="945" t="s">
        <v>3859</v>
      </c>
      <c r="D16" s="945" t="s">
        <v>4127</v>
      </c>
      <c r="E16" s="945" t="s">
        <v>4105</v>
      </c>
      <c r="F16" s="937">
        <v>22.89</v>
      </c>
      <c r="G16" s="943">
        <f t="shared" si="0"/>
        <v>663.81000000000006</v>
      </c>
    </row>
    <row r="17" spans="1:7" x14ac:dyDescent="0.25">
      <c r="A17" s="939" t="s">
        <v>4100</v>
      </c>
      <c r="B17" s="953">
        <v>5</v>
      </c>
      <c r="C17" s="945" t="s">
        <v>3859</v>
      </c>
      <c r="D17" s="945" t="s">
        <v>4126</v>
      </c>
      <c r="E17" s="945" t="s">
        <v>4072</v>
      </c>
      <c r="F17" s="937">
        <v>20.3</v>
      </c>
      <c r="G17" s="943">
        <f t="shared" si="0"/>
        <v>101.5</v>
      </c>
    </row>
    <row r="18" spans="1:7" x14ac:dyDescent="0.25">
      <c r="A18" s="939" t="s">
        <v>4100</v>
      </c>
      <c r="B18" s="953">
        <v>2</v>
      </c>
      <c r="C18" s="945" t="s">
        <v>3859</v>
      </c>
      <c r="D18" s="945" t="s">
        <v>4126</v>
      </c>
      <c r="E18" s="945" t="s">
        <v>4105</v>
      </c>
      <c r="F18" s="937">
        <v>64.88</v>
      </c>
      <c r="G18" s="943">
        <f t="shared" si="0"/>
        <v>129.76</v>
      </c>
    </row>
    <row r="19" spans="1:7" x14ac:dyDescent="0.25">
      <c r="A19" s="939" t="s">
        <v>4100</v>
      </c>
      <c r="B19" s="953">
        <v>8</v>
      </c>
      <c r="C19" s="945" t="s">
        <v>3859</v>
      </c>
      <c r="D19" s="945" t="s">
        <v>4125</v>
      </c>
      <c r="E19" s="945" t="s">
        <v>4068</v>
      </c>
      <c r="F19" s="937">
        <v>17.940000000000001</v>
      </c>
      <c r="G19" s="943">
        <f t="shared" si="0"/>
        <v>143.52000000000001</v>
      </c>
    </row>
    <row r="20" spans="1:7" x14ac:dyDescent="0.25">
      <c r="A20" s="939" t="s">
        <v>4100</v>
      </c>
      <c r="B20" s="953">
        <v>65</v>
      </c>
      <c r="C20" s="945" t="s">
        <v>3859</v>
      </c>
      <c r="D20" s="945" t="s">
        <v>4125</v>
      </c>
      <c r="E20" s="945" t="s">
        <v>4105</v>
      </c>
      <c r="F20" s="937">
        <v>18.27</v>
      </c>
      <c r="G20" s="943">
        <f t="shared" si="0"/>
        <v>1187.55</v>
      </c>
    </row>
    <row r="21" spans="1:7" x14ac:dyDescent="0.25">
      <c r="A21" s="939" t="s">
        <v>4100</v>
      </c>
      <c r="B21" s="953">
        <v>331</v>
      </c>
      <c r="C21" s="945" t="s">
        <v>3859</v>
      </c>
      <c r="D21" s="945" t="s">
        <v>4124</v>
      </c>
      <c r="E21" s="945" t="s">
        <v>4070</v>
      </c>
      <c r="F21" s="937">
        <v>2.3299999999999996</v>
      </c>
      <c r="G21" s="943">
        <f t="shared" si="0"/>
        <v>771.2299999999999</v>
      </c>
    </row>
    <row r="22" spans="1:7" x14ac:dyDescent="0.25">
      <c r="A22" s="939" t="s">
        <v>4100</v>
      </c>
      <c r="B22" s="953">
        <v>1512</v>
      </c>
      <c r="C22" s="945" t="s">
        <v>3859</v>
      </c>
      <c r="D22" s="945" t="s">
        <v>4124</v>
      </c>
      <c r="E22" s="945" t="s">
        <v>4072</v>
      </c>
      <c r="F22" s="937">
        <v>3.39</v>
      </c>
      <c r="G22" s="943">
        <f t="shared" si="0"/>
        <v>5125.68</v>
      </c>
    </row>
    <row r="23" spans="1:7" x14ac:dyDescent="0.25">
      <c r="A23" s="939" t="s">
        <v>4100</v>
      </c>
      <c r="B23" s="953">
        <v>143</v>
      </c>
      <c r="C23" s="945" t="s">
        <v>3859</v>
      </c>
      <c r="D23" s="945" t="s">
        <v>4124</v>
      </c>
      <c r="E23" s="945" t="s">
        <v>4068</v>
      </c>
      <c r="F23" s="937">
        <v>4.24</v>
      </c>
      <c r="G23" s="943">
        <f t="shared" si="0"/>
        <v>606.32000000000005</v>
      </c>
    </row>
    <row r="24" spans="1:7" x14ac:dyDescent="0.25">
      <c r="A24" s="939" t="s">
        <v>4100</v>
      </c>
      <c r="B24" s="953">
        <v>780</v>
      </c>
      <c r="C24" s="945" t="s">
        <v>3859</v>
      </c>
      <c r="D24" s="945" t="s">
        <v>4124</v>
      </c>
      <c r="E24" s="945" t="s">
        <v>4105</v>
      </c>
      <c r="F24" s="937">
        <v>5.3000000000000007</v>
      </c>
      <c r="G24" s="943">
        <f t="shared" si="0"/>
        <v>4134.0000000000009</v>
      </c>
    </row>
    <row r="25" spans="1:7" x14ac:dyDescent="0.25">
      <c r="A25" s="939" t="s">
        <v>4100</v>
      </c>
      <c r="B25" s="953">
        <v>18</v>
      </c>
      <c r="C25" s="945" t="s">
        <v>3859</v>
      </c>
      <c r="D25" s="945" t="s">
        <v>4124</v>
      </c>
      <c r="E25" s="945" t="s">
        <v>4108</v>
      </c>
      <c r="F25" s="937">
        <v>6.6250000000000009</v>
      </c>
      <c r="G25" s="943">
        <f t="shared" si="0"/>
        <v>119.25000000000001</v>
      </c>
    </row>
    <row r="26" spans="1:7" x14ac:dyDescent="0.25">
      <c r="A26" s="939" t="s">
        <v>4100</v>
      </c>
      <c r="B26" s="953">
        <v>1</v>
      </c>
      <c r="C26" s="945" t="s">
        <v>3859</v>
      </c>
      <c r="D26" s="945" t="s">
        <v>4123</v>
      </c>
      <c r="E26" s="945" t="s">
        <v>4068</v>
      </c>
      <c r="F26" s="937">
        <v>4.4520000000000008</v>
      </c>
      <c r="G26" s="943">
        <f t="shared" si="0"/>
        <v>4.4520000000000008</v>
      </c>
    </row>
    <row r="27" spans="1:7" x14ac:dyDescent="0.25">
      <c r="A27" s="939" t="s">
        <v>4100</v>
      </c>
      <c r="B27" s="953">
        <v>474</v>
      </c>
      <c r="C27" s="945" t="s">
        <v>3859</v>
      </c>
      <c r="D27" s="945" t="s">
        <v>4123</v>
      </c>
      <c r="E27" s="945" t="s">
        <v>4105</v>
      </c>
      <c r="F27" s="937">
        <v>5.5650000000000013</v>
      </c>
      <c r="G27" s="943">
        <f t="shared" si="0"/>
        <v>2637.8100000000004</v>
      </c>
    </row>
    <row r="28" spans="1:7" x14ac:dyDescent="0.25">
      <c r="A28" s="939" t="s">
        <v>4100</v>
      </c>
      <c r="B28" s="953">
        <v>36</v>
      </c>
      <c r="C28" s="945" t="s">
        <v>3859</v>
      </c>
      <c r="D28" s="945" t="s">
        <v>4123</v>
      </c>
      <c r="E28" s="945" t="s">
        <v>4108</v>
      </c>
      <c r="F28" s="937">
        <v>6.9562500000000016</v>
      </c>
      <c r="G28" s="943">
        <f t="shared" si="0"/>
        <v>250.42500000000007</v>
      </c>
    </row>
    <row r="29" spans="1:7" x14ac:dyDescent="0.25">
      <c r="A29" s="939" t="s">
        <v>4100</v>
      </c>
      <c r="B29" s="953">
        <v>18</v>
      </c>
      <c r="C29" s="945" t="s">
        <v>3859</v>
      </c>
      <c r="D29" s="945" t="s">
        <v>4122</v>
      </c>
      <c r="E29" s="945" t="s">
        <v>4105</v>
      </c>
      <c r="F29" s="937">
        <v>270</v>
      </c>
      <c r="G29" s="943">
        <f t="shared" si="0"/>
        <v>4860</v>
      </c>
    </row>
    <row r="30" spans="1:7" x14ac:dyDescent="0.25">
      <c r="A30" s="939" t="s">
        <v>4100</v>
      </c>
      <c r="B30" s="953">
        <v>3</v>
      </c>
      <c r="C30" s="945" t="s">
        <v>3859</v>
      </c>
      <c r="D30" s="945" t="s">
        <v>4122</v>
      </c>
      <c r="E30" s="945" t="s">
        <v>4108</v>
      </c>
      <c r="F30" s="937">
        <v>337.5</v>
      </c>
      <c r="G30" s="943">
        <f t="shared" si="0"/>
        <v>1012.5</v>
      </c>
    </row>
    <row r="31" spans="1:7" x14ac:dyDescent="0.25">
      <c r="A31" s="939" t="s">
        <v>4100</v>
      </c>
      <c r="B31" s="953">
        <v>234</v>
      </c>
      <c r="C31" s="945" t="s">
        <v>3859</v>
      </c>
      <c r="D31" s="945" t="s">
        <v>4121</v>
      </c>
      <c r="E31" s="945" t="s">
        <v>4070</v>
      </c>
      <c r="F31" s="937">
        <v>12.57</v>
      </c>
      <c r="G31" s="943">
        <f t="shared" si="0"/>
        <v>2941.38</v>
      </c>
    </row>
    <row r="32" spans="1:7" x14ac:dyDescent="0.25">
      <c r="A32" s="939" t="s">
        <v>4100</v>
      </c>
      <c r="B32" s="953">
        <v>738</v>
      </c>
      <c r="C32" s="945" t="s">
        <v>3859</v>
      </c>
      <c r="D32" s="945" t="s">
        <v>4121</v>
      </c>
      <c r="E32" s="945" t="s">
        <v>4072</v>
      </c>
      <c r="F32" s="937">
        <v>15.7125</v>
      </c>
      <c r="G32" s="943">
        <f t="shared" si="0"/>
        <v>11595.825000000001</v>
      </c>
    </row>
    <row r="33" spans="1:7" x14ac:dyDescent="0.25">
      <c r="A33" s="939" t="s">
        <v>4100</v>
      </c>
      <c r="B33" s="953">
        <v>3</v>
      </c>
      <c r="C33" s="945" t="s">
        <v>3859</v>
      </c>
      <c r="D33" s="945" t="s">
        <v>4121</v>
      </c>
      <c r="E33" s="945" t="s">
        <v>4068</v>
      </c>
      <c r="F33" s="937">
        <v>19.640625</v>
      </c>
      <c r="G33" s="943">
        <f t="shared" si="0"/>
        <v>58.921875</v>
      </c>
    </row>
    <row r="34" spans="1:7" x14ac:dyDescent="0.25">
      <c r="A34" s="939" t="s">
        <v>4100</v>
      </c>
      <c r="B34" s="953">
        <v>289</v>
      </c>
      <c r="C34" s="945" t="s">
        <v>3859</v>
      </c>
      <c r="D34" s="945" t="s">
        <v>4121</v>
      </c>
      <c r="E34" s="945" t="s">
        <v>4105</v>
      </c>
      <c r="F34" s="937">
        <v>24.55078125</v>
      </c>
      <c r="G34" s="943">
        <f t="shared" ref="G34:G65" si="2">F34*B34</f>
        <v>7095.17578125</v>
      </c>
    </row>
    <row r="35" spans="1:7" x14ac:dyDescent="0.25">
      <c r="A35" s="939" t="s">
        <v>4100</v>
      </c>
      <c r="B35" s="953">
        <v>2</v>
      </c>
      <c r="C35" s="945" t="s">
        <v>3859</v>
      </c>
      <c r="D35" s="945" t="s">
        <v>4121</v>
      </c>
      <c r="E35" s="945" t="s">
        <v>4108</v>
      </c>
      <c r="F35" s="937">
        <v>30.6884765625</v>
      </c>
      <c r="G35" s="943">
        <f t="shared" si="2"/>
        <v>61.376953125</v>
      </c>
    </row>
    <row r="36" spans="1:7" x14ac:dyDescent="0.25">
      <c r="A36" s="939" t="s">
        <v>4100</v>
      </c>
      <c r="B36" s="953">
        <v>10</v>
      </c>
      <c r="C36" s="945" t="s">
        <v>3859</v>
      </c>
      <c r="D36" s="945" t="s">
        <v>4120</v>
      </c>
      <c r="E36" s="945" t="s">
        <v>4105</v>
      </c>
      <c r="F36" s="937">
        <v>25.7783203125</v>
      </c>
      <c r="G36" s="943">
        <f t="shared" si="2"/>
        <v>257.783203125</v>
      </c>
    </row>
    <row r="37" spans="1:7" x14ac:dyDescent="0.25">
      <c r="A37" s="939" t="s">
        <v>4100</v>
      </c>
      <c r="B37" s="953">
        <v>225</v>
      </c>
      <c r="C37" s="945" t="s">
        <v>3859</v>
      </c>
      <c r="D37" s="945" t="s">
        <v>4119</v>
      </c>
      <c r="E37" s="945" t="s">
        <v>4070</v>
      </c>
      <c r="F37" s="937">
        <v>6.26</v>
      </c>
      <c r="G37" s="943">
        <f t="shared" si="2"/>
        <v>1408.5</v>
      </c>
    </row>
    <row r="38" spans="1:7" x14ac:dyDescent="0.25">
      <c r="A38" s="939" t="s">
        <v>4100</v>
      </c>
      <c r="B38" s="953">
        <v>272</v>
      </c>
      <c r="C38" s="945" t="s">
        <v>3859</v>
      </c>
      <c r="D38" s="945" t="s">
        <v>4119</v>
      </c>
      <c r="E38" s="945" t="s">
        <v>4072</v>
      </c>
      <c r="F38" s="937">
        <v>7.8249999999999993</v>
      </c>
      <c r="G38" s="943">
        <f t="shared" si="2"/>
        <v>2128.3999999999996</v>
      </c>
    </row>
    <row r="39" spans="1:7" x14ac:dyDescent="0.25">
      <c r="A39" s="939" t="s">
        <v>4100</v>
      </c>
      <c r="B39" s="953">
        <v>56</v>
      </c>
      <c r="C39" s="945" t="s">
        <v>3859</v>
      </c>
      <c r="D39" s="945" t="s">
        <v>4117</v>
      </c>
      <c r="E39" s="945" t="s">
        <v>4102</v>
      </c>
      <c r="F39" s="937">
        <v>14.978</v>
      </c>
      <c r="G39" s="943">
        <f t="shared" si="2"/>
        <v>838.76800000000003</v>
      </c>
    </row>
    <row r="40" spans="1:7" x14ac:dyDescent="0.25">
      <c r="A40" s="939" t="s">
        <v>4100</v>
      </c>
      <c r="B40" s="953">
        <v>23</v>
      </c>
      <c r="C40" s="945" t="s">
        <v>3859</v>
      </c>
      <c r="D40" s="945" t="s">
        <v>4117</v>
      </c>
      <c r="E40" s="945" t="s">
        <v>4101</v>
      </c>
      <c r="F40" s="937">
        <v>16.05</v>
      </c>
      <c r="G40" s="943">
        <f t="shared" si="2"/>
        <v>369.15000000000003</v>
      </c>
    </row>
    <row r="41" spans="1:7" x14ac:dyDescent="0.25">
      <c r="A41" s="939" t="s">
        <v>4100</v>
      </c>
      <c r="B41" s="953">
        <v>29</v>
      </c>
      <c r="C41" s="945" t="s">
        <v>3859</v>
      </c>
      <c r="D41" s="945" t="s">
        <v>4117</v>
      </c>
      <c r="E41" s="945" t="s">
        <v>4118</v>
      </c>
      <c r="F41" s="937">
        <v>16.55</v>
      </c>
      <c r="G41" s="943">
        <f t="shared" si="2"/>
        <v>479.95000000000005</v>
      </c>
    </row>
    <row r="42" spans="1:7" x14ac:dyDescent="0.25">
      <c r="A42" s="939" t="s">
        <v>4100</v>
      </c>
      <c r="B42" s="953">
        <v>323</v>
      </c>
      <c r="C42" s="945" t="s">
        <v>3859</v>
      </c>
      <c r="D42" s="945" t="s">
        <v>4117</v>
      </c>
      <c r="E42" s="945" t="s">
        <v>4098</v>
      </c>
      <c r="F42" s="937">
        <v>18.25</v>
      </c>
      <c r="G42" s="943">
        <f t="shared" si="2"/>
        <v>5894.75</v>
      </c>
    </row>
    <row r="43" spans="1:7" x14ac:dyDescent="0.25">
      <c r="A43" s="939" t="s">
        <v>4100</v>
      </c>
      <c r="B43" s="953">
        <v>725</v>
      </c>
      <c r="C43" s="945" t="s">
        <v>3859</v>
      </c>
      <c r="D43" s="945" t="s">
        <v>4117</v>
      </c>
      <c r="E43" s="945" t="s">
        <v>4103</v>
      </c>
      <c r="F43" s="937">
        <v>15.81</v>
      </c>
      <c r="G43" s="943">
        <f t="shared" si="2"/>
        <v>11462.25</v>
      </c>
    </row>
    <row r="44" spans="1:7" x14ac:dyDescent="0.25">
      <c r="A44" s="939" t="s">
        <v>4100</v>
      </c>
      <c r="B44" s="953">
        <v>23</v>
      </c>
      <c r="C44" s="945" t="s">
        <v>3859</v>
      </c>
      <c r="D44" s="945" t="s">
        <v>4117</v>
      </c>
      <c r="E44" s="945" t="s">
        <v>4115</v>
      </c>
      <c r="F44" s="937">
        <v>16.6005</v>
      </c>
      <c r="G44" s="943">
        <f t="shared" si="2"/>
        <v>381.81150000000002</v>
      </c>
    </row>
    <row r="45" spans="1:7" x14ac:dyDescent="0.25">
      <c r="A45" s="939" t="s">
        <v>4100</v>
      </c>
      <c r="B45" s="953">
        <v>1</v>
      </c>
      <c r="C45" s="945" t="s">
        <v>3859</v>
      </c>
      <c r="D45" s="945" t="s">
        <v>4117</v>
      </c>
      <c r="E45" s="945" t="s">
        <v>4112</v>
      </c>
      <c r="F45" s="937">
        <v>59.875</v>
      </c>
      <c r="G45" s="943">
        <f t="shared" si="2"/>
        <v>59.875</v>
      </c>
    </row>
    <row r="46" spans="1:7" x14ac:dyDescent="0.25">
      <c r="A46" s="939" t="s">
        <v>4100</v>
      </c>
      <c r="B46" s="953">
        <v>1</v>
      </c>
      <c r="C46" s="945" t="s">
        <v>3859</v>
      </c>
      <c r="D46" s="945" t="s">
        <v>4117</v>
      </c>
      <c r="E46" s="945" t="s">
        <v>4116</v>
      </c>
      <c r="F46" s="937">
        <v>47.9</v>
      </c>
      <c r="G46" s="943">
        <f t="shared" si="2"/>
        <v>47.9</v>
      </c>
    </row>
    <row r="47" spans="1:7" x14ac:dyDescent="0.25">
      <c r="A47" s="939" t="s">
        <v>4100</v>
      </c>
      <c r="B47" s="953">
        <v>12</v>
      </c>
      <c r="C47" s="945" t="s">
        <v>3859</v>
      </c>
      <c r="D47" s="945" t="s">
        <v>4113</v>
      </c>
      <c r="E47" s="945" t="s">
        <v>4103</v>
      </c>
      <c r="F47" s="937">
        <v>45.504999999999995</v>
      </c>
      <c r="G47" s="943">
        <f t="shared" si="2"/>
        <v>546.05999999999995</v>
      </c>
    </row>
    <row r="48" spans="1:7" x14ac:dyDescent="0.25">
      <c r="A48" s="939" t="s">
        <v>4100</v>
      </c>
      <c r="B48" s="953">
        <v>63</v>
      </c>
      <c r="C48" s="945" t="s">
        <v>3859</v>
      </c>
      <c r="D48" s="945" t="s">
        <v>4113</v>
      </c>
      <c r="E48" s="945" t="s">
        <v>4098</v>
      </c>
      <c r="F48" s="937">
        <v>19.162500000000001</v>
      </c>
      <c r="G48" s="943">
        <f t="shared" si="2"/>
        <v>1207.2375000000002</v>
      </c>
    </row>
    <row r="49" spans="1:7" x14ac:dyDescent="0.25">
      <c r="A49" s="939" t="s">
        <v>4100</v>
      </c>
      <c r="B49" s="953">
        <v>2</v>
      </c>
      <c r="C49" s="945" t="s">
        <v>3859</v>
      </c>
      <c r="D49" s="945" t="s">
        <v>4113</v>
      </c>
      <c r="E49" s="945" t="s">
        <v>4115</v>
      </c>
      <c r="F49" s="937">
        <v>17.430524999999999</v>
      </c>
      <c r="G49" s="943">
        <f t="shared" si="2"/>
        <v>34.861049999999999</v>
      </c>
    </row>
    <row r="50" spans="1:7" x14ac:dyDescent="0.25">
      <c r="A50" s="939" t="s">
        <v>4100</v>
      </c>
      <c r="B50" s="953">
        <v>13</v>
      </c>
      <c r="C50" s="945" t="s">
        <v>3859</v>
      </c>
      <c r="D50" s="945" t="s">
        <v>4113</v>
      </c>
      <c r="E50" s="945" t="s">
        <v>4114</v>
      </c>
      <c r="F50" s="937">
        <v>50.295000000000002</v>
      </c>
      <c r="G50" s="943">
        <f t="shared" si="2"/>
        <v>653.83500000000004</v>
      </c>
    </row>
    <row r="51" spans="1:7" x14ac:dyDescent="0.25">
      <c r="A51" s="939" t="s">
        <v>4100</v>
      </c>
      <c r="B51" s="953">
        <v>1</v>
      </c>
      <c r="C51" s="945" t="s">
        <v>3859</v>
      </c>
      <c r="D51" s="945" t="s">
        <v>4113</v>
      </c>
      <c r="E51" s="945" t="s">
        <v>4112</v>
      </c>
      <c r="F51" s="937">
        <v>62.868750000000006</v>
      </c>
      <c r="G51" s="943">
        <f t="shared" si="2"/>
        <v>62.868750000000006</v>
      </c>
    </row>
    <row r="52" spans="1:7" x14ac:dyDescent="0.25">
      <c r="A52" s="939" t="s">
        <v>4100</v>
      </c>
      <c r="B52" s="953">
        <v>1</v>
      </c>
      <c r="C52" s="945" t="s">
        <v>3859</v>
      </c>
      <c r="D52" s="945" t="s">
        <v>4111</v>
      </c>
      <c r="E52" s="945" t="s">
        <v>4105</v>
      </c>
      <c r="F52" s="937">
        <v>16.37</v>
      </c>
      <c r="G52" s="943">
        <f t="shared" si="2"/>
        <v>16.37</v>
      </c>
    </row>
    <row r="53" spans="1:7" x14ac:dyDescent="0.25">
      <c r="A53" s="939" t="s">
        <v>4100</v>
      </c>
      <c r="B53" s="953">
        <v>1504</v>
      </c>
      <c r="C53" s="945" t="s">
        <v>3859</v>
      </c>
      <c r="D53" s="945" t="s">
        <v>4110</v>
      </c>
      <c r="E53" s="945" t="s">
        <v>4072</v>
      </c>
      <c r="F53" s="937">
        <v>2.5</v>
      </c>
      <c r="G53" s="943">
        <f t="shared" si="2"/>
        <v>3760</v>
      </c>
    </row>
    <row r="54" spans="1:7" x14ac:dyDescent="0.25">
      <c r="A54" s="939" t="s">
        <v>4100</v>
      </c>
      <c r="B54" s="953">
        <v>164</v>
      </c>
      <c r="C54" s="945" t="s">
        <v>3859</v>
      </c>
      <c r="D54" s="945" t="s">
        <v>4110</v>
      </c>
      <c r="E54" s="945" t="s">
        <v>4068</v>
      </c>
      <c r="F54" s="937">
        <v>2.72</v>
      </c>
      <c r="G54" s="943">
        <f t="shared" si="2"/>
        <v>446.08000000000004</v>
      </c>
    </row>
    <row r="55" spans="1:7" x14ac:dyDescent="0.25">
      <c r="A55" s="939" t="s">
        <v>4100</v>
      </c>
      <c r="B55" s="953">
        <v>1933</v>
      </c>
      <c r="C55" s="945" t="s">
        <v>3859</v>
      </c>
      <c r="D55" s="945" t="s">
        <v>4110</v>
      </c>
      <c r="E55" s="945" t="s">
        <v>4105</v>
      </c>
      <c r="F55" s="937">
        <v>3.64</v>
      </c>
      <c r="G55" s="943">
        <f t="shared" si="2"/>
        <v>7036.12</v>
      </c>
    </row>
    <row r="56" spans="1:7" x14ac:dyDescent="0.25">
      <c r="A56" s="939" t="s">
        <v>4100</v>
      </c>
      <c r="B56" s="953">
        <v>17</v>
      </c>
      <c r="C56" s="945" t="s">
        <v>3859</v>
      </c>
      <c r="D56" s="945" t="s">
        <v>4110</v>
      </c>
      <c r="E56" s="945" t="s">
        <v>4108</v>
      </c>
      <c r="F56" s="937">
        <v>4.7320000000000002</v>
      </c>
      <c r="G56" s="943">
        <f t="shared" si="2"/>
        <v>80.444000000000003</v>
      </c>
    </row>
    <row r="57" spans="1:7" x14ac:dyDescent="0.25">
      <c r="A57" s="939" t="s">
        <v>4100</v>
      </c>
      <c r="B57" s="953">
        <v>1</v>
      </c>
      <c r="C57" s="945" t="s">
        <v>3859</v>
      </c>
      <c r="D57" s="945" t="s">
        <v>4109</v>
      </c>
      <c r="E57" s="945" t="s">
        <v>4068</v>
      </c>
      <c r="F57" s="937">
        <v>2.8560000000000003</v>
      </c>
      <c r="G57" s="943">
        <f t="shared" si="2"/>
        <v>2.8560000000000003</v>
      </c>
    </row>
    <row r="58" spans="1:7" x14ac:dyDescent="0.25">
      <c r="A58" s="939" t="s">
        <v>4100</v>
      </c>
      <c r="B58" s="953">
        <v>387</v>
      </c>
      <c r="C58" s="945" t="s">
        <v>3859</v>
      </c>
      <c r="D58" s="945" t="s">
        <v>4109</v>
      </c>
      <c r="E58" s="945" t="s">
        <v>4105</v>
      </c>
      <c r="F58" s="937">
        <v>3.8220000000000005</v>
      </c>
      <c r="G58" s="943">
        <f t="shared" si="2"/>
        <v>1479.1140000000003</v>
      </c>
    </row>
    <row r="59" spans="1:7" x14ac:dyDescent="0.25">
      <c r="A59" s="939" t="s">
        <v>4100</v>
      </c>
      <c r="B59" s="953">
        <v>40</v>
      </c>
      <c r="C59" s="945" t="s">
        <v>3859</v>
      </c>
      <c r="D59" s="945" t="s">
        <v>4109</v>
      </c>
      <c r="E59" s="945" t="s">
        <v>4108</v>
      </c>
      <c r="F59" s="937">
        <v>4.9686000000000003</v>
      </c>
      <c r="G59" s="943">
        <f t="shared" si="2"/>
        <v>198.74400000000003</v>
      </c>
    </row>
    <row r="60" spans="1:7" x14ac:dyDescent="0.25">
      <c r="A60" s="939" t="s">
        <v>4100</v>
      </c>
      <c r="B60" s="953">
        <v>2</v>
      </c>
      <c r="C60" s="945" t="s">
        <v>3859</v>
      </c>
      <c r="D60" s="945" t="s">
        <v>4107</v>
      </c>
      <c r="E60" s="945" t="s">
        <v>4105</v>
      </c>
      <c r="F60" s="937"/>
      <c r="G60" s="943">
        <f t="shared" si="2"/>
        <v>0</v>
      </c>
    </row>
    <row r="61" spans="1:7" x14ac:dyDescent="0.25">
      <c r="A61" s="939" t="s">
        <v>4100</v>
      </c>
      <c r="B61" s="953">
        <v>5</v>
      </c>
      <c r="C61" s="945" t="s">
        <v>3859</v>
      </c>
      <c r="D61" s="945" t="s">
        <v>4106</v>
      </c>
      <c r="E61" s="945" t="s">
        <v>4072</v>
      </c>
      <c r="F61" s="937">
        <v>25.9</v>
      </c>
      <c r="G61" s="943">
        <f t="shared" si="2"/>
        <v>129.5</v>
      </c>
    </row>
    <row r="62" spans="1:7" x14ac:dyDescent="0.25">
      <c r="A62" s="939" t="s">
        <v>4100</v>
      </c>
      <c r="B62" s="953">
        <v>27</v>
      </c>
      <c r="C62" s="945" t="s">
        <v>3859</v>
      </c>
      <c r="D62" s="945" t="s">
        <v>4106</v>
      </c>
      <c r="E62" s="945" t="s">
        <v>4105</v>
      </c>
      <c r="F62" s="937">
        <v>26.99</v>
      </c>
      <c r="G62" s="943">
        <f t="shared" si="2"/>
        <v>728.7299999999999</v>
      </c>
    </row>
    <row r="63" spans="1:7" x14ac:dyDescent="0.25">
      <c r="A63" s="939" t="s">
        <v>4100</v>
      </c>
      <c r="B63" s="953">
        <v>1</v>
      </c>
      <c r="C63" s="945" t="s">
        <v>3859</v>
      </c>
      <c r="D63" s="945" t="s">
        <v>4104</v>
      </c>
      <c r="E63" s="945" t="s">
        <v>4103</v>
      </c>
      <c r="F63" s="937">
        <v>16.09</v>
      </c>
      <c r="G63" s="943">
        <f t="shared" si="2"/>
        <v>16.09</v>
      </c>
    </row>
    <row r="64" spans="1:7" x14ac:dyDescent="0.25">
      <c r="A64" s="939" t="s">
        <v>4100</v>
      </c>
      <c r="B64" s="953">
        <v>225</v>
      </c>
      <c r="C64" s="945" t="s">
        <v>3859</v>
      </c>
      <c r="D64" s="945" t="s">
        <v>4099</v>
      </c>
      <c r="E64" s="945" t="s">
        <v>4102</v>
      </c>
      <c r="F64" s="937">
        <v>14.481</v>
      </c>
      <c r="G64" s="943">
        <f t="shared" si="2"/>
        <v>3258.2249999999999</v>
      </c>
    </row>
    <row r="65" spans="1:7" x14ac:dyDescent="0.25">
      <c r="A65" s="939" t="s">
        <v>4100</v>
      </c>
      <c r="B65" s="953">
        <v>1</v>
      </c>
      <c r="C65" s="945" t="s">
        <v>3859</v>
      </c>
      <c r="D65" s="945" t="s">
        <v>4099</v>
      </c>
      <c r="E65" s="945" t="s">
        <v>4101</v>
      </c>
      <c r="F65" s="937">
        <v>15.20505</v>
      </c>
      <c r="G65" s="943">
        <f t="shared" si="2"/>
        <v>15.20505</v>
      </c>
    </row>
    <row r="66" spans="1:7" x14ac:dyDescent="0.25">
      <c r="A66" s="939" t="s">
        <v>4100</v>
      </c>
      <c r="B66" s="953">
        <v>2</v>
      </c>
      <c r="C66" s="945" t="s">
        <v>3859</v>
      </c>
      <c r="D66" s="945" t="s">
        <v>4099</v>
      </c>
      <c r="E66" s="945" t="s">
        <v>4098</v>
      </c>
      <c r="F66" s="937">
        <v>16.894500000000001</v>
      </c>
      <c r="G66" s="943">
        <f t="shared" ref="G66" si="3">F66*B66</f>
        <v>33.789000000000001</v>
      </c>
    </row>
    <row r="67" spans="1:7" x14ac:dyDescent="0.25">
      <c r="A67" s="931" t="s">
        <v>56</v>
      </c>
      <c r="B67" s="930"/>
      <c r="C67" s="930"/>
      <c r="D67" s="930"/>
      <c r="E67" s="930"/>
      <c r="F67" s="930"/>
      <c r="G67" s="928">
        <f>SUM(G2:G66)</f>
        <v>209581.7544958333</v>
      </c>
    </row>
    <row r="68" spans="1:7" x14ac:dyDescent="0.25">
      <c r="A68" s="939" t="s">
        <v>4092</v>
      </c>
      <c r="B68" s="953">
        <v>4953.1000000000004</v>
      </c>
      <c r="C68" s="945" t="s">
        <v>54</v>
      </c>
      <c r="D68" s="945" t="s">
        <v>4091</v>
      </c>
      <c r="E68" s="945" t="s">
        <v>4056</v>
      </c>
      <c r="F68" s="937">
        <v>3.95</v>
      </c>
      <c r="G68" s="943">
        <f t="shared" ref="G68:G99" si="4">F68*B68</f>
        <v>19564.745000000003</v>
      </c>
    </row>
    <row r="69" spans="1:7" x14ac:dyDescent="0.25">
      <c r="A69" s="939" t="s">
        <v>4092</v>
      </c>
      <c r="B69" s="953">
        <v>2165.65</v>
      </c>
      <c r="C69" s="945" t="s">
        <v>54</v>
      </c>
      <c r="D69" s="945" t="s">
        <v>4091</v>
      </c>
      <c r="E69" s="945" t="s">
        <v>4053</v>
      </c>
      <c r="F69" s="937">
        <v>8.52</v>
      </c>
      <c r="G69" s="943">
        <f t="shared" si="4"/>
        <v>18451.338</v>
      </c>
    </row>
    <row r="70" spans="1:7" x14ac:dyDescent="0.25">
      <c r="A70" s="939" t="s">
        <v>4092</v>
      </c>
      <c r="B70" s="953">
        <v>55.78</v>
      </c>
      <c r="C70" s="945" t="s">
        <v>54</v>
      </c>
      <c r="D70" s="945" t="s">
        <v>4091</v>
      </c>
      <c r="E70" s="945" t="s">
        <v>4097</v>
      </c>
      <c r="F70" s="937">
        <v>13.38</v>
      </c>
      <c r="G70" s="943">
        <f t="shared" si="4"/>
        <v>746.33640000000003</v>
      </c>
    </row>
    <row r="71" spans="1:7" x14ac:dyDescent="0.25">
      <c r="A71" s="939" t="s">
        <v>4092</v>
      </c>
      <c r="B71" s="953">
        <v>8.56</v>
      </c>
      <c r="C71" s="945" t="s">
        <v>54</v>
      </c>
      <c r="D71" s="945" t="s">
        <v>4091</v>
      </c>
      <c r="E71" s="945" t="s">
        <v>4096</v>
      </c>
      <c r="F71" s="937">
        <v>14.68</v>
      </c>
      <c r="G71" s="943">
        <f t="shared" si="4"/>
        <v>125.66080000000001</v>
      </c>
    </row>
    <row r="72" spans="1:7" x14ac:dyDescent="0.25">
      <c r="A72" s="939" t="s">
        <v>4092</v>
      </c>
      <c r="B72" s="953">
        <v>59.94</v>
      </c>
      <c r="C72" s="945" t="s">
        <v>54</v>
      </c>
      <c r="D72" s="945" t="s">
        <v>4091</v>
      </c>
      <c r="E72" s="945" t="s">
        <v>4095</v>
      </c>
      <c r="F72" s="937">
        <v>24.15</v>
      </c>
      <c r="G72" s="943">
        <f t="shared" si="4"/>
        <v>1447.5509999999999</v>
      </c>
    </row>
    <row r="73" spans="1:7" x14ac:dyDescent="0.25">
      <c r="A73" s="939" t="s">
        <v>4092</v>
      </c>
      <c r="B73" s="953">
        <v>122.61</v>
      </c>
      <c r="C73" s="945" t="s">
        <v>54</v>
      </c>
      <c r="D73" s="945" t="s">
        <v>4091</v>
      </c>
      <c r="E73" s="945" t="s">
        <v>4094</v>
      </c>
      <c r="F73" s="937">
        <v>40.03</v>
      </c>
      <c r="G73" s="943">
        <f t="shared" si="4"/>
        <v>4908.0783000000001</v>
      </c>
    </row>
    <row r="74" spans="1:7" x14ac:dyDescent="0.25">
      <c r="A74" s="939" t="s">
        <v>4092</v>
      </c>
      <c r="B74" s="953">
        <v>94.17</v>
      </c>
      <c r="C74" s="945" t="s">
        <v>54</v>
      </c>
      <c r="D74" s="945" t="s">
        <v>4091</v>
      </c>
      <c r="E74" s="945" t="s">
        <v>4093</v>
      </c>
      <c r="F74" s="937">
        <v>55.68</v>
      </c>
      <c r="G74" s="943">
        <f t="shared" si="4"/>
        <v>5243.3856000000005</v>
      </c>
    </row>
    <row r="75" spans="1:7" x14ac:dyDescent="0.25">
      <c r="A75" s="939" t="s">
        <v>4092</v>
      </c>
      <c r="B75" s="953">
        <v>7.23</v>
      </c>
      <c r="C75" s="945" t="s">
        <v>54</v>
      </c>
      <c r="D75" s="945" t="s">
        <v>4091</v>
      </c>
      <c r="E75" s="945" t="s">
        <v>4090</v>
      </c>
      <c r="F75" s="937">
        <v>362.27</v>
      </c>
      <c r="G75" s="943">
        <f t="shared" si="4"/>
        <v>2619.2121000000002</v>
      </c>
    </row>
    <row r="76" spans="1:7" x14ac:dyDescent="0.25">
      <c r="A76" s="939" t="s">
        <v>4085</v>
      </c>
      <c r="B76" s="953">
        <v>299</v>
      </c>
      <c r="C76" s="945" t="s">
        <v>3859</v>
      </c>
      <c r="D76" s="945" t="s">
        <v>4087</v>
      </c>
      <c r="E76" s="945" t="s">
        <v>4089</v>
      </c>
      <c r="F76" s="937">
        <v>3.58</v>
      </c>
      <c r="G76" s="943">
        <f t="shared" si="4"/>
        <v>1070.42</v>
      </c>
    </row>
    <row r="77" spans="1:7" x14ac:dyDescent="0.25">
      <c r="A77" s="939" t="s">
        <v>4085</v>
      </c>
      <c r="B77" s="953">
        <v>440</v>
      </c>
      <c r="C77" s="945" t="s">
        <v>3859</v>
      </c>
      <c r="D77" s="945" t="s">
        <v>4087</v>
      </c>
      <c r="E77" s="945" t="s">
        <v>4088</v>
      </c>
      <c r="F77" s="937">
        <v>2.31</v>
      </c>
      <c r="G77" s="943">
        <f t="shared" si="4"/>
        <v>1016.4</v>
      </c>
    </row>
    <row r="78" spans="1:7" x14ac:dyDescent="0.25">
      <c r="A78" s="939" t="s">
        <v>4085</v>
      </c>
      <c r="B78" s="953">
        <v>78</v>
      </c>
      <c r="C78" s="945" t="s">
        <v>3859</v>
      </c>
      <c r="D78" s="945" t="s">
        <v>4087</v>
      </c>
      <c r="E78" s="945" t="s">
        <v>4086</v>
      </c>
      <c r="F78" s="937">
        <v>1.88</v>
      </c>
      <c r="G78" s="943">
        <f t="shared" si="4"/>
        <v>146.63999999999999</v>
      </c>
    </row>
    <row r="79" spans="1:7" x14ac:dyDescent="0.25">
      <c r="A79" s="939" t="s">
        <v>4085</v>
      </c>
      <c r="B79" s="953">
        <v>6</v>
      </c>
      <c r="C79" s="945" t="s">
        <v>3859</v>
      </c>
      <c r="D79" s="945" t="s">
        <v>4084</v>
      </c>
      <c r="E79" s="945" t="s">
        <v>4083</v>
      </c>
      <c r="F79" s="937">
        <v>3.98</v>
      </c>
      <c r="G79" s="943">
        <f t="shared" si="4"/>
        <v>23.88</v>
      </c>
    </row>
    <row r="80" spans="1:7" x14ac:dyDescent="0.25">
      <c r="A80" s="939" t="s">
        <v>4055</v>
      </c>
      <c r="B80" s="953">
        <v>4</v>
      </c>
      <c r="C80" s="945" t="s">
        <v>3859</v>
      </c>
      <c r="D80" s="945" t="s">
        <v>4079</v>
      </c>
      <c r="E80" s="945" t="s">
        <v>4052</v>
      </c>
      <c r="F80" s="937">
        <v>0.56000000000000005</v>
      </c>
      <c r="G80" s="943">
        <f t="shared" si="4"/>
        <v>2.2400000000000002</v>
      </c>
    </row>
    <row r="81" spans="1:7" x14ac:dyDescent="0.25">
      <c r="A81" s="939" t="s">
        <v>4055</v>
      </c>
      <c r="B81" s="953">
        <v>147</v>
      </c>
      <c r="C81" s="945" t="s">
        <v>3859</v>
      </c>
      <c r="D81" s="945" t="s">
        <v>4079</v>
      </c>
      <c r="E81" s="945" t="s">
        <v>4050</v>
      </c>
      <c r="F81" s="937">
        <v>0.91</v>
      </c>
      <c r="G81" s="943">
        <f t="shared" si="4"/>
        <v>133.77000000000001</v>
      </c>
    </row>
    <row r="82" spans="1:7" x14ac:dyDescent="0.25">
      <c r="A82" s="939" t="s">
        <v>4055</v>
      </c>
      <c r="B82" s="953">
        <v>2</v>
      </c>
      <c r="C82" s="945" t="s">
        <v>3859</v>
      </c>
      <c r="D82" s="945" t="s">
        <v>4079</v>
      </c>
      <c r="E82" s="945" t="s">
        <v>4082</v>
      </c>
      <c r="F82" s="937">
        <v>2</v>
      </c>
      <c r="G82" s="943">
        <f t="shared" si="4"/>
        <v>4</v>
      </c>
    </row>
    <row r="83" spans="1:7" x14ac:dyDescent="0.25">
      <c r="A83" s="939" t="s">
        <v>4055</v>
      </c>
      <c r="B83" s="953">
        <v>3</v>
      </c>
      <c r="C83" s="945" t="s">
        <v>3859</v>
      </c>
      <c r="D83" s="945" t="s">
        <v>4079</v>
      </c>
      <c r="E83" s="945" t="s">
        <v>4061</v>
      </c>
      <c r="F83" s="937">
        <v>2.1</v>
      </c>
      <c r="G83" s="943">
        <f t="shared" si="4"/>
        <v>6.3000000000000007</v>
      </c>
    </row>
    <row r="84" spans="1:7" x14ac:dyDescent="0.25">
      <c r="A84" s="939" t="s">
        <v>4055</v>
      </c>
      <c r="B84" s="953">
        <v>11</v>
      </c>
      <c r="C84" s="945" t="s">
        <v>3859</v>
      </c>
      <c r="D84" s="945" t="s">
        <v>4079</v>
      </c>
      <c r="E84" s="945" t="s">
        <v>4081</v>
      </c>
      <c r="F84" s="937">
        <v>2.3100000000000005</v>
      </c>
      <c r="G84" s="943">
        <f t="shared" si="4"/>
        <v>25.410000000000004</v>
      </c>
    </row>
    <row r="85" spans="1:7" x14ac:dyDescent="0.25">
      <c r="A85" s="939" t="s">
        <v>4055</v>
      </c>
      <c r="B85" s="953">
        <v>4</v>
      </c>
      <c r="C85" s="945" t="s">
        <v>3859</v>
      </c>
      <c r="D85" s="945" t="s">
        <v>4079</v>
      </c>
      <c r="E85" s="945" t="s">
        <v>4080</v>
      </c>
      <c r="F85" s="937">
        <v>2.7720000000000007</v>
      </c>
      <c r="G85" s="943">
        <f t="shared" si="4"/>
        <v>11.088000000000003</v>
      </c>
    </row>
    <row r="86" spans="1:7" x14ac:dyDescent="0.25">
      <c r="A86" s="939" t="s">
        <v>4055</v>
      </c>
      <c r="B86" s="953">
        <v>17</v>
      </c>
      <c r="C86" s="945" t="s">
        <v>3859</v>
      </c>
      <c r="D86" s="945" t="s">
        <v>4079</v>
      </c>
      <c r="E86" s="945" t="s">
        <v>4078</v>
      </c>
      <c r="F86" s="937">
        <v>2.6</v>
      </c>
      <c r="G86" s="943">
        <f t="shared" si="4"/>
        <v>44.2</v>
      </c>
    </row>
    <row r="87" spans="1:7" x14ac:dyDescent="0.25">
      <c r="A87" s="939" t="s">
        <v>4055</v>
      </c>
      <c r="B87" s="953">
        <v>959</v>
      </c>
      <c r="C87" s="945" t="s">
        <v>3859</v>
      </c>
      <c r="D87" s="945" t="s">
        <v>4077</v>
      </c>
      <c r="E87" s="945" t="s">
        <v>4040</v>
      </c>
      <c r="F87" s="937">
        <v>2.84</v>
      </c>
      <c r="G87" s="943">
        <f t="shared" si="4"/>
        <v>2723.56</v>
      </c>
    </row>
    <row r="88" spans="1:7" x14ac:dyDescent="0.25">
      <c r="A88" s="939" t="s">
        <v>4055</v>
      </c>
      <c r="B88" s="953">
        <v>337</v>
      </c>
      <c r="C88" s="945" t="s">
        <v>3859</v>
      </c>
      <c r="D88" s="945" t="s">
        <v>4077</v>
      </c>
      <c r="E88" s="945" t="s">
        <v>4038</v>
      </c>
      <c r="F88" s="937">
        <v>6.14</v>
      </c>
      <c r="G88" s="943">
        <f t="shared" si="4"/>
        <v>2069.1799999999998</v>
      </c>
    </row>
    <row r="89" spans="1:7" x14ac:dyDescent="0.25">
      <c r="A89" s="939" t="s">
        <v>4055</v>
      </c>
      <c r="B89" s="953">
        <v>6</v>
      </c>
      <c r="C89" s="945" t="s">
        <v>3859</v>
      </c>
      <c r="D89" s="945" t="s">
        <v>4077</v>
      </c>
      <c r="E89" s="945" t="s">
        <v>4070</v>
      </c>
      <c r="F89" s="937">
        <v>11.43</v>
      </c>
      <c r="G89" s="943">
        <f t="shared" si="4"/>
        <v>68.58</v>
      </c>
    </row>
    <row r="90" spans="1:7" x14ac:dyDescent="0.25">
      <c r="A90" s="939" t="s">
        <v>4055</v>
      </c>
      <c r="B90" s="953">
        <v>2</v>
      </c>
      <c r="C90" s="945" t="s">
        <v>3859</v>
      </c>
      <c r="D90" s="945" t="s">
        <v>4077</v>
      </c>
      <c r="E90" s="945" t="s">
        <v>4069</v>
      </c>
      <c r="F90" s="937">
        <v>32.43</v>
      </c>
      <c r="G90" s="943">
        <f t="shared" si="4"/>
        <v>64.86</v>
      </c>
    </row>
    <row r="91" spans="1:7" x14ac:dyDescent="0.25">
      <c r="A91" s="939" t="s">
        <v>4055</v>
      </c>
      <c r="B91" s="953">
        <v>6</v>
      </c>
      <c r="C91" s="945" t="s">
        <v>3859</v>
      </c>
      <c r="D91" s="945" t="s">
        <v>4077</v>
      </c>
      <c r="E91" s="945" t="s">
        <v>4068</v>
      </c>
      <c r="F91" s="937">
        <v>49.79</v>
      </c>
      <c r="G91" s="943">
        <f t="shared" si="4"/>
        <v>298.74</v>
      </c>
    </row>
    <row r="92" spans="1:7" x14ac:dyDescent="0.25">
      <c r="A92" s="939" t="s">
        <v>4055</v>
      </c>
      <c r="B92" s="953">
        <v>2</v>
      </c>
      <c r="C92" s="945" t="s">
        <v>3859</v>
      </c>
      <c r="D92" s="945" t="s">
        <v>4077</v>
      </c>
      <c r="E92" s="945" t="s">
        <v>4067</v>
      </c>
      <c r="F92" s="937">
        <v>63.79</v>
      </c>
      <c r="G92" s="943">
        <f t="shared" si="4"/>
        <v>127.58</v>
      </c>
    </row>
    <row r="93" spans="1:7" x14ac:dyDescent="0.25">
      <c r="A93" s="939" t="s">
        <v>4055</v>
      </c>
      <c r="B93" s="953">
        <v>103</v>
      </c>
      <c r="C93" s="945" t="s">
        <v>3859</v>
      </c>
      <c r="D93" s="945" t="s">
        <v>4076</v>
      </c>
      <c r="E93" s="945" t="s">
        <v>4040</v>
      </c>
      <c r="F93" s="937">
        <v>6.36</v>
      </c>
      <c r="G93" s="943">
        <f t="shared" si="4"/>
        <v>655.08000000000004</v>
      </c>
    </row>
    <row r="94" spans="1:7" x14ac:dyDescent="0.25">
      <c r="A94" s="939" t="s">
        <v>4055</v>
      </c>
      <c r="B94" s="953">
        <v>4</v>
      </c>
      <c r="C94" s="945" t="s">
        <v>3859</v>
      </c>
      <c r="D94" s="945" t="s">
        <v>4075</v>
      </c>
      <c r="E94" s="945" t="s">
        <v>4040</v>
      </c>
      <c r="F94" s="937">
        <v>1.43</v>
      </c>
      <c r="G94" s="943">
        <f t="shared" si="4"/>
        <v>5.72</v>
      </c>
    </row>
    <row r="95" spans="1:7" x14ac:dyDescent="0.25">
      <c r="A95" s="939" t="s">
        <v>4055</v>
      </c>
      <c r="B95" s="953">
        <v>1</v>
      </c>
      <c r="C95" s="945" t="s">
        <v>3859</v>
      </c>
      <c r="D95" s="945" t="s">
        <v>4074</v>
      </c>
      <c r="E95" s="945" t="s">
        <v>4072</v>
      </c>
      <c r="F95" s="937">
        <v>7.12</v>
      </c>
      <c r="G95" s="943">
        <f t="shared" si="4"/>
        <v>7.12</v>
      </c>
    </row>
    <row r="96" spans="1:7" x14ac:dyDescent="0.25">
      <c r="A96" s="939" t="s">
        <v>4055</v>
      </c>
      <c r="B96" s="953">
        <v>1</v>
      </c>
      <c r="C96" s="945" t="s">
        <v>3859</v>
      </c>
      <c r="D96" s="945" t="s">
        <v>4074</v>
      </c>
      <c r="E96" s="945" t="s">
        <v>4067</v>
      </c>
      <c r="F96" s="937">
        <v>76.55</v>
      </c>
      <c r="G96" s="943">
        <f t="shared" si="4"/>
        <v>76.55</v>
      </c>
    </row>
    <row r="97" spans="1:7" x14ac:dyDescent="0.25">
      <c r="A97" s="939" t="s">
        <v>4055</v>
      </c>
      <c r="B97" s="953">
        <v>59</v>
      </c>
      <c r="C97" s="945" t="s">
        <v>3859</v>
      </c>
      <c r="D97" s="945" t="s">
        <v>4073</v>
      </c>
      <c r="E97" s="945" t="s">
        <v>4043</v>
      </c>
      <c r="F97" s="937">
        <v>7.67</v>
      </c>
      <c r="G97" s="943">
        <f t="shared" si="4"/>
        <v>452.53</v>
      </c>
    </row>
    <row r="98" spans="1:7" x14ac:dyDescent="0.25">
      <c r="A98" s="939" t="s">
        <v>4055</v>
      </c>
      <c r="B98" s="953">
        <v>1693</v>
      </c>
      <c r="C98" s="945" t="s">
        <v>3859</v>
      </c>
      <c r="D98" s="945" t="s">
        <v>4071</v>
      </c>
      <c r="E98" s="945" t="s">
        <v>4040</v>
      </c>
      <c r="F98" s="937">
        <v>0.69</v>
      </c>
      <c r="G98" s="943">
        <f t="shared" si="4"/>
        <v>1168.1699999999998</v>
      </c>
    </row>
    <row r="99" spans="1:7" x14ac:dyDescent="0.25">
      <c r="A99" s="939" t="s">
        <v>4055</v>
      </c>
      <c r="B99" s="953">
        <v>113</v>
      </c>
      <c r="C99" s="945" t="s">
        <v>3859</v>
      </c>
      <c r="D99" s="945" t="s">
        <v>4071</v>
      </c>
      <c r="E99" s="945" t="s">
        <v>4038</v>
      </c>
      <c r="F99" s="937">
        <v>2.2999999999999998</v>
      </c>
      <c r="G99" s="943">
        <f t="shared" si="4"/>
        <v>259.89999999999998</v>
      </c>
    </row>
    <row r="100" spans="1:7" x14ac:dyDescent="0.25">
      <c r="A100" s="939" t="s">
        <v>4055</v>
      </c>
      <c r="B100" s="953">
        <v>7</v>
      </c>
      <c r="C100" s="945" t="s">
        <v>3859</v>
      </c>
      <c r="D100" s="945" t="s">
        <v>4071</v>
      </c>
      <c r="E100" s="945" t="s">
        <v>4070</v>
      </c>
      <c r="F100" s="937">
        <v>5.61</v>
      </c>
      <c r="G100" s="943">
        <f t="shared" ref="G100:G131" si="5">F100*B100</f>
        <v>39.270000000000003</v>
      </c>
    </row>
    <row r="101" spans="1:7" x14ac:dyDescent="0.25">
      <c r="A101" s="939" t="s">
        <v>4055</v>
      </c>
      <c r="B101" s="953">
        <v>2</v>
      </c>
      <c r="C101" s="945" t="s">
        <v>3859</v>
      </c>
      <c r="D101" s="945" t="s">
        <v>4071</v>
      </c>
      <c r="E101" s="945" t="s">
        <v>4072</v>
      </c>
      <c r="F101" s="937">
        <v>4.75</v>
      </c>
      <c r="G101" s="943">
        <f t="shared" si="5"/>
        <v>9.5</v>
      </c>
    </row>
    <row r="102" spans="1:7" x14ac:dyDescent="0.25">
      <c r="A102" s="939" t="s">
        <v>4055</v>
      </c>
      <c r="B102" s="953">
        <v>41</v>
      </c>
      <c r="C102" s="945" t="s">
        <v>3859</v>
      </c>
      <c r="D102" s="945" t="s">
        <v>4071</v>
      </c>
      <c r="E102" s="945" t="s">
        <v>4069</v>
      </c>
      <c r="F102" s="937">
        <v>27.53</v>
      </c>
      <c r="G102" s="943">
        <f t="shared" si="5"/>
        <v>1128.73</v>
      </c>
    </row>
    <row r="103" spans="1:7" x14ac:dyDescent="0.25">
      <c r="A103" s="939" t="s">
        <v>4055</v>
      </c>
      <c r="B103" s="953">
        <v>24</v>
      </c>
      <c r="C103" s="945" t="s">
        <v>3859</v>
      </c>
      <c r="D103" s="945" t="s">
        <v>4071</v>
      </c>
      <c r="E103" s="945" t="s">
        <v>4068</v>
      </c>
      <c r="F103" s="937">
        <v>81.2</v>
      </c>
      <c r="G103" s="943">
        <f t="shared" si="5"/>
        <v>1948.8000000000002</v>
      </c>
    </row>
    <row r="104" spans="1:7" x14ac:dyDescent="0.25">
      <c r="A104" s="939" t="s">
        <v>4055</v>
      </c>
      <c r="B104" s="953">
        <v>13</v>
      </c>
      <c r="C104" s="945" t="s">
        <v>3859</v>
      </c>
      <c r="D104" s="945" t="s">
        <v>4071</v>
      </c>
      <c r="E104" s="945" t="s">
        <v>4067</v>
      </c>
      <c r="F104" s="937">
        <v>97.08</v>
      </c>
      <c r="G104" s="943">
        <f t="shared" si="5"/>
        <v>1262.04</v>
      </c>
    </row>
    <row r="105" spans="1:7" x14ac:dyDescent="0.25">
      <c r="A105" s="939" t="s">
        <v>4055</v>
      </c>
      <c r="B105" s="953">
        <v>4</v>
      </c>
      <c r="C105" s="945" t="s">
        <v>3859</v>
      </c>
      <c r="D105" s="945" t="s">
        <v>4071</v>
      </c>
      <c r="E105" s="945" t="s">
        <v>4057</v>
      </c>
      <c r="F105" s="937">
        <v>196.71</v>
      </c>
      <c r="G105" s="943">
        <f t="shared" si="5"/>
        <v>786.84</v>
      </c>
    </row>
    <row r="106" spans="1:7" x14ac:dyDescent="0.25">
      <c r="A106" s="939" t="s">
        <v>4055</v>
      </c>
      <c r="B106" s="953">
        <v>566</v>
      </c>
      <c r="C106" s="945" t="s">
        <v>3859</v>
      </c>
      <c r="D106" s="945" t="s">
        <v>4060</v>
      </c>
      <c r="E106" s="945" t="s">
        <v>4040</v>
      </c>
      <c r="F106" s="937">
        <v>1.1399999999999999</v>
      </c>
      <c r="G106" s="943">
        <f t="shared" si="5"/>
        <v>645.2399999999999</v>
      </c>
    </row>
    <row r="107" spans="1:7" x14ac:dyDescent="0.25">
      <c r="A107" s="939" t="s">
        <v>4055</v>
      </c>
      <c r="B107" s="953">
        <v>143</v>
      </c>
      <c r="C107" s="945" t="s">
        <v>3859</v>
      </c>
      <c r="D107" s="945" t="s">
        <v>4060</v>
      </c>
      <c r="E107" s="945" t="s">
        <v>4038</v>
      </c>
      <c r="F107" s="937">
        <v>3.59</v>
      </c>
      <c r="G107" s="943">
        <f t="shared" si="5"/>
        <v>513.37</v>
      </c>
    </row>
    <row r="108" spans="1:7" x14ac:dyDescent="0.25">
      <c r="A108" s="939" t="s">
        <v>4055</v>
      </c>
      <c r="B108" s="953">
        <v>4</v>
      </c>
      <c r="C108" s="945" t="s">
        <v>3859</v>
      </c>
      <c r="D108" s="945" t="s">
        <v>4060</v>
      </c>
      <c r="E108" s="945" t="s">
        <v>4070</v>
      </c>
      <c r="F108" s="937">
        <v>8.77</v>
      </c>
      <c r="G108" s="943">
        <f t="shared" si="5"/>
        <v>35.08</v>
      </c>
    </row>
    <row r="109" spans="1:7" x14ac:dyDescent="0.25">
      <c r="A109" s="939" t="s">
        <v>4055</v>
      </c>
      <c r="B109" s="953">
        <v>4</v>
      </c>
      <c r="C109" s="945" t="s">
        <v>3859</v>
      </c>
      <c r="D109" s="945" t="s">
        <v>4060</v>
      </c>
      <c r="E109" s="945" t="s">
        <v>4069</v>
      </c>
      <c r="F109" s="937">
        <v>29.44</v>
      </c>
      <c r="G109" s="943">
        <f t="shared" si="5"/>
        <v>117.76</v>
      </c>
    </row>
    <row r="110" spans="1:7" x14ac:dyDescent="0.25">
      <c r="A110" s="939" t="s">
        <v>4055</v>
      </c>
      <c r="B110" s="953">
        <v>5</v>
      </c>
      <c r="C110" s="945" t="s">
        <v>3859</v>
      </c>
      <c r="D110" s="945" t="s">
        <v>4060</v>
      </c>
      <c r="E110" s="945" t="s">
        <v>4068</v>
      </c>
      <c r="F110" s="937">
        <v>54.62</v>
      </c>
      <c r="G110" s="943">
        <f t="shared" si="5"/>
        <v>273.09999999999997</v>
      </c>
    </row>
    <row r="111" spans="1:7" x14ac:dyDescent="0.25">
      <c r="A111" s="939" t="s">
        <v>4055</v>
      </c>
      <c r="B111" s="953">
        <v>1</v>
      </c>
      <c r="C111" s="945" t="s">
        <v>3859</v>
      </c>
      <c r="D111" s="945" t="s">
        <v>4060</v>
      </c>
      <c r="E111" s="945" t="s">
        <v>4067</v>
      </c>
      <c r="F111" s="937">
        <v>74.27</v>
      </c>
      <c r="G111" s="943">
        <f t="shared" si="5"/>
        <v>74.27</v>
      </c>
    </row>
    <row r="112" spans="1:7" x14ac:dyDescent="0.25">
      <c r="A112" s="939" t="s">
        <v>4055</v>
      </c>
      <c r="B112" s="953">
        <v>1</v>
      </c>
      <c r="C112" s="945" t="s">
        <v>3859</v>
      </c>
      <c r="D112" s="945" t="s">
        <v>4060</v>
      </c>
      <c r="E112" s="945" t="s">
        <v>4057</v>
      </c>
      <c r="F112" s="937">
        <v>159.47</v>
      </c>
      <c r="G112" s="943">
        <f t="shared" si="5"/>
        <v>159.47</v>
      </c>
    </row>
    <row r="113" spans="1:7" x14ac:dyDescent="0.25">
      <c r="A113" s="939" t="s">
        <v>4055</v>
      </c>
      <c r="B113" s="953">
        <v>177</v>
      </c>
      <c r="C113" s="945" t="s">
        <v>3859</v>
      </c>
      <c r="D113" s="945" t="s">
        <v>4060</v>
      </c>
      <c r="E113" s="945" t="s">
        <v>4066</v>
      </c>
      <c r="F113" s="937">
        <v>4.28</v>
      </c>
      <c r="G113" s="943">
        <f t="shared" si="5"/>
        <v>757.56000000000006</v>
      </c>
    </row>
    <row r="114" spans="1:7" x14ac:dyDescent="0.25">
      <c r="A114" s="939" t="s">
        <v>4055</v>
      </c>
      <c r="B114" s="953">
        <v>17</v>
      </c>
      <c r="C114" s="945" t="s">
        <v>3859</v>
      </c>
      <c r="D114" s="945" t="s">
        <v>4060</v>
      </c>
      <c r="E114" s="945" t="s">
        <v>4065</v>
      </c>
      <c r="F114" s="937">
        <v>9.82</v>
      </c>
      <c r="G114" s="943">
        <f t="shared" si="5"/>
        <v>166.94</v>
      </c>
    </row>
    <row r="115" spans="1:7" x14ac:dyDescent="0.25">
      <c r="A115" s="939" t="s">
        <v>4055</v>
      </c>
      <c r="B115" s="953">
        <v>3</v>
      </c>
      <c r="C115" s="945" t="s">
        <v>3859</v>
      </c>
      <c r="D115" s="945" t="s">
        <v>4060</v>
      </c>
      <c r="E115" s="945" t="s">
        <v>4064</v>
      </c>
      <c r="F115" s="937">
        <v>10.311</v>
      </c>
      <c r="G115" s="943">
        <f t="shared" si="5"/>
        <v>30.933</v>
      </c>
    </row>
    <row r="116" spans="1:7" x14ac:dyDescent="0.25">
      <c r="A116" s="939" t="s">
        <v>4055</v>
      </c>
      <c r="B116" s="953">
        <v>1</v>
      </c>
      <c r="C116" s="945" t="s">
        <v>3859</v>
      </c>
      <c r="D116" s="945" t="s">
        <v>4060</v>
      </c>
      <c r="E116" s="945" t="s">
        <v>4063</v>
      </c>
      <c r="F116" s="937">
        <v>17.38</v>
      </c>
      <c r="G116" s="943">
        <f t="shared" si="5"/>
        <v>17.38</v>
      </c>
    </row>
    <row r="117" spans="1:7" x14ac:dyDescent="0.25">
      <c r="A117" s="939" t="s">
        <v>4055</v>
      </c>
      <c r="B117" s="953">
        <v>52</v>
      </c>
      <c r="C117" s="945" t="s">
        <v>3859</v>
      </c>
      <c r="D117" s="945" t="s">
        <v>4060</v>
      </c>
      <c r="E117" s="945" t="s">
        <v>4062</v>
      </c>
      <c r="F117" s="937">
        <v>18.248999999999999</v>
      </c>
      <c r="G117" s="943">
        <f t="shared" si="5"/>
        <v>948.94799999999998</v>
      </c>
    </row>
    <row r="118" spans="1:7" x14ac:dyDescent="0.25">
      <c r="A118" s="939" t="s">
        <v>4055</v>
      </c>
      <c r="B118" s="953">
        <v>9</v>
      </c>
      <c r="C118" s="945" t="s">
        <v>3859</v>
      </c>
      <c r="D118" s="945" t="s">
        <v>4060</v>
      </c>
      <c r="E118" s="945" t="s">
        <v>4061</v>
      </c>
      <c r="F118" s="937">
        <v>20.073900000000002</v>
      </c>
      <c r="G118" s="943">
        <f t="shared" si="5"/>
        <v>180.66510000000002</v>
      </c>
    </row>
    <row r="119" spans="1:7" x14ac:dyDescent="0.25">
      <c r="A119" s="939" t="s">
        <v>4055</v>
      </c>
      <c r="B119" s="953">
        <v>58</v>
      </c>
      <c r="C119" s="945" t="s">
        <v>3859</v>
      </c>
      <c r="D119" s="945" t="s">
        <v>4060</v>
      </c>
      <c r="E119" s="945" t="s">
        <v>4059</v>
      </c>
      <c r="F119" s="937">
        <v>24.08868</v>
      </c>
      <c r="G119" s="943">
        <f t="shared" si="5"/>
        <v>1397.1434400000001</v>
      </c>
    </row>
    <row r="120" spans="1:7" x14ac:dyDescent="0.25">
      <c r="A120" s="939" t="s">
        <v>4055</v>
      </c>
      <c r="B120" s="953">
        <v>4</v>
      </c>
      <c r="C120" s="945" t="s">
        <v>3859</v>
      </c>
      <c r="D120" s="945" t="s">
        <v>4058</v>
      </c>
      <c r="E120" s="945" t="s">
        <v>4057</v>
      </c>
      <c r="F120" s="937">
        <v>362</v>
      </c>
      <c r="G120" s="943">
        <f t="shared" si="5"/>
        <v>1448</v>
      </c>
    </row>
    <row r="121" spans="1:7" x14ac:dyDescent="0.25">
      <c r="A121" s="939" t="s">
        <v>4055</v>
      </c>
      <c r="B121" s="953">
        <v>2221.09</v>
      </c>
      <c r="C121" s="945" t="s">
        <v>54</v>
      </c>
      <c r="D121" s="945" t="s">
        <v>4054</v>
      </c>
      <c r="E121" s="945" t="s">
        <v>4056</v>
      </c>
      <c r="F121" s="937">
        <v>15.34</v>
      </c>
      <c r="G121" s="943">
        <f t="shared" si="5"/>
        <v>34071.520600000003</v>
      </c>
    </row>
    <row r="122" spans="1:7" x14ac:dyDescent="0.25">
      <c r="A122" s="939" t="s">
        <v>4055</v>
      </c>
      <c r="B122" s="953">
        <v>739.33</v>
      </c>
      <c r="C122" s="945" t="s">
        <v>54</v>
      </c>
      <c r="D122" s="945" t="s">
        <v>4054</v>
      </c>
      <c r="E122" s="945" t="s">
        <v>4053</v>
      </c>
      <c r="F122" s="937">
        <v>20.53</v>
      </c>
      <c r="G122" s="943">
        <f t="shared" si="5"/>
        <v>15178.444900000002</v>
      </c>
    </row>
    <row r="123" spans="1:7" x14ac:dyDescent="0.25">
      <c r="A123" s="939" t="s">
        <v>4035</v>
      </c>
      <c r="B123" s="953">
        <v>51</v>
      </c>
      <c r="C123" s="945" t="s">
        <v>3859</v>
      </c>
      <c r="D123" s="945" t="s">
        <v>4051</v>
      </c>
      <c r="E123" s="945" t="s">
        <v>4052</v>
      </c>
      <c r="F123" s="937">
        <v>5.14</v>
      </c>
      <c r="G123" s="943">
        <f t="shared" si="5"/>
        <v>262.14</v>
      </c>
    </row>
    <row r="124" spans="1:7" x14ac:dyDescent="0.25">
      <c r="A124" s="939" t="s">
        <v>4035</v>
      </c>
      <c r="B124" s="953">
        <v>91</v>
      </c>
      <c r="C124" s="945" t="s">
        <v>3859</v>
      </c>
      <c r="D124" s="945" t="s">
        <v>4051</v>
      </c>
      <c r="E124" s="945" t="s">
        <v>4050</v>
      </c>
      <c r="F124" s="937">
        <v>13.38</v>
      </c>
      <c r="G124" s="943">
        <f t="shared" si="5"/>
        <v>1217.5800000000002</v>
      </c>
    </row>
    <row r="125" spans="1:7" x14ac:dyDescent="0.25">
      <c r="A125" s="939" t="s">
        <v>4035</v>
      </c>
      <c r="B125" s="953">
        <v>1042</v>
      </c>
      <c r="C125" s="945" t="s">
        <v>3859</v>
      </c>
      <c r="D125" s="945" t="s">
        <v>4049</v>
      </c>
      <c r="E125" s="945" t="s">
        <v>4043</v>
      </c>
      <c r="F125" s="937">
        <v>19.55</v>
      </c>
      <c r="G125" s="943">
        <f t="shared" si="5"/>
        <v>20371.100000000002</v>
      </c>
    </row>
    <row r="126" spans="1:7" x14ac:dyDescent="0.25">
      <c r="A126" s="939" t="s">
        <v>4035</v>
      </c>
      <c r="B126" s="953">
        <v>156</v>
      </c>
      <c r="C126" s="945" t="s">
        <v>3859</v>
      </c>
      <c r="D126" s="945" t="s">
        <v>4049</v>
      </c>
      <c r="E126" s="945" t="s">
        <v>4048</v>
      </c>
      <c r="F126" s="937">
        <v>32</v>
      </c>
      <c r="G126" s="943">
        <f t="shared" si="5"/>
        <v>4992</v>
      </c>
    </row>
    <row r="127" spans="1:7" x14ac:dyDescent="0.25">
      <c r="A127" s="939" t="s">
        <v>4035</v>
      </c>
      <c r="B127" s="953">
        <v>330</v>
      </c>
      <c r="C127" s="945" t="s">
        <v>3859</v>
      </c>
      <c r="D127" s="945" t="s">
        <v>4047</v>
      </c>
      <c r="E127" s="945" t="s">
        <v>4040</v>
      </c>
      <c r="F127" s="937">
        <v>17.18</v>
      </c>
      <c r="G127" s="943">
        <f t="shared" si="5"/>
        <v>5669.4</v>
      </c>
    </row>
    <row r="128" spans="1:7" x14ac:dyDescent="0.25">
      <c r="A128" s="939" t="s">
        <v>4035</v>
      </c>
      <c r="B128" s="953">
        <v>172</v>
      </c>
      <c r="C128" s="945" t="s">
        <v>3859</v>
      </c>
      <c r="D128" s="945" t="s">
        <v>4047</v>
      </c>
      <c r="E128" s="945" t="s">
        <v>4038</v>
      </c>
      <c r="F128" s="937">
        <v>20.616</v>
      </c>
      <c r="G128" s="943">
        <f t="shared" si="5"/>
        <v>3545.9519999999998</v>
      </c>
    </row>
    <row r="129" spans="1:7" x14ac:dyDescent="0.25">
      <c r="A129" s="939" t="s">
        <v>4035</v>
      </c>
      <c r="B129" s="953">
        <v>116</v>
      </c>
      <c r="C129" s="945" t="s">
        <v>3859</v>
      </c>
      <c r="D129" s="945" t="s">
        <v>4046</v>
      </c>
      <c r="E129" s="945" t="s">
        <v>4040</v>
      </c>
      <c r="F129" s="937">
        <v>12.95</v>
      </c>
      <c r="G129" s="943">
        <f t="shared" si="5"/>
        <v>1502.1999999999998</v>
      </c>
    </row>
    <row r="130" spans="1:7" x14ac:dyDescent="0.25">
      <c r="A130" s="939" t="s">
        <v>4035</v>
      </c>
      <c r="B130" s="953">
        <v>13</v>
      </c>
      <c r="C130" s="945" t="s">
        <v>3859</v>
      </c>
      <c r="D130" s="945" t="s">
        <v>4045</v>
      </c>
      <c r="E130" s="945" t="s">
        <v>4040</v>
      </c>
      <c r="F130" s="937">
        <v>3.25</v>
      </c>
      <c r="G130" s="943">
        <f t="shared" si="5"/>
        <v>42.25</v>
      </c>
    </row>
    <row r="131" spans="1:7" x14ac:dyDescent="0.25">
      <c r="A131" s="939" t="s">
        <v>4035</v>
      </c>
      <c r="B131" s="953">
        <v>143</v>
      </c>
      <c r="C131" s="945" t="s">
        <v>3859</v>
      </c>
      <c r="D131" s="945" t="s">
        <v>4042</v>
      </c>
      <c r="E131" s="945" t="s">
        <v>4044</v>
      </c>
      <c r="F131" s="937">
        <v>9.4</v>
      </c>
      <c r="G131" s="943">
        <f t="shared" si="5"/>
        <v>1344.2</v>
      </c>
    </row>
    <row r="132" spans="1:7" x14ac:dyDescent="0.25">
      <c r="A132" s="939" t="s">
        <v>4035</v>
      </c>
      <c r="B132" s="953">
        <v>170</v>
      </c>
      <c r="C132" s="945" t="s">
        <v>3859</v>
      </c>
      <c r="D132" s="945" t="s">
        <v>4042</v>
      </c>
      <c r="E132" s="945" t="s">
        <v>4043</v>
      </c>
      <c r="F132" s="937">
        <v>15.31</v>
      </c>
      <c r="G132" s="943">
        <f t="shared" ref="G132:G138" si="6">F132*B132</f>
        <v>2602.7000000000003</v>
      </c>
    </row>
    <row r="133" spans="1:7" x14ac:dyDescent="0.25">
      <c r="A133" s="939" t="s">
        <v>4035</v>
      </c>
      <c r="B133" s="953">
        <v>78</v>
      </c>
      <c r="C133" s="945" t="s">
        <v>3859</v>
      </c>
      <c r="D133" s="945" t="s">
        <v>4042</v>
      </c>
      <c r="E133" s="945" t="s">
        <v>4041</v>
      </c>
      <c r="F133" s="937">
        <v>29.27</v>
      </c>
      <c r="G133" s="943">
        <f t="shared" si="6"/>
        <v>2283.06</v>
      </c>
    </row>
    <row r="134" spans="1:7" x14ac:dyDescent="0.25">
      <c r="A134" s="939" t="s">
        <v>4035</v>
      </c>
      <c r="B134" s="953">
        <v>1481</v>
      </c>
      <c r="C134" s="945" t="s">
        <v>3859</v>
      </c>
      <c r="D134" s="945" t="s">
        <v>4039</v>
      </c>
      <c r="E134" s="945" t="s">
        <v>4040</v>
      </c>
      <c r="F134" s="937">
        <v>2.64</v>
      </c>
      <c r="G134" s="943">
        <f t="shared" si="6"/>
        <v>3909.84</v>
      </c>
    </row>
    <row r="135" spans="1:7" x14ac:dyDescent="0.25">
      <c r="A135" s="939" t="s">
        <v>4035</v>
      </c>
      <c r="B135" s="953">
        <v>166</v>
      </c>
      <c r="C135" s="945" t="s">
        <v>3859</v>
      </c>
      <c r="D135" s="945" t="s">
        <v>4039</v>
      </c>
      <c r="E135" s="945" t="s">
        <v>4038</v>
      </c>
      <c r="F135" s="937">
        <v>4.0199999999999996</v>
      </c>
      <c r="G135" s="943">
        <f t="shared" si="6"/>
        <v>667.31999999999994</v>
      </c>
    </row>
    <row r="136" spans="1:7" x14ac:dyDescent="0.25">
      <c r="A136" s="939" t="s">
        <v>4035</v>
      </c>
      <c r="B136" s="953">
        <v>169</v>
      </c>
      <c r="C136" s="945" t="s">
        <v>3859</v>
      </c>
      <c r="D136" s="945" t="s">
        <v>4034</v>
      </c>
      <c r="E136" s="945" t="s">
        <v>4037</v>
      </c>
      <c r="F136" s="937">
        <v>3.23</v>
      </c>
      <c r="G136" s="943">
        <f t="shared" si="6"/>
        <v>545.87</v>
      </c>
    </row>
    <row r="137" spans="1:7" x14ac:dyDescent="0.25">
      <c r="A137" s="939" t="s">
        <v>4035</v>
      </c>
      <c r="B137" s="953">
        <v>104</v>
      </c>
      <c r="C137" s="945" t="s">
        <v>3859</v>
      </c>
      <c r="D137" s="945" t="s">
        <v>4034</v>
      </c>
      <c r="E137" s="945" t="s">
        <v>4036</v>
      </c>
      <c r="F137" s="937">
        <v>5.6349999999999998</v>
      </c>
      <c r="G137" s="943">
        <f t="shared" si="6"/>
        <v>586.04</v>
      </c>
    </row>
    <row r="138" spans="1:7" x14ac:dyDescent="0.25">
      <c r="A138" s="939" t="s">
        <v>4035</v>
      </c>
      <c r="B138" s="953">
        <v>13</v>
      </c>
      <c r="C138" s="945" t="s">
        <v>3859</v>
      </c>
      <c r="D138" s="945" t="s">
        <v>4034</v>
      </c>
      <c r="E138" s="945" t="s">
        <v>4033</v>
      </c>
      <c r="F138" s="937">
        <v>8.0399999999999991</v>
      </c>
      <c r="G138" s="943">
        <f t="shared" si="6"/>
        <v>104.51999999999998</v>
      </c>
    </row>
    <row r="139" spans="1:7" x14ac:dyDescent="0.25">
      <c r="A139" s="931" t="s">
        <v>56</v>
      </c>
      <c r="B139" s="930"/>
      <c r="C139" s="930"/>
      <c r="D139" s="930"/>
      <c r="E139" s="930"/>
      <c r="F139" s="929"/>
      <c r="G139" s="928">
        <f>SUM(G68:G138)</f>
        <v>174405.40224000002</v>
      </c>
    </row>
  </sheetData>
  <pageMargins left="0.511811024" right="0.511811024" top="0.78740157499999996" bottom="0.78740157499999996" header="0.31496062000000002" footer="0.31496062000000002"/>
  <ignoredErrors>
    <ignoredError sqref="G67"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16</vt:i4>
      </vt:variant>
      <vt:variant>
        <vt:lpstr>Intervalos Nomeados</vt:lpstr>
      </vt:variant>
      <vt:variant>
        <vt:i4>8</vt:i4>
      </vt:variant>
    </vt:vector>
  </HeadingPairs>
  <TitlesOfParts>
    <vt:vector size="24" baseType="lpstr">
      <vt:lpstr>Obra</vt:lpstr>
      <vt:lpstr>Ger_Administrativo</vt:lpstr>
      <vt:lpstr>Ger_Executivo</vt:lpstr>
      <vt:lpstr>Custos Serviços</vt:lpstr>
      <vt:lpstr>EPCs</vt:lpstr>
      <vt:lpstr>CANTEIRO</vt:lpstr>
      <vt:lpstr>ARQ. RES</vt:lpstr>
      <vt:lpstr>ARQ. PAV</vt:lpstr>
      <vt:lpstr>ESQUADRIAS</vt:lpstr>
      <vt:lpstr>LOUÇAS E METAIS</vt:lpstr>
      <vt:lpstr>Fundação Profunda</vt:lpstr>
      <vt:lpstr>Fundação Rasa</vt:lpstr>
      <vt:lpstr>SUPRAESTRUTURA</vt:lpstr>
      <vt:lpstr>MOBILIÁRIO</vt:lpstr>
      <vt:lpstr>INST. ELETRICA</vt:lpstr>
      <vt:lpstr>INST. HIDROSSANITARIO</vt:lpstr>
      <vt:lpstr>CANTEIRO!Area_de_impressao</vt:lpstr>
      <vt:lpstr>EPCs!Area_de_impressao</vt:lpstr>
      <vt:lpstr>ESQUADRIAS!Area_de_impressao</vt:lpstr>
      <vt:lpstr>'Fundação Rasa'!Area_de_impressao</vt:lpstr>
      <vt:lpstr>'LOUÇAS E METAIS'!Area_de_impressao</vt:lpstr>
      <vt:lpstr>MOBILIÁRIO!Area_de_impressao</vt:lpstr>
      <vt:lpstr>Obra!Area_de_impressao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Kélen</dc:creator>
  <cp:lastModifiedBy>Patricia Bragatto</cp:lastModifiedBy>
  <dcterms:created xsi:type="dcterms:W3CDTF">2011-05-06T12:13:22Z</dcterms:created>
  <dcterms:modified xsi:type="dcterms:W3CDTF">2025-06-18T22:51:08Z</dcterms:modified>
</cp:coreProperties>
</file>