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1. Diretos\"/>
    </mc:Choice>
  </mc:AlternateContent>
  <xr:revisionPtr revIDLastSave="0" documentId="13_ncr:1_{77F0AD1A-1CC9-49DF-8D3B-10E2E9A2752D}" xr6:coauthVersionLast="47" xr6:coauthVersionMax="47" xr10:uidLastSave="{00000000-0000-0000-0000-000000000000}"/>
  <bookViews>
    <workbookView xWindow="-105" yWindow="0" windowWidth="19410" windowHeight="15585" tabRatio="849" firstSheet="1" activeTab="6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 (2)" sheetId="71" r:id="rId4"/>
    <sheet name="INFRAESTRUTURA" sheetId="21" r:id="rId5"/>
    <sheet name="SUPRAESTRUTURA" sheetId="48" r:id="rId6"/>
    <sheet name="ALVENARIA" sheetId="61" r:id="rId7"/>
    <sheet name="INSTALAÇÕES" sheetId="58" r:id="rId8"/>
    <sheet name="SISTEMAS ESPECIAIS" sheetId="59" r:id="rId9"/>
    <sheet name="IMPERMEABILIZAÇÃO" sheetId="62" r:id="rId10"/>
    <sheet name="Planilha1" sheetId="69" r:id="rId11"/>
    <sheet name="AMBIENTES" sheetId="68" r:id="rId12"/>
    <sheet name="Rev. Internos Piso e Parede" sheetId="51" r:id="rId13"/>
    <sheet name="TETO" sheetId="63" r:id="rId14"/>
    <sheet name="Acabamentos de Piso e Parede" sheetId="53" r:id="rId15"/>
    <sheet name="PINTURA INTERNA" sheetId="64" r:id="rId16"/>
    <sheet name="ESQUADRIAS" sheetId="65" r:id="rId17"/>
    <sheet name="COBERTURA" sheetId="66" r:id="rId18"/>
    <sheet name="Rev. Fachada" sheetId="55" r:id="rId19"/>
    <sheet name="COMPLEMENTARES" sheetId="60" r:id="rId20"/>
    <sheet name="Planilha2" sheetId="70" r:id="rId21"/>
    <sheet name="Auxiliar" sheetId="36" state="hidden" r:id="rId22"/>
  </sheets>
  <externalReferences>
    <externalReference r:id="rId23"/>
    <externalReference r:id="rId24"/>
    <externalReference r:id="rId25"/>
    <externalReference r:id="rId26"/>
  </externalReferences>
  <definedNames>
    <definedName name="\0" localSheetId="17">#REF!</definedName>
    <definedName name="\0" localSheetId="19">#REF!</definedName>
    <definedName name="\0" localSheetId="0">#REF!</definedName>
    <definedName name="\0" localSheetId="7">#REF!</definedName>
    <definedName name="\0" localSheetId="1">#REF!</definedName>
    <definedName name="\0" localSheetId="8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1" hidden="1">AMBIENTES!$A$10:$Y$731</definedName>
    <definedName name="_xlnm._FilterDatabase" localSheetId="21" hidden="1">Auxiliar!$A$1:$D$68</definedName>
    <definedName name="_xlnm._FilterDatabase" localSheetId="0" hidden="1">DADOS_INICIAIS!#REF!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1">#REF!</definedName>
    <definedName name="aa" localSheetId="0">#REF!</definedName>
    <definedName name="aa">#REF!</definedName>
    <definedName name="aaa">#REF!</definedName>
    <definedName name="aaaa" localSheetId="11">#REF!</definedName>
    <definedName name="aaaa" localSheetId="17">'[1]M.O.'!#REF!</definedName>
    <definedName name="aaaa" localSheetId="19">'[1]M.O.'!#REF!</definedName>
    <definedName name="aaaa" localSheetId="0">'[1]M.O.'!#REF!</definedName>
    <definedName name="aaaa" localSheetId="7">'[1]M.O.'!#REF!</definedName>
    <definedName name="aaaa" localSheetId="1">'[1]M.O.'!#REF!</definedName>
    <definedName name="aaaa" localSheetId="8">'[1]M.O.'!#REF!</definedName>
    <definedName name="aaaa">'[1]M.O.'!#REF!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1">#REF!</definedName>
    <definedName name="angelo" localSheetId="17">[2]Geral!#REF!</definedName>
    <definedName name="angelo" localSheetId="19">[2]Geral!#REF!</definedName>
    <definedName name="angelo" localSheetId="0">[2]Geral!#REF!</definedName>
    <definedName name="angelo" localSheetId="7">[2]Geral!#REF!</definedName>
    <definedName name="angelo" localSheetId="1">[2]Geral!#REF!</definedName>
    <definedName name="angelo" localSheetId="8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1">#REF!</definedName>
    <definedName name="area">#REF!</definedName>
    <definedName name="área">#REF!</definedName>
    <definedName name="_xlnm.Print_Area" localSheetId="14">'Acabamentos de Piso e Parede'!$A$1:$H$45</definedName>
    <definedName name="_xlnm.Print_Area" localSheetId="6">ALVENARIA!$A$1:$I$22</definedName>
    <definedName name="_xlnm.Print_Area" localSheetId="11">#REF!</definedName>
    <definedName name="_xlnm.Print_Area" localSheetId="17">COBERTURA!$A$1:$H$21</definedName>
    <definedName name="_xlnm.Print_Area" localSheetId="19">COMPLEMENTARES!$A$1:$G$19</definedName>
    <definedName name="_xlnm.Print_Area" localSheetId="2">CONTENÇÕES!$A$1:$I$45</definedName>
    <definedName name="_xlnm.Print_Area" localSheetId="0">DADOS_INICIAIS!$A$1:$I$39</definedName>
    <definedName name="_xlnm.Print_Area" localSheetId="16">ESQUADRIAS!$A$1:$I$34</definedName>
    <definedName name="_xlnm.Print_Area" localSheetId="9">IMPERMEABILIZAÇÃO!$A$1:$I$20</definedName>
    <definedName name="_xlnm.Print_Area" localSheetId="4">INFRAESTRUTURA!$A$1:$I$34</definedName>
    <definedName name="_xlnm.Print_Area" localSheetId="3">'INFRAESTRUTURA (2)'!$A$1:$I$30</definedName>
    <definedName name="_xlnm.Print_Area" localSheetId="7">INSTALAÇÕES!$A$1:$E$58</definedName>
    <definedName name="_xlnm.Print_Area" localSheetId="1">MOVIMENTAÇÃO_DE_TERRA!$A$1:$G$26</definedName>
    <definedName name="_xlnm.Print_Area" localSheetId="15">'PINTURA INTERNA'!$A$1:$I$21</definedName>
    <definedName name="_xlnm.Print_Area" localSheetId="18">'Rev. Fachada'!$A$1:$H$33</definedName>
    <definedName name="_xlnm.Print_Area" localSheetId="12">'Rev. Internos Piso e Parede'!$A$1:$H$29</definedName>
    <definedName name="_xlnm.Print_Area" localSheetId="8">'SISTEMAS ESPECIAIS'!$A$1:$E$43</definedName>
    <definedName name="_xlnm.Print_Area" localSheetId="5">SUPRAESTRUTURA!$A$1:$I$18</definedName>
    <definedName name="_xlnm.Print_Area" localSheetId="13">TETO!$A$1:$I$21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7">#REF!</definedName>
    <definedName name="aux" localSheetId="19">#REF!</definedName>
    <definedName name="aux" localSheetId="0">#REF!</definedName>
    <definedName name="aux" localSheetId="7">#REF!</definedName>
    <definedName name="aux" localSheetId="1">#REF!</definedName>
    <definedName name="aux" localSheetId="8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1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1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1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1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1" hidden="1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19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7">#REF!</definedName>
    <definedName name="FFFFFFF" localSheetId="19">#REF!</definedName>
    <definedName name="FFFFFFF" localSheetId="0">#REF!</definedName>
    <definedName name="FFFFFFF" localSheetId="7">#REF!</definedName>
    <definedName name="FFFFFFF" localSheetId="1">#REF!</definedName>
    <definedName name="FFFFFFF" localSheetId="8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7">#REF!</definedName>
    <definedName name="item_1" localSheetId="19">#REF!</definedName>
    <definedName name="item_1" localSheetId="0">#REF!</definedName>
    <definedName name="item_1" localSheetId="7">#REF!</definedName>
    <definedName name="item_1" localSheetId="1">#REF!</definedName>
    <definedName name="item_1" localSheetId="8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1">#REF!</definedName>
    <definedName name="LS" localSheetId="17">'[1]M.O.'!#REF!</definedName>
    <definedName name="LS" localSheetId="19">'[1]M.O.'!#REF!</definedName>
    <definedName name="LS" localSheetId="0">'[1]M.O.'!#REF!</definedName>
    <definedName name="LS" localSheetId="7">'[1]M.O.'!#REF!</definedName>
    <definedName name="LS" localSheetId="1">'[1]M.O.'!#REF!</definedName>
    <definedName name="LS" localSheetId="8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7">#REF!</definedName>
    <definedName name="MENU" localSheetId="19">#REF!</definedName>
    <definedName name="MENU" localSheetId="0">#REF!</definedName>
    <definedName name="MENU" localSheetId="7">#REF!</definedName>
    <definedName name="MENU" localSheetId="1">#REF!</definedName>
    <definedName name="MENU" localSheetId="8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1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1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3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1">#REF!</definedName>
    <definedName name="ParamValues1">[3]ParamValues!$A$1:$A$39</definedName>
    <definedName name="Parao_E">#REF!</definedName>
    <definedName name="Parede1">#REF!</definedName>
    <definedName name="Parede2">#REF!</definedName>
    <definedName name="PAREDES">#REF!</definedName>
    <definedName name="PAV" localSheetId="17">#REF!</definedName>
    <definedName name="PAV" localSheetId="19">#REF!</definedName>
    <definedName name="PAV" localSheetId="0">#REF!</definedName>
    <definedName name="PAV" localSheetId="7">#REF!</definedName>
    <definedName name="PAV" localSheetId="1">#REF!</definedName>
    <definedName name="PAV" localSheetId="8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 localSheetId="11">#REF!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1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1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1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1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1">#REF!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1">#REF!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1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4">'Acabamentos de Piso e Parede'!$7:$11</definedName>
    <definedName name="_xlnm.Print_Titles" localSheetId="6">ALVENARIA!$2:$2</definedName>
    <definedName name="_xlnm.Print_Titles" localSheetId="11">#REF!</definedName>
    <definedName name="_xlnm.Print_Titles" localSheetId="17">COBERTURA!#REF!</definedName>
    <definedName name="_xlnm.Print_Titles" localSheetId="19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6">ESQUADRIAS!$2:$2</definedName>
    <definedName name="_xlnm.Print_Titles" localSheetId="9">IMPERMEABILIZAÇÃO!$2:$2</definedName>
    <definedName name="_xlnm.Print_Titles" localSheetId="4">INFRAESTRUTURA!$2:$2</definedName>
    <definedName name="_xlnm.Print_Titles" localSheetId="3">'INFRAESTRUTURA (2)'!$2:$2</definedName>
    <definedName name="_xlnm.Print_Titles" localSheetId="7">INSTALAÇÕES!#REF!</definedName>
    <definedName name="_xlnm.Print_Titles" localSheetId="1">MOVIMENTAÇÃO_DE_TERRA!#REF!</definedName>
    <definedName name="_xlnm.Print_Titles" localSheetId="15">'PINTURA INTERNA'!$2:$2</definedName>
    <definedName name="_xlnm.Print_Titles" localSheetId="18">'Rev. Fachada'!$7:$11</definedName>
    <definedName name="_xlnm.Print_Titles" localSheetId="12">'Rev. Internos Piso e Parede'!$7:$11</definedName>
    <definedName name="_xlnm.Print_Titles" localSheetId="8">'SISTEMAS ESPECIAIS'!#REF!</definedName>
    <definedName name="_xlnm.Print_Titles" localSheetId="5">SUPRAESTRUTURA!$2:$2</definedName>
    <definedName name="_xlnm.Print_Titles" localSheetId="13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7">#REF!</definedName>
    <definedName name="TOT" localSheetId="19">#REF!</definedName>
    <definedName name="TOT" localSheetId="0">#REF!</definedName>
    <definedName name="TOT" localSheetId="7">#REF!</definedName>
    <definedName name="TOT" localSheetId="1">#REF!</definedName>
    <definedName name="TOT" localSheetId="8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1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1" hidden="1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19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3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3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3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3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3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7">#REF!</definedName>
    <definedName name="xxxx" localSheetId="19">#REF!</definedName>
    <definedName name="xxxx" localSheetId="0">#REF!</definedName>
    <definedName name="xxxx" localSheetId="7">#REF!</definedName>
    <definedName name="xxxx" localSheetId="1">#REF!</definedName>
    <definedName name="xxxx" localSheetId="8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61" l="1"/>
  <c r="B74" i="48"/>
  <c r="B73" i="48"/>
  <c r="J13" i="65"/>
  <c r="D18" i="64"/>
  <c r="G185" i="68"/>
  <c r="G184" i="68"/>
  <c r="K184" i="68" s="1"/>
  <c r="G159" i="68"/>
  <c r="G158" i="68"/>
  <c r="K158" i="68"/>
  <c r="G112" i="68"/>
  <c r="G111" i="68"/>
  <c r="K111" i="68" s="1"/>
  <c r="G71" i="68"/>
  <c r="G70" i="68"/>
  <c r="K70" i="68"/>
  <c r="G41" i="68"/>
  <c r="G40" i="68"/>
  <c r="K40" i="68" s="1"/>
  <c r="D19" i="63"/>
  <c r="F18" i="63"/>
  <c r="B19" i="63"/>
  <c r="D11" i="63"/>
  <c r="D18" i="63" l="1"/>
  <c r="B27" i="55" l="1"/>
  <c r="G27" i="55" s="1"/>
  <c r="B31" i="55"/>
  <c r="B28" i="55"/>
  <c r="D31" i="55"/>
  <c r="D28" i="55"/>
  <c r="I19" i="55"/>
  <c r="J19" i="55" s="1"/>
  <c r="K19" i="55" s="1"/>
  <c r="D19" i="55"/>
  <c r="I18" i="55"/>
  <c r="J18" i="55" s="1"/>
  <c r="K18" i="55" s="1"/>
  <c r="D18" i="55"/>
  <c r="C40" i="59"/>
  <c r="F16" i="62" l="1"/>
  <c r="D14" i="62"/>
  <c r="D31" i="47" l="1"/>
  <c r="C11" i="59"/>
  <c r="C9" i="59"/>
  <c r="G20" i="71"/>
  <c r="G19" i="71"/>
  <c r="D10" i="71"/>
  <c r="B14" i="71"/>
  <c r="B12" i="71"/>
  <c r="B13" i="71"/>
  <c r="F12" i="71"/>
  <c r="D27" i="71"/>
  <c r="B27" i="71"/>
  <c r="F27" i="71" s="1"/>
  <c r="F25" i="71"/>
  <c r="D25" i="71"/>
  <c r="D26" i="71" s="1"/>
  <c r="G26" i="71" s="1"/>
  <c r="D24" i="71"/>
  <c r="G24" i="71" s="1"/>
  <c r="G18" i="71"/>
  <c r="G17" i="71"/>
  <c r="G16" i="71"/>
  <c r="F15" i="71"/>
  <c r="G15" i="71" s="1"/>
  <c r="D10" i="21"/>
  <c r="B29" i="21"/>
  <c r="B28" i="21"/>
  <c r="G14" i="71" l="1"/>
  <c r="G27" i="71"/>
  <c r="B24" i="71"/>
  <c r="B25" i="71"/>
  <c r="G25" i="71"/>
  <c r="G28" i="71" s="1"/>
  <c r="G12" i="71"/>
  <c r="B11" i="71" l="1"/>
  <c r="B10" i="71"/>
  <c r="G31" i="71" l="1"/>
  <c r="H31" i="71" s="1"/>
  <c r="D9" i="60" l="1"/>
  <c r="D41" i="53" l="1"/>
  <c r="D42" i="53"/>
  <c r="D36" i="53"/>
  <c r="B41" i="53"/>
  <c r="G41" i="53" s="1"/>
  <c r="B42" i="53"/>
  <c r="F16" i="66"/>
  <c r="F15" i="66"/>
  <c r="J12" i="65"/>
  <c r="F20" i="65"/>
  <c r="D20" i="65"/>
  <c r="D19" i="65"/>
  <c r="F19" i="65"/>
  <c r="F18" i="65"/>
  <c r="D18" i="65"/>
  <c r="D17" i="65"/>
  <c r="F17" i="65" s="1"/>
  <c r="G16" i="65"/>
  <c r="G15" i="65"/>
  <c r="D44" i="55"/>
  <c r="D41" i="55"/>
  <c r="D38" i="55"/>
  <c r="G50" i="55"/>
  <c r="C13" i="59"/>
  <c r="B12" i="59"/>
  <c r="D11" i="59"/>
  <c r="D10" i="59"/>
  <c r="D9" i="59"/>
  <c r="I8" i="59"/>
  <c r="H8" i="59"/>
  <c r="I7" i="59"/>
  <c r="H7" i="59"/>
  <c r="G18" i="65" l="1"/>
  <c r="D51" i="55" l="1"/>
  <c r="D30" i="55"/>
  <c r="D27" i="55"/>
  <c r="B20" i="55" l="1"/>
  <c r="G20" i="55" s="1"/>
  <c r="H43" i="55"/>
  <c r="I43" i="55" s="1"/>
  <c r="B51" i="55"/>
  <c r="B38" i="55"/>
  <c r="G38" i="55" s="1"/>
  <c r="B49" i="55"/>
  <c r="H49" i="55" s="1"/>
  <c r="I49" i="55" s="1"/>
  <c r="B48" i="55"/>
  <c r="H48" i="55" s="1"/>
  <c r="I48" i="55" s="1"/>
  <c r="B37" i="55"/>
  <c r="H37" i="55" s="1"/>
  <c r="I37" i="55" s="1"/>
  <c r="B47" i="55"/>
  <c r="G47" i="55" s="1"/>
  <c r="B46" i="55"/>
  <c r="G46" i="55" s="1"/>
  <c r="B45" i="55"/>
  <c r="H45" i="55" s="1"/>
  <c r="I45" i="55" s="1"/>
  <c r="B44" i="55"/>
  <c r="H44" i="55" s="1"/>
  <c r="I44" i="55" s="1"/>
  <c r="B43" i="55"/>
  <c r="G43" i="55" s="1"/>
  <c r="B42" i="55"/>
  <c r="B41" i="55"/>
  <c r="G41" i="55" s="1"/>
  <c r="B40" i="55"/>
  <c r="B39" i="55"/>
  <c r="G39" i="55" s="1"/>
  <c r="N7" i="70"/>
  <c r="N8" i="70"/>
  <c r="N9" i="70"/>
  <c r="N10" i="70"/>
  <c r="N11" i="70"/>
  <c r="N12" i="70"/>
  <c r="N13" i="70"/>
  <c r="N14" i="70"/>
  <c r="N15" i="70"/>
  <c r="N16" i="70"/>
  <c r="N17" i="70"/>
  <c r="N18" i="70"/>
  <c r="N19" i="70"/>
  <c r="N20" i="70"/>
  <c r="N21" i="70"/>
  <c r="N22" i="70"/>
  <c r="N23" i="70"/>
  <c r="N24" i="70"/>
  <c r="N25" i="70"/>
  <c r="N26" i="70"/>
  <c r="N27" i="70"/>
  <c r="N28" i="70"/>
  <c r="N29" i="70"/>
  <c r="N30" i="70"/>
  <c r="N31" i="70"/>
  <c r="N32" i="70"/>
  <c r="N33" i="70"/>
  <c r="N34" i="70"/>
  <c r="N35" i="70"/>
  <c r="N36" i="70"/>
  <c r="N37" i="70"/>
  <c r="N38" i="70"/>
  <c r="N39" i="70"/>
  <c r="N40" i="70"/>
  <c r="N41" i="70"/>
  <c r="N42" i="70"/>
  <c r="N43" i="70"/>
  <c r="N44" i="70"/>
  <c r="N45" i="70"/>
  <c r="N6" i="70"/>
  <c r="L45" i="70"/>
  <c r="L44" i="70"/>
  <c r="L36" i="70"/>
  <c r="L37" i="70"/>
  <c r="L38" i="70"/>
  <c r="L39" i="70"/>
  <c r="L35" i="70"/>
  <c r="L7" i="70"/>
  <c r="L8" i="70"/>
  <c r="L9" i="70"/>
  <c r="L10" i="70"/>
  <c r="L11" i="70"/>
  <c r="L12" i="70"/>
  <c r="L13" i="70"/>
  <c r="L14" i="70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40" i="70"/>
  <c r="L41" i="70"/>
  <c r="L42" i="70"/>
  <c r="L43" i="70"/>
  <c r="L6" i="70"/>
  <c r="C44" i="70"/>
  <c r="F42" i="70"/>
  <c r="D43" i="70"/>
  <c r="F40" i="70"/>
  <c r="D40" i="70"/>
  <c r="F41" i="70"/>
  <c r="J41" i="70"/>
  <c r="H41" i="70"/>
  <c r="J42" i="70"/>
  <c r="H42" i="70"/>
  <c r="D41" i="70"/>
  <c r="D42" i="70"/>
  <c r="C39" i="70"/>
  <c r="E39" i="70"/>
  <c r="I39" i="70"/>
  <c r="G39" i="70"/>
  <c r="F30" i="70"/>
  <c r="J30" i="70"/>
  <c r="I37" i="70"/>
  <c r="G37" i="70"/>
  <c r="E37" i="70"/>
  <c r="C37" i="70"/>
  <c r="I36" i="70"/>
  <c r="G36" i="70"/>
  <c r="E36" i="70"/>
  <c r="C36" i="70"/>
  <c r="I35" i="70"/>
  <c r="G35" i="70"/>
  <c r="E35" i="70"/>
  <c r="C35" i="70"/>
  <c r="I38" i="70"/>
  <c r="G38" i="70"/>
  <c r="E38" i="70"/>
  <c r="C38" i="70"/>
  <c r="D34" i="70"/>
  <c r="F32" i="70"/>
  <c r="D32" i="70"/>
  <c r="D31" i="70"/>
  <c r="D33" i="70"/>
  <c r="F33" i="70"/>
  <c r="F27" i="70"/>
  <c r="D28" i="70"/>
  <c r="J29" i="70"/>
  <c r="F26" i="70"/>
  <c r="D29" i="70"/>
  <c r="D26" i="70"/>
  <c r="B25" i="70"/>
  <c r="F25" i="70" s="1"/>
  <c r="B24" i="70"/>
  <c r="F24" i="70" s="1"/>
  <c r="B23" i="70"/>
  <c r="F23" i="70" s="1"/>
  <c r="B22" i="70"/>
  <c r="F22" i="70" s="1"/>
  <c r="B21" i="70"/>
  <c r="F21" i="70" s="1"/>
  <c r="B20" i="70"/>
  <c r="E9" i="70"/>
  <c r="B17" i="70"/>
  <c r="J17" i="70" s="1"/>
  <c r="B19" i="70"/>
  <c r="J19" i="70" s="1"/>
  <c r="B18" i="70"/>
  <c r="F18" i="70" s="1"/>
  <c r="B16" i="70"/>
  <c r="D16" i="70" s="1"/>
  <c r="B15" i="70"/>
  <c r="D15" i="70" s="1"/>
  <c r="B14" i="70"/>
  <c r="D14" i="70" s="1"/>
  <c r="B8" i="70"/>
  <c r="D8" i="70" s="1"/>
  <c r="B13" i="70"/>
  <c r="D13" i="70" s="1"/>
  <c r="B12" i="70"/>
  <c r="D12" i="70" s="1"/>
  <c r="B11" i="70"/>
  <c r="D11" i="70" s="1"/>
  <c r="B10" i="70"/>
  <c r="D10" i="70" s="1"/>
  <c r="B9" i="70"/>
  <c r="D9" i="70" s="1"/>
  <c r="B7" i="70"/>
  <c r="D7" i="70" s="1"/>
  <c r="B6" i="70"/>
  <c r="D6" i="70" s="1"/>
  <c r="B43" i="53"/>
  <c r="G43" i="53" s="1"/>
  <c r="H41" i="55" l="1"/>
  <c r="I41" i="55" s="1"/>
  <c r="H42" i="55"/>
  <c r="I42" i="55" s="1"/>
  <c r="B18" i="55" s="1"/>
  <c r="G40" i="55"/>
  <c r="H40" i="55"/>
  <c r="G51" i="55"/>
  <c r="B52" i="55"/>
  <c r="G52" i="55" s="1"/>
  <c r="H46" i="55"/>
  <c r="I46" i="55" s="1"/>
  <c r="G37" i="55"/>
  <c r="H38" i="55"/>
  <c r="I38" i="55" s="1"/>
  <c r="H39" i="55"/>
  <c r="I39" i="55" s="1"/>
  <c r="I40" i="55"/>
  <c r="G49" i="55"/>
  <c r="G48" i="55"/>
  <c r="G45" i="55"/>
  <c r="J9" i="70"/>
  <c r="J18" i="70"/>
  <c r="F15" i="70"/>
  <c r="H15" i="70"/>
  <c r="H18" i="70"/>
  <c r="J10" i="70"/>
  <c r="F10" i="70"/>
  <c r="F7" i="70"/>
  <c r="F9" i="70"/>
  <c r="J6" i="70"/>
  <c r="H9" i="70"/>
  <c r="F11" i="70"/>
  <c r="H6" i="70"/>
  <c r="F12" i="70"/>
  <c r="F17" i="70"/>
  <c r="F16" i="70"/>
  <c r="H19" i="70"/>
  <c r="F14" i="70"/>
  <c r="F13" i="70"/>
  <c r="J14" i="70"/>
  <c r="F8" i="70"/>
  <c r="F6" i="70"/>
  <c r="F19" i="70"/>
  <c r="F20" i="70"/>
  <c r="B19" i="55" l="1"/>
  <c r="G18" i="55"/>
  <c r="G53" i="55"/>
  <c r="B30" i="55" l="1"/>
  <c r="G30" i="55" s="1"/>
  <c r="G31" i="55"/>
  <c r="G19" i="55"/>
  <c r="G28" i="55"/>
  <c r="G42" i="53"/>
  <c r="F9" i="60"/>
  <c r="F18" i="60" l="1"/>
  <c r="D17" i="60"/>
  <c r="D16" i="60"/>
  <c r="D15" i="60"/>
  <c r="D12" i="60"/>
  <c r="D13" i="60"/>
  <c r="D11" i="60"/>
  <c r="D11" i="62"/>
  <c r="F13" i="62"/>
  <c r="D12" i="62"/>
  <c r="D39" i="58"/>
  <c r="D40" i="58"/>
  <c r="F44" i="58"/>
  <c r="G44" i="58" s="1"/>
  <c r="F43" i="58"/>
  <c r="D45" i="58" l="1"/>
  <c r="E45" i="58" s="1"/>
  <c r="D37" i="59"/>
  <c r="C42" i="59"/>
  <c r="D42" i="59" s="1"/>
  <c r="D40" i="59"/>
  <c r="B41" i="59"/>
  <c r="D41" i="59" s="1"/>
  <c r="D35" i="59"/>
  <c r="D34" i="59"/>
  <c r="B38" i="59"/>
  <c r="D38" i="59" s="1"/>
  <c r="D22" i="59" l="1"/>
  <c r="D54" i="58"/>
  <c r="D53" i="58"/>
  <c r="D52" i="58"/>
  <c r="D55" i="58"/>
  <c r="D51" i="58"/>
  <c r="D44" i="58"/>
  <c r="D42" i="58"/>
  <c r="D32" i="58"/>
  <c r="B31" i="58"/>
  <c r="D31" i="58" s="1"/>
  <c r="D30" i="58"/>
  <c r="D15" i="58"/>
  <c r="D14" i="58"/>
  <c r="D13" i="58"/>
  <c r="D29" i="58"/>
  <c r="D28" i="58"/>
  <c r="D27" i="58"/>
  <c r="B22" i="58"/>
  <c r="D26" i="58"/>
  <c r="B8" i="58"/>
  <c r="F9" i="66" l="1"/>
  <c r="F10" i="66"/>
  <c r="D9" i="66"/>
  <c r="D10" i="66" s="1"/>
  <c r="G12" i="66" l="1"/>
  <c r="G10" i="66"/>
  <c r="K20" i="65" l="1"/>
  <c r="G29" i="65"/>
  <c r="F31" i="65"/>
  <c r="D29" i="65"/>
  <c r="D31" i="65"/>
  <c r="F10" i="65"/>
  <c r="F29" i="65" l="1"/>
  <c r="G31" i="65"/>
  <c r="D27" i="65"/>
  <c r="D32" i="53"/>
  <c r="D21" i="65"/>
  <c r="D25" i="65"/>
  <c r="D26" i="65"/>
  <c r="D28" i="65"/>
  <c r="G27" i="65"/>
  <c r="D24" i="65"/>
  <c r="D23" i="65"/>
  <c r="F22" i="65"/>
  <c r="D34" i="53"/>
  <c r="F19" i="64"/>
  <c r="F18" i="64"/>
  <c r="F17" i="64"/>
  <c r="F16" i="64"/>
  <c r="F15" i="64"/>
  <c r="F14" i="64"/>
  <c r="F12" i="64"/>
  <c r="F14" i="63"/>
  <c r="D15" i="63"/>
  <c r="F13" i="63"/>
  <c r="F12" i="63"/>
  <c r="G84" i="69"/>
  <c r="G83" i="69"/>
  <c r="E82" i="69"/>
  <c r="G82" i="69" s="1"/>
  <c r="E81" i="69"/>
  <c r="G81" i="69" s="1"/>
  <c r="G77" i="69"/>
  <c r="E75" i="69"/>
  <c r="G75" i="69" s="1"/>
  <c r="E74" i="69"/>
  <c r="G74" i="69"/>
  <c r="G76" i="69"/>
  <c r="B19" i="53"/>
  <c r="G22" i="53"/>
  <c r="G24" i="53"/>
  <c r="D37" i="53"/>
  <c r="D17" i="51"/>
  <c r="D25" i="51"/>
  <c r="D26" i="51"/>
  <c r="G70" i="69"/>
  <c r="F13" i="61" s="1"/>
  <c r="E69" i="69"/>
  <c r="G69" i="69"/>
  <c r="E67" i="69"/>
  <c r="E68" i="69"/>
  <c r="G68" i="69" s="1"/>
  <c r="E66" i="69"/>
  <c r="G66" i="69" s="1"/>
  <c r="E60" i="69"/>
  <c r="E61" i="69"/>
  <c r="E62" i="69"/>
  <c r="G62" i="69" s="1"/>
  <c r="E63" i="69"/>
  <c r="E64" i="69"/>
  <c r="E65" i="69"/>
  <c r="G65" i="69" s="1"/>
  <c r="E59" i="69"/>
  <c r="G59" i="69" s="1"/>
  <c r="G60" i="69"/>
  <c r="G64" i="69"/>
  <c r="E58" i="69"/>
  <c r="G58" i="69" s="1"/>
  <c r="G67" i="69"/>
  <c r="G63" i="69"/>
  <c r="G61" i="69"/>
  <c r="F16" i="61"/>
  <c r="F15" i="61"/>
  <c r="B25" i="51"/>
  <c r="G25" i="51" s="1"/>
  <c r="D15" i="51"/>
  <c r="G26" i="65" l="1"/>
  <c r="D32" i="65"/>
  <c r="G32" i="65" s="1"/>
  <c r="G19" i="53"/>
  <c r="D30" i="65"/>
  <c r="G30" i="65" s="1"/>
  <c r="B32" i="53"/>
  <c r="G15" i="63"/>
  <c r="B27" i="51"/>
  <c r="G27" i="51" s="1"/>
  <c r="G32" i="53" l="1"/>
  <c r="B33" i="53"/>
  <c r="G33" i="53" s="1"/>
  <c r="K181" i="68" l="1"/>
  <c r="K180" i="68"/>
  <c r="K167" i="68"/>
  <c r="K166" i="68"/>
  <c r="D20" i="51"/>
  <c r="D21" i="51"/>
  <c r="D19" i="51"/>
  <c r="G54" i="69"/>
  <c r="E53" i="69"/>
  <c r="G53" i="69"/>
  <c r="E52" i="69"/>
  <c r="G52" i="69" s="1"/>
  <c r="E51" i="69"/>
  <c r="G51" i="69"/>
  <c r="E50" i="69"/>
  <c r="G50" i="69"/>
  <c r="G46" i="69"/>
  <c r="E45" i="69"/>
  <c r="E44" i="69"/>
  <c r="E43" i="69"/>
  <c r="G43" i="69" s="1"/>
  <c r="E36" i="69"/>
  <c r="E37" i="69"/>
  <c r="E38" i="69"/>
  <c r="E39" i="69"/>
  <c r="G39" i="69" s="1"/>
  <c r="E40" i="69"/>
  <c r="G40" i="69" s="1"/>
  <c r="E41" i="69"/>
  <c r="E35" i="69"/>
  <c r="G35" i="69" s="1"/>
  <c r="E34" i="69"/>
  <c r="G30" i="69"/>
  <c r="G45" i="69"/>
  <c r="E42" i="69"/>
  <c r="G42" i="69" s="1"/>
  <c r="G34" i="69"/>
  <c r="G44" i="69"/>
  <c r="G41" i="69"/>
  <c r="G38" i="69"/>
  <c r="G37" i="69"/>
  <c r="G36" i="69"/>
  <c r="G29" i="69"/>
  <c r="G28" i="69"/>
  <c r="G27" i="69"/>
  <c r="G26" i="69"/>
  <c r="G25" i="69"/>
  <c r="G24" i="69"/>
  <c r="G23" i="69"/>
  <c r="G22" i="69"/>
  <c r="G21" i="69"/>
  <c r="G20" i="69"/>
  <c r="G19" i="69"/>
  <c r="G3" i="69"/>
  <c r="G5" i="69"/>
  <c r="G6" i="69"/>
  <c r="G7" i="69"/>
  <c r="G8" i="69"/>
  <c r="G9" i="69"/>
  <c r="G10" i="69"/>
  <c r="G11" i="69"/>
  <c r="G12" i="69"/>
  <c r="G13" i="69"/>
  <c r="G14" i="69"/>
  <c r="G4" i="69"/>
  <c r="G22" i="21"/>
  <c r="F18" i="21"/>
  <c r="F16" i="21"/>
  <c r="F14" i="21"/>
  <c r="E10" i="47"/>
  <c r="D24" i="47"/>
  <c r="D10" i="47"/>
  <c r="G15" i="69" l="1"/>
  <c r="D16" i="61" l="1"/>
  <c r="G16" i="61" s="1"/>
  <c r="D14" i="61" l="1"/>
  <c r="B36" i="53" s="1"/>
  <c r="D50" i="61"/>
  <c r="G45" i="61"/>
  <c r="D13" i="61"/>
  <c r="D10" i="61"/>
  <c r="D12" i="65" s="1"/>
  <c r="B54" i="61"/>
  <c r="B52" i="61"/>
  <c r="B51" i="61"/>
  <c r="D12" i="61"/>
  <c r="D11" i="61"/>
  <c r="K187" i="68"/>
  <c r="K186" i="68"/>
  <c r="K185" i="68"/>
  <c r="G188" i="68"/>
  <c r="K188" i="68" s="1"/>
  <c r="N30" i="68" s="1"/>
  <c r="K162" i="68"/>
  <c r="K163" i="68"/>
  <c r="K164" i="68"/>
  <c r="K165" i="68"/>
  <c r="K168" i="68"/>
  <c r="K169" i="68"/>
  <c r="K170" i="68"/>
  <c r="K171" i="68"/>
  <c r="K172" i="68"/>
  <c r="K173" i="68"/>
  <c r="K174" i="68"/>
  <c r="K175" i="68"/>
  <c r="K176" i="68"/>
  <c r="K177" i="68"/>
  <c r="K178" i="68"/>
  <c r="K179" i="68"/>
  <c r="K182" i="68"/>
  <c r="K183" i="68"/>
  <c r="K189" i="68"/>
  <c r="K190" i="68"/>
  <c r="K191" i="68"/>
  <c r="K192" i="68"/>
  <c r="K193" i="68"/>
  <c r="G161" i="68"/>
  <c r="K161" i="68" s="1"/>
  <c r="G139" i="68"/>
  <c r="K139" i="68" s="1"/>
  <c r="G138" i="68"/>
  <c r="K138" i="68" s="1"/>
  <c r="K160" i="68"/>
  <c r="K159" i="68"/>
  <c r="G140" i="68"/>
  <c r="K140" i="68" s="1"/>
  <c r="K157" i="68"/>
  <c r="K156" i="68"/>
  <c r="K155" i="68"/>
  <c r="K154" i="68"/>
  <c r="K153" i="68"/>
  <c r="K152" i="68"/>
  <c r="K151" i="68"/>
  <c r="K150" i="68"/>
  <c r="K149" i="68"/>
  <c r="K148" i="68"/>
  <c r="K147" i="68"/>
  <c r="K146" i="68"/>
  <c r="K145" i="68"/>
  <c r="K144" i="68"/>
  <c r="K143" i="68"/>
  <c r="K142" i="68"/>
  <c r="K141" i="68"/>
  <c r="K136" i="68"/>
  <c r="K137" i="68"/>
  <c r="K109" i="68"/>
  <c r="K110" i="68"/>
  <c r="K113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7" i="68"/>
  <c r="K128" i="68"/>
  <c r="K129" i="68"/>
  <c r="K130" i="68"/>
  <c r="K131" i="68"/>
  <c r="K132" i="68"/>
  <c r="K133" i="68"/>
  <c r="K134" i="68"/>
  <c r="K135" i="68"/>
  <c r="G114" i="68"/>
  <c r="K114" i="68" s="1"/>
  <c r="N32" i="68"/>
  <c r="N31" i="68"/>
  <c r="N29" i="68"/>
  <c r="B16" i="51" s="1"/>
  <c r="G74" i="68"/>
  <c r="K74" i="68" s="1"/>
  <c r="G73" i="68"/>
  <c r="G18" i="61" l="1"/>
  <c r="D12" i="64"/>
  <c r="B23" i="51"/>
  <c r="D13" i="65"/>
  <c r="F13" i="65" s="1"/>
  <c r="F12" i="65"/>
  <c r="B34" i="53"/>
  <c r="D10" i="65"/>
  <c r="B37" i="53"/>
  <c r="G37" i="53" s="1"/>
  <c r="G36" i="53"/>
  <c r="H36" i="53" s="1"/>
  <c r="C52" i="61"/>
  <c r="B15" i="55"/>
  <c r="D15" i="61"/>
  <c r="G15" i="61" s="1"/>
  <c r="D13" i="64"/>
  <c r="G13" i="64" s="1"/>
  <c r="B53" i="61"/>
  <c r="C53" i="61" s="1"/>
  <c r="C54" i="61"/>
  <c r="G47" i="61"/>
  <c r="G46" i="61"/>
  <c r="B10" i="61"/>
  <c r="G14" i="61"/>
  <c r="D51" i="61"/>
  <c r="G10" i="65" l="1"/>
  <c r="D11" i="65"/>
  <c r="G11" i="65" s="1"/>
  <c r="D20" i="61"/>
  <c r="G20" i="61" s="1"/>
  <c r="B35" i="53"/>
  <c r="G35" i="53" s="1"/>
  <c r="G34" i="53"/>
  <c r="D16" i="64"/>
  <c r="G23" i="51"/>
  <c r="B24" i="51"/>
  <c r="B17" i="55"/>
  <c r="G17" i="55" s="1"/>
  <c r="B16" i="55"/>
  <c r="G16" i="55" s="1"/>
  <c r="D53" i="61"/>
  <c r="D54" i="61"/>
  <c r="D52" i="61"/>
  <c r="G24" i="51" l="1"/>
  <c r="B26" i="51"/>
  <c r="G26" i="51" s="1"/>
  <c r="K27" i="51" s="1"/>
  <c r="D17" i="64"/>
  <c r="B39" i="53"/>
  <c r="G39" i="53" s="1"/>
  <c r="B38" i="53"/>
  <c r="G38" i="53" s="1"/>
  <c r="J11" i="65"/>
  <c r="G11" i="68"/>
  <c r="D13" i="48"/>
  <c r="D11" i="48"/>
  <c r="D29" i="21"/>
  <c r="D28" i="21"/>
  <c r="D17" i="21"/>
  <c r="D15" i="21" s="1"/>
  <c r="D16" i="21" s="1"/>
  <c r="B11" i="21"/>
  <c r="B13" i="21"/>
  <c r="D14" i="21"/>
  <c r="E13" i="46"/>
  <c r="E12" i="46"/>
  <c r="E11" i="46"/>
  <c r="E14" i="46"/>
  <c r="E22" i="46"/>
  <c r="K108" i="68"/>
  <c r="K107" i="68"/>
  <c r="K106" i="68"/>
  <c r="K105" i="68"/>
  <c r="K104" i="68"/>
  <c r="K103" i="68"/>
  <c r="K102" i="68"/>
  <c r="K101" i="68"/>
  <c r="K100" i="68"/>
  <c r="K99" i="68"/>
  <c r="K98" i="68"/>
  <c r="K97" i="68"/>
  <c r="K96" i="68"/>
  <c r="K95" i="68"/>
  <c r="K94" i="68"/>
  <c r="K93" i="68"/>
  <c r="K92" i="68"/>
  <c r="K91" i="68"/>
  <c r="K90" i="68"/>
  <c r="K89" i="68"/>
  <c r="K88" i="68"/>
  <c r="K87" i="68"/>
  <c r="K86" i="68"/>
  <c r="K85" i="68"/>
  <c r="K84" i="68"/>
  <c r="K83" i="68"/>
  <c r="K82" i="68"/>
  <c r="K81" i="68"/>
  <c r="K80" i="68"/>
  <c r="K79" i="68"/>
  <c r="K78" i="68"/>
  <c r="G77" i="68"/>
  <c r="K77" i="68" s="1"/>
  <c r="K75" i="68"/>
  <c r="G76" i="68"/>
  <c r="K76" i="68" s="1"/>
  <c r="K41" i="68"/>
  <c r="K71" i="68"/>
  <c r="K72" i="68"/>
  <c r="K68" i="68"/>
  <c r="K67" i="68"/>
  <c r="K66" i="68"/>
  <c r="K64" i="68"/>
  <c r="K63" i="68"/>
  <c r="N40" i="68" s="1"/>
  <c r="K62" i="68"/>
  <c r="K61" i="68"/>
  <c r="K59" i="68"/>
  <c r="K58" i="68"/>
  <c r="K57" i="68"/>
  <c r="K56" i="68"/>
  <c r="G69" i="68"/>
  <c r="K69" i="68" s="1"/>
  <c r="G65" i="68"/>
  <c r="K65" i="68" s="1"/>
  <c r="G60" i="68"/>
  <c r="K60" i="68" s="1"/>
  <c r="K55" i="68"/>
  <c r="K54" i="68"/>
  <c r="K53" i="68"/>
  <c r="K52" i="68"/>
  <c r="K51" i="68"/>
  <c r="K50" i="68"/>
  <c r="K49" i="68"/>
  <c r="K48" i="68"/>
  <c r="K47" i="68"/>
  <c r="K46" i="68"/>
  <c r="G45" i="68"/>
  <c r="K45" i="68" s="1"/>
  <c r="K44" i="68"/>
  <c r="K42" i="68"/>
  <c r="G43" i="68"/>
  <c r="K43" i="68" s="1"/>
  <c r="G39" i="68"/>
  <c r="K39" i="68" s="1"/>
  <c r="G38" i="68"/>
  <c r="K38" i="68" s="1"/>
  <c r="G33" i="68"/>
  <c r="G31" i="68"/>
  <c r="G30" i="68"/>
  <c r="G29" i="68"/>
  <c r="G26" i="68"/>
  <c r="G25" i="68"/>
  <c r="G23" i="68"/>
  <c r="G18" i="68"/>
  <c r="G13" i="61"/>
  <c r="B40" i="53" l="1"/>
  <c r="G40" i="53" s="1"/>
  <c r="K34" i="53" s="1"/>
  <c r="L27" i="51" s="1"/>
  <c r="G17" i="64"/>
  <c r="K112" i="68"/>
  <c r="N28" i="68"/>
  <c r="B20" i="53" s="1"/>
  <c r="G20" i="53" s="1"/>
  <c r="G16" i="21"/>
  <c r="G14" i="21"/>
  <c r="D15" i="62"/>
  <c r="D10" i="62" s="1"/>
  <c r="B39" i="59"/>
  <c r="D39" i="59" s="1"/>
  <c r="N12" i="68"/>
  <c r="B18" i="51" s="1"/>
  <c r="G18" i="51" s="1"/>
  <c r="N39" i="68"/>
  <c r="D12" i="63" s="1"/>
  <c r="N13" i="68"/>
  <c r="B19" i="51" s="1"/>
  <c r="G19" i="51" s="1"/>
  <c r="N41" i="68"/>
  <c r="D13" i="63" s="1"/>
  <c r="N27" i="68"/>
  <c r="N15" i="68"/>
  <c r="B21" i="51" s="1"/>
  <c r="G21" i="51" s="1"/>
  <c r="N14" i="68"/>
  <c r="B20" i="51" s="1"/>
  <c r="G20" i="51" s="1"/>
  <c r="D18" i="21"/>
  <c r="B17" i="21"/>
  <c r="D12" i="59"/>
  <c r="K73" i="68"/>
  <c r="G12" i="63" l="1"/>
  <c r="G19" i="63"/>
  <c r="G18" i="21"/>
  <c r="G13" i="63"/>
  <c r="F16" i="48"/>
  <c r="D10" i="48"/>
  <c r="D12" i="48"/>
  <c r="D31" i="21"/>
  <c r="D12" i="21"/>
  <c r="B10" i="21"/>
  <c r="F10" i="47"/>
  <c r="F11" i="47" s="1"/>
  <c r="G38" i="46"/>
  <c r="G34" i="46"/>
  <c r="G35" i="46"/>
  <c r="G36" i="46"/>
  <c r="G37" i="46"/>
  <c r="F31" i="46"/>
  <c r="G31" i="46" s="1"/>
  <c r="F30" i="46"/>
  <c r="G30" i="46" s="1"/>
  <c r="F33" i="46"/>
  <c r="F32" i="46"/>
  <c r="G32" i="46" s="1"/>
  <c r="E33" i="46"/>
  <c r="E34" i="46"/>
  <c r="G21" i="46"/>
  <c r="G22" i="46"/>
  <c r="G23" i="46"/>
  <c r="G24" i="46"/>
  <c r="G25" i="46"/>
  <c r="G26" i="46"/>
  <c r="G27" i="46"/>
  <c r="G28" i="46"/>
  <c r="G29" i="46"/>
  <c r="F9" i="46"/>
  <c r="E9" i="46"/>
  <c r="G11" i="46"/>
  <c r="G12" i="46"/>
  <c r="G13" i="46"/>
  <c r="G14" i="46"/>
  <c r="G15" i="46"/>
  <c r="G16" i="46"/>
  <c r="G17" i="46"/>
  <c r="G18" i="46"/>
  <c r="G19" i="46"/>
  <c r="G20" i="46"/>
  <c r="G10" i="46"/>
  <c r="B15" i="21" l="1"/>
  <c r="D12" i="58"/>
  <c r="B7" i="59"/>
  <c r="D57" i="58"/>
  <c r="D56" i="58"/>
  <c r="D50" i="58"/>
  <c r="D33" i="58"/>
  <c r="D25" i="58"/>
  <c r="D9" i="58"/>
  <c r="D16" i="58"/>
  <c r="D24" i="58"/>
  <c r="D23" i="58"/>
  <c r="D8" i="58"/>
  <c r="D11" i="58"/>
  <c r="D7" i="58"/>
  <c r="D24" i="59"/>
  <c r="D10" i="58"/>
  <c r="D23" i="59"/>
  <c r="D22" i="58"/>
  <c r="D21" i="59"/>
  <c r="D20" i="59"/>
  <c r="D48" i="59"/>
  <c r="D15" i="48"/>
  <c r="G33" i="46"/>
  <c r="G9" i="46"/>
  <c r="D34" i="58" l="1"/>
  <c r="F13" i="48"/>
  <c r="F29" i="21"/>
  <c r="F19" i="21"/>
  <c r="F13" i="60" l="1"/>
  <c r="B14" i="60"/>
  <c r="F14" i="60" s="1"/>
  <c r="G14" i="66"/>
  <c r="G25" i="65" l="1"/>
  <c r="C38" i="65"/>
  <c r="D38" i="65" s="1"/>
  <c r="N24" i="68"/>
  <c r="K21" i="68"/>
  <c r="K23" i="55"/>
  <c r="C40" i="65"/>
  <c r="D40" i="65" s="1"/>
  <c r="D39" i="65"/>
  <c r="E41" i="65"/>
  <c r="E39" i="65"/>
  <c r="D41" i="65"/>
  <c r="E42" i="65" l="1"/>
  <c r="D42" i="65"/>
  <c r="G19" i="66" l="1"/>
  <c r="G12" i="64"/>
  <c r="D48" i="61"/>
  <c r="N22" i="68"/>
  <c r="B23" i="53" s="1"/>
  <c r="N23" i="68"/>
  <c r="B17" i="53" s="1"/>
  <c r="N25" i="68"/>
  <c r="B21" i="53" s="1"/>
  <c r="N26" i="68"/>
  <c r="B18" i="53" s="1"/>
  <c r="K37" i="68"/>
  <c r="K36" i="68"/>
  <c r="K32" i="68"/>
  <c r="K24" i="68"/>
  <c r="K28" i="68"/>
  <c r="K26" i="68"/>
  <c r="K16" i="68"/>
  <c r="K18" i="68"/>
  <c r="N38" i="68"/>
  <c r="N37" i="68"/>
  <c r="K34" i="68"/>
  <c r="K33" i="68"/>
  <c r="K31" i="68"/>
  <c r="K30" i="68"/>
  <c r="K29" i="68"/>
  <c r="K27" i="68"/>
  <c r="K25" i="68"/>
  <c r="K23" i="68"/>
  <c r="K22" i="68"/>
  <c r="K20" i="68"/>
  <c r="K19" i="68"/>
  <c r="K17" i="68"/>
  <c r="A17" i="68"/>
  <c r="K15" i="68"/>
  <c r="K14" i="68"/>
  <c r="K13" i="68"/>
  <c r="K12" i="68"/>
  <c r="K11" i="68"/>
  <c r="N36" i="68" l="1"/>
  <c r="B25" i="53"/>
  <c r="G25" i="53" s="1"/>
  <c r="G18" i="53"/>
  <c r="G21" i="53"/>
  <c r="G17" i="53"/>
  <c r="B30" i="53"/>
  <c r="B28" i="53"/>
  <c r="G28" i="53" s="1"/>
  <c r="G23" i="53"/>
  <c r="N20" i="68"/>
  <c r="B15" i="53" s="1"/>
  <c r="D17" i="61"/>
  <c r="D19" i="61"/>
  <c r="B34" i="51" s="1"/>
  <c r="N19" i="68"/>
  <c r="D11" i="66"/>
  <c r="D12" i="66" s="1"/>
  <c r="F12" i="66" s="1"/>
  <c r="K35" i="68"/>
  <c r="N35" i="68" s="1"/>
  <c r="D10" i="63" s="1"/>
  <c r="D16" i="63" l="1"/>
  <c r="D17" i="63" s="1"/>
  <c r="G17" i="63" s="1"/>
  <c r="D19" i="64"/>
  <c r="G19" i="64" s="1"/>
  <c r="D14" i="63"/>
  <c r="G11" i="63" s="1"/>
  <c r="N11" i="68"/>
  <c r="O11" i="68" s="1"/>
  <c r="G30" i="53"/>
  <c r="G15" i="53"/>
  <c r="G18" i="64"/>
  <c r="G10" i="63"/>
  <c r="N21" i="68"/>
  <c r="B16" i="53" s="1"/>
  <c r="D10" i="64"/>
  <c r="G10" i="64" s="1"/>
  <c r="B15" i="51"/>
  <c r="G15" i="51" s="1"/>
  <c r="D36" i="59"/>
  <c r="D25" i="59"/>
  <c r="G14" i="63" l="1"/>
  <c r="D14" i="64"/>
  <c r="B17" i="51"/>
  <c r="B27" i="53"/>
  <c r="G27" i="53" s="1"/>
  <c r="G16" i="53"/>
  <c r="G17" i="51"/>
  <c r="B22" i="51"/>
  <c r="G22" i="51" s="1"/>
  <c r="B29" i="53"/>
  <c r="B26" i="53"/>
  <c r="G26" i="53" s="1"/>
  <c r="G13" i="48"/>
  <c r="G17" i="62"/>
  <c r="D58" i="58"/>
  <c r="B8" i="59"/>
  <c r="G14" i="64" l="1"/>
  <c r="D15" i="64"/>
  <c r="G15" i="64" s="1"/>
  <c r="G29" i="53"/>
  <c r="B31" i="53"/>
  <c r="G31" i="53" s="1"/>
  <c r="D25" i="47"/>
  <c r="D29" i="48"/>
  <c r="D30" i="48" s="1"/>
  <c r="B27" i="48"/>
  <c r="B26" i="48"/>
  <c r="F26" i="48" s="1"/>
  <c r="D28" i="48"/>
  <c r="F28" i="48"/>
  <c r="G44" i="53" l="1"/>
  <c r="K35" i="53" s="1"/>
  <c r="G28" i="48"/>
  <c r="D28" i="61" l="1"/>
  <c r="D29" i="61"/>
  <c r="G18" i="66" l="1"/>
  <c r="F63" i="48" l="1"/>
  <c r="G63" i="48" s="1"/>
  <c r="F62" i="48"/>
  <c r="F59" i="48"/>
  <c r="F60" i="48" s="1"/>
  <c r="D62" i="48"/>
  <c r="D59" i="48"/>
  <c r="F56" i="48"/>
  <c r="D58" i="48"/>
  <c r="D55" i="48"/>
  <c r="G55" i="48" s="1"/>
  <c r="D54" i="48"/>
  <c r="D53" i="48" s="1"/>
  <c r="F58" i="48"/>
  <c r="G58" i="48" l="1"/>
  <c r="D60" i="48"/>
  <c r="G60" i="48" s="1"/>
  <c r="G59" i="48"/>
  <c r="G54" i="48"/>
  <c r="G53" i="48"/>
  <c r="G62" i="48"/>
  <c r="H36" i="46" l="1"/>
  <c r="D31" i="59" l="1"/>
  <c r="D31" i="61" l="1"/>
  <c r="G31" i="61" s="1"/>
  <c r="D30" i="61"/>
  <c r="G30" i="61" s="1"/>
  <c r="F34" i="61"/>
  <c r="D27" i="61"/>
  <c r="G29" i="61" l="1"/>
  <c r="F33" i="48"/>
  <c r="F32" i="48"/>
  <c r="F29" i="48"/>
  <c r="F24" i="48"/>
  <c r="D32" i="48"/>
  <c r="D14" i="48"/>
  <c r="F25" i="48"/>
  <c r="D24" i="48"/>
  <c r="D23" i="48"/>
  <c r="D22" i="48" s="1"/>
  <c r="F30" i="48" l="1"/>
  <c r="G30" i="48" s="1"/>
  <c r="G29" i="48"/>
  <c r="F10" i="60"/>
  <c r="G14" i="65" l="1"/>
  <c r="G21" i="65"/>
  <c r="G16" i="51"/>
  <c r="G28" i="51" s="1"/>
  <c r="K28" i="51" l="1"/>
  <c r="K36" i="53" s="1"/>
  <c r="D11" i="64"/>
  <c r="D33" i="59"/>
  <c r="D30" i="59"/>
  <c r="C32" i="59"/>
  <c r="G24" i="65" l="1"/>
  <c r="G11" i="66"/>
  <c r="G13" i="66"/>
  <c r="G17" i="66"/>
  <c r="G9" i="66"/>
  <c r="F12" i="60"/>
  <c r="F15" i="60"/>
  <c r="F16" i="60"/>
  <c r="F17" i="60"/>
  <c r="F11" i="60"/>
  <c r="G22" i="65"/>
  <c r="G28" i="65"/>
  <c r="G23" i="65"/>
  <c r="K33" i="65"/>
  <c r="L33" i="65" s="1"/>
  <c r="G11" i="64"/>
  <c r="K20" i="64"/>
  <c r="L20" i="64" s="1"/>
  <c r="K20" i="63"/>
  <c r="L20" i="63" s="1"/>
  <c r="G33" i="65" l="1"/>
  <c r="G20" i="66"/>
  <c r="G22" i="66" s="1"/>
  <c r="H22" i="66" s="1"/>
  <c r="G15" i="55"/>
  <c r="G21" i="55" s="1"/>
  <c r="G35" i="65" l="1"/>
  <c r="H35" i="65" s="1"/>
  <c r="B26" i="55"/>
  <c r="G26" i="55" l="1"/>
  <c r="B29" i="55"/>
  <c r="G29" i="55" s="1"/>
  <c r="D32" i="59"/>
  <c r="D43" i="59" s="1"/>
  <c r="D8" i="59"/>
  <c r="G11" i="62"/>
  <c r="F12" i="48"/>
  <c r="G12" i="48"/>
  <c r="G32" i="55" l="1"/>
  <c r="D14" i="59"/>
  <c r="D32" i="61"/>
  <c r="D33" i="61" s="1"/>
  <c r="G33" i="61" s="1"/>
  <c r="D7" i="59"/>
  <c r="D15" i="59" s="1"/>
  <c r="D22" i="47" l="1"/>
  <c r="G16" i="62"/>
  <c r="G13" i="62"/>
  <c r="G14" i="62"/>
  <c r="K19" i="62"/>
  <c r="L19" i="62" s="1"/>
  <c r="F17" i="61"/>
  <c r="G12" i="61"/>
  <c r="G11" i="61"/>
  <c r="G28" i="61"/>
  <c r="G27" i="61"/>
  <c r="K21" i="61"/>
  <c r="L21" i="61" s="1"/>
  <c r="G11" i="48"/>
  <c r="F47" i="48"/>
  <c r="G47" i="48" s="1"/>
  <c r="F46" i="48"/>
  <c r="D46" i="48"/>
  <c r="F44" i="48"/>
  <c r="D44" i="48"/>
  <c r="D45" i="48" s="1"/>
  <c r="G45" i="48" s="1"/>
  <c r="F43" i="48"/>
  <c r="D43" i="48"/>
  <c r="D42" i="48"/>
  <c r="G42" i="48" s="1"/>
  <c r="D41" i="48"/>
  <c r="G41" i="48" s="1"/>
  <c r="D40" i="48"/>
  <c r="G40" i="48" s="1"/>
  <c r="G33" i="48"/>
  <c r="G24" i="48"/>
  <c r="G23" i="48"/>
  <c r="K17" i="48"/>
  <c r="L17" i="48" s="1"/>
  <c r="G16" i="48"/>
  <c r="G29" i="21"/>
  <c r="G19" i="21"/>
  <c r="G21" i="21"/>
  <c r="F16" i="47"/>
  <c r="E31" i="47"/>
  <c r="D39" i="49"/>
  <c r="B39" i="49"/>
  <c r="F39" i="49" s="1"/>
  <c r="D37" i="49"/>
  <c r="D38" i="49" s="1"/>
  <c r="G38" i="49" s="1"/>
  <c r="D36" i="49"/>
  <c r="G36" i="49" s="1"/>
  <c r="D49" i="59"/>
  <c r="D17" i="58"/>
  <c r="D60" i="58" s="1"/>
  <c r="F31" i="47" l="1"/>
  <c r="F32" i="47" s="1"/>
  <c r="D23" i="47"/>
  <c r="D51" i="59"/>
  <c r="E51" i="59" s="1"/>
  <c r="D26" i="48"/>
  <c r="D56" i="48"/>
  <c r="H21" i="46"/>
  <c r="D26" i="61"/>
  <c r="G26" i="61" s="1"/>
  <c r="G10" i="61"/>
  <c r="G19" i="61"/>
  <c r="G10" i="62"/>
  <c r="G15" i="62"/>
  <c r="D18" i="62"/>
  <c r="G18" i="62" s="1"/>
  <c r="F20" i="60"/>
  <c r="G20" i="60" s="1"/>
  <c r="H31" i="47"/>
  <c r="G46" i="48"/>
  <c r="G43" i="48"/>
  <c r="D39" i="48"/>
  <c r="G39" i="48" s="1"/>
  <c r="G22" i="48"/>
  <c r="G44" i="48"/>
  <c r="G25" i="48"/>
  <c r="G32" i="48"/>
  <c r="G10" i="48"/>
  <c r="G39" i="49"/>
  <c r="G37" i="49"/>
  <c r="E60" i="58"/>
  <c r="G17" i="61" l="1"/>
  <c r="D57" i="48"/>
  <c r="G56" i="48"/>
  <c r="B18" i="63"/>
  <c r="G18" i="63" s="1"/>
  <c r="G16" i="63"/>
  <c r="G20" i="63" s="1"/>
  <c r="D35" i="61"/>
  <c r="G35" i="61" s="1"/>
  <c r="D34" i="61"/>
  <c r="D27" i="48"/>
  <c r="G26" i="48"/>
  <c r="E62" i="58"/>
  <c r="G48" i="48"/>
  <c r="G40" i="49"/>
  <c r="J54" i="55"/>
  <c r="A44" i="53"/>
  <c r="G21" i="61" l="1"/>
  <c r="G39" i="61" s="1"/>
  <c r="H39" i="61" s="1"/>
  <c r="G27" i="48"/>
  <c r="D31" i="48"/>
  <c r="G31" i="48" s="1"/>
  <c r="G34" i="61"/>
  <c r="G36" i="61" s="1"/>
  <c r="J29" i="61"/>
  <c r="J30" i="61" s="1"/>
  <c r="G22" i="63"/>
  <c r="H22" i="63" s="1"/>
  <c r="G57" i="48"/>
  <c r="D61" i="48"/>
  <c r="G61" i="48" s="1"/>
  <c r="G56" i="55"/>
  <c r="H56" i="55" s="1"/>
  <c r="G47" i="53"/>
  <c r="H47" i="53" s="1"/>
  <c r="H25" i="63" l="1"/>
  <c r="G42" i="61"/>
  <c r="H42" i="61" s="1"/>
  <c r="G64" i="48"/>
  <c r="G34" i="48"/>
  <c r="H49" i="53"/>
  <c r="J13" i="51"/>
  <c r="H57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1" i="21"/>
  <c r="F31" i="21" s="1"/>
  <c r="G28" i="21"/>
  <c r="F17" i="47"/>
  <c r="G15" i="48" l="1"/>
  <c r="G31" i="21"/>
  <c r="G12" i="21"/>
  <c r="G30" i="49"/>
  <c r="D17" i="49"/>
  <c r="B17" i="49"/>
  <c r="G14" i="49"/>
  <c r="G12" i="62" l="1"/>
  <c r="F23" i="47"/>
  <c r="F22" i="47"/>
  <c r="F9" i="47"/>
  <c r="D18" i="49"/>
  <c r="G18" i="49" s="1"/>
  <c r="D19" i="49"/>
  <c r="G19" i="49" s="1"/>
  <c r="G17" i="49"/>
  <c r="G19" i="62" l="1"/>
  <c r="G21" i="62" s="1"/>
  <c r="H21" i="62" s="1"/>
  <c r="H24" i="62" s="1"/>
  <c r="F24" i="47"/>
  <c r="G21" i="49"/>
  <c r="G46" i="49" s="1"/>
  <c r="H46" i="49" s="1"/>
  <c r="G14" i="48" l="1"/>
  <c r="G17" i="48" s="1"/>
  <c r="G67" i="48" s="1"/>
  <c r="H67" i="48" s="1"/>
  <c r="H11" i="36"/>
  <c r="H10" i="36"/>
  <c r="H9" i="36"/>
  <c r="H8" i="36"/>
  <c r="H7" i="36"/>
  <c r="H6" i="36"/>
  <c r="H12" i="36"/>
  <c r="H5" i="36"/>
  <c r="G20" i="21" l="1"/>
  <c r="G23" i="21" s="1"/>
  <c r="G24" i="21" s="1"/>
  <c r="F25" i="47"/>
  <c r="F26" i="47" s="1"/>
  <c r="F34" i="47" s="1"/>
  <c r="G34" i="47" s="1"/>
  <c r="J14" i="51" l="1"/>
  <c r="G16" i="64"/>
  <c r="G20" i="64" s="1"/>
  <c r="G31" i="51" l="1"/>
  <c r="G22" i="64"/>
  <c r="H22" i="64" l="1"/>
  <c r="H24" i="64" s="1"/>
  <c r="H31" i="51"/>
  <c r="H33" i="51" s="1"/>
  <c r="D30" i="21"/>
  <c r="G30" i="21" s="1"/>
  <c r="G32" i="21" s="1"/>
  <c r="G35" i="21" s="1"/>
  <c r="H3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5" authorId="0" shapeId="0" xr:uid="{B8964F62-19EE-4187-A5BB-811D8BAA54FC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5" authorId="0" shapeId="0" xr:uid="{00ADF2A2-A326-4E65-B0B2-B72853FCBBCE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6" authorId="0" shapeId="0" xr:uid="{FAE91F44-A659-4BBA-A505-B49A79E3B120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9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9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9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4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3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3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5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9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61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7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9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<sst xmlns="http://schemas.openxmlformats.org/spreadsheetml/2006/main" count="3066" uniqueCount="789">
  <si>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</si>
  <si>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</si>
  <si>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</si>
  <si>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</si>
  <si>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</si>
  <si>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</si>
  <si>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</si>
  <si>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</si>
  <si>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</si>
  <si>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</si>
  <si>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</si>
  <si>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</si>
  <si>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</si>
  <si>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</si>
  <si>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</si>
  <si>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</si>
  <si>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</si>
  <si>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</si>
  <si>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</si>
  <si>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</si>
  <si>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</si>
  <si>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</si>
  <si>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</si>
  <si>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</si>
  <si>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</si>
  <si>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</si>
  <si>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</si>
  <si>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</si>
  <si>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</si>
  <si>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</si>
  <si>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</si>
  <si>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</si>
  <si>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</si>
  <si>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</si>
  <si>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</si>
  <si>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</si>
  <si>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</si>
  <si>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</si>
  <si>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</si>
  <si>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</si>
  <si>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</si>
  <si>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</si>
  <si>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</si>
  <si>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</si>
  <si>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</si>
  <si>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</si>
  <si>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</si>
  <si>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</si>
  <si>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</si>
  <si>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</si>
  <si>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</si>
  <si>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</si>
  <si>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</si>
  <si>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</si>
  <si>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</si>
  <si>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</si>
  <si>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</si>
  <si>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</si>
  <si>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</si>
  <si>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</si>
  <si>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</si>
  <si>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</si>
  <si>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</si>
  <si>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</si>
  <si>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</si>
  <si>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</si>
  <si>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</si>
  <si>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</si>
  <si>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</si>
  <si>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</si>
  <si>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</si>
  <si>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</si>
  <si>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</si>
  <si>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</si>
  <si>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</si>
  <si>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</si>
  <si>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</si>
  <si>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</si>
  <si>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</si>
  <si>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</si>
  <si>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</si>
  <si>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</si>
  <si>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</si>
  <si>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</si>
  <si>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</si>
  <si>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</si>
  <si>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</si>
  <si>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</si>
  <si>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</si>
  <si>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</si>
  <si>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</si>
  <si>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</si>
  <si>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</si>
  <si>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</si>
  <si>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</si>
  <si>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</si>
  <si>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</si>
  <si>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</si>
  <si>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</si>
  <si>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</si>
  <si>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</si>
  <si>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</si>
  <si>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</si>
  <si>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</si>
  <si>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</si>
  <si>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</si>
  <si>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</si>
  <si>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</si>
  <si>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</si>
  <si>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</si>
  <si>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</si>
  <si>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</si>
  <si>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</si>
  <si>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</si>
  <si>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</si>
  <si>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</si>
  <si>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</si>
  <si>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</si>
  <si>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</si>
  <si>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</si>
  <si>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</si>
  <si>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</si>
  <si>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</si>
  <si>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</si>
  <si>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</si>
  <si>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</si>
  <si>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</si>
  <si>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</si>
  <si>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</si>
  <si>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</si>
  <si>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</si>
  <si>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</si>
  <si>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</si>
  <si>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</si>
  <si>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</si>
  <si>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</si>
  <si>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</si>
  <si>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</si>
  <si>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</si>
  <si>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</si>
  <si>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</si>
  <si>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</si>
  <si>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</si>
  <si>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</si>
  <si>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</si>
  <si>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</si>
  <si>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</si>
  <si>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</si>
  <si>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</si>
  <si>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</si>
  <si>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</si>
  <si>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</si>
  <si>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</si>
  <si>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</si>
  <si>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</si>
  <si>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</si>
  <si>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</si>
  <si>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</si>
  <si>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</si>
  <si>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</si>
  <si>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</si>
  <si>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</si>
  <si>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</si>
  <si>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</si>
  <si>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</si>
  <si>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</si>
  <si>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</si>
  <si>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</si>
  <si>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</si>
  <si>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</si>
  <si>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</si>
  <si>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</si>
  <si>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</si>
  <si>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</si>
  <si>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</si>
  <si>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</si>
  <si>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</si>
  <si>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</si>
  <si>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</si>
  <si>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</si>
  <si>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</si>
  <si>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</si>
  <si>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</si>
  <si>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</si>
  <si>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</si>
  <si>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</si>
  <si>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</si>
  <si>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</si>
  <si>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</si>
  <si>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</si>
  <si>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</si>
  <si>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</si>
  <si>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t>Reboco</t>
  </si>
  <si>
    <t>Chapisco</t>
  </si>
  <si>
    <t>Contrapiso</t>
  </si>
  <si>
    <t>REVESTIMENTOS INTERNOS EM PISO E PAREDE</t>
  </si>
  <si>
    <t>Chapisco e reboco</t>
  </si>
  <si>
    <t>Estucamento</t>
  </si>
  <si>
    <t>COBERTURA</t>
  </si>
  <si>
    <t>TERREO</t>
  </si>
  <si>
    <t>VINILICO</t>
  </si>
  <si>
    <t>PAVER</t>
  </si>
  <si>
    <t>CERAMICA</t>
  </si>
  <si>
    <t>PORCELANATO</t>
  </si>
  <si>
    <t>TOTAL ACABAMENTOS</t>
  </si>
  <si>
    <t xml:space="preserve">m² </t>
  </si>
  <si>
    <t>Piscina</t>
  </si>
  <si>
    <t xml:space="preserve">Porcelanato </t>
  </si>
  <si>
    <t>ACABAMENTOS EM PISO E PAREDE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</si>
  <si>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</si>
  <si>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</si>
  <si>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</si>
  <si>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</si>
  <si>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</si>
  <si>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</si>
  <si>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</si>
  <si>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</si>
  <si>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</si>
  <si>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</si>
  <si>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</si>
  <si>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</si>
  <si>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</si>
  <si>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</si>
  <si>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</si>
  <si>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</si>
  <si>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</si>
  <si>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</si>
  <si>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</si>
  <si>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</si>
  <si>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</si>
  <si>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Serralherias</t>
  </si>
  <si>
    <t>PCF</t>
  </si>
  <si>
    <t>ESQUADRIAS</t>
  </si>
  <si>
    <t>TOTAL INSTALAÇÕES</t>
  </si>
  <si>
    <t>Instalações de Proteção e Aterramento - SPDA</t>
  </si>
  <si>
    <t>Instalações de GLP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</si>
  <si>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</si>
  <si>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</si>
  <si>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</si>
  <si>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</si>
  <si>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</si>
  <si>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</si>
  <si>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</si>
  <si>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</si>
  <si>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</si>
  <si>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</si>
  <si>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</si>
  <si>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</si>
  <si>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</si>
  <si>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</si>
  <si>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</si>
  <si>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</si>
  <si>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</si>
  <si>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</si>
  <si>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</si>
  <si>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</si>
  <si>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</si>
  <si>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</si>
  <si>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</si>
  <si>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</si>
  <si>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</si>
  <si>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</si>
  <si>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</si>
  <si>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</si>
  <si>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</si>
  <si>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</si>
  <si>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</si>
  <si>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</si>
  <si>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</si>
  <si>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</si>
  <si>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</si>
  <si>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</si>
  <si>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</si>
  <si>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</si>
  <si>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</si>
  <si>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</si>
  <si>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</si>
  <si>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</si>
  <si>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</si>
  <si>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</si>
  <si>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</si>
  <si>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</si>
  <si>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</si>
  <si>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</si>
  <si>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</si>
  <si>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</si>
  <si>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</si>
  <si>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</si>
  <si>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</si>
  <si>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</si>
  <si>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</si>
  <si>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</si>
  <si>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</si>
  <si>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</si>
  <si>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</si>
  <si>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</si>
  <si>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</si>
  <si>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</si>
  <si>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</si>
  <si>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</si>
  <si>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</si>
  <si>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</si>
  <si>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</si>
  <si>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</si>
  <si>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</si>
  <si>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</si>
  <si>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</si>
  <si>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</si>
  <si>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</si>
  <si>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</si>
  <si>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Escoramento</t>
  </si>
  <si>
    <t>Equipamentos para Sauna</t>
  </si>
  <si>
    <t>Escada pressurizada</t>
  </si>
  <si>
    <t>m / FORRO</t>
  </si>
  <si>
    <t>PINTURA INTERNA</t>
  </si>
  <si>
    <t>REVESTIMENTOS E ACABAMENTOS DE TETO</t>
  </si>
  <si>
    <t xml:space="preserve"> m² / AC</t>
  </si>
  <si>
    <t>Passarelas</t>
  </si>
  <si>
    <t>TELHADO</t>
  </si>
  <si>
    <t>Textura</t>
  </si>
  <si>
    <t>Equipamento d ecarro eletrico</t>
  </si>
  <si>
    <t>Corrimão inox</t>
  </si>
  <si>
    <t>Trataamento de esgoto</t>
  </si>
  <si>
    <t>CARPETE</t>
  </si>
  <si>
    <t>PISO ALISADO</t>
  </si>
  <si>
    <t>PISO RANHURADO</t>
  </si>
  <si>
    <t>DECK</t>
  </si>
  <si>
    <t>PASTILHA</t>
  </si>
  <si>
    <t>Carpete</t>
  </si>
  <si>
    <t>Polimento de concreto</t>
  </si>
  <si>
    <t>Ladrilho hidaraulico</t>
  </si>
  <si>
    <t>PISO ALISADO ESCADA</t>
  </si>
  <si>
    <t>Piso alisado</t>
  </si>
  <si>
    <t>TOTAL ESQUADRIAS</t>
  </si>
  <si>
    <t xml:space="preserve">un </t>
  </si>
  <si>
    <t>EMBORRACHADO</t>
  </si>
  <si>
    <t>Subestação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</si>
  <si>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</si>
  <si>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</si>
  <si>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</si>
  <si>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</si>
  <si>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</si>
  <si>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</si>
  <si>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</si>
  <si>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</si>
  <si>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</si>
  <si>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</si>
  <si>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Cristalizante (reservatorios)</t>
  </si>
  <si>
    <t>Churrasqueiras pré-moldadas</t>
  </si>
  <si>
    <t>R$</t>
  </si>
  <si>
    <t>Tratamento de frisos</t>
  </si>
  <si>
    <t>Fechadura biométrica</t>
  </si>
  <si>
    <t>SUPRAESTRUTURA - LAJE CUBETAS PROTENDIDAS</t>
  </si>
  <si>
    <t>Concreto (25 Mpa)</t>
  </si>
  <si>
    <t>2 PAV</t>
  </si>
  <si>
    <t>COB</t>
  </si>
  <si>
    <t>1 PV</t>
  </si>
  <si>
    <t>3PAV</t>
  </si>
  <si>
    <t>4 PARADAS</t>
  </si>
  <si>
    <t>Equipamentos para Espelho dagua</t>
  </si>
  <si>
    <t>LEVANTAMENTO QUANTITATIVO</t>
  </si>
  <si>
    <t>REVESTIMENTOS E ACABAMENTOS DE PISO</t>
  </si>
  <si>
    <t>LEVANTAMENTO DE PROJETO</t>
  </si>
  <si>
    <t>CONTRAPISO</t>
  </si>
  <si>
    <t>Pavimento</t>
  </si>
  <si>
    <t>Material</t>
  </si>
  <si>
    <t>Área (m²)</t>
  </si>
  <si>
    <t>Contrapiso (Sim/Não)</t>
  </si>
  <si>
    <t>Repetição</t>
  </si>
  <si>
    <t>Total</t>
  </si>
  <si>
    <t>Revestimento</t>
  </si>
  <si>
    <t>Área total</t>
  </si>
  <si>
    <t>Sim</t>
  </si>
  <si>
    <t>Não</t>
  </si>
  <si>
    <t>TÉRREO</t>
  </si>
  <si>
    <t>Local</t>
  </si>
  <si>
    <t>Piso</t>
  </si>
  <si>
    <t>Teto</t>
  </si>
  <si>
    <t>Porcelanato</t>
  </si>
  <si>
    <t>Gesso</t>
  </si>
  <si>
    <t>PISO</t>
  </si>
  <si>
    <t>TETO</t>
  </si>
  <si>
    <t>m3</t>
  </si>
  <si>
    <t>Cristalização elementos aparentes</t>
  </si>
  <si>
    <t>Pergolados metalicos</t>
  </si>
  <si>
    <t>m2</t>
  </si>
  <si>
    <t>PELE DE VIDO</t>
  </si>
  <si>
    <t>area</t>
  </si>
  <si>
    <t xml:space="preserve">TERREO -2 </t>
  </si>
  <si>
    <t>TERREO -1</t>
  </si>
  <si>
    <t xml:space="preserve">SOBRELOJS -2 </t>
  </si>
  <si>
    <t>SOBRELOJS -1</t>
  </si>
  <si>
    <t>BRISE</t>
  </si>
  <si>
    <t>Estacionamento</t>
  </si>
  <si>
    <t xml:space="preserve">Estrutura metálica cobertura </t>
  </si>
  <si>
    <t>Moldura ACM metálica</t>
  </si>
  <si>
    <t>Playground</t>
  </si>
  <si>
    <t>R$ / m2</t>
  </si>
  <si>
    <t>Pergolados madeira</t>
  </si>
  <si>
    <t>Polido</t>
  </si>
  <si>
    <t>Irrigação, iluminação e mobiliário externo</t>
  </si>
  <si>
    <t>Hotel e Residencial Colline</t>
  </si>
  <si>
    <t>Colline - Miguel Pereira</t>
  </si>
  <si>
    <t>PLANTA SITUAÇÃO HOTEL COLLINE e PLANTA SITUACAO RESIDENCIAL COLLINE</t>
  </si>
  <si>
    <t>Hotel</t>
  </si>
  <si>
    <t>Residencial</t>
  </si>
  <si>
    <t>Quantidade Total</t>
  </si>
  <si>
    <t>6º AO 18º PAV. DIFERENCIADO TORRE I E II (X13)</t>
  </si>
  <si>
    <t>DUPLEX INFERIOR TORRE I E II</t>
  </si>
  <si>
    <t>DUPLEX SUPERIOR TORRE I E II</t>
  </si>
  <si>
    <t>INSPEÇÃO TORRE I E II</t>
  </si>
  <si>
    <t>CASA DE MÁQUINAS TORRE I E II</t>
  </si>
  <si>
    <t>CAIXA D'AGUA TORRE I E II</t>
  </si>
  <si>
    <t>Aterro</t>
  </si>
  <si>
    <t>"subsolo" na verdade aterrado na frente do terreno para rampas</t>
  </si>
  <si>
    <t>SUBSOLO / TERREO</t>
  </si>
  <si>
    <t>TÉRREO/ GARAGEM 1</t>
  </si>
  <si>
    <t>1º PAVIMENTO / GARAGEM 2</t>
  </si>
  <si>
    <t>2º PAVIMENTO / LAZER</t>
  </si>
  <si>
    <t>Quantidade de resumo</t>
  </si>
  <si>
    <t>Alvenaria externo</t>
  </si>
  <si>
    <t>Alvenaria escadas resistente á fogo (sical)</t>
  </si>
  <si>
    <t>SUBSOLO</t>
  </si>
  <si>
    <t>Reservatorios/boiler</t>
  </si>
  <si>
    <t>Casa de maquinas</t>
  </si>
  <si>
    <t>Rouparia</t>
  </si>
  <si>
    <t>Roupa suja</t>
  </si>
  <si>
    <t>Telecom</t>
  </si>
  <si>
    <t>Eletrica</t>
  </si>
  <si>
    <t>Administração</t>
  </si>
  <si>
    <t>Circulação</t>
  </si>
  <si>
    <t>Area tecnica</t>
  </si>
  <si>
    <t>Almoxarifado</t>
  </si>
  <si>
    <t>Recebimento</t>
  </si>
  <si>
    <t>Circulação serviço</t>
  </si>
  <si>
    <t>Camara de congelados</t>
  </si>
  <si>
    <t>Vestiarios</t>
  </si>
  <si>
    <t>Funcionarios</t>
  </si>
  <si>
    <t>Controle</t>
  </si>
  <si>
    <t>Cozinha</t>
  </si>
  <si>
    <t>Apoio e praça de garçons</t>
  </si>
  <si>
    <t>Foyer</t>
  </si>
  <si>
    <t>Restaurante</t>
  </si>
  <si>
    <t>WC restaurante</t>
  </si>
  <si>
    <t>Recepção</t>
  </si>
  <si>
    <t>Circ</t>
  </si>
  <si>
    <t>Atendimento</t>
  </si>
  <si>
    <t>Lavabo</t>
  </si>
  <si>
    <t>Massagem</t>
  </si>
  <si>
    <t>Banho</t>
  </si>
  <si>
    <t>Cimentado</t>
  </si>
  <si>
    <t>Porcelanato AC</t>
  </si>
  <si>
    <t>Escada</t>
  </si>
  <si>
    <t>Antecamara</t>
  </si>
  <si>
    <t>Passeio externo</t>
  </si>
  <si>
    <t>Escada externa</t>
  </si>
  <si>
    <t>Varanda</t>
  </si>
  <si>
    <t>Terraço</t>
  </si>
  <si>
    <t>Piscina externa</t>
  </si>
  <si>
    <t>Café da manha</t>
  </si>
  <si>
    <t>Apoio garçom</t>
  </si>
  <si>
    <t>Apoio cozinha</t>
  </si>
  <si>
    <t>Lobby</t>
  </si>
  <si>
    <t>Apoio recepção</t>
  </si>
  <si>
    <t>Comercial</t>
  </si>
  <si>
    <t>Gerencia</t>
  </si>
  <si>
    <t>Wcs lobby</t>
  </si>
  <si>
    <t>Circ academia</t>
  </si>
  <si>
    <t>Academia</t>
  </si>
  <si>
    <t>Circ WCs</t>
  </si>
  <si>
    <t>Sauna</t>
  </si>
  <si>
    <t>Bar</t>
  </si>
  <si>
    <t>Piscina interna</t>
  </si>
  <si>
    <t>Pisicinas</t>
  </si>
  <si>
    <t>Pastilha</t>
  </si>
  <si>
    <t>Mármore</t>
  </si>
  <si>
    <t>Vinilico</t>
  </si>
  <si>
    <t>Madeira</t>
  </si>
  <si>
    <t>Abrigo externo</t>
  </si>
  <si>
    <t>Rampa externa</t>
  </si>
  <si>
    <t>PAV 1</t>
  </si>
  <si>
    <t>Salão</t>
  </si>
  <si>
    <t>Workspace</t>
  </si>
  <si>
    <t>Suite Majestic 1</t>
  </si>
  <si>
    <t>Suite Majestic 3</t>
  </si>
  <si>
    <t>BWC Majestic 1</t>
  </si>
  <si>
    <t>Suite Majestic 2</t>
  </si>
  <si>
    <t>BWC Majestic 2</t>
  </si>
  <si>
    <t>Suite G Colline 1</t>
  </si>
  <si>
    <t>BWC G Colline 1</t>
  </si>
  <si>
    <t>Suite Imperial 1</t>
  </si>
  <si>
    <t>BWC IMperial 1</t>
  </si>
  <si>
    <t>Sacada Majestic 1</t>
  </si>
  <si>
    <t>Sacada Majestic 2</t>
  </si>
  <si>
    <t>Sacada Imperial 1</t>
  </si>
  <si>
    <t>Suite Supreme 1</t>
  </si>
  <si>
    <t>BWC Supreme 1</t>
  </si>
  <si>
    <t>Sacada Supreme 1</t>
  </si>
  <si>
    <t>BWC Majestic 3</t>
  </si>
  <si>
    <t>Sacada Majestic 3</t>
  </si>
  <si>
    <t>Suite Majestic 4</t>
  </si>
  <si>
    <t>BWC Majestic 4</t>
  </si>
  <si>
    <t>Sacada Majestic 4</t>
  </si>
  <si>
    <t>Suite G Colline 2</t>
  </si>
  <si>
    <t>BWC G Colline 2</t>
  </si>
  <si>
    <t>Suite Imperial 2</t>
  </si>
  <si>
    <t>BWC IMperial 2</t>
  </si>
  <si>
    <t>Sacada Imperial 2</t>
  </si>
  <si>
    <t>Suite Supreme 2</t>
  </si>
  <si>
    <t>BWC Supreme 2</t>
  </si>
  <si>
    <t>Sacada Supreme 2</t>
  </si>
  <si>
    <t>PAV 2</t>
  </si>
  <si>
    <t>Aspiração central</t>
  </si>
  <si>
    <t>Aquecimento de piso</t>
  </si>
  <si>
    <t>Infraestrutura para Instalação de Ar Condicionado VRF</t>
  </si>
  <si>
    <t>Exaustão banheiros</t>
  </si>
  <si>
    <t>SUBTELHADO / 5º PAV. DIFERENCIADO TORRE I E II (X1)</t>
  </si>
  <si>
    <t>Estaca Pre-moldada cravada 20X20</t>
  </si>
  <si>
    <t>Estaca Pre-moldada cravada 30X30</t>
  </si>
  <si>
    <t>Estaca Pre-moldada centrifugada 50cm</t>
  </si>
  <si>
    <t>Estaca Pre-moldada centrifugada 42cm</t>
  </si>
  <si>
    <t>RMP-FUN-EX-0002-TABELAS-R02</t>
  </si>
  <si>
    <t>Manipulação</t>
  </si>
  <si>
    <t>Basalto</t>
  </si>
  <si>
    <t>Escada principal - pisada</t>
  </si>
  <si>
    <t>Pintura</t>
  </si>
  <si>
    <t>Escada principal - espelho</t>
  </si>
  <si>
    <t>Suite Magnifique 1</t>
  </si>
  <si>
    <t>BWC Magnifique 1</t>
  </si>
  <si>
    <t>Sacada Magnifique 1</t>
  </si>
  <si>
    <t>Living Magnifique 1</t>
  </si>
  <si>
    <t>Copa Magnifique 1</t>
  </si>
  <si>
    <t>Closet Magnifique 1</t>
  </si>
  <si>
    <t>Piscina Magnifique 1</t>
  </si>
  <si>
    <t>Suite G Colline 3</t>
  </si>
  <si>
    <t>BWC G Colline 3</t>
  </si>
  <si>
    <t>Sacada G Colline 3</t>
  </si>
  <si>
    <t>Varanda Magnifique 1</t>
  </si>
  <si>
    <t>SUBCOBERTURA</t>
  </si>
  <si>
    <t xml:space="preserve">Suite Petit Colline </t>
  </si>
  <si>
    <t xml:space="preserve">BWC Petit Colline </t>
  </si>
  <si>
    <t>Copa Baby</t>
  </si>
  <si>
    <t>Sala</t>
  </si>
  <si>
    <t>Laje Impermeabilizada</t>
  </si>
  <si>
    <t>Reservatorio</t>
  </si>
  <si>
    <t>TOTAL PAV</t>
  </si>
  <si>
    <t>EXT</t>
  </si>
  <si>
    <t>DRY EXT</t>
  </si>
  <si>
    <t>DRY INT</t>
  </si>
  <si>
    <t>Drywall entre quartos</t>
  </si>
  <si>
    <t>Drywall interno</t>
  </si>
  <si>
    <t>PAV 1 E 2</t>
  </si>
  <si>
    <t>2ST/90/ST+RU</t>
  </si>
  <si>
    <t>Apenas pintura de faixas</t>
  </si>
  <si>
    <t>Pintura Interna paredes</t>
  </si>
  <si>
    <t>Pintura Interna teto</t>
  </si>
  <si>
    <t>Textura teto</t>
  </si>
  <si>
    <t>Drywall shafts</t>
  </si>
  <si>
    <t>Drywall paredes externas internas</t>
  </si>
  <si>
    <t>Mão de obra drywall</t>
  </si>
  <si>
    <t>PLACA / CHAPA DE GESSO ACARTONADO, STANDARD (ST), COR BRANCA, E = 12,5 MM, 1200 X 2400 MM (L X C)</t>
  </si>
  <si>
    <t>PINO DE ACO COM ARRUELA CONICA, DIAMETRO ARRUELA = *23* MM E COMP HASTE = *27* MM (ACAOINDIRETA)</t>
  </si>
  <si>
    <t>MASSA DE REJUNTE EM PO PARA DRYWALL, A BASE DE GESSO, SECAGEM RAPIDA, PARA TRATAMENTO DE JUNTAS DE CHAPA DE GESSO (NECESSITA ADICAO DE AGUA)</t>
  </si>
  <si>
    <t>FITA DE PAPEL MICROPERFURADO, 50 X 150 MM, PARA TRATAMENTO DE JUNTAS DE CHAPA DE GESSO PARA DRYWALL</t>
  </si>
  <si>
    <t>LÂ DE VIDRO PARA ISOLAMENTO 50mm</t>
  </si>
  <si>
    <t>FITA DE PAPEL REFORCADA COM LAMINA DE METAL PARA REFORCO DE CANTOS DE CHAPA DE GESSO PARA DRYWALL</t>
  </si>
  <si>
    <t>PARAFUSO DRY WALL, EM ACO FOSFATIZADO, CABECA TROMBETA E PONTA AGULHA (TA), COMPRIMENTO 25 MM</t>
  </si>
  <si>
    <t>PARAFUSO DRY WALL, EM ACO ZINCADO, CABECA LENTILHA E PONTA BROCA (LB), LARGURA 4,2 MM, COMPRIMENTO 13 MM</t>
  </si>
  <si>
    <t>PARAFUSO DRY WALL, EM ACO FOSFATIZADO, CABECA TROMBETA E PONTA AGULHA (TA), COMPRIMENTO 45 MM</t>
  </si>
  <si>
    <t>PERFIL GUIA, FORMATO U, EM ACO ZINCADO, PARA ESTRUTURA PAREDE DRYWALL, E = 0,5 MM, 90 X 3000 MM (L X C)</t>
  </si>
  <si>
    <t>PERFIL MONTANTE, FORMATO C, EM ACO ZINCADO, PARA ESTRUTURA PAREDE DRYWALL, E = 0,5 MM, 90 X 3000 MM (L X C)</t>
  </si>
  <si>
    <t xml:space="preserve">Unidade </t>
  </si>
  <si>
    <t xml:space="preserve">Quantidade </t>
  </si>
  <si>
    <t>Preço Total</t>
  </si>
  <si>
    <t>um</t>
  </si>
  <si>
    <t>(ST/90/RU)</t>
  </si>
  <si>
    <t>PLACA / CHAPA DE GESSO ACARTONADO, RESISTENTE A UMIDADE (RU), COR VERDE, E = 12,5 MM, 1200 X 2400 MM (L X C)</t>
  </si>
  <si>
    <t>PERFIL GUIA, FORMATO U, EM ACO ZINCADO, PARA ESTRUTURA PAREDE DRYWALL, E = 0,5 MM, 48 X 3000 MM (L X C)</t>
  </si>
  <si>
    <t>PERFIL MONTANTE, FORMATO C, EM ACO ZINCADO, PARA ESTRUTURA PAREDE DRYWALL, E = 0,5 MM, 9048 X 3000 MM (L X C)</t>
  </si>
  <si>
    <t>(48/VID/PERF)</t>
  </si>
  <si>
    <t>PLACA / CHAPA DE GESSO ACARTONADO, PERFORMA, COR BRANCA, E = 12,5 MM, 1200 X 2400 MM (L X C)</t>
  </si>
  <si>
    <t>BANDA ACUSTICA</t>
  </si>
  <si>
    <t>(PERF/VID/48/VID/PERF)</t>
  </si>
  <si>
    <t>Manta acústica ondulada</t>
  </si>
  <si>
    <t>Lâ de vidro + cimenticia</t>
  </si>
  <si>
    <t>PISO MANTA VIDRO + PLACA CIMENT</t>
  </si>
  <si>
    <t>PAD 25mm</t>
  </si>
  <si>
    <t>LÂ DE VIDRO PARA ISOLAMENTO 20mm</t>
  </si>
  <si>
    <t>MANTA DE DESCONEXÃO</t>
  </si>
  <si>
    <t>PLACA / CHAPA CIMENTICIA, PERFORMA, COR BRANCA, E = 10 MM, 1200 X 2400 MM (L X C)</t>
  </si>
  <si>
    <t>Acustico</t>
  </si>
  <si>
    <t>OND</t>
  </si>
  <si>
    <t>CIMENT</t>
  </si>
  <si>
    <t>FLUT+PU</t>
  </si>
  <si>
    <t>Manta flutuante + PU</t>
  </si>
  <si>
    <t>FLUT</t>
  </si>
  <si>
    <t xml:space="preserve">Manta flutuante </t>
  </si>
  <si>
    <t>Suite Colline 1</t>
  </si>
  <si>
    <t>BWC Colline 1</t>
  </si>
  <si>
    <t>BWC Colline 2</t>
  </si>
  <si>
    <t>Suite Colline 2</t>
  </si>
  <si>
    <t>Suite Colline Acessivel 1</t>
  </si>
  <si>
    <t>BWC Colline Acessivel 1</t>
  </si>
  <si>
    <t>Suite Colline Acessivel 2</t>
  </si>
  <si>
    <t>BWC Colline Acessivel 2</t>
  </si>
  <si>
    <t>(2PERF/VID/70/PERF/70/VID/2PERF)</t>
  </si>
  <si>
    <t>PERFIL GUIA, FORMATO U, EM ACO ZINCADO, PARA ESTRUTURA PAREDE DRYWALL, E = 0,5 MM, 70 X 3000 MM (L X C)</t>
  </si>
  <si>
    <t>PERFIL MONTANTE, FORMATO C, EM ACO ZINCADO, PARA ESTRUTURA PAREDE DRYWALL, E = 0,5 MM, 70 X 3000 MM (L X C)</t>
  </si>
  <si>
    <t xml:space="preserve">R$ </t>
  </si>
  <si>
    <t>Porcelanato ac</t>
  </si>
  <si>
    <t>Piso elevadores</t>
  </si>
  <si>
    <t>Rodapés porcelaato</t>
  </si>
  <si>
    <t>Rodapés poliestireno</t>
  </si>
  <si>
    <t>mo Estucamento</t>
  </si>
  <si>
    <t>mo reboco</t>
  </si>
  <si>
    <t>mo contrapiso</t>
  </si>
  <si>
    <t>mo Revestimentos de Parede</t>
  </si>
  <si>
    <t xml:space="preserve">Soleiras </t>
  </si>
  <si>
    <t>peitoris</t>
  </si>
  <si>
    <t>mo peitoris</t>
  </si>
  <si>
    <t>mo Soleiras</t>
  </si>
  <si>
    <t>mo marmore</t>
  </si>
  <si>
    <t>mo porcelanato</t>
  </si>
  <si>
    <t>Mo rodape</t>
  </si>
  <si>
    <t>Piso vinilico - mat e mo</t>
  </si>
  <si>
    <t>mo pastilha</t>
  </si>
  <si>
    <t>mo basalto</t>
  </si>
  <si>
    <t>Carpete- mat e mo</t>
  </si>
  <si>
    <t>Isolamento teto</t>
  </si>
  <si>
    <t>FORRO 1</t>
  </si>
  <si>
    <t>FORRO ABSORVEDOR</t>
  </si>
  <si>
    <t>FORRO 4</t>
  </si>
  <si>
    <t>PENDURAL AVD</t>
  </si>
  <si>
    <t>Forro mineral</t>
  </si>
  <si>
    <t>Forro absorvedor</t>
  </si>
  <si>
    <t>Forro com isolamento</t>
  </si>
  <si>
    <t>Molduras</t>
  </si>
  <si>
    <t>Isol</t>
  </si>
  <si>
    <t>Absor</t>
  </si>
  <si>
    <t>Roseta iluminação</t>
  </si>
  <si>
    <t xml:space="preserve">mo Textura escadas </t>
  </si>
  <si>
    <t>mo Textura teto</t>
  </si>
  <si>
    <t>mo Pintura Interna teto</t>
  </si>
  <si>
    <t>Boiserie</t>
  </si>
  <si>
    <t>Papel de parede</t>
  </si>
  <si>
    <t>10% das paredes pintadas recebem papal de parede</t>
  </si>
  <si>
    <t>30% das paredes pintadas recebem boiserie</t>
  </si>
  <si>
    <t>restante possui janela ou movel</t>
  </si>
  <si>
    <t>mo Boiserie</t>
  </si>
  <si>
    <t>ACAB PAREDE</t>
  </si>
  <si>
    <t>ACAB PISO</t>
  </si>
  <si>
    <t>REVET PAREDE</t>
  </si>
  <si>
    <t>REVET PISO</t>
  </si>
  <si>
    <t>Esquadrias de Madeira Isolantes</t>
  </si>
  <si>
    <t>Esquadrias de Madeira correr</t>
  </si>
  <si>
    <t>Esquadrias de Alumínio fachada</t>
  </si>
  <si>
    <t>Esquadrias de Alumínio internas</t>
  </si>
  <si>
    <t>Guarda corpo balustre</t>
  </si>
  <si>
    <t>Contramarco</t>
  </si>
  <si>
    <t>mo Contramarco</t>
  </si>
  <si>
    <t>Portas aluminio</t>
  </si>
  <si>
    <t>Fechadura correr</t>
  </si>
  <si>
    <t>Fecho + puxador</t>
  </si>
  <si>
    <t>Fechadura esquadria interna</t>
  </si>
  <si>
    <t>MO portas</t>
  </si>
  <si>
    <t>Conforme porposta Onity, prevendo todos os equipamentos e licença</t>
  </si>
  <si>
    <t>Telhamento Shingle</t>
  </si>
  <si>
    <t>Mo ocbertura</t>
  </si>
  <si>
    <t>Composição de telhado ceramico (30%=16,7º) multiplicado por 3,35 para ter 56º de inclinação</t>
  </si>
  <si>
    <t>Area inclinada</t>
  </si>
  <si>
    <t>Hidrometro</t>
  </si>
  <si>
    <t>Acumulador (boiler) 2500L</t>
  </si>
  <si>
    <t>Aquecedores a gás</t>
  </si>
  <si>
    <t>agua quente e fria</t>
  </si>
  <si>
    <t>Bombas de pressurização</t>
  </si>
  <si>
    <t>Bombas de calor</t>
  </si>
  <si>
    <t>Cisternas e reservatorios</t>
  </si>
  <si>
    <t>agua fria</t>
  </si>
  <si>
    <t>LOUÇAS E METAIS</t>
  </si>
  <si>
    <t>Louças</t>
  </si>
  <si>
    <t>Metais</t>
  </si>
  <si>
    <t>Mão de obra preventivo</t>
  </si>
  <si>
    <t xml:space="preserve">Bombas </t>
  </si>
  <si>
    <t>Instalações Preventivas - hidrantes</t>
  </si>
  <si>
    <t>Instalações Preventivas -sinalização</t>
  </si>
  <si>
    <t>Instalações Preventivas - alarme</t>
  </si>
  <si>
    <t>Controle de acesso</t>
  </si>
  <si>
    <t>Banheira de imersão</t>
  </si>
  <si>
    <t>Hidromassagem</t>
  </si>
  <si>
    <t>Pontos de hidro</t>
  </si>
  <si>
    <t>Equipamentos para Piscina privativa</t>
  </si>
  <si>
    <t>Chafariz</t>
  </si>
  <si>
    <t>Bancadas, pias e divisórias</t>
  </si>
  <si>
    <t>Bacia</t>
  </si>
  <si>
    <t>Cuba</t>
  </si>
  <si>
    <t>Calçadas e Passeios</t>
  </si>
  <si>
    <t>Pilar café - mármore</t>
  </si>
  <si>
    <t>Capiteis</t>
  </si>
  <si>
    <t xml:space="preserve">Lareiras </t>
  </si>
  <si>
    <t>Pingadeiras</t>
  </si>
  <si>
    <t>Janelas retas</t>
  </si>
  <si>
    <t>Janelas curvas</t>
  </si>
  <si>
    <t>Revestimento pilar</t>
  </si>
  <si>
    <t xml:space="preserve">Beiral </t>
  </si>
  <si>
    <t>Fundos</t>
  </si>
  <si>
    <t>Frontal</t>
  </si>
  <si>
    <t>Direita</t>
  </si>
  <si>
    <t>Esquerda</t>
  </si>
  <si>
    <t>Comprimento</t>
  </si>
  <si>
    <t>Janelas retas com sinete</t>
  </si>
  <si>
    <t>Janelas curvas com sinete</t>
  </si>
  <si>
    <t>Janelas curvas telhado</t>
  </si>
  <si>
    <t>Janelas curvas terreo grande*</t>
  </si>
  <si>
    <t>Sinete e detalhe em pilar</t>
  </si>
  <si>
    <t>Janelas curvas terreo pequena com sinete</t>
  </si>
  <si>
    <t>Janelas curvas pav 1 pequena com sinete</t>
  </si>
  <si>
    <t>Arco 2 pav</t>
  </si>
  <si>
    <t>Sinete, detalhe em pilar, base e detalhe lateral</t>
  </si>
  <si>
    <t>Janelas curvas subsolo</t>
  </si>
  <si>
    <t>Janelas curvas subsolo pequena com sinete</t>
  </si>
  <si>
    <t>Janelas retas subsolo</t>
  </si>
  <si>
    <t>total (m)</t>
  </si>
  <si>
    <t>Arco subsolo</t>
  </si>
  <si>
    <t>Janleas pequenas subsolo</t>
  </si>
  <si>
    <t>Janleas banheiro</t>
  </si>
  <si>
    <t>Arco terraço frontal</t>
  </si>
  <si>
    <t>Arco porta entrada</t>
  </si>
  <si>
    <t>Arco latertal entrada</t>
  </si>
  <si>
    <t>Arco acesso grande</t>
  </si>
  <si>
    <t>Arco acesso pequeno</t>
  </si>
  <si>
    <t>Detalhe em pilar</t>
  </si>
  <si>
    <t>Base pilar</t>
  </si>
  <si>
    <t>Sinete</t>
  </si>
  <si>
    <t>Arco garagem</t>
  </si>
  <si>
    <t>Pilar 60x60</t>
  </si>
  <si>
    <t>Parede</t>
  </si>
  <si>
    <t>Pilar com capitel e base</t>
  </si>
  <si>
    <t>Chaminé</t>
  </si>
  <si>
    <t>Detalhe pilar</t>
  </si>
  <si>
    <t>Detalhe janela cob</t>
  </si>
  <si>
    <t>Capitel</t>
  </si>
  <si>
    <t>Moldura sacada</t>
  </si>
  <si>
    <t>Moldura cobertura</t>
  </si>
  <si>
    <t>Moldura meio</t>
  </si>
  <si>
    <t>Pingadeira</t>
  </si>
  <si>
    <t>Capitel muro</t>
  </si>
  <si>
    <t>Detalhes entrada portões</t>
  </si>
  <si>
    <t>Arcos</t>
  </si>
  <si>
    <t>Revestimento parede</t>
  </si>
  <si>
    <t>Revestimento pilar reto e chaminé</t>
  </si>
  <si>
    <t xml:space="preserve">Detalhes unitarios </t>
  </si>
  <si>
    <t>Sinetes</t>
  </si>
  <si>
    <t>Capiteis muro externo</t>
  </si>
  <si>
    <t>Detalhe portão</t>
  </si>
  <si>
    <t>Majorado com reentrancias</t>
  </si>
  <si>
    <t xml:space="preserve">Chapisco </t>
  </si>
  <si>
    <t>Mão de obra textura</t>
  </si>
  <si>
    <t>Mão de obra textura molduras</t>
  </si>
  <si>
    <t>Majorado com reentrancias - media 5</t>
  </si>
  <si>
    <t>Pintura molduras</t>
  </si>
  <si>
    <t>peça que imita marmore</t>
  </si>
  <si>
    <t>mo Detalhe portão</t>
  </si>
  <si>
    <t>Instalação de Ar Condicionado - condensadoras</t>
  </si>
  <si>
    <t>Instalação de Ar Condicionado - evaporadoras</t>
  </si>
  <si>
    <t>UTA</t>
  </si>
  <si>
    <t>Exaustão cozinhas</t>
  </si>
  <si>
    <t>Hydrokit</t>
  </si>
  <si>
    <t>mo Detalhes e molduras</t>
  </si>
  <si>
    <t>Portão de aço veiculos</t>
  </si>
  <si>
    <t>Portão de aço  pedestres</t>
  </si>
  <si>
    <t>Gradil externo</t>
  </si>
  <si>
    <t>Gradil sacada</t>
  </si>
  <si>
    <t>Gradil interno</t>
  </si>
  <si>
    <t>Cupula de vidro interno - vidro simples</t>
  </si>
  <si>
    <t>Cupula vidro externo - vidro duplo</t>
  </si>
  <si>
    <t>Base banheira</t>
  </si>
  <si>
    <t>Revestimentos de Parede (marmore)</t>
  </si>
  <si>
    <t>MO Pintura Interna paredes</t>
  </si>
  <si>
    <t>Chapisco e reboco molduras (pilares e paredes)</t>
  </si>
  <si>
    <t>mo Chapisco e reboco molduras (pilares e paredes)</t>
  </si>
  <si>
    <t>Pintura pilares e paredes</t>
  </si>
  <si>
    <t>Mão de obra pintura pilares e paredes</t>
  </si>
  <si>
    <t>Forro RF</t>
  </si>
  <si>
    <t>mo Chapisco e reboco</t>
  </si>
  <si>
    <t>Escada PF - pisada</t>
  </si>
  <si>
    <t>Escada PF - espelho</t>
  </si>
  <si>
    <t>pisos e pav</t>
  </si>
  <si>
    <t>Corrimão metálico (inox)</t>
  </si>
  <si>
    <t>Elemento pre-moldado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</si>
</sst>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i/>
      <sz val="8"/>
      <color rgb="FF121212"/>
      <name val="Poppi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color rgb="FFFF0000"/>
      <name val="Poppins"/>
    </font>
    <font>
      <sz val="8"/>
      <color rgb="FF000000"/>
      <name val="Helvetica"/>
    </font>
    <font>
      <b/>
      <sz val="8"/>
      <color rgb="FF000000"/>
      <name val="Helvetica-Bold"/>
    </font>
    <font>
      <b/>
      <sz val="8"/>
      <color rgb="FF000000"/>
      <name val="Helvetica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43" fontId="7" fillId="2" borderId="81" xfId="1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horizontal="center" vertical="center" wrapText="1"/>
    </xf>
    <xf numFmtId="43" fontId="7" fillId="2" borderId="83" xfId="1" applyFont="1" applyFill="1" applyBorder="1" applyAlignment="1">
      <alignment horizontal="center" vertical="center" wrapText="1"/>
    </xf>
    <xf numFmtId="43" fontId="38" fillId="2" borderId="5" xfId="1" applyFont="1" applyFill="1" applyBorder="1" applyAlignment="1">
      <alignment horizontal="center" vertical="center" wrapText="1"/>
    </xf>
    <xf numFmtId="43" fontId="38" fillId="2" borderId="13" xfId="1" applyFont="1" applyFill="1" applyBorder="1" applyAlignment="1">
      <alignment vertical="center" wrapText="1"/>
    </xf>
    <xf numFmtId="0" fontId="38" fillId="2" borderId="25" xfId="0" applyFont="1" applyFill="1" applyBorder="1" applyAlignment="1">
      <alignment horizontal="right" vertical="center" wrapText="1"/>
    </xf>
    <xf numFmtId="44" fontId="10" fillId="0" borderId="1" xfId="10" applyFont="1" applyFill="1" applyBorder="1" applyAlignment="1">
      <alignment horizontal="left" vertical="center" wrapText="1"/>
    </xf>
    <xf numFmtId="43" fontId="26" fillId="5" borderId="0" xfId="0" applyNumberFormat="1" applyFont="1" applyFill="1" applyAlignment="1">
      <alignment vertical="center"/>
    </xf>
    <xf numFmtId="0" fontId="9" fillId="12" borderId="84" xfId="0" applyFont="1" applyFill="1" applyBorder="1" applyAlignment="1">
      <alignment vertical="center" wrapText="1"/>
    </xf>
    <xf numFmtId="0" fontId="39" fillId="0" borderId="85" xfId="0" applyFont="1" applyBorder="1"/>
    <xf numFmtId="0" fontId="39" fillId="0" borderId="86" xfId="0" applyFont="1" applyBorder="1"/>
    <xf numFmtId="0" fontId="16" fillId="13" borderId="87" xfId="0" applyFont="1" applyFill="1" applyBorder="1" applyAlignment="1">
      <alignment horizontal="left" vertical="center" wrapText="1"/>
    </xf>
    <xf numFmtId="0" fontId="39" fillId="13" borderId="87" xfId="0" applyFont="1" applyFill="1" applyBorder="1"/>
    <xf numFmtId="167" fontId="39" fillId="13" borderId="87" xfId="0" applyNumberFormat="1" applyFont="1" applyFill="1" applyBorder="1"/>
    <xf numFmtId="0" fontId="39" fillId="13" borderId="88" xfId="0" applyFont="1" applyFill="1" applyBorder="1"/>
    <xf numFmtId="0" fontId="9" fillId="12" borderId="89" xfId="0" applyFont="1" applyFill="1" applyBorder="1" applyAlignment="1">
      <alignment vertical="center" wrapText="1"/>
    </xf>
    <xf numFmtId="0" fontId="39" fillId="0" borderId="61" xfId="0" applyFont="1" applyBorder="1"/>
    <xf numFmtId="0" fontId="39" fillId="0" borderId="64" xfId="0" applyFont="1" applyBorder="1"/>
    <xf numFmtId="0" fontId="16" fillId="13" borderId="64" xfId="0" applyFont="1" applyFill="1" applyBorder="1" applyAlignment="1">
      <alignment horizontal="left" vertical="center" wrapText="1"/>
    </xf>
    <xf numFmtId="0" fontId="39" fillId="13" borderId="64" xfId="0" applyFont="1" applyFill="1" applyBorder="1"/>
    <xf numFmtId="167" fontId="39" fillId="13" borderId="64" xfId="0" applyNumberFormat="1" applyFont="1" applyFill="1" applyBorder="1"/>
    <xf numFmtId="0" fontId="39" fillId="13" borderId="90" xfId="0" applyFont="1" applyFill="1" applyBorder="1"/>
    <xf numFmtId="0" fontId="9" fillId="12" borderId="91" xfId="0" applyFont="1" applyFill="1" applyBorder="1" applyAlignment="1">
      <alignment vertical="center" wrapText="1"/>
    </xf>
    <xf numFmtId="0" fontId="39" fillId="0" borderId="92" xfId="0" applyFont="1" applyBorder="1"/>
    <xf numFmtId="0" fontId="39" fillId="0" borderId="93" xfId="0" applyFont="1" applyBorder="1"/>
    <xf numFmtId="0" fontId="39" fillId="13" borderId="93" xfId="0" applyFont="1" applyFill="1" applyBorder="1"/>
    <xf numFmtId="167" fontId="39" fillId="13" borderId="93" xfId="0" applyNumberFormat="1" applyFont="1" applyFill="1" applyBorder="1"/>
    <xf numFmtId="0" fontId="39" fillId="13" borderId="94" xfId="0" applyFont="1" applyFill="1" applyBorder="1"/>
    <xf numFmtId="0" fontId="39" fillId="13" borderId="0" xfId="0" applyFont="1" applyFill="1"/>
    <xf numFmtId="167" fontId="39" fillId="13" borderId="0" xfId="0" applyNumberFormat="1" applyFont="1" applyFill="1"/>
    <xf numFmtId="0" fontId="39" fillId="13" borderId="95" xfId="0" applyFont="1" applyFill="1" applyBorder="1"/>
    <xf numFmtId="0" fontId="5" fillId="17" borderId="101" xfId="0" applyFont="1" applyFill="1" applyBorder="1" applyAlignment="1">
      <alignment horizontal="center" vertical="center"/>
    </xf>
    <xf numFmtId="0" fontId="5" fillId="17" borderId="102" xfId="0" applyFont="1" applyFill="1" applyBorder="1" applyAlignment="1">
      <alignment horizontal="center" vertical="center"/>
    </xf>
    <xf numFmtId="0" fontId="5" fillId="17" borderId="103" xfId="0" applyFont="1" applyFill="1" applyBorder="1" applyAlignment="1">
      <alignment horizontal="center" vertical="center"/>
    </xf>
    <xf numFmtId="167" fontId="5" fillId="17" borderId="103" xfId="0" applyNumberFormat="1" applyFont="1" applyFill="1" applyBorder="1" applyAlignment="1">
      <alignment horizontal="center" vertical="center"/>
    </xf>
    <xf numFmtId="0" fontId="5" fillId="17" borderId="104" xfId="0" applyFont="1" applyFill="1" applyBorder="1" applyAlignment="1">
      <alignment horizontal="center"/>
    </xf>
    <xf numFmtId="167" fontId="5" fillId="17" borderId="105" xfId="0" applyNumberFormat="1" applyFont="1" applyFill="1" applyBorder="1" applyAlignment="1">
      <alignment horizontal="center" vertical="center"/>
    </xf>
    <xf numFmtId="167" fontId="5" fillId="17" borderId="106" xfId="0" applyNumberFormat="1" applyFont="1" applyFill="1" applyBorder="1" applyAlignment="1">
      <alignment horizontal="center" vertical="center"/>
    </xf>
    <xf numFmtId="0" fontId="5" fillId="17" borderId="107" xfId="0" applyFont="1" applyFill="1" applyBorder="1" applyAlignment="1">
      <alignment horizontal="center" vertical="center"/>
    </xf>
    <xf numFmtId="0" fontId="5" fillId="17" borderId="108" xfId="0" applyFont="1" applyFill="1" applyBorder="1" applyAlignment="1">
      <alignment horizontal="center" vertical="center"/>
    </xf>
    <xf numFmtId="167" fontId="39" fillId="12" borderId="92" xfId="0" applyNumberFormat="1" applyFont="1" applyFill="1" applyBorder="1"/>
    <xf numFmtId="167" fontId="39" fillId="0" borderId="109" xfId="0" applyNumberFormat="1" applyFont="1" applyBorder="1"/>
    <xf numFmtId="167" fontId="39" fillId="0" borderId="110" xfId="0" applyNumberFormat="1" applyFont="1" applyBorder="1"/>
    <xf numFmtId="0" fontId="39" fillId="0" borderId="111" xfId="0" applyFont="1" applyBorder="1"/>
    <xf numFmtId="4" fontId="39" fillId="0" borderId="112" xfId="0" applyNumberFormat="1" applyFont="1" applyBorder="1"/>
    <xf numFmtId="0" fontId="39" fillId="12" borderId="113" xfId="0" applyFont="1" applyFill="1" applyBorder="1"/>
    <xf numFmtId="0" fontId="39" fillId="12" borderId="114" xfId="0" applyFont="1" applyFill="1" applyBorder="1"/>
    <xf numFmtId="0" fontId="39" fillId="12" borderId="115" xfId="0" applyFont="1" applyFill="1" applyBorder="1"/>
    <xf numFmtId="167" fontId="39" fillId="12" borderId="115" xfId="0" applyNumberFormat="1" applyFont="1" applyFill="1" applyBorder="1"/>
    <xf numFmtId="0" fontId="39" fillId="12" borderId="116" xfId="0" applyFont="1" applyFill="1" applyBorder="1"/>
    <xf numFmtId="167" fontId="39" fillId="0" borderId="117" xfId="0" applyNumberFormat="1" applyFont="1" applyBorder="1"/>
    <xf numFmtId="167" fontId="39" fillId="0" borderId="118" xfId="0" applyNumberFormat="1" applyFont="1" applyBorder="1"/>
    <xf numFmtId="0" fontId="39" fillId="0" borderId="119" xfId="0" applyFont="1" applyBorder="1"/>
    <xf numFmtId="4" fontId="39" fillId="0" borderId="120" xfId="0" applyNumberFormat="1" applyFont="1" applyBorder="1"/>
    <xf numFmtId="0" fontId="39" fillId="0" borderId="121" xfId="0" applyFont="1" applyBorder="1"/>
    <xf numFmtId="167" fontId="39" fillId="0" borderId="121" xfId="0" applyNumberFormat="1" applyFont="1" applyBorder="1"/>
    <xf numFmtId="167" fontId="5" fillId="17" borderId="122" xfId="0" applyNumberFormat="1" applyFont="1" applyFill="1" applyBorder="1" applyAlignment="1">
      <alignment horizontal="center" vertical="center"/>
    </xf>
    <xf numFmtId="167" fontId="39" fillId="0" borderId="123" xfId="0" applyNumberFormat="1" applyFont="1" applyBorder="1"/>
    <xf numFmtId="167" fontId="39" fillId="0" borderId="112" xfId="0" applyNumberFormat="1" applyFont="1" applyBorder="1"/>
    <xf numFmtId="167" fontId="39" fillId="0" borderId="111" xfId="0" applyNumberFormat="1" applyFont="1" applyBorder="1"/>
    <xf numFmtId="0" fontId="39" fillId="0" borderId="124" xfId="0" applyFont="1" applyBorder="1"/>
    <xf numFmtId="167" fontId="39" fillId="0" borderId="125" xfId="0" applyNumberFormat="1" applyFont="1" applyBorder="1"/>
    <xf numFmtId="167" fontId="39" fillId="0" borderId="116" xfId="0" applyNumberFormat="1" applyFont="1" applyBorder="1"/>
    <xf numFmtId="167" fontId="39" fillId="0" borderId="126" xfId="0" applyNumberFormat="1" applyFont="1" applyBorder="1"/>
    <xf numFmtId="167" fontId="39" fillId="0" borderId="0" xfId="0" applyNumberFormat="1" applyFont="1"/>
    <xf numFmtId="0" fontId="39" fillId="12" borderId="127" xfId="0" applyFont="1" applyFill="1" applyBorder="1"/>
    <xf numFmtId="0" fontId="39" fillId="12" borderId="128" xfId="0" applyFont="1" applyFill="1" applyBorder="1"/>
    <xf numFmtId="0" fontId="39" fillId="12" borderId="129" xfId="0" applyFont="1" applyFill="1" applyBorder="1"/>
    <xf numFmtId="167" fontId="39" fillId="12" borderId="129" xfId="0" applyNumberFormat="1" applyFont="1" applyFill="1" applyBorder="1"/>
    <xf numFmtId="0" fontId="39" fillId="12" borderId="130" xfId="0" applyFont="1" applyFill="1" applyBorder="1"/>
    <xf numFmtId="167" fontId="39" fillId="0" borderId="130" xfId="0" applyNumberFormat="1" applyFont="1" applyBorder="1"/>
    <xf numFmtId="43" fontId="38" fillId="2" borderId="82" xfId="1" applyFont="1" applyFill="1" applyBorder="1" applyAlignment="1">
      <alignment horizontal="center" vertical="center" wrapText="1"/>
    </xf>
    <xf numFmtId="0" fontId="42" fillId="2" borderId="25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left" vertical="center"/>
    </xf>
    <xf numFmtId="0" fontId="39" fillId="0" borderId="114" xfId="0" applyFont="1" applyBorder="1"/>
    <xf numFmtId="0" fontId="39" fillId="0" borderId="0" xfId="0" applyFont="1"/>
    <xf numFmtId="44" fontId="10" fillId="18" borderId="1" xfId="10" applyFont="1" applyFill="1" applyBorder="1" applyAlignment="1">
      <alignment vertical="center" wrapText="1"/>
    </xf>
    <xf numFmtId="167" fontId="41" fillId="16" borderId="96" xfId="0" applyNumberFormat="1" applyFont="1" applyFill="1" applyBorder="1" applyAlignment="1">
      <alignment horizontal="center"/>
    </xf>
    <xf numFmtId="0" fontId="40" fillId="0" borderId="98" xfId="0" applyFont="1" applyBorder="1"/>
    <xf numFmtId="0" fontId="39" fillId="0" borderId="115" xfId="0" applyFont="1" applyBorder="1"/>
    <xf numFmtId="0" fontId="19" fillId="0" borderId="0" xfId="0" applyFont="1" applyAlignment="1">
      <alignment horizontal="right" vertical="center"/>
    </xf>
    <xf numFmtId="9" fontId="19" fillId="0" borderId="0" xfId="6" applyFont="1" applyAlignment="1">
      <alignment vertical="center"/>
    </xf>
    <xf numFmtId="43" fontId="19" fillId="0" borderId="0" xfId="0" applyNumberFormat="1" applyFont="1" applyAlignment="1">
      <alignment vertical="center"/>
    </xf>
    <xf numFmtId="0" fontId="43" fillId="0" borderId="131" xfId="0" applyFont="1" applyBorder="1" applyAlignment="1">
      <alignment vertical="center" wrapText="1"/>
    </xf>
    <xf numFmtId="0" fontId="44" fillId="0" borderId="131" xfId="0" applyFont="1" applyBorder="1" applyAlignment="1">
      <alignment vertical="center" wrapText="1"/>
    </xf>
    <xf numFmtId="0" fontId="45" fillId="0" borderId="132" xfId="0" applyFont="1" applyBorder="1" applyAlignment="1">
      <alignment vertical="center" wrapText="1"/>
    </xf>
    <xf numFmtId="43" fontId="3" fillId="0" borderId="43" xfId="1" applyFont="1" applyFill="1" applyBorder="1" applyAlignment="1">
      <alignment horizontal="center" vertical="center" wrapText="1"/>
    </xf>
    <xf numFmtId="43" fontId="3" fillId="0" borderId="72" xfId="1" applyFont="1" applyFill="1" applyBorder="1" applyAlignment="1">
      <alignment horizontal="center" vertical="center" wrapText="1"/>
    </xf>
    <xf numFmtId="0" fontId="39" fillId="12" borderId="133" xfId="0" applyFont="1" applyFill="1" applyBorder="1"/>
    <xf numFmtId="44" fontId="26" fillId="0" borderId="1" xfId="10" applyFont="1" applyBorder="1" applyAlignment="1">
      <alignment horizontal="left" vertical="center" wrapText="1"/>
    </xf>
    <xf numFmtId="43" fontId="3" fillId="0" borderId="39" xfId="1" applyFont="1" applyBorder="1" applyAlignment="1">
      <alignment horizontal="left" vertical="center"/>
    </xf>
    <xf numFmtId="44" fontId="10" fillId="18" borderId="1" xfId="10" applyFont="1" applyFill="1" applyBorder="1" applyAlignment="1">
      <alignment horizontal="left" vertical="center" wrapText="1"/>
    </xf>
    <xf numFmtId="4" fontId="19" fillId="0" borderId="0" xfId="0" applyNumberFormat="1" applyFont="1" applyAlignment="1">
      <alignment vertical="center"/>
    </xf>
    <xf numFmtId="0" fontId="18" fillId="19" borderId="0" xfId="0" applyFont="1" applyFill="1" applyAlignment="1">
      <alignment vertical="center"/>
    </xf>
    <xf numFmtId="44" fontId="10" fillId="0" borderId="1" xfId="10" applyFont="1" applyFill="1" applyBorder="1" applyAlignment="1">
      <alignment vertical="center" wrapText="1"/>
    </xf>
    <xf numFmtId="0" fontId="29" fillId="18" borderId="73" xfId="0" applyFont="1" applyFill="1" applyBorder="1" applyAlignment="1">
      <alignment vertical="center" wrapText="1"/>
    </xf>
    <xf numFmtId="0" fontId="0" fillId="0" borderId="1" xfId="0" applyBorder="1"/>
    <xf numFmtId="2" fontId="3" fillId="0" borderId="39" xfId="0" applyNumberFormat="1" applyFont="1" applyBorder="1" applyAlignment="1">
      <alignment vertical="center"/>
    </xf>
    <xf numFmtId="0" fontId="37" fillId="0" borderId="35" xfId="0" applyFont="1" applyBorder="1" applyAlignment="1">
      <alignment horizontal="left" vertical="center" wrapText="1"/>
    </xf>
    <xf numFmtId="43" fontId="37" fillId="0" borderId="1" xfId="1" applyFont="1" applyBorder="1" applyAlignment="1">
      <alignment vertical="center" wrapText="1"/>
    </xf>
    <xf numFmtId="44" fontId="37" fillId="0" borderId="1" xfId="10" applyFont="1" applyBorder="1" applyAlignment="1">
      <alignment horizontal="left" vertical="center" wrapText="1"/>
    </xf>
    <xf numFmtId="44" fontId="37" fillId="0" borderId="1" xfId="10" applyFont="1" applyBorder="1" applyAlignment="1">
      <alignment horizontal="center" vertical="center"/>
    </xf>
    <xf numFmtId="43" fontId="37" fillId="0" borderId="1" xfId="1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44" fontId="37" fillId="0" borderId="1" xfId="10" applyFont="1" applyFill="1" applyBorder="1" applyAlignment="1">
      <alignment horizontal="left" vertical="center" wrapText="1"/>
    </xf>
    <xf numFmtId="43" fontId="10" fillId="18" borderId="10" xfId="1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1" fillId="14" borderId="94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95" xfId="0" applyFont="1" applyBorder="1"/>
    <xf numFmtId="0" fontId="11" fillId="15" borderId="94" xfId="0" applyFont="1" applyFill="1" applyBorder="1" applyAlignment="1">
      <alignment horizontal="center" vertical="center" wrapText="1"/>
    </xf>
    <xf numFmtId="0" fontId="41" fillId="16" borderId="96" xfId="0" applyFont="1" applyFill="1" applyBorder="1" applyAlignment="1">
      <alignment horizontal="center"/>
    </xf>
    <xf numFmtId="0" fontId="41" fillId="16" borderId="97" xfId="0" applyFont="1" applyFill="1" applyBorder="1" applyAlignment="1">
      <alignment horizontal="center"/>
    </xf>
    <xf numFmtId="0" fontId="40" fillId="0" borderId="97" xfId="0" applyFont="1" applyBorder="1"/>
    <xf numFmtId="0" fontId="40" fillId="0" borderId="98" xfId="0" applyFont="1" applyBorder="1"/>
    <xf numFmtId="0" fontId="41" fillId="16" borderId="99" xfId="0" applyFont="1" applyFill="1" applyBorder="1" applyAlignment="1">
      <alignment horizontal="center"/>
    </xf>
    <xf numFmtId="0" fontId="40" fillId="0" borderId="100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97595</xdr:colOff>
      <xdr:row>0</xdr:row>
      <xdr:rowOff>225491</xdr:rowOff>
    </xdr:from>
    <xdr:to>
      <xdr:col>8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8</xdr:col>
      <xdr:colOff>432850</xdr:colOff>
      <xdr:row>7</xdr:row>
      <xdr:rowOff>232163</xdr:rowOff>
    </xdr:from>
    <xdr:to>
      <xdr:col>23</xdr:col>
      <xdr:colOff>47665</xdr:colOff>
      <xdr:row>23</xdr:row>
      <xdr:rowOff>192843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6339CA-CA69-5059-B268-6E110789F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6154" y="2054337"/>
          <a:ext cx="9810707" cy="4333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16</xdr:col>
      <xdr:colOff>110452</xdr:colOff>
      <xdr:row>12</xdr:row>
      <xdr:rowOff>1508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415EDA-5C83-44AB-B6B5-C8ED3676B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1102" y="2177143"/>
          <a:ext cx="4945225" cy="1914283"/>
        </a:xfrm>
        <a:prstGeom prst="rect">
          <a:avLst/>
        </a:prstGeom>
      </xdr:spPr>
    </xdr:pic>
    <xdr:clientData/>
  </xdr:twoCellAnchor>
  <xdr:twoCellAnchor editAs="oneCell">
    <xdr:from>
      <xdr:col>7</xdr:col>
      <xdr:colOff>524926</xdr:colOff>
      <xdr:row>11</xdr:row>
      <xdr:rowOff>268178</xdr:rowOff>
    </xdr:from>
    <xdr:to>
      <xdr:col>23</xdr:col>
      <xdr:colOff>499538</xdr:colOff>
      <xdr:row>17</xdr:row>
      <xdr:rowOff>110133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881751-3885-4822-9632-31D121C4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9538" y="4358096"/>
          <a:ext cx="9680354" cy="1758852"/>
        </a:xfrm>
        <a:prstGeom prst="rect">
          <a:avLst/>
        </a:prstGeom>
      </xdr:spPr>
    </xdr:pic>
    <xdr:clientData/>
  </xdr:twoCellAnchor>
  <xdr:twoCellAnchor editAs="oneCell">
    <xdr:from>
      <xdr:col>16</xdr:col>
      <xdr:colOff>342123</xdr:colOff>
      <xdr:row>7</xdr:row>
      <xdr:rowOff>38707</xdr:rowOff>
    </xdr:from>
    <xdr:to>
      <xdr:col>29</xdr:col>
      <xdr:colOff>376765</xdr:colOff>
      <xdr:row>12</xdr:row>
      <xdr:rowOff>36170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B6E092-0405-4375-B3BD-1B08CBCB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65143" y="2215850"/>
          <a:ext cx="7907580" cy="1910238"/>
        </a:xfrm>
        <a:prstGeom prst="rect">
          <a:avLst/>
        </a:prstGeom>
      </xdr:spPr>
    </xdr:pic>
    <xdr:clientData/>
  </xdr:twoCellAnchor>
  <xdr:twoCellAnchor editAs="oneCell">
    <xdr:from>
      <xdr:col>9</xdr:col>
      <xdr:colOff>73932</xdr:colOff>
      <xdr:row>18</xdr:row>
      <xdr:rowOff>64770</xdr:rowOff>
    </xdr:from>
    <xdr:to>
      <xdr:col>16</xdr:col>
      <xdr:colOff>109575</xdr:colOff>
      <xdr:row>29</xdr:row>
      <xdr:rowOff>229467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FBE65C0-87F0-44AA-BF92-8501DA60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2582" y="6303645"/>
          <a:ext cx="4297128" cy="37651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1190624</xdr:colOff>
      <xdr:row>32</xdr:row>
      <xdr:rowOff>45720</xdr:rowOff>
    </xdr:from>
    <xdr:to>
      <xdr:col>7</xdr:col>
      <xdr:colOff>38100</xdr:colOff>
      <xdr:row>39</xdr:row>
      <xdr:rowOff>79076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380016-795F-44EC-97EB-B00994D9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899" y="9744075"/>
          <a:ext cx="7520941" cy="1368761"/>
        </a:xfrm>
        <a:prstGeom prst="rect">
          <a:avLst/>
        </a:prstGeom>
      </xdr:spPr>
    </xdr:pic>
    <xdr:clientData/>
  </xdr:twoCellAnchor>
  <xdr:twoCellAnchor editAs="oneCell">
    <xdr:from>
      <xdr:col>8</xdr:col>
      <xdr:colOff>211455</xdr:colOff>
      <xdr:row>8</xdr:row>
      <xdr:rowOff>99060</xdr:rowOff>
    </xdr:from>
    <xdr:to>
      <xdr:col>15</xdr:col>
      <xdr:colOff>158774</xdr:colOff>
      <xdr:row>19</xdr:row>
      <xdr:rowOff>181411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B87D6B-1A21-AD4F-7FF5-EFC41967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1630" y="2165985"/>
          <a:ext cx="4728869" cy="31208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9</xdr:row>
      <xdr:rowOff>116205</xdr:rowOff>
    </xdr:from>
    <xdr:to>
      <xdr:col>16</xdr:col>
      <xdr:colOff>156900</xdr:colOff>
      <xdr:row>24</xdr:row>
      <xdr:rowOff>149159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B9DA8CE-33F7-9422-CAA2-CD6D3255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9775" y="2459355"/>
          <a:ext cx="4947975" cy="407726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1190624</xdr:colOff>
      <xdr:row>36</xdr:row>
      <xdr:rowOff>45720</xdr:rowOff>
    </xdr:from>
    <xdr:to>
      <xdr:col>7</xdr:col>
      <xdr:colOff>38100</xdr:colOff>
      <xdr:row>43</xdr:row>
      <xdr:rowOff>79076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E549BC6-E40E-F981-E7F7-7907820F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899" y="10056495"/>
          <a:ext cx="7515226" cy="1374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1097280</xdr:colOff>
      <xdr:row>68</xdr:row>
      <xdr:rowOff>38100</xdr:rowOff>
    </xdr:from>
    <xdr:to>
      <xdr:col>8</xdr:col>
      <xdr:colOff>62</xdr:colOff>
      <xdr:row>98</xdr:row>
      <xdr:rowOff>185601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887CC0-6C5D-1050-E5CF-3B92616CD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1055" y="6438900"/>
          <a:ext cx="7266684" cy="58567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504851</xdr:colOff>
      <xdr:row>18</xdr:row>
      <xdr:rowOff>156210</xdr:rowOff>
    </xdr:from>
    <xdr:to>
      <xdr:col>12</xdr:col>
      <xdr:colOff>35073</xdr:colOff>
      <xdr:row>26</xdr:row>
      <xdr:rowOff>80474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364937-E307-2845-8D14-E9B731146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7811" y="3905250"/>
          <a:ext cx="2562982" cy="1514939"/>
        </a:xfrm>
        <a:prstGeom prst="rect">
          <a:avLst/>
        </a:prstGeom>
      </xdr:spPr>
    </xdr:pic>
    <xdr:clientData/>
  </xdr:twoCellAnchor>
  <xdr:twoCellAnchor editAs="oneCell">
    <xdr:from>
      <xdr:col>7</xdr:col>
      <xdr:colOff>327660</xdr:colOff>
      <xdr:row>25</xdr:row>
      <xdr:rowOff>152400</xdr:rowOff>
    </xdr:from>
    <xdr:to>
      <xdr:col>16</xdr:col>
      <xdr:colOff>568489</xdr:colOff>
      <xdr:row>31</xdr:row>
      <xdr:rowOff>72543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D9A66-F12A-0595-3A58-21F109824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0620" y="5486400"/>
          <a:ext cx="5723419" cy="1093623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40</xdr:row>
      <xdr:rowOff>125773</xdr:rowOff>
    </xdr:from>
    <xdr:to>
      <xdr:col>15</xdr:col>
      <xdr:colOff>606588</xdr:colOff>
      <xdr:row>52</xdr:row>
      <xdr:rowOff>42293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7C6CCED-87F8-5EEC-5F03-8D3FB777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0180" y="8317273"/>
          <a:ext cx="4982373" cy="2385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28</xdr:col>
      <xdr:colOff>567564</xdr:colOff>
      <xdr:row>55</xdr:row>
      <xdr:rowOff>80075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384F74D-7F08-47E1-CD2C-206BD7EA2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84480" y="10850880"/>
          <a:ext cx="12746229" cy="466790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</xdr:colOff>
      <xdr:row>56</xdr:row>
      <xdr:rowOff>190500</xdr:rowOff>
    </xdr:from>
    <xdr:to>
      <xdr:col>15</xdr:col>
      <xdr:colOff>461663</xdr:colOff>
      <xdr:row>69</xdr:row>
      <xdr:rowOff>148956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A88E67F-1DBD-C7D2-0108-BE69DE5FF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37820" y="11620500"/>
          <a:ext cx="4679333" cy="2617836"/>
        </a:xfrm>
        <a:prstGeom prst="rect">
          <a:avLst/>
        </a:prstGeom>
      </xdr:spPr>
    </xdr:pic>
    <xdr:clientData/>
  </xdr:twoCellAnchor>
  <xdr:twoCellAnchor editAs="oneCell">
    <xdr:from>
      <xdr:col>7</xdr:col>
      <xdr:colOff>198120</xdr:colOff>
      <xdr:row>73</xdr:row>
      <xdr:rowOff>0</xdr:rowOff>
    </xdr:from>
    <xdr:to>
      <xdr:col>16</xdr:col>
      <xdr:colOff>549455</xdr:colOff>
      <xdr:row>80</xdr:row>
      <xdr:rowOff>104994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382A1A6-7135-2F43-47CB-4B9DABE9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0" y="14980920"/>
          <a:ext cx="5837735" cy="15756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D485983B-B204-4355-8DC9-58C1C4124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25775" y="25717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78828</xdr:colOff>
      <xdr:row>12</xdr:row>
      <xdr:rowOff>175173</xdr:rowOff>
    </xdr:from>
    <xdr:to>
      <xdr:col>19</xdr:col>
      <xdr:colOff>607446</xdr:colOff>
      <xdr:row>23</xdr:row>
      <xdr:rowOff>149242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5D04BA-0DB3-D8EA-DF2A-EE694C9E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6276" y="2119587"/>
          <a:ext cx="5744377" cy="23148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Blue%20Heaven\2024.03%20-%20Monolyt\04.%20Custo\03.0%20Custo%20-%20Or&#231;amento%20Parametrico\Custos%20diretos\CTN-BHV-%20MONOLYT%20-%20LEVANTAMENTOS_R03.xlsx" TargetMode="External"/><Relationship Id="rId1" Type="http://schemas.openxmlformats.org/officeDocument/2006/relationships/externalLinkPath" Target="/.shortcut-targets-by-id/16oaQUYgx8kiowDwLhg-oO1zGZ777DJUb/2.%20Projetos%20em%20Andamento/Blue%20Heaven/2024.03%20-%20Monolyt/04.%20Custo/03.0%20Custo%20-%20Or&#231;amento%20Parametrico/Custos%20diretos/CTN-BHV-%20MONOLYT%20-%20LEVANTAMENTOS_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TERRAPLENAGEM"/>
      <sheetName val="CONTENÇÕES"/>
      <sheetName val="INFRAESTRUTURA REV01"/>
      <sheetName val="SUPRAESTRUTURA"/>
      <sheetName val="SUPRAESTRUTURA (2)"/>
      <sheetName val="Alvenaria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Esquadrias"/>
      <sheetName val="ESQUADRIAS_MADEIRA"/>
      <sheetName val="PORTA_CORTA_FOGO"/>
      <sheetName val="ESQUADRIAS_DE_ALUMÍNIO"/>
      <sheetName val="GUARDA_CORPO"/>
      <sheetName val="BRISES"/>
      <sheetName val="Rev. Fachada"/>
      <sheetName val="FACHADA"/>
      <sheetName val="ORÇAMENTO_EXECUTIVO_REV03"/>
      <sheetName val="ORÇAMENTO_EXECUTIVO_REV02"/>
      <sheetName val="ORÇAMENTO_EXECUTIVO_REV01"/>
      <sheetName val="ANÁLISE_CUSTOS"/>
      <sheetName val="AREAS_PRIVATIVAS"/>
      <sheetName val="CÁLCULO_MÉDIAS"/>
      <sheetName val="ATALAIA"/>
      <sheetName val="Spotico"/>
      <sheetName val="Índices"/>
      <sheetName val="Auxiliar"/>
    </sheetNames>
    <sheetDataSet>
      <sheetData sheetId="0">
        <row r="11">
          <cell r="E11">
            <v>14693.42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I39"/>
  <sheetViews>
    <sheetView view="pageBreakPreview" topLeftCell="A10" zoomScale="115" zoomScaleNormal="115" zoomScaleSheetLayoutView="115" workbookViewId="0">
      <selection activeCell="D10" sqref="D10"/>
    </sheetView>
  </sheetViews>
  <sheetFormatPr defaultRowHeight="21.75"/>
  <cols>
    <col min="1" max="1" width="19.140625" style="41" customWidth="1"/>
    <col min="2" max="2" width="43.85546875" style="42" customWidth="1"/>
    <col min="3" max="6" width="11.28515625" style="42" customWidth="1"/>
    <col min="7" max="7" width="11.28515625" style="43" customWidth="1"/>
    <col min="8" max="8" width="11.140625" style="44" customWidth="1"/>
    <col min="9" max="9" width="24" style="41" customWidth="1"/>
    <col min="10" max="11" width="9.28515625" bestFit="1" customWidth="1"/>
  </cols>
  <sheetData>
    <row r="1" spans="1:9" ht="18" customHeight="1">
      <c r="A1" s="4" t="s">
        <v>0</v>
      </c>
      <c r="B1" s="5" t="s">
        <v>401</v>
      </c>
      <c r="C1" s="6"/>
      <c r="D1" s="6"/>
      <c r="E1" s="6"/>
      <c r="F1" s="6"/>
      <c r="G1" s="7"/>
      <c r="H1" s="8"/>
      <c r="I1" s="9"/>
    </row>
    <row r="2" spans="1:9" ht="18" customHeight="1">
      <c r="A2" s="10" t="s">
        <v>117</v>
      </c>
      <c r="B2" s="11" t="s">
        <v>402</v>
      </c>
      <c r="C2" s="12"/>
      <c r="D2" s="12"/>
      <c r="E2" s="12"/>
      <c r="F2" s="12"/>
      <c r="G2" s="13"/>
      <c r="H2" s="14"/>
      <c r="I2" s="15"/>
    </row>
    <row r="3" spans="1:9" ht="18" customHeight="1">
      <c r="A3" s="10" t="s">
        <v>1</v>
      </c>
      <c r="B3" s="11" t="s">
        <v>185</v>
      </c>
      <c r="C3" s="12"/>
      <c r="D3" s="12"/>
      <c r="E3" s="12"/>
      <c r="F3" s="12"/>
      <c r="G3" s="13"/>
      <c r="H3" s="14"/>
      <c r="I3" s="15"/>
    </row>
    <row r="4" spans="1:9" ht="18" customHeight="1">
      <c r="A4" s="10" t="s">
        <v>281</v>
      </c>
      <c r="B4" s="11" t="s">
        <v>403</v>
      </c>
      <c r="C4" s="12"/>
      <c r="D4" s="12"/>
      <c r="E4" s="12"/>
      <c r="F4" s="12"/>
      <c r="G4" s="13"/>
      <c r="H4" s="14"/>
      <c r="I4" s="20"/>
    </row>
    <row r="5" spans="1:9" ht="25.15" customHeight="1">
      <c r="A5" s="312" t="s">
        <v>126</v>
      </c>
      <c r="B5" s="313"/>
      <c r="C5" s="313"/>
      <c r="D5" s="313"/>
      <c r="E5" s="313"/>
      <c r="F5" s="313"/>
      <c r="G5" s="313"/>
      <c r="H5" s="313"/>
      <c r="I5" s="314"/>
    </row>
    <row r="6" spans="1:9" ht="14.45" customHeight="1" thickBot="1">
      <c r="A6" s="16"/>
      <c r="B6" s="17"/>
      <c r="C6" s="17"/>
      <c r="D6" s="17"/>
      <c r="E6" s="17"/>
      <c r="F6" s="17"/>
      <c r="G6" s="18"/>
      <c r="H6" s="19"/>
      <c r="I6" s="20"/>
    </row>
    <row r="7" spans="1:9" ht="31.5">
      <c r="A7" s="22"/>
      <c r="B7" s="23" t="s">
        <v>14</v>
      </c>
      <c r="C7" s="24" t="s">
        <v>15</v>
      </c>
      <c r="D7" s="24" t="s">
        <v>127</v>
      </c>
      <c r="E7" s="205" t="s">
        <v>404</v>
      </c>
      <c r="F7" s="205" t="s">
        <v>405</v>
      </c>
      <c r="G7" s="25" t="s">
        <v>406</v>
      </c>
      <c r="H7" s="26"/>
      <c r="I7" s="21"/>
    </row>
    <row r="8" spans="1:9">
      <c r="A8" s="22"/>
      <c r="B8" s="27" t="s">
        <v>128</v>
      </c>
      <c r="C8" s="28" t="s">
        <v>7</v>
      </c>
      <c r="D8" s="28" t="s">
        <v>120</v>
      </c>
      <c r="E8" s="206"/>
      <c r="F8" s="206"/>
      <c r="G8" s="29">
        <v>6049.17</v>
      </c>
      <c r="H8" s="26"/>
      <c r="I8" s="21"/>
    </row>
    <row r="9" spans="1:9">
      <c r="A9" s="22"/>
      <c r="B9" s="30" t="s">
        <v>129</v>
      </c>
      <c r="C9" s="31" t="s">
        <v>8</v>
      </c>
      <c r="D9" s="31" t="s">
        <v>120</v>
      </c>
      <c r="E9" s="207">
        <f>SUM(E10:E20)</f>
        <v>6049.1699999999992</v>
      </c>
      <c r="F9" s="207">
        <f>SUM(F10:F20)</f>
        <v>21510.280000000006</v>
      </c>
      <c r="G9" s="32">
        <f>SUM(G10:G20)</f>
        <v>27559.450000000004</v>
      </c>
      <c r="H9" s="26"/>
      <c r="I9" s="21"/>
    </row>
    <row r="10" spans="1:9">
      <c r="A10" s="22"/>
      <c r="B10" s="211" t="s">
        <v>415</v>
      </c>
      <c r="C10" s="209"/>
      <c r="D10" s="209" t="s">
        <v>120</v>
      </c>
      <c r="E10" s="277">
        <v>1662.34</v>
      </c>
      <c r="F10" s="277">
        <v>2365.5700000000002</v>
      </c>
      <c r="G10" s="210">
        <f>F10+E10</f>
        <v>4027.91</v>
      </c>
      <c r="H10" s="26"/>
      <c r="I10" s="21"/>
    </row>
    <row r="11" spans="1:9">
      <c r="A11" s="22"/>
      <c r="B11" s="211" t="s">
        <v>416</v>
      </c>
      <c r="C11" s="209"/>
      <c r="D11" s="209" t="s">
        <v>120</v>
      </c>
      <c r="E11" s="277">
        <f>1147.74+527.82</f>
        <v>1675.56</v>
      </c>
      <c r="F11" s="277">
        <v>2339.0300000000002</v>
      </c>
      <c r="G11" s="210">
        <f t="shared" ref="G11:G32" si="0">F11+E11</f>
        <v>4014.59</v>
      </c>
      <c r="H11" s="26"/>
      <c r="I11" s="21"/>
    </row>
    <row r="12" spans="1:9">
      <c r="A12" s="22"/>
      <c r="B12" s="211" t="s">
        <v>417</v>
      </c>
      <c r="C12" s="209"/>
      <c r="D12" s="209" t="s">
        <v>120</v>
      </c>
      <c r="E12" s="277">
        <f>812.7+31.66</f>
        <v>844.36</v>
      </c>
      <c r="F12" s="277">
        <v>2514.3200000000002</v>
      </c>
      <c r="G12" s="210">
        <f t="shared" si="0"/>
        <v>3358.6800000000003</v>
      </c>
      <c r="H12" s="26"/>
      <c r="I12" s="21"/>
    </row>
    <row r="13" spans="1:9">
      <c r="A13" s="22"/>
      <c r="B13" s="211" t="s">
        <v>418</v>
      </c>
      <c r="C13" s="209"/>
      <c r="D13" s="209" t="s">
        <v>120</v>
      </c>
      <c r="E13" s="277">
        <f>900.46+243.83</f>
        <v>1144.29</v>
      </c>
      <c r="F13" s="277">
        <v>2513.4</v>
      </c>
      <c r="G13" s="210">
        <f t="shared" si="0"/>
        <v>3657.69</v>
      </c>
      <c r="H13" s="26"/>
      <c r="I13" s="21"/>
    </row>
    <row r="14" spans="1:9">
      <c r="A14" s="22"/>
      <c r="B14" s="211" t="s">
        <v>516</v>
      </c>
      <c r="C14" s="209"/>
      <c r="D14" s="209" t="s">
        <v>120</v>
      </c>
      <c r="E14" s="277">
        <f>691.7+30.92</f>
        <v>722.62</v>
      </c>
      <c r="F14" s="277">
        <v>699.84</v>
      </c>
      <c r="G14" s="210">
        <f t="shared" si="0"/>
        <v>1422.46</v>
      </c>
      <c r="H14" s="26"/>
      <c r="I14" s="21"/>
    </row>
    <row r="15" spans="1:9">
      <c r="A15" s="22"/>
      <c r="B15" s="211" t="s">
        <v>407</v>
      </c>
      <c r="C15" s="209"/>
      <c r="D15" s="209" t="s">
        <v>120</v>
      </c>
      <c r="E15" s="277"/>
      <c r="F15" s="277">
        <v>9097.92</v>
      </c>
      <c r="G15" s="210">
        <f t="shared" si="0"/>
        <v>9097.92</v>
      </c>
      <c r="H15" s="26"/>
      <c r="I15" s="21"/>
    </row>
    <row r="16" spans="1:9">
      <c r="A16" s="22"/>
      <c r="B16" s="211" t="s">
        <v>408</v>
      </c>
      <c r="C16" s="209"/>
      <c r="D16" s="209" t="s">
        <v>120</v>
      </c>
      <c r="E16" s="277"/>
      <c r="F16" s="277">
        <v>699.84</v>
      </c>
      <c r="G16" s="210">
        <f t="shared" si="0"/>
        <v>699.84</v>
      </c>
      <c r="H16" s="26"/>
      <c r="I16" s="21"/>
    </row>
    <row r="17" spans="1:9">
      <c r="A17" s="22"/>
      <c r="B17" s="211" t="s">
        <v>409</v>
      </c>
      <c r="C17" s="209"/>
      <c r="D17" s="209" t="s">
        <v>120</v>
      </c>
      <c r="E17" s="277"/>
      <c r="F17" s="277">
        <v>693.56</v>
      </c>
      <c r="G17" s="210">
        <f t="shared" si="0"/>
        <v>693.56</v>
      </c>
      <c r="H17" s="26"/>
      <c r="I17" s="21"/>
    </row>
    <row r="18" spans="1:9">
      <c r="A18" s="22"/>
      <c r="B18" s="211" t="s">
        <v>410</v>
      </c>
      <c r="C18" s="209"/>
      <c r="D18" s="209" t="s">
        <v>120</v>
      </c>
      <c r="E18" s="277"/>
      <c r="F18" s="277">
        <v>303.24</v>
      </c>
      <c r="G18" s="210">
        <f t="shared" si="0"/>
        <v>303.24</v>
      </c>
      <c r="H18" s="26"/>
      <c r="I18" s="21"/>
    </row>
    <row r="19" spans="1:9">
      <c r="A19" s="22"/>
      <c r="B19" s="211" t="s">
        <v>411</v>
      </c>
      <c r="C19" s="209"/>
      <c r="D19" s="209" t="s">
        <v>120</v>
      </c>
      <c r="E19" s="277"/>
      <c r="F19" s="277">
        <v>150.18</v>
      </c>
      <c r="G19" s="210">
        <f t="shared" si="0"/>
        <v>150.18</v>
      </c>
      <c r="H19" s="26"/>
      <c r="I19" s="21"/>
    </row>
    <row r="20" spans="1:9">
      <c r="A20" s="22"/>
      <c r="B20" s="211" t="s">
        <v>412</v>
      </c>
      <c r="C20" s="209"/>
      <c r="D20" s="209" t="s">
        <v>120</v>
      </c>
      <c r="E20" s="277"/>
      <c r="F20" s="277">
        <v>133.38</v>
      </c>
      <c r="G20" s="210">
        <f t="shared" si="0"/>
        <v>133.38</v>
      </c>
      <c r="H20" s="26"/>
      <c r="I20" s="21"/>
    </row>
    <row r="21" spans="1:9">
      <c r="A21" s="22"/>
      <c r="B21" s="30" t="s">
        <v>282</v>
      </c>
      <c r="C21" s="31" t="s">
        <v>283</v>
      </c>
      <c r="D21" s="31" t="s">
        <v>123</v>
      </c>
      <c r="E21" s="207">
        <v>36</v>
      </c>
      <c r="F21" s="207">
        <v>60</v>
      </c>
      <c r="G21" s="210">
        <f t="shared" si="0"/>
        <v>96</v>
      </c>
      <c r="H21" s="202">
        <f>G9-G33-G32</f>
        <v>17817.300000000007</v>
      </c>
      <c r="I21" s="21"/>
    </row>
    <row r="22" spans="1:9">
      <c r="A22" s="22"/>
      <c r="B22" s="30" t="s">
        <v>284</v>
      </c>
      <c r="C22" s="31" t="s">
        <v>288</v>
      </c>
      <c r="D22" s="31" t="s">
        <v>123</v>
      </c>
      <c r="E22" s="207">
        <f>E21</f>
        <v>36</v>
      </c>
      <c r="F22" s="207"/>
      <c r="G22" s="210">
        <f t="shared" si="0"/>
        <v>36</v>
      </c>
      <c r="H22" s="26"/>
      <c r="I22" s="21"/>
    </row>
    <row r="23" spans="1:9">
      <c r="A23" s="22"/>
      <c r="B23" s="278" t="s">
        <v>285</v>
      </c>
      <c r="C23" s="31" t="s">
        <v>289</v>
      </c>
      <c r="D23" s="31" t="s">
        <v>123</v>
      </c>
      <c r="E23" s="207"/>
      <c r="F23" s="207"/>
      <c r="G23" s="210">
        <f t="shared" si="0"/>
        <v>0</v>
      </c>
      <c r="H23" s="26"/>
      <c r="I23" s="21"/>
    </row>
    <row r="24" spans="1:9">
      <c r="A24" s="22"/>
      <c r="B24" s="278" t="s">
        <v>286</v>
      </c>
      <c r="C24" s="31" t="s">
        <v>287</v>
      </c>
      <c r="D24" s="31" t="s">
        <v>123</v>
      </c>
      <c r="E24" s="207"/>
      <c r="F24" s="207"/>
      <c r="G24" s="210">
        <f t="shared" si="0"/>
        <v>0</v>
      </c>
      <c r="H24" s="26"/>
      <c r="I24" s="21"/>
    </row>
    <row r="25" spans="1:9">
      <c r="A25" s="22"/>
      <c r="B25" s="30" t="s">
        <v>266</v>
      </c>
      <c r="C25" s="31" t="s">
        <v>306</v>
      </c>
      <c r="D25" s="31" t="s">
        <v>123</v>
      </c>
      <c r="E25" s="207"/>
      <c r="F25" s="207">
        <v>60</v>
      </c>
      <c r="G25" s="210">
        <f t="shared" si="0"/>
        <v>60</v>
      </c>
      <c r="H25" s="26"/>
      <c r="I25" s="21"/>
    </row>
    <row r="26" spans="1:9">
      <c r="A26" s="22"/>
      <c r="B26" s="30" t="s">
        <v>130</v>
      </c>
      <c r="C26" s="31" t="s">
        <v>9</v>
      </c>
      <c r="D26" s="31" t="s">
        <v>123</v>
      </c>
      <c r="E26" s="207">
        <v>5</v>
      </c>
      <c r="F26" s="207">
        <v>23</v>
      </c>
      <c r="G26" s="210">
        <f t="shared" si="0"/>
        <v>28</v>
      </c>
      <c r="H26" s="26"/>
      <c r="I26" s="21"/>
    </row>
    <row r="27" spans="1:9">
      <c r="A27" s="22"/>
      <c r="B27" s="30" t="s">
        <v>131</v>
      </c>
      <c r="C27" s="31" t="s">
        <v>10</v>
      </c>
      <c r="D27" s="31" t="s">
        <v>123</v>
      </c>
      <c r="E27" s="207">
        <v>0</v>
      </c>
      <c r="F27" s="207">
        <v>13</v>
      </c>
      <c r="G27" s="210">
        <f t="shared" si="0"/>
        <v>13</v>
      </c>
      <c r="H27" s="26"/>
      <c r="I27" s="21"/>
    </row>
    <row r="28" spans="1:9">
      <c r="A28" s="22"/>
      <c r="B28" s="30" t="s">
        <v>132</v>
      </c>
      <c r="C28" s="31" t="s">
        <v>40</v>
      </c>
      <c r="D28" s="31" t="s">
        <v>123</v>
      </c>
      <c r="E28" s="207">
        <v>3</v>
      </c>
      <c r="F28" s="207">
        <v>1</v>
      </c>
      <c r="G28" s="210">
        <f t="shared" si="0"/>
        <v>4</v>
      </c>
      <c r="H28" s="26"/>
      <c r="I28" s="21"/>
    </row>
    <row r="29" spans="1:9">
      <c r="A29" s="22"/>
      <c r="B29" s="30" t="s">
        <v>133</v>
      </c>
      <c r="C29" s="31" t="s">
        <v>41</v>
      </c>
      <c r="D29" s="31" t="s">
        <v>123</v>
      </c>
      <c r="E29" s="207">
        <v>0</v>
      </c>
      <c r="F29" s="207">
        <v>1</v>
      </c>
      <c r="G29" s="210">
        <f t="shared" si="0"/>
        <v>1</v>
      </c>
      <c r="H29" s="26"/>
      <c r="I29" s="21"/>
    </row>
    <row r="30" spans="1:9">
      <c r="A30" s="22"/>
      <c r="B30" s="30" t="s">
        <v>134</v>
      </c>
      <c r="C30" s="31" t="s">
        <v>11</v>
      </c>
      <c r="D30" s="31" t="s">
        <v>120</v>
      </c>
      <c r="E30" s="207">
        <v>1021.82</v>
      </c>
      <c r="F30" s="207">
        <f>369.45*2</f>
        <v>738.9</v>
      </c>
      <c r="G30" s="210">
        <f t="shared" si="0"/>
        <v>1760.72</v>
      </c>
      <c r="H30" s="26"/>
      <c r="I30" s="21"/>
    </row>
    <row r="31" spans="1:9">
      <c r="A31" s="22"/>
      <c r="B31" s="30" t="s">
        <v>135</v>
      </c>
      <c r="C31" s="31" t="s">
        <v>12</v>
      </c>
      <c r="D31" s="31" t="s">
        <v>119</v>
      </c>
      <c r="E31" s="207">
        <v>151.47399999999999</v>
      </c>
      <c r="F31" s="207">
        <f>101.4*2</f>
        <v>202.8</v>
      </c>
      <c r="G31" s="210">
        <f t="shared" si="0"/>
        <v>354.274</v>
      </c>
      <c r="H31" s="26"/>
      <c r="I31" s="21"/>
    </row>
    <row r="32" spans="1:9">
      <c r="A32" s="22"/>
      <c r="B32" s="30" t="s">
        <v>136</v>
      </c>
      <c r="C32" s="31" t="s">
        <v>36</v>
      </c>
      <c r="D32" s="31" t="s">
        <v>120</v>
      </c>
      <c r="E32" s="207">
        <v>0</v>
      </c>
      <c r="F32" s="207">
        <f>F14</f>
        <v>699.84</v>
      </c>
      <c r="G32" s="210">
        <f t="shared" si="0"/>
        <v>699.84</v>
      </c>
      <c r="H32" s="26"/>
      <c r="I32" s="21"/>
    </row>
    <row r="33" spans="1:9">
      <c r="A33" s="22"/>
      <c r="B33" s="30" t="s">
        <v>137</v>
      </c>
      <c r="C33" s="31" t="s">
        <v>35</v>
      </c>
      <c r="D33" s="31" t="s">
        <v>120</v>
      </c>
      <c r="E33" s="207">
        <f>E11</f>
        <v>1675.56</v>
      </c>
      <c r="F33" s="207">
        <f>F11+F12+F13</f>
        <v>7366.75</v>
      </c>
      <c r="G33" s="210">
        <f>F33+E33</f>
        <v>9042.31</v>
      </c>
      <c r="H33" s="26"/>
      <c r="I33" s="21"/>
    </row>
    <row r="34" spans="1:9">
      <c r="A34" s="22"/>
      <c r="B34" s="30" t="s">
        <v>138</v>
      </c>
      <c r="C34" s="31" t="s">
        <v>139</v>
      </c>
      <c r="D34" s="31" t="s">
        <v>120</v>
      </c>
      <c r="E34" s="207">
        <f>E10</f>
        <v>1662.34</v>
      </c>
      <c r="F34" s="207">
        <v>0</v>
      </c>
      <c r="G34" s="210">
        <f t="shared" ref="G34:G37" si="1">F34+E34</f>
        <v>1662.34</v>
      </c>
      <c r="H34" s="26"/>
      <c r="I34" s="21"/>
    </row>
    <row r="35" spans="1:9">
      <c r="A35" s="22"/>
      <c r="B35" s="30" t="s">
        <v>140</v>
      </c>
      <c r="C35" s="31" t="s">
        <v>13</v>
      </c>
      <c r="D35" s="31" t="s">
        <v>123</v>
      </c>
      <c r="E35" s="207">
        <v>1</v>
      </c>
      <c r="F35" s="207">
        <v>0</v>
      </c>
      <c r="G35" s="210">
        <f t="shared" si="1"/>
        <v>1</v>
      </c>
      <c r="H35" s="26"/>
      <c r="I35" s="21"/>
    </row>
    <row r="36" spans="1:9">
      <c r="A36" s="22"/>
      <c r="B36" s="30" t="s">
        <v>141</v>
      </c>
      <c r="C36" s="31" t="s">
        <v>39</v>
      </c>
      <c r="D36" s="31" t="s">
        <v>120</v>
      </c>
      <c r="E36" s="207">
        <v>2087.2800000000002</v>
      </c>
      <c r="F36" s="207">
        <v>2365.5700000000002</v>
      </c>
      <c r="G36" s="210">
        <f t="shared" si="1"/>
        <v>4452.8500000000004</v>
      </c>
      <c r="H36" s="26">
        <f>G36/G9</f>
        <v>0.16157252775363803</v>
      </c>
      <c r="I36" s="21"/>
    </row>
    <row r="37" spans="1:9">
      <c r="A37" s="22"/>
      <c r="B37" s="30" t="s">
        <v>142</v>
      </c>
      <c r="C37" s="31" t="s">
        <v>154</v>
      </c>
      <c r="D37" s="31" t="s">
        <v>119</v>
      </c>
      <c r="E37" s="207">
        <v>226.19</v>
      </c>
      <c r="F37" s="207">
        <v>223.43</v>
      </c>
      <c r="G37" s="210">
        <f t="shared" si="1"/>
        <v>449.62</v>
      </c>
      <c r="H37" s="26"/>
      <c r="I37" s="21"/>
    </row>
    <row r="38" spans="1:9" ht="22.5" thickBot="1">
      <c r="A38" s="22"/>
      <c r="B38" s="33" t="s">
        <v>143</v>
      </c>
      <c r="C38" s="34" t="s">
        <v>155</v>
      </c>
      <c r="D38" s="34" t="s">
        <v>123</v>
      </c>
      <c r="E38" s="208">
        <v>1</v>
      </c>
      <c r="F38" s="208">
        <v>3</v>
      </c>
      <c r="G38" s="35">
        <f>F38+E38</f>
        <v>4</v>
      </c>
      <c r="H38" s="26"/>
      <c r="I38" s="21"/>
    </row>
    <row r="39" spans="1:9" ht="22.5" thickBot="1">
      <c r="A39" s="36"/>
      <c r="B39" s="37"/>
      <c r="C39" s="37"/>
      <c r="D39" s="37"/>
      <c r="E39" s="37"/>
      <c r="F39" s="37"/>
      <c r="G39" s="38"/>
      <c r="H39" s="39"/>
      <c r="I39" s="40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5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A21" zoomScale="80" zoomScaleNormal="80" zoomScaleSheetLayoutView="95" workbookViewId="0">
      <selection activeCell="D31" sqref="D31"/>
    </sheetView>
  </sheetViews>
  <sheetFormatPr defaultColWidth="9.140625" defaultRowHeight="19.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59.85546875" style="107" customWidth="1"/>
    <col min="8" max="16384" width="9.140625" style="1"/>
  </cols>
  <sheetData>
    <row r="1" spans="1:9">
      <c r="A1" s="48"/>
      <c r="B1" s="48"/>
      <c r="C1" s="48"/>
      <c r="D1" s="51"/>
      <c r="E1" s="104"/>
      <c r="F1" s="104"/>
      <c r="G1" s="104"/>
      <c r="I1" s="2"/>
    </row>
    <row r="2" spans="1:9" ht="28.5">
      <c r="A2" s="319" t="s">
        <v>121</v>
      </c>
      <c r="B2" s="320"/>
      <c r="C2" s="320"/>
      <c r="D2" s="320"/>
      <c r="E2" s="320"/>
      <c r="F2" s="320"/>
      <c r="G2" s="321"/>
      <c r="I2" s="2"/>
    </row>
    <row r="3" spans="1:9" ht="28.5" customHeight="1">
      <c r="A3" s="189" t="s">
        <v>186</v>
      </c>
      <c r="B3" s="195">
        <v>45756</v>
      </c>
      <c r="C3" s="193"/>
      <c r="D3" s="193"/>
      <c r="E3" s="193"/>
      <c r="F3" s="193"/>
      <c r="G3" s="194"/>
      <c r="I3" s="2"/>
    </row>
    <row r="4" spans="1:9" ht="28.5" customHeight="1">
      <c r="A4" s="189" t="s">
        <v>290</v>
      </c>
      <c r="B4" s="196" t="s">
        <v>213</v>
      </c>
      <c r="C4" s="191"/>
      <c r="D4" s="191"/>
      <c r="E4" s="191"/>
      <c r="F4" s="191"/>
      <c r="G4" s="192"/>
      <c r="I4" s="2"/>
    </row>
    <row r="5" spans="1:9">
      <c r="A5" s="50"/>
      <c r="B5" s="50"/>
      <c r="C5" s="50"/>
      <c r="D5" s="49"/>
      <c r="E5" s="105"/>
      <c r="F5" s="104"/>
      <c r="G5" s="104"/>
      <c r="I5" s="2"/>
    </row>
    <row r="6" spans="1:9" s="55" customFormat="1" ht="21.7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>
      <c r="A7" s="56"/>
      <c r="B7" s="57"/>
      <c r="C7" s="57"/>
      <c r="D7" s="58"/>
      <c r="E7" s="99"/>
      <c r="F7" s="100"/>
      <c r="G7" s="100"/>
    </row>
    <row r="8" spans="1:9" s="55" customFormat="1" ht="42" customHeight="1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293</v>
      </c>
    </row>
    <row r="9" spans="1:9" s="55" customFormat="1" ht="21.75">
      <c r="A9" s="66" t="s">
        <v>145</v>
      </c>
      <c r="B9" s="67"/>
      <c r="C9" s="67"/>
      <c r="D9" s="68"/>
      <c r="E9" s="88">
        <v>0</v>
      </c>
      <c r="F9" s="89">
        <f>E9*D9*1.1</f>
        <v>0</v>
      </c>
      <c r="G9" s="67"/>
    </row>
    <row r="10" spans="1:9" s="55" customFormat="1" ht="43.5">
      <c r="A10" s="66" t="s">
        <v>413</v>
      </c>
      <c r="B10" s="67"/>
      <c r="C10" s="67"/>
      <c r="D10" s="68">
        <f>5.22*2*15*1.3</f>
        <v>203.58</v>
      </c>
      <c r="E10" s="88">
        <f>9.09</f>
        <v>9.09</v>
      </c>
      <c r="F10" s="89">
        <f>E10*D10*1.1</f>
        <v>2035.5964200000003</v>
      </c>
      <c r="G10" s="67" t="s">
        <v>414</v>
      </c>
    </row>
    <row r="11" spans="1:9" s="55" customFormat="1" ht="21.75">
      <c r="A11" s="318" t="s">
        <v>17</v>
      </c>
      <c r="B11" s="318"/>
      <c r="C11" s="318"/>
      <c r="D11" s="318"/>
      <c r="E11" s="318"/>
      <c r="F11" s="90">
        <f>SUM(F9:F10)</f>
        <v>2035.5964200000003</v>
      </c>
      <c r="G11" s="90"/>
    </row>
    <row r="12" spans="1:9" s="55" customFormat="1" ht="21.75">
      <c r="A12" s="322"/>
      <c r="B12" s="322"/>
      <c r="C12" s="322"/>
      <c r="D12" s="322"/>
      <c r="E12" s="322"/>
      <c r="F12" s="100"/>
      <c r="G12" s="100"/>
    </row>
    <row r="13" spans="1:9" s="55" customFormat="1" ht="21.75">
      <c r="A13" s="52" t="s">
        <v>153</v>
      </c>
      <c r="B13" s="53"/>
      <c r="C13" s="53"/>
      <c r="D13" s="54"/>
      <c r="E13" s="98"/>
      <c r="F13" s="98"/>
      <c r="G13" s="98"/>
    </row>
    <row r="14" spans="1:9" s="55" customFormat="1" ht="21.75">
      <c r="A14" s="56"/>
      <c r="B14" s="57"/>
      <c r="C14" s="57"/>
      <c r="D14" s="58"/>
      <c r="E14" s="99"/>
      <c r="F14" s="100"/>
      <c r="G14" s="100"/>
    </row>
    <row r="15" spans="1:9" s="55" customFormat="1" ht="42" customHeight="1">
      <c r="A15" s="63" t="s">
        <v>14</v>
      </c>
      <c r="B15" s="64" t="s">
        <v>152</v>
      </c>
      <c r="C15" s="64"/>
      <c r="D15" s="65"/>
      <c r="E15" s="101" t="s">
        <v>151</v>
      </c>
      <c r="F15" s="90" t="s">
        <v>16</v>
      </c>
      <c r="G15" s="90" t="s">
        <v>293</v>
      </c>
    </row>
    <row r="16" spans="1:9" s="55" customFormat="1" ht="21.7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/>
    </row>
    <row r="17" spans="1:11" s="55" customFormat="1" ht="21.75">
      <c r="A17" s="318" t="s">
        <v>17</v>
      </c>
      <c r="B17" s="318"/>
      <c r="C17" s="318"/>
      <c r="D17" s="318"/>
      <c r="E17" s="318"/>
      <c r="F17" s="90">
        <f>SUM(F16:F16)</f>
        <v>0</v>
      </c>
      <c r="G17" s="90"/>
    </row>
    <row r="18" spans="1:11" s="55" customFormat="1" ht="21.75">
      <c r="A18" s="322"/>
      <c r="B18" s="322"/>
      <c r="C18" s="322"/>
      <c r="D18" s="322"/>
      <c r="E18" s="322"/>
      <c r="F18" s="100"/>
      <c r="G18" s="100"/>
    </row>
    <row r="19" spans="1:11" s="55" customFormat="1" ht="21.7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>
      <c r="A20" s="56"/>
      <c r="B20" s="57"/>
      <c r="C20" s="57"/>
      <c r="D20" s="58"/>
      <c r="E20" s="99"/>
      <c r="F20" s="100"/>
      <c r="G20" s="100"/>
    </row>
    <row r="21" spans="1:11" s="55" customFormat="1" ht="42" customHeight="1">
      <c r="A21" s="63" t="s">
        <v>14</v>
      </c>
      <c r="B21" s="323" t="s">
        <v>5</v>
      </c>
      <c r="C21" s="324"/>
      <c r="D21" s="65" t="s">
        <v>147</v>
      </c>
      <c r="E21" s="101" t="s">
        <v>160</v>
      </c>
      <c r="F21" s="90" t="s">
        <v>16</v>
      </c>
      <c r="G21" s="90" t="s">
        <v>293</v>
      </c>
    </row>
    <row r="22" spans="1:11" s="55" customFormat="1" ht="43.5">
      <c r="A22" s="70" t="s">
        <v>20</v>
      </c>
      <c r="B22" s="62">
        <v>1.3</v>
      </c>
      <c r="C22" s="62" t="s">
        <v>309</v>
      </c>
      <c r="D22" s="72">
        <f>B22*INFRAESTRUTURA!D29</f>
        <v>810.6930000000001</v>
      </c>
      <c r="E22" s="88">
        <v>36.36</v>
      </c>
      <c r="F22" s="106">
        <f>E22*D22*1.1</f>
        <v>32424.477228000007</v>
      </c>
      <c r="G22" s="67"/>
    </row>
    <row r="23" spans="1:11" s="55" customFormat="1" ht="26.25" customHeight="1">
      <c r="A23" s="70" t="s">
        <v>21</v>
      </c>
      <c r="B23" s="62">
        <v>0.6</v>
      </c>
      <c r="C23" s="62" t="s">
        <v>157</v>
      </c>
      <c r="D23" s="72">
        <f>D22-INFRAESTRUTURA!D29</f>
        <v>187.08300000000008</v>
      </c>
      <c r="E23" s="88">
        <v>14.55</v>
      </c>
      <c r="F23" s="106">
        <f>E23*D23*1.1</f>
        <v>2994.2634150000022</v>
      </c>
      <c r="G23" s="67"/>
    </row>
    <row r="24" spans="1:11" s="55" customFormat="1" ht="21.75">
      <c r="A24" s="70" t="s">
        <v>156</v>
      </c>
      <c r="B24" s="62">
        <v>1.3</v>
      </c>
      <c r="C24" s="62"/>
      <c r="D24" s="72">
        <f>(D22-D23-D10)*B24</f>
        <v>546.03899999999999</v>
      </c>
      <c r="E24" s="88">
        <v>45.45</v>
      </c>
      <c r="F24" s="106">
        <f>E24*D24*1.1</f>
        <v>27299.219805000004</v>
      </c>
      <c r="G24" s="67"/>
    </row>
    <row r="25" spans="1:11" s="55" customFormat="1" ht="21.75">
      <c r="A25" s="69" t="s">
        <v>144</v>
      </c>
      <c r="B25" s="61">
        <v>1</v>
      </c>
      <c r="C25" s="61" t="s">
        <v>22</v>
      </c>
      <c r="D25" s="73">
        <f>INFRAESTRUTURA!D19</f>
        <v>0</v>
      </c>
      <c r="E25" s="88">
        <v>20</v>
      </c>
      <c r="F25" s="106">
        <f>E25*D25*1.1</f>
        <v>0</v>
      </c>
      <c r="G25" s="67"/>
    </row>
    <row r="26" spans="1:11" s="55" customFormat="1" ht="21.75">
      <c r="A26" s="318" t="s">
        <v>17</v>
      </c>
      <c r="B26" s="318"/>
      <c r="C26" s="318"/>
      <c r="D26" s="318"/>
      <c r="E26" s="318"/>
      <c r="F26" s="90">
        <f>SUM(F22:F25)</f>
        <v>62717.960448000013</v>
      </c>
      <c r="G26" s="90"/>
    </row>
    <row r="27" spans="1:11">
      <c r="K27" s="47"/>
    </row>
    <row r="28" spans="1:11" ht="21.75">
      <c r="A28" s="52" t="s">
        <v>100</v>
      </c>
      <c r="B28" s="53"/>
      <c r="C28" s="53"/>
      <c r="D28" s="54"/>
      <c r="E28" s="98"/>
      <c r="F28" s="98"/>
      <c r="G28" s="98"/>
    </row>
    <row r="29" spans="1:11" ht="21.75">
      <c r="A29" s="56"/>
      <c r="B29" s="57"/>
      <c r="C29" s="57"/>
      <c r="D29" s="58"/>
      <c r="E29" s="99"/>
      <c r="F29" s="100"/>
      <c r="G29" s="100"/>
    </row>
    <row r="30" spans="1:11" ht="43.5">
      <c r="A30" s="63" t="s">
        <v>14</v>
      </c>
      <c r="B30" s="323" t="s">
        <v>5</v>
      </c>
      <c r="C30" s="324"/>
      <c r="D30" s="65" t="s">
        <v>158</v>
      </c>
      <c r="E30" s="101" t="s">
        <v>159</v>
      </c>
      <c r="F30" s="90" t="s">
        <v>16</v>
      </c>
      <c r="G30" s="90" t="s">
        <v>293</v>
      </c>
    </row>
    <row r="31" spans="1:11" ht="21.75">
      <c r="A31" s="70" t="s">
        <v>292</v>
      </c>
      <c r="B31" s="62">
        <v>0.8</v>
      </c>
      <c r="C31" s="62" t="s">
        <v>113</v>
      </c>
      <c r="D31" s="311">
        <f>B31*DADOS_INICIAIS!G36</f>
        <v>3562.2800000000007</v>
      </c>
      <c r="E31" s="88">
        <f>370*0.05</f>
        <v>18.5</v>
      </c>
      <c r="F31" s="106">
        <f>E31*D31*1.1</f>
        <v>72492.398000000016</v>
      </c>
      <c r="G31" s="67"/>
      <c r="H31" s="1">
        <f>F31/DADOS_INICIAIS!G36</f>
        <v>16.28</v>
      </c>
      <c r="I31" s="100"/>
    </row>
    <row r="32" spans="1:11" ht="21.75">
      <c r="A32" s="318" t="s">
        <v>17</v>
      </c>
      <c r="B32" s="318"/>
      <c r="C32" s="318"/>
      <c r="D32" s="318"/>
      <c r="E32" s="318"/>
      <c r="F32" s="90">
        <f>SUM(F31:F31)</f>
        <v>72492.398000000016</v>
      </c>
      <c r="G32" s="90"/>
    </row>
    <row r="34" spans="1:7" ht="23.25" customHeight="1">
      <c r="A34" s="315" t="s">
        <v>103</v>
      </c>
      <c r="B34" s="316"/>
      <c r="C34" s="316"/>
      <c r="D34" s="316"/>
      <c r="E34" s="317"/>
      <c r="F34" s="108">
        <f>F11+F17+F26+F32</f>
        <v>137245.95486800003</v>
      </c>
      <c r="G34" s="108">
        <f>F34/DADOS_INICIAIS!E9</f>
        <v>22.68839441906907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95"/>
      <c r="I1" s="80"/>
      <c r="J1" s="79"/>
    </row>
    <row r="3" spans="1:10" ht="28.5">
      <c r="A3" s="319" t="s">
        <v>166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0"/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96"/>
      <c r="G6" s="97"/>
      <c r="H6" s="97"/>
      <c r="J6" s="79"/>
    </row>
    <row r="7" spans="1:10" ht="21.7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>
      <c r="A8" s="56"/>
      <c r="B8" s="56"/>
      <c r="C8" s="56"/>
      <c r="D8" s="57"/>
      <c r="E8" s="57"/>
      <c r="F8" s="99"/>
      <c r="G8" s="100"/>
      <c r="H8" s="100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101" t="s">
        <v>118</v>
      </c>
      <c r="G9" s="90" t="s">
        <v>16</v>
      </c>
      <c r="H9" s="100"/>
    </row>
    <row r="10" spans="1:10" ht="21.75">
      <c r="A10" s="66" t="s">
        <v>107</v>
      </c>
      <c r="B10" s="62">
        <v>0.15</v>
      </c>
      <c r="C10" s="62" t="s">
        <v>108</v>
      </c>
      <c r="D10" s="67">
        <f>B10*DADOS_INICIAIS!G36</f>
        <v>667.92750000000001</v>
      </c>
      <c r="E10" s="67" t="s">
        <v>3</v>
      </c>
      <c r="F10" s="92"/>
      <c r="G10" s="93"/>
      <c r="H10" s="102"/>
    </row>
    <row r="11" spans="1:10" ht="21.75">
      <c r="A11" s="325" t="s">
        <v>162</v>
      </c>
      <c r="B11" s="76">
        <v>0.1</v>
      </c>
      <c r="C11" s="62"/>
      <c r="D11" s="67">
        <f>B11*$D$10</f>
        <v>66.792749999999998</v>
      </c>
      <c r="E11" s="67" t="s">
        <v>3</v>
      </c>
      <c r="F11" s="92"/>
      <c r="G11" s="93"/>
      <c r="H11" s="102"/>
    </row>
    <row r="12" spans="1:10" ht="21.75">
      <c r="A12" s="326"/>
      <c r="B12" s="77">
        <v>20</v>
      </c>
      <c r="C12" s="62" t="s">
        <v>163</v>
      </c>
      <c r="D12" s="67">
        <f>B12*D11</f>
        <v>1335.855</v>
      </c>
      <c r="E12" s="67" t="s">
        <v>4</v>
      </c>
      <c r="F12" s="88"/>
      <c r="G12" s="89">
        <f>F12*D12</f>
        <v>0</v>
      </c>
      <c r="H12" s="102"/>
    </row>
    <row r="13" spans="1:10" ht="21.75">
      <c r="A13" s="325" t="s">
        <v>161</v>
      </c>
      <c r="B13" s="76">
        <v>0.5</v>
      </c>
      <c r="C13" s="62"/>
      <c r="D13" s="67">
        <f>B13*$D$10</f>
        <v>333.96375</v>
      </c>
      <c r="E13" s="67" t="s">
        <v>3</v>
      </c>
      <c r="F13" s="92"/>
      <c r="G13" s="93"/>
      <c r="H13" s="102"/>
    </row>
    <row r="14" spans="1:10" ht="21.75">
      <c r="A14" s="326"/>
      <c r="B14" s="77">
        <v>20</v>
      </c>
      <c r="C14" s="62" t="s">
        <v>163</v>
      </c>
      <c r="D14" s="67">
        <f>B14*D13</f>
        <v>6679.2749999999996</v>
      </c>
      <c r="E14" s="67" t="s">
        <v>4</v>
      </c>
      <c r="F14" s="88"/>
      <c r="G14" s="89">
        <f>F14*D14</f>
        <v>0</v>
      </c>
      <c r="H14" s="102"/>
    </row>
    <row r="15" spans="1:10" ht="21.75">
      <c r="A15" s="325" t="s">
        <v>114</v>
      </c>
      <c r="B15" s="76">
        <v>0.4</v>
      </c>
      <c r="C15" s="62" t="s">
        <v>108</v>
      </c>
      <c r="D15" s="67">
        <f>B15*$D$10</f>
        <v>267.17099999999999</v>
      </c>
      <c r="E15" s="67" t="s">
        <v>3</v>
      </c>
      <c r="F15" s="92"/>
      <c r="G15" s="93"/>
      <c r="H15" s="102"/>
    </row>
    <row r="16" spans="1:10" ht="21.75">
      <c r="A16" s="326"/>
      <c r="B16" s="77">
        <v>20</v>
      </c>
      <c r="C16" s="62" t="s">
        <v>163</v>
      </c>
      <c r="D16" s="67">
        <f>B16*D15</f>
        <v>5343.42</v>
      </c>
      <c r="E16" s="67" t="s">
        <v>4</v>
      </c>
      <c r="F16" s="88"/>
      <c r="G16" s="89">
        <f>F16*D16</f>
        <v>0</v>
      </c>
      <c r="H16" s="102"/>
    </row>
    <row r="17" spans="1:8" ht="21.75">
      <c r="A17" s="66" t="s">
        <v>24</v>
      </c>
      <c r="B17" s="62">
        <f>(PI()*0.4^2)/4*D14+(PI()*0.5^2)/4*D16+(PI()*0.6^2)/4*D12</f>
        <v>2266.2246173010444</v>
      </c>
      <c r="C17" s="62" t="s">
        <v>108</v>
      </c>
      <c r="D17" s="67">
        <f>(PI()*0.4^2)/4*D14+(PI()*0.5^2)/4*D16+(PI()*0.6^2)/4*D12</f>
        <v>2266.2246173010444</v>
      </c>
      <c r="E17" s="67" t="s">
        <v>22</v>
      </c>
      <c r="F17" s="88"/>
      <c r="G17" s="89">
        <f>F17*D17</f>
        <v>0</v>
      </c>
      <c r="H17" s="102"/>
    </row>
    <row r="18" spans="1:8" ht="21.75">
      <c r="A18" s="66" t="s">
        <v>115</v>
      </c>
      <c r="B18" s="62">
        <v>1.6575131198547477</v>
      </c>
      <c r="C18" s="62" t="s">
        <v>34</v>
      </c>
      <c r="D18" s="67">
        <f>B18*D17</f>
        <v>3756.2970357142858</v>
      </c>
      <c r="E18" s="67" t="s">
        <v>26</v>
      </c>
      <c r="F18" s="88"/>
      <c r="G18" s="89">
        <f>F18*D18</f>
        <v>0</v>
      </c>
      <c r="H18" s="102"/>
    </row>
    <row r="19" spans="1:8" ht="21.75">
      <c r="A19" s="66" t="s">
        <v>125</v>
      </c>
      <c r="B19" s="62">
        <v>10.178337551067401</v>
      </c>
      <c r="C19" s="62" t="s">
        <v>34</v>
      </c>
      <c r="D19" s="67">
        <f>B19*D17</f>
        <v>23066.399121428571</v>
      </c>
      <c r="E19" s="67" t="s">
        <v>26</v>
      </c>
      <c r="F19" s="88"/>
      <c r="G19" s="89">
        <f>F19*D19</f>
        <v>0</v>
      </c>
      <c r="H19" s="102"/>
    </row>
    <row r="20" spans="1:8" ht="21.7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>
      <c r="A21" s="318" t="s">
        <v>17</v>
      </c>
      <c r="B21" s="318"/>
      <c r="C21" s="318"/>
      <c r="D21" s="318"/>
      <c r="E21" s="318"/>
      <c r="F21" s="318"/>
      <c r="G21" s="90">
        <f>SUM(G10:G20)</f>
        <v>0</v>
      </c>
      <c r="H21" s="103"/>
    </row>
    <row r="23" spans="1:8" ht="21.75">
      <c r="A23" s="52" t="s">
        <v>291</v>
      </c>
      <c r="B23" s="52"/>
      <c r="C23" s="52"/>
      <c r="D23" s="53"/>
      <c r="E23" s="53"/>
      <c r="F23" s="98"/>
      <c r="G23" s="98"/>
      <c r="H23" s="98"/>
    </row>
    <row r="24" spans="1:8" ht="21.75">
      <c r="A24" s="56"/>
      <c r="B24" s="56"/>
      <c r="C24" s="56"/>
      <c r="D24" s="57"/>
      <c r="E24" s="57"/>
      <c r="F24" s="99"/>
      <c r="G24" s="100"/>
      <c r="H24" s="100"/>
    </row>
    <row r="25" spans="1:8" ht="21.75">
      <c r="A25" s="63" t="s">
        <v>14</v>
      </c>
      <c r="B25" s="323" t="s">
        <v>5</v>
      </c>
      <c r="C25" s="324"/>
      <c r="D25" s="323" t="s">
        <v>18</v>
      </c>
      <c r="E25" s="324"/>
      <c r="F25" s="101" t="s">
        <v>118</v>
      </c>
      <c r="G25" s="90" t="s">
        <v>16</v>
      </c>
      <c r="H25" s="100"/>
    </row>
    <row r="26" spans="1:8" ht="43.5">
      <c r="A26" s="66" t="s">
        <v>111</v>
      </c>
      <c r="B26" s="62">
        <v>2.1</v>
      </c>
      <c r="C26" s="62" t="s">
        <v>113</v>
      </c>
      <c r="D26" s="67">
        <f>B26*DADOS_INICIAIS!G36</f>
        <v>9350.9850000000006</v>
      </c>
      <c r="E26" s="67" t="s">
        <v>2</v>
      </c>
      <c r="F26" s="88"/>
      <c r="G26" s="89">
        <f>F26*D26</f>
        <v>0</v>
      </c>
      <c r="H26" s="102"/>
    </row>
    <row r="27" spans="1:8" ht="21.75">
      <c r="A27" s="66" t="s">
        <v>24</v>
      </c>
      <c r="B27" s="62">
        <v>0.65</v>
      </c>
      <c r="C27" s="62" t="s">
        <v>112</v>
      </c>
      <c r="D27" s="67">
        <f>B27*DADOS_INICIAIS!G36</f>
        <v>2894.3525000000004</v>
      </c>
      <c r="E27" s="67" t="s">
        <v>22</v>
      </c>
      <c r="F27" s="88"/>
      <c r="G27" s="89">
        <f>F27*D27</f>
        <v>0</v>
      </c>
      <c r="H27" s="102"/>
    </row>
    <row r="28" spans="1:8" ht="21.75">
      <c r="A28" s="66" t="s">
        <v>23</v>
      </c>
      <c r="B28" s="62">
        <v>110</v>
      </c>
      <c r="C28" s="62" t="s">
        <v>34</v>
      </c>
      <c r="D28" s="67">
        <f>B28*D27</f>
        <v>318378.77500000002</v>
      </c>
      <c r="E28" s="67" t="s">
        <v>26</v>
      </c>
      <c r="F28" s="88"/>
      <c r="G28" s="89">
        <f>F28*D28</f>
        <v>0</v>
      </c>
      <c r="H28" s="102"/>
    </row>
    <row r="29" spans="1:8" ht="21.75">
      <c r="A29" s="66" t="s">
        <v>25</v>
      </c>
      <c r="B29" s="62">
        <f>SUPRAESTRUTURA!B15*1.5</f>
        <v>315</v>
      </c>
      <c r="C29" s="62" t="s">
        <v>102</v>
      </c>
      <c r="D29" s="67">
        <f>DADOS_INICIAIS!G36</f>
        <v>4452.8500000000004</v>
      </c>
      <c r="E29" s="67" t="s">
        <v>2</v>
      </c>
      <c r="F29" s="88">
        <f>B29</f>
        <v>315</v>
      </c>
      <c r="G29" s="89">
        <f>F29*D29</f>
        <v>1402647.75</v>
      </c>
      <c r="H29" s="102"/>
    </row>
    <row r="30" spans="1:8" ht="21.75">
      <c r="A30" s="318" t="s">
        <v>17</v>
      </c>
      <c r="B30" s="318"/>
      <c r="C30" s="318"/>
      <c r="D30" s="318"/>
      <c r="E30" s="318"/>
      <c r="F30" s="318"/>
      <c r="G30" s="90">
        <f>SUM(G26:G29)</f>
        <v>1402647.75</v>
      </c>
      <c r="H30" s="103"/>
    </row>
    <row r="33" spans="1:8" ht="21.7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>
      <c r="A34" s="56"/>
      <c r="B34" s="56"/>
      <c r="C34" s="56"/>
      <c r="D34" s="57"/>
      <c r="E34" s="57"/>
      <c r="F34" s="99"/>
      <c r="G34" s="100"/>
      <c r="H34" s="100"/>
    </row>
    <row r="35" spans="1:8" ht="21.75">
      <c r="A35" s="63" t="s">
        <v>14</v>
      </c>
      <c r="B35" s="323" t="s">
        <v>5</v>
      </c>
      <c r="C35" s="324"/>
      <c r="D35" s="323" t="s">
        <v>18</v>
      </c>
      <c r="E35" s="324"/>
      <c r="F35" s="101" t="s">
        <v>118</v>
      </c>
      <c r="G35" s="90" t="s">
        <v>16</v>
      </c>
      <c r="H35" s="100"/>
    </row>
    <row r="36" spans="1:8" ht="43.5">
      <c r="A36" s="66" t="s">
        <v>111</v>
      </c>
      <c r="B36" s="62">
        <v>2.1</v>
      </c>
      <c r="C36" s="62" t="s">
        <v>113</v>
      </c>
      <c r="D36" s="67">
        <f>B36*DADOS_INICIAIS!G46</f>
        <v>0</v>
      </c>
      <c r="E36" s="67" t="s">
        <v>2</v>
      </c>
      <c r="F36" s="88"/>
      <c r="G36" s="89">
        <f>F36*D36</f>
        <v>0</v>
      </c>
      <c r="H36" s="102"/>
    </row>
    <row r="37" spans="1:8" ht="21.75">
      <c r="A37" s="66" t="s">
        <v>24</v>
      </c>
      <c r="B37" s="62">
        <v>0.65</v>
      </c>
      <c r="C37" s="62" t="s">
        <v>112</v>
      </c>
      <c r="D37" s="67">
        <f>B37*DADOS_INICIAIS!G46</f>
        <v>0</v>
      </c>
      <c r="E37" s="67" t="s">
        <v>22</v>
      </c>
      <c r="F37" s="88"/>
      <c r="G37" s="89">
        <f>F37*D37</f>
        <v>0</v>
      </c>
      <c r="H37" s="102"/>
    </row>
    <row r="38" spans="1:8" ht="21.7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>
      <c r="A39" s="66" t="s">
        <v>25</v>
      </c>
      <c r="B39" s="62">
        <f>SUPRAESTRUTURA!B74*1.5</f>
        <v>918.3919579485904</v>
      </c>
      <c r="C39" s="62" t="s">
        <v>102</v>
      </c>
      <c r="D39" s="67">
        <f>DADOS_INICIAIS!G46</f>
        <v>0</v>
      </c>
      <c r="E39" s="67" t="s">
        <v>2</v>
      </c>
      <c r="F39" s="88">
        <f>B39</f>
        <v>918.3919579485904</v>
      </c>
      <c r="G39" s="89">
        <f>F39*D39</f>
        <v>0</v>
      </c>
      <c r="H39" s="102"/>
    </row>
    <row r="40" spans="1:8" ht="21.75">
      <c r="A40" s="318" t="s">
        <v>17</v>
      </c>
      <c r="B40" s="318"/>
      <c r="C40" s="318"/>
      <c r="D40" s="318"/>
      <c r="E40" s="318"/>
      <c r="F40" s="318"/>
      <c r="G40" s="90">
        <f>SUM(G36:G39)</f>
        <v>0</v>
      </c>
      <c r="H40" s="103"/>
    </row>
    <row r="45" spans="1:8">
      <c r="D45" s="86"/>
      <c r="E45" s="87"/>
    </row>
    <row r="46" spans="1:8" ht="21.75">
      <c r="A46" s="328" t="s">
        <v>104</v>
      </c>
      <c r="B46" s="329"/>
      <c r="C46" s="329"/>
      <c r="D46" s="329"/>
      <c r="E46" s="329"/>
      <c r="F46" s="330"/>
      <c r="G46" s="91">
        <f>G21+G30</f>
        <v>1402647.75</v>
      </c>
      <c r="H46" s="91">
        <f>G46/DADOS_INICIAIS!G9</f>
        <v>50.895346242395973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27C4-2FB6-4B54-BA69-0F5BF81C43FD}">
  <sheetPr>
    <tabColor rgb="FF92D050"/>
  </sheetPr>
  <dimension ref="A1:J31"/>
  <sheetViews>
    <sheetView showGridLines="0" topLeftCell="A9" zoomScale="80" zoomScaleNormal="80" zoomScaleSheetLayoutView="95" workbookViewId="0">
      <selection activeCell="D26" sqref="D26"/>
    </sheetView>
  </sheetViews>
  <sheetFormatPr defaultColWidth="9.140625" defaultRowHeight="1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9.57031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95"/>
      <c r="I1" s="80"/>
      <c r="J1" s="79"/>
    </row>
    <row r="3" spans="1:10" ht="28.5">
      <c r="A3" s="319" t="s">
        <v>122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45756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279" t="s">
        <v>521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213"/>
      <c r="F6" s="96"/>
      <c r="G6" s="97"/>
      <c r="H6" s="97"/>
      <c r="J6" s="79"/>
    </row>
    <row r="7" spans="1:10" ht="21.7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>
      <c r="A8" s="56"/>
      <c r="B8" s="56"/>
      <c r="C8" s="56"/>
      <c r="D8" s="57"/>
      <c r="E8" s="57"/>
      <c r="F8" s="99">
        <v>158.15</v>
      </c>
      <c r="G8" s="100"/>
      <c r="H8" s="100"/>
    </row>
    <row r="9" spans="1:10" ht="21.75">
      <c r="A9" s="63" t="s">
        <v>14</v>
      </c>
      <c r="B9" s="323" t="s">
        <v>5</v>
      </c>
      <c r="C9" s="324"/>
      <c r="D9" s="323" t="s">
        <v>18</v>
      </c>
      <c r="E9" s="324"/>
      <c r="F9" s="101" t="s">
        <v>118</v>
      </c>
      <c r="G9" s="90" t="s">
        <v>16</v>
      </c>
      <c r="H9" s="90" t="s">
        <v>293</v>
      </c>
    </row>
    <row r="10" spans="1:10" ht="21.75">
      <c r="A10" s="66" t="s">
        <v>107</v>
      </c>
      <c r="B10" s="62">
        <f>D10/DADOS_INICIAIS!E36</f>
        <v>0.13079222720478326</v>
      </c>
      <c r="C10" s="62" t="s">
        <v>108</v>
      </c>
      <c r="D10" s="67">
        <f>D11+D13</f>
        <v>273</v>
      </c>
      <c r="E10" s="67" t="s">
        <v>3</v>
      </c>
      <c r="F10" s="92"/>
      <c r="G10" s="93"/>
      <c r="H10" s="67" t="s">
        <v>338</v>
      </c>
    </row>
    <row r="11" spans="1:10" ht="21.75">
      <c r="A11" s="325" t="s">
        <v>518</v>
      </c>
      <c r="B11" s="76">
        <f>D11/D10</f>
        <v>0.84615384615384615</v>
      </c>
      <c r="C11" s="62"/>
      <c r="D11" s="67">
        <v>231</v>
      </c>
      <c r="E11" s="67" t="s">
        <v>3</v>
      </c>
      <c r="F11" s="92"/>
      <c r="G11" s="93"/>
      <c r="H11" s="67"/>
    </row>
    <row r="12" spans="1:10" ht="21.75">
      <c r="A12" s="326"/>
      <c r="B12" s="77">
        <f>D12/D11</f>
        <v>12.311688311688311</v>
      </c>
      <c r="C12" s="62" t="s">
        <v>163</v>
      </c>
      <c r="D12" s="67">
        <v>2844</v>
      </c>
      <c r="E12" s="67" t="s">
        <v>4</v>
      </c>
      <c r="F12" s="212">
        <f>F8*1.3</f>
        <v>205.59500000000003</v>
      </c>
      <c r="G12" s="89">
        <f>F12*D12*1.1</f>
        <v>643183.39800000016</v>
      </c>
      <c r="H12" s="67"/>
    </row>
    <row r="13" spans="1:10" ht="21.75">
      <c r="A13" s="325" t="s">
        <v>517</v>
      </c>
      <c r="B13" s="76">
        <f>D13/D12</f>
        <v>1.4767932489451477E-2</v>
      </c>
      <c r="C13" s="62"/>
      <c r="D13" s="67">
        <v>42</v>
      </c>
      <c r="E13" s="67" t="s">
        <v>3</v>
      </c>
      <c r="F13" s="92"/>
      <c r="G13" s="93"/>
      <c r="H13" s="67"/>
    </row>
    <row r="14" spans="1:10" ht="21.75">
      <c r="A14" s="326"/>
      <c r="B14" s="77">
        <f>D14/D13</f>
        <v>12.428571428571429</v>
      </c>
      <c r="C14" s="62" t="s">
        <v>163</v>
      </c>
      <c r="D14" s="67">
        <v>522</v>
      </c>
      <c r="E14" s="67" t="s">
        <v>4</v>
      </c>
      <c r="F14" s="212">
        <v>158.15</v>
      </c>
      <c r="G14" s="89">
        <f>F14*D14*1.1</f>
        <v>90809.73000000001</v>
      </c>
      <c r="H14" s="67"/>
    </row>
    <row r="15" spans="1:10" ht="21.75">
      <c r="A15" s="66" t="s">
        <v>353</v>
      </c>
      <c r="B15" s="62">
        <v>1.1000000000000001</v>
      </c>
      <c r="C15" s="62" t="s">
        <v>308</v>
      </c>
      <c r="D15" s="67"/>
      <c r="E15" s="67" t="s">
        <v>22</v>
      </c>
      <c r="F15" s="212">
        <f>510+44</f>
        <v>554</v>
      </c>
      <c r="G15" s="89">
        <f>F15*D15*B15*1.1</f>
        <v>0</v>
      </c>
      <c r="H15" s="67"/>
    </row>
    <row r="16" spans="1:10" ht="21.75">
      <c r="A16" s="66" t="s">
        <v>337</v>
      </c>
      <c r="B16" s="62"/>
      <c r="C16" s="62" t="s">
        <v>34</v>
      </c>
      <c r="D16" s="67"/>
      <c r="E16" s="67" t="s">
        <v>26</v>
      </c>
      <c r="F16" s="88">
        <v>7.62</v>
      </c>
      <c r="G16" s="89">
        <f>F16*D16*1.1</f>
        <v>0</v>
      </c>
      <c r="H16" s="67"/>
    </row>
    <row r="17" spans="1:8" ht="21.75">
      <c r="A17" s="66" t="s">
        <v>109</v>
      </c>
      <c r="B17" s="62">
        <v>1</v>
      </c>
      <c r="C17" s="62" t="s">
        <v>27</v>
      </c>
      <c r="D17" s="67">
        <v>1</v>
      </c>
      <c r="E17" s="67" t="s">
        <v>27</v>
      </c>
      <c r="F17" s="88">
        <v>14500</v>
      </c>
      <c r="G17" s="89">
        <f>F17*D17*1.1</f>
        <v>15950.000000000002</v>
      </c>
      <c r="H17" s="67"/>
    </row>
    <row r="18" spans="1:8" ht="21.75">
      <c r="A18" s="66" t="s">
        <v>295</v>
      </c>
      <c r="B18" s="62"/>
      <c r="C18" s="62"/>
      <c r="D18" s="67"/>
      <c r="E18" s="67" t="s">
        <v>3</v>
      </c>
      <c r="F18" s="88">
        <v>300</v>
      </c>
      <c r="G18" s="89">
        <f>F18*D18*1</f>
        <v>0</v>
      </c>
      <c r="H18" s="67"/>
    </row>
    <row r="19" spans="1:8" ht="21.75">
      <c r="A19" s="318" t="s">
        <v>17</v>
      </c>
      <c r="B19" s="318"/>
      <c r="C19" s="318"/>
      <c r="D19" s="318"/>
      <c r="E19" s="318"/>
      <c r="F19" s="318"/>
      <c r="G19" s="90">
        <f>SUM(G10:G18)</f>
        <v>749943.12800000014</v>
      </c>
      <c r="H19" s="90"/>
    </row>
    <row r="20" spans="1:8">
      <c r="G20" s="94">
        <f>G19/(D12+D14)</f>
        <v>222.7995032679739</v>
      </c>
    </row>
    <row r="21" spans="1:8" ht="21.75">
      <c r="A21" s="52" t="s">
        <v>110</v>
      </c>
      <c r="B21" s="52"/>
      <c r="C21" s="52"/>
      <c r="D21" s="53"/>
      <c r="E21" s="53"/>
      <c r="F21" s="98"/>
      <c r="G21" s="98"/>
      <c r="H21" s="98"/>
    </row>
    <row r="22" spans="1:8" ht="21.75">
      <c r="A22" s="56"/>
      <c r="B22" s="56"/>
      <c r="C22" s="56"/>
      <c r="D22" s="57"/>
      <c r="E22" s="57"/>
      <c r="F22" s="99"/>
      <c r="G22" s="100"/>
      <c r="H22" s="100"/>
    </row>
    <row r="23" spans="1:8" ht="21.75">
      <c r="A23" s="63" t="s">
        <v>14</v>
      </c>
      <c r="B23" s="323" t="s">
        <v>5</v>
      </c>
      <c r="C23" s="324"/>
      <c r="D23" s="323" t="s">
        <v>18</v>
      </c>
      <c r="E23" s="324"/>
      <c r="F23" s="101" t="s">
        <v>118</v>
      </c>
      <c r="G23" s="90" t="s">
        <v>16</v>
      </c>
      <c r="H23" s="90" t="s">
        <v>293</v>
      </c>
    </row>
    <row r="24" spans="1:8" ht="43.5">
      <c r="A24" s="66" t="s">
        <v>111</v>
      </c>
      <c r="B24" s="62">
        <f>D24/DADOS_INICIAIS!E36</f>
        <v>1.0214489670767697</v>
      </c>
      <c r="C24" s="62" t="s">
        <v>113</v>
      </c>
      <c r="D24" s="67">
        <f>371.23+345.11+222.65+40.45+1152.61</f>
        <v>2132.0500000000002</v>
      </c>
      <c r="E24" s="67" t="s">
        <v>2</v>
      </c>
      <c r="F24" s="88">
        <v>68</v>
      </c>
      <c r="G24" s="89">
        <f>F24*D24*1.1</f>
        <v>159477.34000000003</v>
      </c>
      <c r="H24" s="67"/>
    </row>
    <row r="25" spans="1:8" ht="21.75">
      <c r="A25" s="66" t="s">
        <v>294</v>
      </c>
      <c r="B25" s="62">
        <f>D25/DADOS_INICIAIS!E36</f>
        <v>0.29876681614349776</v>
      </c>
      <c r="C25" s="62" t="s">
        <v>112</v>
      </c>
      <c r="D25" s="67">
        <f>150.8+26.52+19.92+299.54+8.28+118.55</f>
        <v>623.61</v>
      </c>
      <c r="E25" s="67" t="s">
        <v>22</v>
      </c>
      <c r="F25" s="212">
        <f>514+44</f>
        <v>558</v>
      </c>
      <c r="G25" s="89">
        <f>F25*D25*1.05*1.1</f>
        <v>401910.4089000001</v>
      </c>
      <c r="H25" s="67"/>
    </row>
    <row r="26" spans="1:8" ht="21.75">
      <c r="A26" s="66" t="s">
        <v>23</v>
      </c>
      <c r="B26" s="62">
        <v>60</v>
      </c>
      <c r="C26" s="62" t="s">
        <v>34</v>
      </c>
      <c r="D26" s="67">
        <f>B26*D25</f>
        <v>37416.6</v>
      </c>
      <c r="E26" s="67" t="s">
        <v>26</v>
      </c>
      <c r="F26" s="88">
        <v>7.62</v>
      </c>
      <c r="G26" s="89">
        <f>F26*D26*1.1</f>
        <v>313625.9412</v>
      </c>
      <c r="H26" s="67"/>
    </row>
    <row r="27" spans="1:8" ht="21.75">
      <c r="A27" s="66" t="s">
        <v>25</v>
      </c>
      <c r="B27" s="62">
        <f>SUPRAESTRUTURA!B15*1.5</f>
        <v>315</v>
      </c>
      <c r="C27" s="62" t="s">
        <v>102</v>
      </c>
      <c r="D27" s="67">
        <f>DADOS_INICIAIS!E10</f>
        <v>1662.34</v>
      </c>
      <c r="E27" s="67" t="s">
        <v>2</v>
      </c>
      <c r="F27" s="88">
        <f>B27</f>
        <v>315</v>
      </c>
      <c r="G27" s="89">
        <f>F27*D27*1.1</f>
        <v>576000.81000000006</v>
      </c>
      <c r="H27" s="67"/>
    </row>
    <row r="28" spans="1:8" ht="21.75">
      <c r="A28" s="318" t="s">
        <v>17</v>
      </c>
      <c r="B28" s="318"/>
      <c r="C28" s="318"/>
      <c r="D28" s="318"/>
      <c r="E28" s="318"/>
      <c r="F28" s="318"/>
      <c r="G28" s="90">
        <f>SUM(G24:G27)</f>
        <v>1451014.5001000003</v>
      </c>
      <c r="H28" s="90"/>
    </row>
    <row r="30" spans="1:8">
      <c r="D30" s="86"/>
      <c r="E30" s="87"/>
    </row>
    <row r="31" spans="1:8" ht="21.75">
      <c r="A31" s="328" t="s">
        <v>104</v>
      </c>
      <c r="B31" s="329"/>
      <c r="C31" s="329"/>
      <c r="D31" s="329"/>
      <c r="E31" s="329"/>
      <c r="F31" s="330"/>
      <c r="G31" s="91">
        <f>G28+G19</f>
        <v>2200957.6281000003</v>
      </c>
      <c r="H31" s="91">
        <f>G31/DADOS_INICIAIS!E9</f>
        <v>363.84456513868855</v>
      </c>
    </row>
  </sheetData>
  <mergeCells count="10">
    <mergeCell ref="A19:F19"/>
    <mergeCell ref="B23:C23"/>
    <mergeCell ref="D23:E23"/>
    <mergeCell ref="A28:F28"/>
    <mergeCell ref="A31:F31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35"/>
  <sheetViews>
    <sheetView showGridLines="0" topLeftCell="A5" zoomScale="80" zoomScaleNormal="80" zoomScaleSheetLayoutView="95" workbookViewId="0">
      <selection activeCell="B17" sqref="B17"/>
    </sheetView>
  </sheetViews>
  <sheetFormatPr defaultColWidth="9.140625" defaultRowHeight="1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9.57031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95"/>
      <c r="I1" s="80"/>
      <c r="J1" s="79"/>
    </row>
    <row r="3" spans="1:10" ht="28.5">
      <c r="A3" s="319" t="s">
        <v>122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45756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279" t="s">
        <v>521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213"/>
      <c r="F6" s="96"/>
      <c r="G6" s="97"/>
      <c r="H6" s="97"/>
      <c r="J6" s="79"/>
    </row>
    <row r="7" spans="1:10" ht="21.7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>
      <c r="A8" s="56"/>
      <c r="B8" s="56"/>
      <c r="C8" s="56"/>
      <c r="D8" s="57"/>
      <c r="E8" s="57"/>
      <c r="F8" s="99"/>
      <c r="G8" s="100"/>
      <c r="H8" s="100"/>
    </row>
    <row r="9" spans="1:10" ht="21.75">
      <c r="A9" s="63" t="s">
        <v>14</v>
      </c>
      <c r="B9" s="323" t="s">
        <v>5</v>
      </c>
      <c r="C9" s="324"/>
      <c r="D9" s="323" t="s">
        <v>18</v>
      </c>
      <c r="E9" s="324"/>
      <c r="F9" s="101" t="s">
        <v>118</v>
      </c>
      <c r="G9" s="90" t="s">
        <v>16</v>
      </c>
      <c r="H9" s="90" t="s">
        <v>293</v>
      </c>
    </row>
    <row r="10" spans="1:10" ht="21.75">
      <c r="A10" s="66" t="s">
        <v>107</v>
      </c>
      <c r="B10" s="62">
        <f>D10/DADOS_INICIAIS!E36</f>
        <v>0.17151508182898315</v>
      </c>
      <c r="C10" s="62" t="s">
        <v>108</v>
      </c>
      <c r="D10" s="67">
        <f>D11+D13+D15+D17</f>
        <v>358</v>
      </c>
      <c r="E10" s="67" t="s">
        <v>3</v>
      </c>
      <c r="F10" s="92"/>
      <c r="G10" s="93"/>
      <c r="H10" s="67" t="s">
        <v>338</v>
      </c>
    </row>
    <row r="11" spans="1:10" ht="21.75">
      <c r="A11" s="325" t="s">
        <v>517</v>
      </c>
      <c r="B11" s="76">
        <f>D11/D10</f>
        <v>0.12569832402234637</v>
      </c>
      <c r="C11" s="62"/>
      <c r="D11" s="67">
        <v>45</v>
      </c>
      <c r="E11" s="67" t="s">
        <v>3</v>
      </c>
      <c r="F11" s="92"/>
      <c r="G11" s="93"/>
      <c r="H11" s="67"/>
    </row>
    <row r="12" spans="1:10" ht="21.75">
      <c r="A12" s="326"/>
      <c r="B12" s="77">
        <v>15</v>
      </c>
      <c r="C12" s="62" t="s">
        <v>163</v>
      </c>
      <c r="D12" s="67">
        <f>B12*D11</f>
        <v>675</v>
      </c>
      <c r="E12" s="67" t="s">
        <v>4</v>
      </c>
      <c r="F12" s="212">
        <v>158.15</v>
      </c>
      <c r="G12" s="89">
        <f>F12*D12*1.1</f>
        <v>117426.37500000001</v>
      </c>
      <c r="H12" s="67"/>
    </row>
    <row r="13" spans="1:10" ht="21.75">
      <c r="A13" s="325" t="s">
        <v>518</v>
      </c>
      <c r="B13" s="76">
        <f>D13/D10</f>
        <v>0.2988826815642458</v>
      </c>
      <c r="C13" s="62"/>
      <c r="D13" s="67">
        <v>107</v>
      </c>
      <c r="E13" s="67" t="s">
        <v>3</v>
      </c>
      <c r="F13" s="92"/>
      <c r="G13" s="93"/>
      <c r="H13" s="67"/>
    </row>
    <row r="14" spans="1:10" ht="21.75">
      <c r="A14" s="326"/>
      <c r="B14" s="77">
        <v>15</v>
      </c>
      <c r="C14" s="62" t="s">
        <v>163</v>
      </c>
      <c r="D14" s="67">
        <f>B14*D13</f>
        <v>1605</v>
      </c>
      <c r="E14" s="67" t="s">
        <v>4</v>
      </c>
      <c r="F14" s="212">
        <f>F12*1.3</f>
        <v>205.59500000000003</v>
      </c>
      <c r="G14" s="89">
        <f>F14*D14*1.1</f>
        <v>362977.97250000009</v>
      </c>
      <c r="H14" s="67"/>
    </row>
    <row r="15" spans="1:10" ht="21.75">
      <c r="A15" s="325" t="s">
        <v>519</v>
      </c>
      <c r="B15" s="76">
        <f>D15/D12</f>
        <v>0.28444444444444444</v>
      </c>
      <c r="C15" s="62"/>
      <c r="D15" s="67">
        <f>206-D17</f>
        <v>192</v>
      </c>
      <c r="E15" s="67" t="s">
        <v>3</v>
      </c>
      <c r="F15" s="92"/>
      <c r="G15" s="93"/>
      <c r="H15" s="67"/>
    </row>
    <row r="16" spans="1:10" ht="21.75">
      <c r="A16" s="326"/>
      <c r="B16" s="77">
        <v>15</v>
      </c>
      <c r="C16" s="62" t="s">
        <v>163</v>
      </c>
      <c r="D16" s="67">
        <f>B16*D15</f>
        <v>2880</v>
      </c>
      <c r="E16" s="67" t="s">
        <v>4</v>
      </c>
      <c r="F16" s="212">
        <f>356.72*1.15</f>
        <v>410.22800000000001</v>
      </c>
      <c r="G16" s="89">
        <f>F16*D16*1.1</f>
        <v>1299602.3040000002</v>
      </c>
      <c r="H16" s="67"/>
    </row>
    <row r="17" spans="1:8" ht="21.75">
      <c r="A17" s="325" t="s">
        <v>520</v>
      </c>
      <c r="B17" s="76">
        <f>D17/D14</f>
        <v>8.7227414330218068E-3</v>
      </c>
      <c r="C17" s="62"/>
      <c r="D17" s="67">
        <f>14</f>
        <v>14</v>
      </c>
      <c r="E17" s="67" t="s">
        <v>3</v>
      </c>
      <c r="F17" s="92"/>
      <c r="G17" s="93"/>
      <c r="H17" s="67"/>
    </row>
    <row r="18" spans="1:8" ht="21.75">
      <c r="A18" s="326"/>
      <c r="B18" s="77">
        <v>8</v>
      </c>
      <c r="C18" s="62" t="s">
        <v>163</v>
      </c>
      <c r="D18" s="67">
        <f>B18*D17</f>
        <v>112</v>
      </c>
      <c r="E18" s="67" t="s">
        <v>4</v>
      </c>
      <c r="F18" s="212">
        <f>356.72*1.15</f>
        <v>410.22800000000001</v>
      </c>
      <c r="G18" s="89">
        <f>F18*D18*1.1</f>
        <v>50540.089600000007</v>
      </c>
      <c r="H18" s="67"/>
    </row>
    <row r="19" spans="1:8" ht="21.75">
      <c r="A19" s="66" t="s">
        <v>353</v>
      </c>
      <c r="B19" s="62">
        <v>1.1000000000000001</v>
      </c>
      <c r="C19" s="62" t="s">
        <v>308</v>
      </c>
      <c r="D19" s="67"/>
      <c r="E19" s="67" t="s">
        <v>22</v>
      </c>
      <c r="F19" s="212">
        <f>510+44</f>
        <v>554</v>
      </c>
      <c r="G19" s="89">
        <f>F19*D19*B19*1.1</f>
        <v>0</v>
      </c>
      <c r="H19" s="67"/>
    </row>
    <row r="20" spans="1:8" ht="21.75">
      <c r="A20" s="66" t="s">
        <v>337</v>
      </c>
      <c r="B20" s="62"/>
      <c r="C20" s="62" t="s">
        <v>34</v>
      </c>
      <c r="D20" s="67"/>
      <c r="E20" s="67" t="s">
        <v>26</v>
      </c>
      <c r="F20" s="88">
        <v>7.62</v>
      </c>
      <c r="G20" s="89">
        <f>F20*D20*1.1</f>
        <v>0</v>
      </c>
      <c r="H20" s="67"/>
    </row>
    <row r="21" spans="1:8" ht="21.7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14500</v>
      </c>
      <c r="G21" s="89">
        <f>F21*D21*1.1</f>
        <v>15950.000000000002</v>
      </c>
      <c r="H21" s="67"/>
    </row>
    <row r="22" spans="1:8" ht="21.75">
      <c r="A22" s="66" t="s">
        <v>295</v>
      </c>
      <c r="B22" s="62"/>
      <c r="C22" s="62"/>
      <c r="D22" s="67"/>
      <c r="E22" s="67" t="s">
        <v>3</v>
      </c>
      <c r="F22" s="88">
        <v>300</v>
      </c>
      <c r="G22" s="89">
        <f>F22*D22*1</f>
        <v>0</v>
      </c>
      <c r="H22" s="67"/>
    </row>
    <row r="23" spans="1:8" ht="21.75">
      <c r="A23" s="318" t="s">
        <v>17</v>
      </c>
      <c r="B23" s="318"/>
      <c r="C23" s="318"/>
      <c r="D23" s="318"/>
      <c r="E23" s="318"/>
      <c r="F23" s="318"/>
      <c r="G23" s="90">
        <f>SUM(G10:G22)</f>
        <v>1846496.7411000005</v>
      </c>
      <c r="H23" s="90"/>
    </row>
    <row r="24" spans="1:8">
      <c r="G24" s="94">
        <f>G23/(D12+D14+D16+D18)</f>
        <v>350.2459675834599</v>
      </c>
    </row>
    <row r="25" spans="1:8" ht="21.7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>
      <c r="A26" s="56"/>
      <c r="B26" s="56"/>
      <c r="C26" s="56"/>
      <c r="D26" s="57"/>
      <c r="E26" s="57"/>
      <c r="F26" s="99"/>
      <c r="G26" s="100"/>
      <c r="H26" s="100"/>
    </row>
    <row r="27" spans="1:8" ht="21.75">
      <c r="A27" s="63" t="s">
        <v>14</v>
      </c>
      <c r="B27" s="323" t="s">
        <v>5</v>
      </c>
      <c r="C27" s="324"/>
      <c r="D27" s="323" t="s">
        <v>18</v>
      </c>
      <c r="E27" s="324"/>
      <c r="F27" s="101" t="s">
        <v>118</v>
      </c>
      <c r="G27" s="90" t="s">
        <v>16</v>
      </c>
      <c r="H27" s="90" t="s">
        <v>293</v>
      </c>
    </row>
    <row r="28" spans="1:8" ht="43.5">
      <c r="A28" s="66" t="s">
        <v>111</v>
      </c>
      <c r="B28" s="62">
        <f>D28/DADOS_INICIAIS!E36</f>
        <v>1.0214489670767697</v>
      </c>
      <c r="C28" s="62" t="s">
        <v>113</v>
      </c>
      <c r="D28" s="67">
        <f>371.23+345.11+222.65+40.45+1152.61</f>
        <v>2132.0500000000002</v>
      </c>
      <c r="E28" s="67" t="s">
        <v>2</v>
      </c>
      <c r="F28" s="88">
        <v>68</v>
      </c>
      <c r="G28" s="89">
        <f>F28*D28*1.1</f>
        <v>159477.34000000003</v>
      </c>
      <c r="H28" s="67"/>
    </row>
    <row r="29" spans="1:8" ht="21.75">
      <c r="A29" s="66" t="s">
        <v>294</v>
      </c>
      <c r="B29" s="62">
        <f>D29/DADOS_INICIAIS!E36</f>
        <v>0.29876681614349776</v>
      </c>
      <c r="C29" s="62" t="s">
        <v>112</v>
      </c>
      <c r="D29" s="67">
        <f>150.8+26.52+19.92+299.54+8.28+118.55</f>
        <v>623.61</v>
      </c>
      <c r="E29" s="67" t="s">
        <v>22</v>
      </c>
      <c r="F29" s="212">
        <f>514+44</f>
        <v>558</v>
      </c>
      <c r="G29" s="89">
        <f>F29*D29*1.05*1.1</f>
        <v>401910.4089000001</v>
      </c>
      <c r="H29" s="67"/>
    </row>
    <row r="30" spans="1:8" ht="21.75">
      <c r="A30" s="66" t="s">
        <v>23</v>
      </c>
      <c r="B30" s="62">
        <v>60</v>
      </c>
      <c r="C30" s="62" t="s">
        <v>34</v>
      </c>
      <c r="D30" s="67">
        <f>B30*D29</f>
        <v>37416.6</v>
      </c>
      <c r="E30" s="67" t="s">
        <v>26</v>
      </c>
      <c r="F30" s="88">
        <v>7.62</v>
      </c>
      <c r="G30" s="89">
        <f>F30*D30*1.1</f>
        <v>313625.9412</v>
      </c>
      <c r="H30" s="67"/>
    </row>
    <row r="31" spans="1:8" ht="21.75">
      <c r="A31" s="66" t="s">
        <v>25</v>
      </c>
      <c r="B31" s="62">
        <f>SUPRAESTRUTURA!B15*1.5</f>
        <v>315</v>
      </c>
      <c r="C31" s="62" t="s">
        <v>102</v>
      </c>
      <c r="D31" s="67">
        <f>DADOS_INICIAIS!E10</f>
        <v>1662.34</v>
      </c>
      <c r="E31" s="67" t="s">
        <v>2</v>
      </c>
      <c r="F31" s="88">
        <f>B31</f>
        <v>315</v>
      </c>
      <c r="G31" s="89">
        <f>F31*D31*1.1</f>
        <v>576000.81000000006</v>
      </c>
      <c r="H31" s="67"/>
    </row>
    <row r="32" spans="1:8" ht="21.75">
      <c r="A32" s="318" t="s">
        <v>17</v>
      </c>
      <c r="B32" s="318"/>
      <c r="C32" s="318"/>
      <c r="D32" s="318"/>
      <c r="E32" s="318"/>
      <c r="F32" s="318"/>
      <c r="G32" s="90">
        <f>SUM(G28:G31)</f>
        <v>1451014.5001000003</v>
      </c>
      <c r="H32" s="90"/>
    </row>
    <row r="34" spans="1:8">
      <c r="D34" s="86"/>
      <c r="E34" s="87"/>
    </row>
    <row r="35" spans="1:8" ht="21.75">
      <c r="A35" s="328" t="s">
        <v>104</v>
      </c>
      <c r="B35" s="329"/>
      <c r="C35" s="329"/>
      <c r="D35" s="329"/>
      <c r="E35" s="329"/>
      <c r="F35" s="330"/>
      <c r="G35" s="91">
        <f>G32+G23</f>
        <v>3297511.241200001</v>
      </c>
      <c r="H35" s="91">
        <f>G35/DADOS_INICIAIS!E9</f>
        <v>545.1179651423256</v>
      </c>
    </row>
  </sheetData>
  <mergeCells count="12">
    <mergeCell ref="A32:F32"/>
    <mergeCell ref="A35:F35"/>
    <mergeCell ref="A3:H3"/>
    <mergeCell ref="A23:F23"/>
    <mergeCell ref="D9:E9"/>
    <mergeCell ref="B9:C9"/>
    <mergeCell ref="A11:A12"/>
    <mergeCell ref="B27:C27"/>
    <mergeCell ref="D27:E27"/>
    <mergeCell ref="A13:A14"/>
    <mergeCell ref="A15:A16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74"/>
  <sheetViews>
    <sheetView showGridLines="0" topLeftCell="A5" zoomScale="80" zoomScaleNormal="80" zoomScaleSheetLayoutView="95" workbookViewId="0">
      <selection activeCell="B75" sqref="B75"/>
    </sheetView>
  </sheetViews>
  <sheetFormatPr defaultColWidth="9.140625" defaultRowHeight="1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28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45756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300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29</v>
      </c>
      <c r="B10" s="62">
        <v>2</v>
      </c>
      <c r="C10" s="62" t="s">
        <v>299</v>
      </c>
      <c r="D10" s="67">
        <f>(D11/DADOS_INICIAIS!E26)*B10</f>
        <v>4551.5239999999994</v>
      </c>
      <c r="E10" s="67" t="s">
        <v>2</v>
      </c>
      <c r="F10" s="88">
        <v>110</v>
      </c>
      <c r="G10" s="89">
        <f>F10*D10*1.1</f>
        <v>550734.40399999998</v>
      </c>
      <c r="H10" s="67"/>
    </row>
    <row r="11" spans="1:10" ht="21.75">
      <c r="A11" s="78" t="s">
        <v>30</v>
      </c>
      <c r="B11" s="62">
        <v>2.5</v>
      </c>
      <c r="C11" s="62" t="s">
        <v>37</v>
      </c>
      <c r="D11" s="67">
        <f>6.88+15.94+8.6+141.97+161.2+157.87+744.64+181.2+508.58+25.53+893.38+216.42+267.92+25.53+1072.41+245.8+431.37+112.73+823.2+350.74+487.68+325.65+57.98+2204.14+688.53+1222.92</f>
        <v>11378.81</v>
      </c>
      <c r="E11" s="67" t="s">
        <v>2</v>
      </c>
      <c r="F11" s="88">
        <v>2.5</v>
      </c>
      <c r="G11" s="89">
        <f>F11*D11*1.1</f>
        <v>31291.727500000001</v>
      </c>
      <c r="H11" s="67" t="s">
        <v>419</v>
      </c>
    </row>
    <row r="12" spans="1:10" ht="21.75">
      <c r="A12" s="78" t="s">
        <v>310</v>
      </c>
      <c r="B12" s="62">
        <v>4</v>
      </c>
      <c r="C12" s="62" t="s">
        <v>165</v>
      </c>
      <c r="D12" s="67">
        <f>ROUNDUP(B12*DADOS_INICIAIS!E12*B10,0)</f>
        <v>6755</v>
      </c>
      <c r="E12" s="67" t="s">
        <v>3</v>
      </c>
      <c r="F12" s="88">
        <f>17</f>
        <v>17</v>
      </c>
      <c r="G12" s="89">
        <f>F12*D12*1.1</f>
        <v>126318.50000000001</v>
      </c>
      <c r="H12" s="67"/>
      <c r="I12" s="198"/>
    </row>
    <row r="13" spans="1:10" ht="21.75">
      <c r="A13" s="66" t="s">
        <v>99</v>
      </c>
      <c r="B13" s="62">
        <v>0.2</v>
      </c>
      <c r="C13" s="62" t="s">
        <v>38</v>
      </c>
      <c r="D13" s="67">
        <f>0.63+0.93+1.24+16.42+11.16+16.66+172.03+19.64+65.34+2.55+228.39+21.45+30.21+2.55+241.94+25.64+50.84+11.27+184.98+37.51+62.06+34.91+5.8+341.53+78.12+145.22</f>
        <v>1809.0200000000002</v>
      </c>
      <c r="E13" s="67" t="s">
        <v>22</v>
      </c>
      <c r="F13" s="212">
        <f>514+44</f>
        <v>558</v>
      </c>
      <c r="G13" s="89">
        <f>F13*D13*1.05*1.1</f>
        <v>1165895.2998000004</v>
      </c>
      <c r="H13" s="67" t="s">
        <v>419</v>
      </c>
    </row>
    <row r="14" spans="1:10" ht="21.75">
      <c r="A14" s="66" t="s">
        <v>31</v>
      </c>
      <c r="B14" s="62">
        <v>90</v>
      </c>
      <c r="C14" s="62" t="s">
        <v>34</v>
      </c>
      <c r="D14" s="67">
        <f>D13*B14</f>
        <v>162811.80000000002</v>
      </c>
      <c r="E14" s="67" t="s">
        <v>26</v>
      </c>
      <c r="F14" s="88">
        <v>7.62</v>
      </c>
      <c r="G14" s="89">
        <f>F14*D14*1.1</f>
        <v>1364688.5076000004</v>
      </c>
      <c r="H14" s="67"/>
    </row>
    <row r="15" spans="1:10" ht="43.5">
      <c r="A15" s="66" t="s">
        <v>101</v>
      </c>
      <c r="B15" s="62">
        <v>210</v>
      </c>
      <c r="C15" s="62" t="s">
        <v>6</v>
      </c>
      <c r="D15" s="67">
        <f>DADOS_INICIAIS!E9</f>
        <v>6049.1699999999992</v>
      </c>
      <c r="E15" s="67" t="s">
        <v>2</v>
      </c>
      <c r="F15" s="88">
        <v>210</v>
      </c>
      <c r="G15" s="89">
        <f>F15*D15*1.1</f>
        <v>1397358.2699999998</v>
      </c>
      <c r="H15" s="67"/>
    </row>
    <row r="16" spans="1:10" ht="43.5">
      <c r="A16" s="66" t="s">
        <v>296</v>
      </c>
      <c r="B16" s="62">
        <v>1500</v>
      </c>
      <c r="C16" s="62" t="s">
        <v>297</v>
      </c>
      <c r="D16" s="67">
        <v>1</v>
      </c>
      <c r="E16" s="67" t="s">
        <v>27</v>
      </c>
      <c r="F16" s="88">
        <f>B16*DADOS_INICIAIS!E26</f>
        <v>7500</v>
      </c>
      <c r="G16" s="89">
        <f>F16*D16*1.1</f>
        <v>8250</v>
      </c>
      <c r="H16" s="67" t="s">
        <v>298</v>
      </c>
      <c r="I16" s="55" t="s">
        <v>302</v>
      </c>
    </row>
    <row r="17" spans="1:12" ht="21.75">
      <c r="A17" s="318" t="s">
        <v>17</v>
      </c>
      <c r="B17" s="318"/>
      <c r="C17" s="318"/>
      <c r="D17" s="318"/>
      <c r="E17" s="318"/>
      <c r="F17" s="318"/>
      <c r="G17" s="90">
        <f>SUM(G10:G16)</f>
        <v>4644536.7089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hidden="1">
      <c r="A19" s="52" t="s">
        <v>352</v>
      </c>
      <c r="B19" s="52"/>
      <c r="C19" s="52"/>
      <c r="D19" s="53"/>
      <c r="E19" s="53"/>
      <c r="F19" s="54"/>
      <c r="G19" s="53"/>
      <c r="H19" s="53"/>
    </row>
    <row r="20" spans="1:12" ht="21.75" hidden="1">
      <c r="A20" s="56"/>
      <c r="B20" s="56"/>
      <c r="C20" s="56"/>
      <c r="D20" s="57"/>
      <c r="E20" s="57"/>
      <c r="F20" s="58"/>
      <c r="G20" s="59"/>
      <c r="H20" s="59"/>
    </row>
    <row r="21" spans="1:12" ht="21.75" hidden="1">
      <c r="A21" s="63" t="s">
        <v>14</v>
      </c>
      <c r="B21" s="323" t="s">
        <v>5</v>
      </c>
      <c r="C21" s="324"/>
      <c r="D21" s="323" t="s">
        <v>18</v>
      </c>
      <c r="E21" s="324"/>
      <c r="F21" s="65" t="s">
        <v>118</v>
      </c>
      <c r="G21" s="71" t="s">
        <v>16</v>
      </c>
      <c r="H21" s="90" t="s">
        <v>293</v>
      </c>
    </row>
    <row r="22" spans="1:12" ht="21.75" hidden="1">
      <c r="A22" s="66" t="s">
        <v>29</v>
      </c>
      <c r="B22" s="62">
        <v>2</v>
      </c>
      <c r="C22" s="62" t="s">
        <v>299</v>
      </c>
      <c r="D22" s="67">
        <f>(D23/DADOS_INICIAIS!$G$26)*B22</f>
        <v>4133.9175000000005</v>
      </c>
      <c r="E22" s="67" t="s">
        <v>2</v>
      </c>
      <c r="F22" s="88">
        <v>110</v>
      </c>
      <c r="G22" s="89">
        <f>F22*D22*1.1</f>
        <v>500204.01750000007</v>
      </c>
      <c r="H22" s="67"/>
    </row>
    <row r="23" spans="1:12" ht="21.75" hidden="1">
      <c r="A23" s="78" t="s">
        <v>30</v>
      </c>
      <c r="B23" s="62">
        <v>2.1</v>
      </c>
      <c r="C23" s="62" t="s">
        <v>37</v>
      </c>
      <c r="D23" s="67">
        <f>B23*DADOS_INICIAIS!$G$9</f>
        <v>57874.845000000008</v>
      </c>
      <c r="E23" s="67" t="s">
        <v>2</v>
      </c>
      <c r="F23" s="88">
        <v>2.5</v>
      </c>
      <c r="G23" s="89">
        <f>F23*D23*1.1</f>
        <v>159155.82375000004</v>
      </c>
      <c r="H23" s="67"/>
    </row>
    <row r="24" spans="1:12" ht="21.75" hidden="1">
      <c r="A24" s="78" t="s">
        <v>310</v>
      </c>
      <c r="B24" s="62">
        <v>3</v>
      </c>
      <c r="C24" s="62" t="s">
        <v>164</v>
      </c>
      <c r="D24" s="67">
        <f>ROUNDUP(B24*DADOS_INICIAIS!$G$36*B22,0)</f>
        <v>26718</v>
      </c>
      <c r="E24" s="67" t="s">
        <v>3</v>
      </c>
      <c r="F24" s="88">
        <f>17</f>
        <v>17</v>
      </c>
      <c r="G24" s="89">
        <f>F24*D24*1.1</f>
        <v>499626.60000000003</v>
      </c>
      <c r="H24" s="67"/>
    </row>
    <row r="25" spans="1:12" ht="21.75" hidden="1">
      <c r="A25" s="66" t="s">
        <v>116</v>
      </c>
      <c r="B25" s="62">
        <v>25</v>
      </c>
      <c r="C25" s="62" t="s">
        <v>6</v>
      </c>
      <c r="D25" s="67">
        <v>1</v>
      </c>
      <c r="E25" s="67" t="s">
        <v>27</v>
      </c>
      <c r="F25" s="88">
        <f>B25*DADOS_INICIAIS!$G$9</f>
        <v>688986.25000000012</v>
      </c>
      <c r="G25" s="89">
        <f>F25*D25*1.1</f>
        <v>757884.87500000023</v>
      </c>
      <c r="H25" s="67"/>
    </row>
    <row r="26" spans="1:12" ht="21.75" hidden="1">
      <c r="A26" s="78" t="s">
        <v>342</v>
      </c>
      <c r="B26" s="203">
        <f>12.3*0.8</f>
        <v>9.8400000000000016</v>
      </c>
      <c r="C26" s="203" t="s">
        <v>340</v>
      </c>
      <c r="D26" s="67">
        <f>(DADOS_INICIAIS!$G$27+DADOS_INICIAIS!$G$28)*DADOS_INICIAIS!$G$30+DADOS_INICIAIS!$G$33</f>
        <v>38974.550000000003</v>
      </c>
      <c r="E26" s="67" t="s">
        <v>2</v>
      </c>
      <c r="F26" s="88">
        <f>B26</f>
        <v>9.8400000000000016</v>
      </c>
      <c r="G26" s="89">
        <f t="shared" ref="G26:G27" si="0">F26*D26*1.1</f>
        <v>421860.52920000016</v>
      </c>
      <c r="H26" s="67"/>
    </row>
    <row r="27" spans="1:12" ht="21.75" hidden="1">
      <c r="A27" s="78" t="s">
        <v>343</v>
      </c>
      <c r="B27" s="203">
        <f>2.83*0.8</f>
        <v>2.2640000000000002</v>
      </c>
      <c r="C27" s="203" t="s">
        <v>341</v>
      </c>
      <c r="D27" s="67">
        <f>B27*D26</f>
        <v>88238.381200000018</v>
      </c>
      <c r="E27" s="67" t="s">
        <v>26</v>
      </c>
      <c r="F27" s="88">
        <v>12.3</v>
      </c>
      <c r="G27" s="89">
        <f t="shared" si="0"/>
        <v>1193865.2976360002</v>
      </c>
      <c r="H27" s="67"/>
    </row>
    <row r="28" spans="1:12" ht="21.75" hidden="1">
      <c r="A28" s="66" t="s">
        <v>344</v>
      </c>
      <c r="B28" s="203">
        <v>9000</v>
      </c>
      <c r="C28" s="203" t="s">
        <v>345</v>
      </c>
      <c r="D28" s="67">
        <f>DADOS_INICIAIS!G26</f>
        <v>28</v>
      </c>
      <c r="E28" s="67" t="s">
        <v>346</v>
      </c>
      <c r="F28" s="88">
        <f>B28</f>
        <v>9000</v>
      </c>
      <c r="G28" s="89">
        <f>F28*D28*1.1</f>
        <v>277200</v>
      </c>
      <c r="H28" s="67"/>
    </row>
    <row r="29" spans="1:12" ht="21.75" hidden="1">
      <c r="A29" s="66" t="s">
        <v>99</v>
      </c>
      <c r="B29" s="62">
        <v>0.18</v>
      </c>
      <c r="C29" s="62" t="s">
        <v>38</v>
      </c>
      <c r="D29" s="67">
        <f>B29*DADOS_INICIAIS!$G$9</f>
        <v>4960.7010000000009</v>
      </c>
      <c r="E29" s="67" t="s">
        <v>22</v>
      </c>
      <c r="F29" s="88">
        <f>535+45</f>
        <v>580</v>
      </c>
      <c r="G29" s="89">
        <f>F29*D29*1.05*1.1</f>
        <v>3323173.5999000012</v>
      </c>
      <c r="H29" s="67"/>
    </row>
    <row r="30" spans="1:12" ht="21.75" hidden="1">
      <c r="A30" s="66" t="s">
        <v>347</v>
      </c>
      <c r="B30" s="76">
        <v>0.2</v>
      </c>
      <c r="C30" s="62"/>
      <c r="D30" s="67">
        <f>B30*D29</f>
        <v>992.14020000000028</v>
      </c>
      <c r="E30" s="67" t="s">
        <v>22</v>
      </c>
      <c r="F30" s="88">
        <f>1.22*F29-F29</f>
        <v>127.60000000000002</v>
      </c>
      <c r="G30" s="89">
        <f>F30*D30*1.05*1.1</f>
        <v>146219.63839560011</v>
      </c>
      <c r="H30" s="67"/>
    </row>
    <row r="31" spans="1:12" ht="21.75" hidden="1">
      <c r="A31" s="66" t="s">
        <v>31</v>
      </c>
      <c r="B31" s="62">
        <v>110</v>
      </c>
      <c r="C31" s="62" t="s">
        <v>34</v>
      </c>
      <c r="D31" s="67">
        <f>D29*B31-D27</f>
        <v>457438.7288000001</v>
      </c>
      <c r="E31" s="67" t="s">
        <v>26</v>
      </c>
      <c r="F31" s="88">
        <v>7.62</v>
      </c>
      <c r="G31" s="89">
        <f>F31*D31*1.1</f>
        <v>3834251.4248016011</v>
      </c>
      <c r="H31" s="67"/>
    </row>
    <row r="32" spans="1:12" ht="43.5" hidden="1">
      <c r="A32" s="66" t="s">
        <v>101</v>
      </c>
      <c r="B32" s="62">
        <v>240</v>
      </c>
      <c r="C32" s="62" t="s">
        <v>6</v>
      </c>
      <c r="D32" s="67">
        <f>DADOS_INICIAIS!$G$9</f>
        <v>27559.450000000004</v>
      </c>
      <c r="E32" s="67" t="s">
        <v>2</v>
      </c>
      <c r="F32" s="88">
        <f>B32</f>
        <v>240</v>
      </c>
      <c r="G32" s="89">
        <f>F32*D32*1.1</f>
        <v>7275694.8000000017</v>
      </c>
      <c r="H32" s="67"/>
    </row>
    <row r="33" spans="1:8" ht="43.5" hidden="1">
      <c r="A33" s="66" t="s">
        <v>296</v>
      </c>
      <c r="B33" s="62">
        <v>5300</v>
      </c>
      <c r="C33" s="62" t="s">
        <v>297</v>
      </c>
      <c r="D33" s="67">
        <v>1</v>
      </c>
      <c r="E33" s="67" t="s">
        <v>27</v>
      </c>
      <c r="F33" s="88">
        <f>B33*DADOS_INICIAIS!$G$26</f>
        <v>148400</v>
      </c>
      <c r="G33" s="89">
        <f>F33*D33*1.1</f>
        <v>163240</v>
      </c>
      <c r="H33" s="67" t="s">
        <v>298</v>
      </c>
    </row>
    <row r="34" spans="1:8" ht="21.75" hidden="1">
      <c r="A34" s="318" t="s">
        <v>17</v>
      </c>
      <c r="B34" s="318"/>
      <c r="C34" s="318"/>
      <c r="D34" s="318"/>
      <c r="E34" s="318"/>
      <c r="F34" s="318"/>
      <c r="G34" s="90">
        <f>SUM(G22:G33)</f>
        <v>18552376.606183205</v>
      </c>
      <c r="H34" s="90"/>
    </row>
    <row r="35" spans="1:8" hidden="1"/>
    <row r="36" spans="1:8" ht="21.75" hidden="1">
      <c r="A36" s="52" t="s">
        <v>301</v>
      </c>
      <c r="B36" s="52"/>
      <c r="C36" s="52"/>
      <c r="D36" s="53"/>
      <c r="E36" s="53"/>
      <c r="F36" s="54"/>
      <c r="G36" s="53"/>
      <c r="H36" s="53"/>
    </row>
    <row r="37" spans="1:8" ht="21.75" hidden="1">
      <c r="A37" s="56"/>
      <c r="B37" s="56"/>
      <c r="C37" s="56"/>
      <c r="D37" s="57"/>
      <c r="E37" s="57"/>
      <c r="F37" s="58"/>
      <c r="G37" s="59"/>
      <c r="H37" s="59"/>
    </row>
    <row r="38" spans="1:8" ht="21.75" hidden="1">
      <c r="A38" s="63" t="s">
        <v>14</v>
      </c>
      <c r="B38" s="323" t="s">
        <v>5</v>
      </c>
      <c r="C38" s="324"/>
      <c r="D38" s="323" t="s">
        <v>18</v>
      </c>
      <c r="E38" s="324"/>
      <c r="F38" s="65" t="s">
        <v>118</v>
      </c>
      <c r="G38" s="71" t="s">
        <v>16</v>
      </c>
      <c r="H38" s="90" t="s">
        <v>293</v>
      </c>
    </row>
    <row r="39" spans="1:8" ht="21.75" hidden="1">
      <c r="A39" s="66" t="s">
        <v>29</v>
      </c>
      <c r="B39" s="197">
        <v>2</v>
      </c>
      <c r="C39" s="197" t="s">
        <v>299</v>
      </c>
      <c r="D39" s="67">
        <f>(D40/DADOS_INICIAIS!$G$26)*B39</f>
        <v>0</v>
      </c>
      <c r="E39" s="67" t="s">
        <v>2</v>
      </c>
      <c r="F39" s="88">
        <v>85</v>
      </c>
      <c r="G39" s="89">
        <f>F39*D39*1.1</f>
        <v>0</v>
      </c>
      <c r="H39" s="67"/>
    </row>
    <row r="40" spans="1:8" ht="21.75" hidden="1">
      <c r="A40" s="78" t="s">
        <v>30</v>
      </c>
      <c r="B40" s="197">
        <v>2.1</v>
      </c>
      <c r="C40" s="197" t="s">
        <v>37</v>
      </c>
      <c r="D40" s="67">
        <f>B40*DADOS_INICIAIS!G49</f>
        <v>0</v>
      </c>
      <c r="E40" s="67" t="s">
        <v>2</v>
      </c>
      <c r="F40" s="88">
        <v>1.5</v>
      </c>
      <c r="G40" s="89">
        <f>F40*D40*1.1</f>
        <v>0</v>
      </c>
      <c r="H40" s="67"/>
    </row>
    <row r="41" spans="1:8" ht="21.75" hidden="1">
      <c r="A41" s="78" t="s">
        <v>32</v>
      </c>
      <c r="B41" s="197">
        <v>2</v>
      </c>
      <c r="C41" s="197" t="s">
        <v>164</v>
      </c>
      <c r="D41" s="67">
        <f>B41*DADOS_INICIAIS!G58*DADOS_INICIAIS!G55</f>
        <v>0</v>
      </c>
      <c r="E41" s="67" t="s">
        <v>3</v>
      </c>
      <c r="F41" s="88">
        <v>17</v>
      </c>
      <c r="G41" s="89">
        <f>F41*D41*1.1</f>
        <v>0</v>
      </c>
      <c r="H41" s="67"/>
    </row>
    <row r="42" spans="1:8" ht="21.75" hidden="1">
      <c r="A42" s="78" t="s">
        <v>33</v>
      </c>
      <c r="B42" s="197">
        <v>2</v>
      </c>
      <c r="C42" s="197" t="s">
        <v>165</v>
      </c>
      <c r="D42" s="67">
        <f>B42*DADOS_INICIAIS!G61</f>
        <v>0</v>
      </c>
      <c r="E42" s="67" t="s">
        <v>3</v>
      </c>
      <c r="F42" s="88">
        <v>17</v>
      </c>
      <c r="G42" s="89">
        <f>F42*D42*1.1</f>
        <v>0</v>
      </c>
      <c r="H42" s="67"/>
    </row>
    <row r="43" spans="1:8" ht="21.75" hidden="1">
      <c r="A43" s="66" t="s">
        <v>116</v>
      </c>
      <c r="B43" s="197">
        <v>25</v>
      </c>
      <c r="C43" s="197" t="s">
        <v>6</v>
      </c>
      <c r="D43" s="67">
        <f>B43*DADOS_INICIAIS!G49</f>
        <v>0</v>
      </c>
      <c r="E43" s="67" t="s">
        <v>22</v>
      </c>
      <c r="F43" s="88">
        <f>B43</f>
        <v>25</v>
      </c>
      <c r="G43" s="89">
        <f>F43*D43*1.1</f>
        <v>0</v>
      </c>
      <c r="H43" s="67"/>
    </row>
    <row r="44" spans="1:8" ht="21.75" hidden="1">
      <c r="A44" s="66" t="s">
        <v>99</v>
      </c>
      <c r="B44" s="197">
        <v>0.25</v>
      </c>
      <c r="C44" s="197" t="s">
        <v>38</v>
      </c>
      <c r="D44" s="67">
        <f>B44*DADOS_INICIAIS!G49</f>
        <v>0</v>
      </c>
      <c r="E44" s="67" t="s">
        <v>22</v>
      </c>
      <c r="F44" s="88">
        <f>575</f>
        <v>575</v>
      </c>
      <c r="G44" s="89">
        <f>F44*D44*1.05*1.1</f>
        <v>0</v>
      </c>
      <c r="H44" s="67"/>
    </row>
    <row r="45" spans="1:8" ht="21.75" hidden="1">
      <c r="A45" s="66" t="s">
        <v>31</v>
      </c>
      <c r="B45" s="197">
        <v>110</v>
      </c>
      <c r="C45" s="197" t="s">
        <v>34</v>
      </c>
      <c r="D45" s="67">
        <f>D44*B45</f>
        <v>0</v>
      </c>
      <c r="E45" s="67" t="s">
        <v>26</v>
      </c>
      <c r="F45" s="88">
        <v>7.25</v>
      </c>
      <c r="G45" s="89">
        <f>F45*D45*1.1</f>
        <v>0</v>
      </c>
      <c r="H45" s="67"/>
    </row>
    <row r="46" spans="1:8" ht="43.5" hidden="1">
      <c r="A46" s="66" t="s">
        <v>101</v>
      </c>
      <c r="B46" s="197">
        <v>240</v>
      </c>
      <c r="C46" s="197" t="s">
        <v>6</v>
      </c>
      <c r="D46" s="67">
        <f>DADOS_INICIAIS!G49</f>
        <v>0</v>
      </c>
      <c r="E46" s="67" t="s">
        <v>2</v>
      </c>
      <c r="F46" s="88">
        <f>B46</f>
        <v>240</v>
      </c>
      <c r="G46" s="89">
        <f>F46*D46*1.1</f>
        <v>0</v>
      </c>
      <c r="H46" s="67"/>
    </row>
    <row r="47" spans="1:8" ht="43.5" hidden="1">
      <c r="A47" s="66" t="s">
        <v>296</v>
      </c>
      <c r="B47" s="197">
        <v>5300</v>
      </c>
      <c r="C47" s="197" t="s">
        <v>297</v>
      </c>
      <c r="D47" s="67">
        <v>1</v>
      </c>
      <c r="E47" s="67" t="s">
        <v>27</v>
      </c>
      <c r="F47" s="88">
        <f>B47*DADOS_INICIAIS!G54</f>
        <v>0</v>
      </c>
      <c r="G47" s="89">
        <f>F47*D47*1.1</f>
        <v>0</v>
      </c>
      <c r="H47" s="67" t="s">
        <v>298</v>
      </c>
    </row>
    <row r="48" spans="1:8" ht="21.75" hidden="1">
      <c r="A48" s="318" t="s">
        <v>17</v>
      </c>
      <c r="B48" s="318"/>
      <c r="C48" s="318"/>
      <c r="D48" s="318"/>
      <c r="E48" s="318"/>
      <c r="F48" s="318"/>
      <c r="G48" s="90">
        <f>SUM(G39:G47)</f>
        <v>0</v>
      </c>
      <c r="H48" s="90"/>
    </row>
    <row r="49" spans="1:8" hidden="1"/>
    <row r="50" spans="1:8" ht="21.75" hidden="1">
      <c r="A50" s="52" t="s">
        <v>339</v>
      </c>
      <c r="B50" s="52"/>
      <c r="C50" s="52"/>
      <c r="D50" s="53"/>
      <c r="E50" s="53"/>
      <c r="F50" s="54"/>
      <c r="G50" s="53"/>
      <c r="H50" s="53"/>
    </row>
    <row r="51" spans="1:8" ht="21.75" hidden="1">
      <c r="A51" s="56"/>
      <c r="B51" s="56"/>
      <c r="C51" s="56"/>
      <c r="D51" s="57"/>
      <c r="E51" s="57"/>
      <c r="F51" s="58"/>
      <c r="G51" s="59"/>
      <c r="H51" s="59"/>
    </row>
    <row r="52" spans="1:8" ht="21.75" hidden="1">
      <c r="A52" s="63" t="s">
        <v>14</v>
      </c>
      <c r="B52" s="323" t="s">
        <v>5</v>
      </c>
      <c r="C52" s="324"/>
      <c r="D52" s="323" t="s">
        <v>18</v>
      </c>
      <c r="E52" s="324"/>
      <c r="F52" s="65" t="s">
        <v>118</v>
      </c>
      <c r="G52" s="71" t="s">
        <v>16</v>
      </c>
      <c r="H52" s="90" t="s">
        <v>293</v>
      </c>
    </row>
    <row r="53" spans="1:8" ht="21.75" hidden="1">
      <c r="A53" s="66" t="s">
        <v>29</v>
      </c>
      <c r="B53" s="62">
        <v>3</v>
      </c>
      <c r="C53" s="62" t="s">
        <v>299</v>
      </c>
      <c r="D53" s="67">
        <f>(D54/DADOS_INICIAIS!$G$26)*B53</f>
        <v>7381.9955357142862</v>
      </c>
      <c r="E53" s="67" t="s">
        <v>2</v>
      </c>
      <c r="F53" s="88">
        <v>85</v>
      </c>
      <c r="G53" s="89">
        <f t="shared" ref="G53:G58" si="1">F53*D53*1.1</f>
        <v>690216.5825892858</v>
      </c>
      <c r="H53" s="67"/>
    </row>
    <row r="54" spans="1:8" ht="21.75" hidden="1">
      <c r="A54" s="78" t="s">
        <v>30</v>
      </c>
      <c r="B54" s="62">
        <v>2.5</v>
      </c>
      <c r="C54" s="62" t="s">
        <v>37</v>
      </c>
      <c r="D54" s="67">
        <f>B54*DADOS_INICIAIS!$G$9</f>
        <v>68898.625000000015</v>
      </c>
      <c r="E54" s="67" t="s">
        <v>2</v>
      </c>
      <c r="F54" s="88">
        <v>1.5</v>
      </c>
      <c r="G54" s="89">
        <f t="shared" si="1"/>
        <v>113682.73125000004</v>
      </c>
      <c r="H54" s="67"/>
    </row>
    <row r="55" spans="1:8" ht="21.75" hidden="1">
      <c r="A55" s="78" t="s">
        <v>310</v>
      </c>
      <c r="B55" s="62">
        <v>4</v>
      </c>
      <c r="C55" s="62" t="s">
        <v>165</v>
      </c>
      <c r="D55" s="67">
        <f>ROUNDUP(B55*DADOS_INICIAIS!$G$36*B53,0)</f>
        <v>53435</v>
      </c>
      <c r="E55" s="67" t="s">
        <v>3</v>
      </c>
      <c r="F55" s="88">
        <v>17</v>
      </c>
      <c r="G55" s="89">
        <f t="shared" si="1"/>
        <v>999234.50000000012</v>
      </c>
      <c r="H55" s="67"/>
    </row>
    <row r="56" spans="1:8" ht="21.75" hidden="1">
      <c r="A56" s="78" t="s">
        <v>342</v>
      </c>
      <c r="B56" s="203">
        <v>12.3</v>
      </c>
      <c r="C56" s="203" t="s">
        <v>340</v>
      </c>
      <c r="D56" s="67">
        <f>(DADOS_INICIAIS!$G$27+DADOS_INICIAIS!$G$28)*DADOS_INICIAIS!$G$30+DADOS_INICIAIS!$G$33</f>
        <v>38974.550000000003</v>
      </c>
      <c r="E56" s="67" t="s">
        <v>2</v>
      </c>
      <c r="F56" s="88">
        <f>B56</f>
        <v>12.3</v>
      </c>
      <c r="G56" s="89">
        <f t="shared" si="1"/>
        <v>527325.66150000016</v>
      </c>
      <c r="H56" s="67"/>
    </row>
    <row r="57" spans="1:8" ht="21.75" hidden="1">
      <c r="A57" s="78" t="s">
        <v>343</v>
      </c>
      <c r="B57" s="203">
        <v>2.83</v>
      </c>
      <c r="C57" s="203" t="s">
        <v>341</v>
      </c>
      <c r="D57" s="67">
        <f>B57*D56</f>
        <v>110297.9765</v>
      </c>
      <c r="E57" s="67" t="s">
        <v>26</v>
      </c>
      <c r="F57" s="88">
        <v>12.3</v>
      </c>
      <c r="G57" s="89">
        <f t="shared" si="1"/>
        <v>1492331.6220450003</v>
      </c>
      <c r="H57" s="67"/>
    </row>
    <row r="58" spans="1:8" ht="21.75" hidden="1">
      <c r="A58" s="66" t="s">
        <v>344</v>
      </c>
      <c r="B58" s="203">
        <v>9000</v>
      </c>
      <c r="C58" s="203" t="s">
        <v>345</v>
      </c>
      <c r="D58" s="67">
        <f>DADOS_INICIAIS!G26</f>
        <v>28</v>
      </c>
      <c r="E58" s="67" t="s">
        <v>346</v>
      </c>
      <c r="F58" s="88">
        <f>B58</f>
        <v>9000</v>
      </c>
      <c r="G58" s="89">
        <f t="shared" si="1"/>
        <v>277200</v>
      </c>
      <c r="H58" s="67"/>
    </row>
    <row r="59" spans="1:8" ht="21.75" hidden="1">
      <c r="A59" s="66" t="s">
        <v>99</v>
      </c>
      <c r="B59" s="203">
        <v>0.25</v>
      </c>
      <c r="C59" s="203" t="s">
        <v>38</v>
      </c>
      <c r="D59" s="67">
        <f>B59*DADOS_INICIAIS!$G$9</f>
        <v>6889.8625000000011</v>
      </c>
      <c r="E59" s="67" t="s">
        <v>22</v>
      </c>
      <c r="F59" s="88">
        <f>535+45</f>
        <v>580</v>
      </c>
      <c r="G59" s="89">
        <f>F59*D59*1.05*1.1</f>
        <v>4615518.8887500018</v>
      </c>
      <c r="H59" s="67"/>
    </row>
    <row r="60" spans="1:8" ht="21.75" hidden="1">
      <c r="A60" s="66" t="s">
        <v>347</v>
      </c>
      <c r="B60" s="76">
        <v>0.2</v>
      </c>
      <c r="C60" s="62"/>
      <c r="D60" s="67">
        <f>B60*D59</f>
        <v>1377.9725000000003</v>
      </c>
      <c r="E60" s="67" t="s">
        <v>22</v>
      </c>
      <c r="F60" s="88">
        <f>1.22*F59-F59</f>
        <v>127.60000000000002</v>
      </c>
      <c r="G60" s="89">
        <f>F60*D60*1.05*1.1</f>
        <v>203082.83110500011</v>
      </c>
      <c r="H60" s="67"/>
    </row>
    <row r="61" spans="1:8" ht="21.75" hidden="1">
      <c r="A61" s="66" t="s">
        <v>31</v>
      </c>
      <c r="B61" s="203">
        <v>110</v>
      </c>
      <c r="C61" s="203" t="s">
        <v>34</v>
      </c>
      <c r="D61" s="67">
        <f>D59*B61-D57</f>
        <v>647586.89850000013</v>
      </c>
      <c r="E61" s="67" t="s">
        <v>26</v>
      </c>
      <c r="F61" s="88">
        <v>7.62</v>
      </c>
      <c r="G61" s="89">
        <f>F61*D61*1.1</f>
        <v>5428073.3832270019</v>
      </c>
      <c r="H61" s="67"/>
    </row>
    <row r="62" spans="1:8" ht="43.5" hidden="1">
      <c r="A62" s="66" t="s">
        <v>101</v>
      </c>
      <c r="B62" s="62">
        <v>240</v>
      </c>
      <c r="C62" s="62" t="s">
        <v>6</v>
      </c>
      <c r="D62" s="67">
        <f>DADOS_INICIAIS!$G$9</f>
        <v>27559.450000000004</v>
      </c>
      <c r="E62" s="67" t="s">
        <v>2</v>
      </c>
      <c r="F62" s="88">
        <f>B62</f>
        <v>240</v>
      </c>
      <c r="G62" s="89">
        <f>F62*D62*1.1</f>
        <v>7275694.8000000017</v>
      </c>
      <c r="H62" s="67"/>
    </row>
    <row r="63" spans="1:8" ht="43.5" hidden="1">
      <c r="A63" s="66" t="s">
        <v>296</v>
      </c>
      <c r="B63" s="62">
        <v>5300</v>
      </c>
      <c r="C63" s="62" t="s">
        <v>297</v>
      </c>
      <c r="D63" s="67">
        <v>1</v>
      </c>
      <c r="E63" s="67" t="s">
        <v>27</v>
      </c>
      <c r="F63" s="88">
        <f>B63*DADOS_INICIAIS!$G$26</f>
        <v>148400</v>
      </c>
      <c r="G63" s="89">
        <f>F63*D63*1.1</f>
        <v>163240</v>
      </c>
      <c r="H63" s="67" t="s">
        <v>298</v>
      </c>
    </row>
    <row r="64" spans="1:8" ht="21.75" hidden="1">
      <c r="A64" s="318" t="s">
        <v>17</v>
      </c>
      <c r="B64" s="318"/>
      <c r="C64" s="318"/>
      <c r="D64" s="318"/>
      <c r="E64" s="318"/>
      <c r="F64" s="318"/>
      <c r="G64" s="90">
        <f>SUM(G53:G63)</f>
        <v>21785601.000466291</v>
      </c>
      <c r="H64" s="90"/>
    </row>
    <row r="67" spans="1:8" ht="21.75">
      <c r="A67" s="328" t="s">
        <v>105</v>
      </c>
      <c r="B67" s="329"/>
      <c r="C67" s="329"/>
      <c r="D67" s="329"/>
      <c r="E67" s="329"/>
      <c r="F67" s="330"/>
      <c r="G67" s="91">
        <f>G17</f>
        <v>4644536.7089</v>
      </c>
      <c r="H67" s="91">
        <f>G67/DADOS_INICIAIS!E9</f>
        <v>767.79735218220026</v>
      </c>
    </row>
    <row r="69" spans="1:8">
      <c r="G69" s="198"/>
    </row>
    <row r="73" spans="1:8">
      <c r="B73" s="55">
        <f>G17/D11</f>
        <v>408.17420353270688</v>
      </c>
    </row>
    <row r="74" spans="1:8">
      <c r="B74" s="55">
        <f>B73*1.5</f>
        <v>612.26130529906027</v>
      </c>
    </row>
  </sheetData>
  <mergeCells count="14">
    <mergeCell ref="A17:F17"/>
    <mergeCell ref="A67:F67"/>
    <mergeCell ref="A3:H3"/>
    <mergeCell ref="B9:C9"/>
    <mergeCell ref="D9:E9"/>
    <mergeCell ref="B21:C21"/>
    <mergeCell ref="D21:E21"/>
    <mergeCell ref="A34:F34"/>
    <mergeCell ref="B38:C38"/>
    <mergeCell ref="D38:E38"/>
    <mergeCell ref="A48:F48"/>
    <mergeCell ref="B52:C52"/>
    <mergeCell ref="D52:E52"/>
    <mergeCell ref="A64:F6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54"/>
  <sheetViews>
    <sheetView showGridLines="0" tabSelected="1" topLeftCell="A14" zoomScale="80" zoomScaleNormal="80" zoomScaleSheetLayoutView="95" workbookViewId="0">
      <selection activeCell="G18" sqref="G18"/>
    </sheetView>
  </sheetViews>
  <sheetFormatPr defaultColWidth="9.140625" defaultRowHeight="1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303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420</v>
      </c>
      <c r="B10" s="62">
        <f>D10/DADOS_INICIAIS!E9</f>
        <v>0.44284053680091651</v>
      </c>
      <c r="C10" s="62" t="s">
        <v>37</v>
      </c>
      <c r="D10" s="67">
        <f>DADOS_INICIAIS!E31*19.65*0.9</f>
        <v>2678.8176899999999</v>
      </c>
      <c r="E10" s="67" t="s">
        <v>2</v>
      </c>
      <c r="F10" s="88">
        <v>54</v>
      </c>
      <c r="G10" s="89">
        <f>F10*D10*1.1</f>
        <v>159121.77078600001</v>
      </c>
      <c r="H10" s="67"/>
    </row>
    <row r="11" spans="1:10" ht="21.75">
      <c r="A11" s="66" t="s">
        <v>421</v>
      </c>
      <c r="B11" s="62">
        <v>0.2</v>
      </c>
      <c r="C11" s="62" t="s">
        <v>37</v>
      </c>
      <c r="D11" s="67">
        <f>DADOS_INICIAIS!E9*ALVENARIA!B11</f>
        <v>1209.8339999999998</v>
      </c>
      <c r="E11" s="67" t="s">
        <v>2</v>
      </c>
      <c r="F11" s="88">
        <v>70</v>
      </c>
      <c r="G11" s="89">
        <f>F11*D11*1.05*1.1</f>
        <v>97815.078900000008</v>
      </c>
      <c r="H11" s="67"/>
    </row>
    <row r="12" spans="1:10" ht="21.75">
      <c r="A12" s="66" t="s">
        <v>173</v>
      </c>
      <c r="B12" s="62">
        <v>1.75</v>
      </c>
      <c r="C12" s="62" t="s">
        <v>307</v>
      </c>
      <c r="D12" s="67">
        <f>B12*DADOS_INICIAIS!E25</f>
        <v>0</v>
      </c>
      <c r="E12" s="67" t="s">
        <v>334</v>
      </c>
      <c r="F12" s="88">
        <v>210</v>
      </c>
      <c r="G12" s="89">
        <f t="shared" ref="G12:G20" si="0">F12*D12*1.1</f>
        <v>0</v>
      </c>
      <c r="H12" s="67"/>
    </row>
    <row r="13" spans="1:10" ht="21.75">
      <c r="A13" s="66" t="s">
        <v>549</v>
      </c>
      <c r="B13" s="62">
        <v>0.44</v>
      </c>
      <c r="C13" s="62" t="s">
        <v>37</v>
      </c>
      <c r="D13" s="67">
        <f>B13*DADOS_INICIAIS!E9</f>
        <v>2661.6347999999998</v>
      </c>
      <c r="E13" s="67" t="s">
        <v>2</v>
      </c>
      <c r="F13" s="88">
        <f>Planilha1!G70</f>
        <v>486.6245762285713</v>
      </c>
      <c r="G13" s="89">
        <f t="shared" si="0"/>
        <v>1424738.5972877399</v>
      </c>
      <c r="H13" s="67" t="s">
        <v>605</v>
      </c>
    </row>
    <row r="14" spans="1:10" ht="21.75">
      <c r="A14" s="66" t="s">
        <v>550</v>
      </c>
      <c r="B14" s="62">
        <v>0.28000000000000003</v>
      </c>
      <c r="C14" s="62" t="s">
        <v>37</v>
      </c>
      <c r="D14" s="67">
        <f>B14*DADOS_INICIAIS!E9</f>
        <v>1693.7675999999999</v>
      </c>
      <c r="E14" s="67" t="s">
        <v>2</v>
      </c>
      <c r="F14" s="88">
        <v>191.17</v>
      </c>
      <c r="G14" s="89">
        <f t="shared" si="0"/>
        <v>356177.30730119999</v>
      </c>
      <c r="H14" s="67" t="s">
        <v>552</v>
      </c>
    </row>
    <row r="15" spans="1:10" ht="21.75">
      <c r="A15" s="66" t="s">
        <v>558</v>
      </c>
      <c r="B15" s="62">
        <v>0.28000000000000003</v>
      </c>
      <c r="C15" s="62" t="s">
        <v>37</v>
      </c>
      <c r="D15" s="67">
        <f>D10</f>
        <v>2678.8176899999999</v>
      </c>
      <c r="E15" s="67" t="s">
        <v>2</v>
      </c>
      <c r="F15" s="88">
        <f>Planilha1!G30</f>
        <v>109.71219228285713</v>
      </c>
      <c r="G15" s="89">
        <f t="shared" si="0"/>
        <v>323288.85764559906</v>
      </c>
      <c r="H15" s="67" t="s">
        <v>579</v>
      </c>
    </row>
    <row r="16" spans="1:10" ht="21.75">
      <c r="A16" s="66" t="s">
        <v>557</v>
      </c>
      <c r="B16" s="62">
        <v>0.28000000000000003</v>
      </c>
      <c r="C16" s="62" t="s">
        <v>37</v>
      </c>
      <c r="D16" s="67">
        <f>22.67*3.5*5</f>
        <v>396.72500000000002</v>
      </c>
      <c r="E16" s="67" t="s">
        <v>334</v>
      </c>
      <c r="F16" s="88">
        <f>Planilha1!G30</f>
        <v>109.71219228285713</v>
      </c>
      <c r="G16" s="89">
        <f t="shared" si="0"/>
        <v>47878.126431758152</v>
      </c>
      <c r="H16" s="67" t="s">
        <v>579</v>
      </c>
    </row>
    <row r="17" spans="1:12" ht="21.75">
      <c r="A17" s="66" t="s">
        <v>172</v>
      </c>
      <c r="B17" s="62">
        <v>12.5</v>
      </c>
      <c r="C17" s="62" t="s">
        <v>171</v>
      </c>
      <c r="D17" s="67">
        <f>D10+D11</f>
        <v>3888.6516899999997</v>
      </c>
      <c r="E17" s="67" t="s">
        <v>2</v>
      </c>
      <c r="F17" s="88">
        <f>B17</f>
        <v>12.5</v>
      </c>
      <c r="G17" s="89">
        <f t="shared" si="0"/>
        <v>53468.960737500005</v>
      </c>
      <c r="H17" s="67"/>
    </row>
    <row r="18" spans="1:12" ht="21.75">
      <c r="A18" s="66" t="s">
        <v>788</v>
      </c>
      <c r="B18" s="62">
        <v>12.5</v>
      </c>
      <c r="C18" s="62" t="s">
        <v>171</v>
      </c>
      <c r="D18" s="67">
        <f>0.8*1.2*(DADOS_INICIAIS!E22+1)</f>
        <v>35.519999999999996</v>
      </c>
      <c r="E18" s="67" t="s">
        <v>2</v>
      </c>
      <c r="F18" s="88">
        <v>650</v>
      </c>
      <c r="G18" s="89">
        <f t="shared" ref="G18" si="1">F18*D18*1.1</f>
        <v>25396.799999999999</v>
      </c>
      <c r="H18" s="67"/>
    </row>
    <row r="19" spans="1:12" ht="21.75">
      <c r="A19" s="66" t="s">
        <v>25</v>
      </c>
      <c r="B19" s="62">
        <v>35</v>
      </c>
      <c r="C19" s="62" t="s">
        <v>171</v>
      </c>
      <c r="D19" s="67">
        <f>D10+D11</f>
        <v>3888.6516899999997</v>
      </c>
      <c r="E19" s="67" t="s">
        <v>2</v>
      </c>
      <c r="F19" s="88">
        <v>36</v>
      </c>
      <c r="G19" s="89">
        <f t="shared" si="0"/>
        <v>153990.60692399999</v>
      </c>
      <c r="H19" s="67"/>
    </row>
    <row r="20" spans="1:12" ht="21.75">
      <c r="A20" s="66" t="s">
        <v>559</v>
      </c>
      <c r="B20" s="62">
        <v>35</v>
      </c>
      <c r="C20" s="62" t="s">
        <v>171</v>
      </c>
      <c r="D20" s="67">
        <f>SUM(D13:D16)</f>
        <v>7430.9450900000002</v>
      </c>
      <c r="E20" s="67" t="s">
        <v>2</v>
      </c>
      <c r="F20" s="88">
        <v>40</v>
      </c>
      <c r="G20" s="89">
        <f t="shared" si="0"/>
        <v>326961.58396000002</v>
      </c>
      <c r="H20" s="67"/>
    </row>
    <row r="21" spans="1:12" ht="21.75">
      <c r="A21" s="318" t="s">
        <v>17</v>
      </c>
      <c r="B21" s="318"/>
      <c r="C21" s="318"/>
      <c r="D21" s="318"/>
      <c r="E21" s="318"/>
      <c r="F21" s="318"/>
      <c r="G21" s="90">
        <f>SUM(G10:G20)</f>
        <v>2968837.6899737967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hidden="1">
      <c r="A23" s="52" t="s">
        <v>304</v>
      </c>
      <c r="B23" s="52"/>
      <c r="C23" s="52"/>
      <c r="D23" s="53"/>
      <c r="E23" s="53"/>
      <c r="F23" s="54"/>
      <c r="G23" s="53"/>
      <c r="H23" s="53"/>
    </row>
    <row r="24" spans="1:12" ht="21.75" hidden="1">
      <c r="A24" s="56"/>
      <c r="B24" s="56"/>
      <c r="C24" s="56"/>
      <c r="D24" s="57"/>
      <c r="E24" s="57"/>
      <c r="F24" s="58"/>
      <c r="G24" s="59"/>
      <c r="H24" s="59"/>
    </row>
    <row r="25" spans="1:12" ht="21.75" hidden="1">
      <c r="A25" s="63" t="s">
        <v>14</v>
      </c>
      <c r="B25" s="323" t="s">
        <v>5</v>
      </c>
      <c r="C25" s="324"/>
      <c r="D25" s="323" t="s">
        <v>18</v>
      </c>
      <c r="E25" s="324"/>
      <c r="F25" s="65" t="s">
        <v>118</v>
      </c>
      <c r="G25" s="71" t="s">
        <v>16</v>
      </c>
      <c r="H25" s="90" t="s">
        <v>293</v>
      </c>
    </row>
    <row r="26" spans="1:12" ht="21.75" hidden="1">
      <c r="A26" s="66" t="s">
        <v>182</v>
      </c>
      <c r="B26" s="62">
        <v>1</v>
      </c>
      <c r="C26" s="62" t="s">
        <v>181</v>
      </c>
      <c r="D26" s="67">
        <f>B26*DADOS_INICIAIS!$G$33</f>
        <v>9042.31</v>
      </c>
      <c r="E26" s="67" t="s">
        <v>2</v>
      </c>
      <c r="F26" s="88">
        <v>45</v>
      </c>
      <c r="G26" s="89">
        <f>F26*D26*1.1</f>
        <v>447594.34499999997</v>
      </c>
      <c r="H26" s="67"/>
    </row>
    <row r="27" spans="1:12" ht="21.75" hidden="1">
      <c r="A27" s="78" t="s">
        <v>180</v>
      </c>
      <c r="B27" s="62">
        <v>0.4</v>
      </c>
      <c r="C27" s="62" t="s">
        <v>179</v>
      </c>
      <c r="D27" s="67">
        <f>B27*DADOS_INICIAIS!$G$32</f>
        <v>279.93600000000004</v>
      </c>
      <c r="E27" s="67" t="s">
        <v>2</v>
      </c>
      <c r="F27" s="88">
        <v>45</v>
      </c>
      <c r="G27" s="89">
        <f>F27*D27*1.1</f>
        <v>13856.832000000002</v>
      </c>
      <c r="H27" s="67"/>
    </row>
    <row r="28" spans="1:12" ht="21.75" hidden="1">
      <c r="A28" s="78" t="s">
        <v>178</v>
      </c>
      <c r="B28" s="62">
        <v>1.62</v>
      </c>
      <c r="C28" s="62" t="s">
        <v>177</v>
      </c>
      <c r="D28" s="67">
        <f>B28*(DADOS_INICIAIS!$G$30*(DADOS_INICIAIS!$G$27+DADOS_INICIAIS!$G$28))*0.3</f>
        <v>14547.068640000001</v>
      </c>
      <c r="E28" s="67" t="s">
        <v>3</v>
      </c>
      <c r="F28" s="88">
        <v>45</v>
      </c>
      <c r="G28" s="89">
        <f>F28*D28*1.1</f>
        <v>720079.89768000005</v>
      </c>
      <c r="H28" s="67"/>
    </row>
    <row r="29" spans="1:12" ht="21.75" hidden="1">
      <c r="A29" s="78" t="s">
        <v>305</v>
      </c>
      <c r="B29" s="62">
        <v>1.65</v>
      </c>
      <c r="C29" s="62" t="s">
        <v>177</v>
      </c>
      <c r="D29" s="67">
        <f>B29*(DADOS_INICIAIS!$G$30*(DADOS_INICIAIS!$G$27+DADOS_INICIAIS!$G$28))*0.7</f>
        <v>34571.737200000003</v>
      </c>
      <c r="E29" s="67"/>
      <c r="F29" s="88">
        <v>220</v>
      </c>
      <c r="G29" s="89">
        <f t="shared" ref="G29:G34" si="2">F29*D29*1.1</f>
        <v>8366360.402400001</v>
      </c>
      <c r="H29" s="67"/>
      <c r="J29" s="55">
        <f>D29/(D34+D29)</f>
        <v>0.52893106437076587</v>
      </c>
    </row>
    <row r="30" spans="1:12" ht="21.75" hidden="1">
      <c r="A30" s="78" t="s">
        <v>176</v>
      </c>
      <c r="B30" s="62">
        <v>0.2</v>
      </c>
      <c r="C30" s="62" t="s">
        <v>37</v>
      </c>
      <c r="D30" s="67">
        <f>B30*DADOS_INICIAIS!$G$9</f>
        <v>5511.8900000000012</v>
      </c>
      <c r="E30" s="67" t="s">
        <v>3</v>
      </c>
      <c r="F30" s="88">
        <v>70</v>
      </c>
      <c r="G30" s="89">
        <f t="shared" si="2"/>
        <v>424415.53000000014</v>
      </c>
      <c r="H30" s="67"/>
      <c r="J30" s="55">
        <f>1-J29</f>
        <v>0.47106893562923413</v>
      </c>
    </row>
    <row r="31" spans="1:12" ht="21.75" hidden="1">
      <c r="A31" s="66" t="s">
        <v>175</v>
      </c>
      <c r="B31" s="62">
        <v>0.8</v>
      </c>
      <c r="C31" s="62" t="s">
        <v>174</v>
      </c>
      <c r="D31" s="67">
        <f>B31*DADOS_INICIAIS!$G$30</f>
        <v>1408.576</v>
      </c>
      <c r="E31" s="67" t="s">
        <v>22</v>
      </c>
      <c r="F31" s="88">
        <v>45</v>
      </c>
      <c r="G31" s="89">
        <f t="shared" si="2"/>
        <v>69724.512000000002</v>
      </c>
      <c r="H31" s="67"/>
    </row>
    <row r="32" spans="1:12" ht="21.75" hidden="1">
      <c r="A32" s="66" t="s">
        <v>173</v>
      </c>
      <c r="B32" s="62">
        <v>1.75</v>
      </c>
      <c r="C32" s="62" t="s">
        <v>307</v>
      </c>
      <c r="D32" s="67">
        <f>'SISTEMAS ESPECIAIS'!B14</f>
        <v>0</v>
      </c>
      <c r="E32" s="67" t="s">
        <v>334</v>
      </c>
      <c r="F32" s="88">
        <v>210</v>
      </c>
      <c r="G32" s="89"/>
      <c r="H32" s="67"/>
    </row>
    <row r="33" spans="1:8" ht="21.75" hidden="1">
      <c r="A33" s="66" t="s">
        <v>348</v>
      </c>
      <c r="B33" s="62"/>
      <c r="C33" s="62"/>
      <c r="D33" s="67">
        <f>D32</f>
        <v>0</v>
      </c>
      <c r="E33" s="67" t="s">
        <v>3</v>
      </c>
      <c r="F33" s="88">
        <v>1800</v>
      </c>
      <c r="G33" s="89">
        <f t="shared" si="2"/>
        <v>0</v>
      </c>
      <c r="H33" s="67"/>
    </row>
    <row r="34" spans="1:8" ht="21.75" hidden="1">
      <c r="A34" s="66" t="s">
        <v>172</v>
      </c>
      <c r="B34" s="62">
        <v>12.5</v>
      </c>
      <c r="C34" s="62" t="s">
        <v>171</v>
      </c>
      <c r="D34" s="67">
        <f>D27+D28+D26+D30+D31</f>
        <v>30789.780640000004</v>
      </c>
      <c r="E34" s="67" t="s">
        <v>26</v>
      </c>
      <c r="F34" s="88">
        <f>B34</f>
        <v>12.5</v>
      </c>
      <c r="G34" s="89">
        <f t="shared" si="2"/>
        <v>423359.48380000005</v>
      </c>
      <c r="H34" s="67"/>
    </row>
    <row r="35" spans="1:8" ht="21.75" hidden="1">
      <c r="A35" s="66" t="s">
        <v>25</v>
      </c>
      <c r="B35" s="62">
        <v>35</v>
      </c>
      <c r="C35" s="62" t="s">
        <v>171</v>
      </c>
      <c r="D35" s="67">
        <f>D27+D28+D26+D30+D31</f>
        <v>30789.780640000004</v>
      </c>
      <c r="E35" s="67" t="s">
        <v>2</v>
      </c>
      <c r="F35" s="88">
        <v>35</v>
      </c>
      <c r="G35" s="89">
        <f>F35*D35*1.1</f>
        <v>1185406.5546400002</v>
      </c>
      <c r="H35" s="67"/>
    </row>
    <row r="36" spans="1:8" ht="21.75" hidden="1">
      <c r="A36" s="318" t="s">
        <v>17</v>
      </c>
      <c r="B36" s="318"/>
      <c r="C36" s="318"/>
      <c r="D36" s="318"/>
      <c r="E36" s="318"/>
      <c r="F36" s="318"/>
      <c r="G36" s="90">
        <f>SUM(G26:G35)</f>
        <v>11650797.55752</v>
      </c>
      <c r="H36" s="90"/>
    </row>
    <row r="39" spans="1:8" ht="21.75">
      <c r="A39" s="328" t="s">
        <v>169</v>
      </c>
      <c r="B39" s="329"/>
      <c r="C39" s="329"/>
      <c r="D39" s="329"/>
      <c r="E39" s="329"/>
      <c r="F39" s="330"/>
      <c r="G39" s="91">
        <f>G21</f>
        <v>2968837.6899737967</v>
      </c>
      <c r="H39" s="91">
        <f>G39/DADOS_INICIAIS!E9</f>
        <v>490.78430428865403</v>
      </c>
    </row>
    <row r="42" spans="1:8">
      <c r="G42" s="198">
        <f>G39/1.1</f>
        <v>2698943.3545216331</v>
      </c>
      <c r="H42" s="55">
        <f>G42/DADOS_INICIAIS!G9</f>
        <v>97.931684214366854</v>
      </c>
    </row>
    <row r="45" spans="1:8">
      <c r="F45" s="55" t="s">
        <v>199</v>
      </c>
      <c r="G45" s="55">
        <f>167.23*3.5</f>
        <v>585.30499999999995</v>
      </c>
    </row>
    <row r="46" spans="1:8">
      <c r="F46" s="55" t="s">
        <v>551</v>
      </c>
      <c r="G46" s="55">
        <f>B52*2</f>
        <v>1030.1199999999999</v>
      </c>
    </row>
    <row r="47" spans="1:8">
      <c r="F47" s="55" t="s">
        <v>355</v>
      </c>
      <c r="G47" s="55">
        <f>B52</f>
        <v>515.05999999999995</v>
      </c>
    </row>
    <row r="48" spans="1:8">
      <c r="C48" s="55">
        <v>4139</v>
      </c>
      <c r="D48" s="81" t="e">
        <f>C48/INFRAESTRUTURA!D8</f>
        <v>#DIV/0!</v>
      </c>
    </row>
    <row r="50" spans="1:4">
      <c r="D50" s="81">
        <f>DADOS_INICIAIS!E9*1.4</f>
        <v>8468.8379999999979</v>
      </c>
    </row>
    <row r="51" spans="1:4">
      <c r="A51" s="286" t="s">
        <v>545</v>
      </c>
      <c r="B51" s="55">
        <f>380.69*3.5</f>
        <v>1332.415</v>
      </c>
      <c r="D51" s="81">
        <f>D50-D11</f>
        <v>7259.0039999999981</v>
      </c>
    </row>
    <row r="52" spans="1:4">
      <c r="A52" s="286" t="s">
        <v>546</v>
      </c>
      <c r="B52" s="55">
        <f>147.16*3.5</f>
        <v>515.05999999999995</v>
      </c>
      <c r="C52" s="287">
        <f>B52/B51</f>
        <v>0.38656124405684411</v>
      </c>
      <c r="D52" s="288">
        <f>D51*C52</f>
        <v>2806.0496168536069</v>
      </c>
    </row>
    <row r="53" spans="1:4">
      <c r="A53" s="286" t="s">
        <v>547</v>
      </c>
      <c r="B53" s="55">
        <f>B51-B52-B54</f>
        <v>505.19000000000005</v>
      </c>
      <c r="C53" s="287">
        <f>B53/B51</f>
        <v>0.37915364207097646</v>
      </c>
      <c r="D53" s="288">
        <f>D51*C53</f>
        <v>2752.2778044077859</v>
      </c>
    </row>
    <row r="54" spans="1:4">
      <c r="A54" s="286" t="s">
        <v>548</v>
      </c>
      <c r="B54" s="55">
        <f>89.19*3.5</f>
        <v>312.16499999999996</v>
      </c>
      <c r="C54" s="287">
        <f>B54/B51</f>
        <v>0.23428511387217943</v>
      </c>
      <c r="D54" s="288">
        <f>D51*C54</f>
        <v>1700.6765787386055</v>
      </c>
    </row>
  </sheetData>
  <mergeCells count="8">
    <mergeCell ref="A36:F36"/>
    <mergeCell ref="A39:F39"/>
    <mergeCell ref="A3:H3"/>
    <mergeCell ref="B9:C9"/>
    <mergeCell ref="D9:E9"/>
    <mergeCell ref="A21:F21"/>
    <mergeCell ref="B25:C25"/>
    <mergeCell ref="D25:E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62"/>
  <sheetViews>
    <sheetView showGridLines="0" topLeftCell="A33" zoomScale="85" zoomScaleNormal="85" zoomScaleSheetLayoutView="95" workbookViewId="0">
      <selection activeCell="D43" sqref="D43"/>
    </sheetView>
  </sheetViews>
  <sheetFormatPr defaultColWidth="9.140625" defaultRowHeight="19.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>
      <c r="A1" s="48"/>
      <c r="B1" s="48"/>
      <c r="C1" s="48"/>
      <c r="D1" s="48"/>
      <c r="E1" s="48"/>
      <c r="G1" s="2"/>
    </row>
    <row r="2" spans="1:7" ht="28.5">
      <c r="A2" s="319" t="s">
        <v>251</v>
      </c>
      <c r="B2" s="320"/>
      <c r="C2" s="320"/>
      <c r="D2" s="320"/>
      <c r="E2" s="321"/>
      <c r="G2" s="2"/>
    </row>
    <row r="3" spans="1:7">
      <c r="A3" s="50"/>
      <c r="B3" s="50"/>
      <c r="C3" s="50"/>
      <c r="D3" s="48"/>
      <c r="E3" s="48"/>
      <c r="G3" s="2"/>
    </row>
    <row r="4" spans="1:7" s="55" customFormat="1" ht="21.75">
      <c r="A4" s="52" t="s">
        <v>250</v>
      </c>
      <c r="B4" s="53"/>
      <c r="C4" s="53"/>
      <c r="D4" s="53"/>
      <c r="E4" s="53"/>
    </row>
    <row r="5" spans="1:7" s="55" customFormat="1" ht="21.75">
      <c r="A5" s="56"/>
      <c r="B5" s="57"/>
      <c r="C5" s="57"/>
      <c r="D5" s="59"/>
      <c r="E5" s="59"/>
    </row>
    <row r="6" spans="1:7" s="55" customFormat="1" ht="42" customHeight="1">
      <c r="A6" s="63" t="s">
        <v>14</v>
      </c>
      <c r="B6" s="323" t="s">
        <v>5</v>
      </c>
      <c r="C6" s="324"/>
      <c r="D6" s="71" t="s">
        <v>16</v>
      </c>
      <c r="E6" s="59"/>
    </row>
    <row r="7" spans="1:7" s="55" customFormat="1" ht="21.75">
      <c r="A7" s="66" t="s">
        <v>249</v>
      </c>
      <c r="B7" s="62">
        <v>8</v>
      </c>
      <c r="C7" s="62" t="s">
        <v>6</v>
      </c>
      <c r="D7" s="89">
        <f>B7*DADOS_INICIAIS!$E$9*1.1</f>
        <v>53232.695999999996</v>
      </c>
      <c r="E7" s="57"/>
    </row>
    <row r="8" spans="1:7" s="55" customFormat="1" ht="21.75">
      <c r="A8" s="66" t="s">
        <v>248</v>
      </c>
      <c r="B8" s="62">
        <f>23-2</f>
        <v>21</v>
      </c>
      <c r="C8" s="62" t="s">
        <v>6</v>
      </c>
      <c r="D8" s="89">
        <f>B8*DADOS_INICIAIS!$E$9*1.1</f>
        <v>139735.82699999999</v>
      </c>
      <c r="E8" s="57"/>
    </row>
    <row r="9" spans="1:7" s="55" customFormat="1" ht="21.75">
      <c r="A9" s="66" t="s">
        <v>247</v>
      </c>
      <c r="B9" s="62">
        <v>80</v>
      </c>
      <c r="C9" s="62" t="s">
        <v>6</v>
      </c>
      <c r="D9" s="89">
        <f>B9*DADOS_INICIAIS!$E$9*1.1</f>
        <v>532326.96</v>
      </c>
      <c r="E9" s="57"/>
    </row>
    <row r="10" spans="1:7" s="55" customFormat="1" ht="21.75">
      <c r="A10" s="66" t="s">
        <v>246</v>
      </c>
      <c r="B10" s="62">
        <v>42</v>
      </c>
      <c r="C10" s="62" t="s">
        <v>6</v>
      </c>
      <c r="D10" s="89">
        <f>B10*DADOS_INICIAIS!$E$9*1.1</f>
        <v>279471.65399999998</v>
      </c>
      <c r="E10" s="57"/>
    </row>
    <row r="11" spans="1:7" s="55" customFormat="1" ht="21.75">
      <c r="A11" s="66" t="s">
        <v>245</v>
      </c>
      <c r="B11" s="62">
        <v>8</v>
      </c>
      <c r="C11" s="62" t="s">
        <v>6</v>
      </c>
      <c r="D11" s="89">
        <f>B11*DADOS_INICIAIS!$E$9*1.1</f>
        <v>53232.695999999996</v>
      </c>
      <c r="E11" s="57"/>
    </row>
    <row r="12" spans="1:7" s="55" customFormat="1" ht="21.75">
      <c r="A12" s="66" t="s">
        <v>244</v>
      </c>
      <c r="B12" s="62">
        <v>20</v>
      </c>
      <c r="C12" s="62" t="s">
        <v>6</v>
      </c>
      <c r="D12" s="89">
        <f>B12*DADOS_INICIAIS!$E$9*1.1</f>
        <v>133081.74</v>
      </c>
      <c r="E12" s="57"/>
    </row>
    <row r="13" spans="1:7" s="55" customFormat="1" ht="26.25" customHeight="1">
      <c r="A13" s="70" t="s">
        <v>257</v>
      </c>
      <c r="B13" s="67">
        <v>1</v>
      </c>
      <c r="C13" s="188">
        <v>185000</v>
      </c>
      <c r="D13" s="89">
        <f>B13*C13</f>
        <v>185000</v>
      </c>
      <c r="E13" s="299"/>
    </row>
    <row r="14" spans="1:7" s="55" customFormat="1" ht="26.25" customHeight="1">
      <c r="A14" s="70" t="s">
        <v>256</v>
      </c>
      <c r="B14" s="67">
        <v>12</v>
      </c>
      <c r="C14" s="188">
        <v>547</v>
      </c>
      <c r="D14" s="89">
        <f t="shared" ref="D14:D15" si="0">B14*C14*1.1</f>
        <v>7220.4000000000005</v>
      </c>
      <c r="E14" s="299"/>
    </row>
    <row r="15" spans="1:7" s="55" customFormat="1" ht="26.25" customHeight="1">
      <c r="A15" s="70" t="s">
        <v>320</v>
      </c>
      <c r="B15" s="67">
        <v>6</v>
      </c>
      <c r="C15" s="188">
        <v>10500</v>
      </c>
      <c r="D15" s="89">
        <f t="shared" si="0"/>
        <v>69300</v>
      </c>
      <c r="E15" s="299"/>
    </row>
    <row r="16" spans="1:7" s="55" customFormat="1" ht="21.75">
      <c r="A16" s="66" t="s">
        <v>243</v>
      </c>
      <c r="B16" s="62">
        <v>58</v>
      </c>
      <c r="C16" s="62" t="s">
        <v>6</v>
      </c>
      <c r="D16" s="89">
        <f>B16*DADOS_INICIAIS!$E$9*1.1</f>
        <v>385937.04599999997</v>
      </c>
      <c r="E16" s="57"/>
    </row>
    <row r="17" spans="1:5" s="55" customFormat="1" ht="21.75">
      <c r="A17" s="318" t="s">
        <v>17</v>
      </c>
      <c r="B17" s="318"/>
      <c r="C17" s="318"/>
      <c r="D17" s="90">
        <f>SUM(D7:D16)</f>
        <v>1838539.0189999999</v>
      </c>
      <c r="E17" s="60"/>
    </row>
    <row r="18" spans="1:5" s="55" customFormat="1" ht="21.75">
      <c r="A18" s="322"/>
      <c r="B18" s="322"/>
      <c r="C18" s="322"/>
      <c r="D18" s="100"/>
      <c r="E18" s="59"/>
    </row>
    <row r="19" spans="1:5" s="55" customFormat="1" ht="21.75">
      <c r="A19" s="52" t="s">
        <v>242</v>
      </c>
      <c r="B19" s="53"/>
      <c r="C19" s="53"/>
      <c r="D19" s="98"/>
      <c r="E19" s="53"/>
    </row>
    <row r="20" spans="1:5" s="55" customFormat="1" ht="21.75">
      <c r="A20" s="56"/>
      <c r="B20" s="57"/>
      <c r="C20" s="57"/>
      <c r="D20" s="100"/>
      <c r="E20" s="59"/>
    </row>
    <row r="21" spans="1:5" s="55" customFormat="1" ht="42" customHeight="1">
      <c r="A21" s="63" t="s">
        <v>14</v>
      </c>
      <c r="B21" s="323" t="s">
        <v>5</v>
      </c>
      <c r="C21" s="324"/>
      <c r="D21" s="90" t="s">
        <v>16</v>
      </c>
      <c r="E21" s="59"/>
    </row>
    <row r="22" spans="1:5" s="55" customFormat="1" ht="21.75">
      <c r="A22" s="66" t="s">
        <v>241</v>
      </c>
      <c r="B22" s="62">
        <f>25-B26</f>
        <v>22</v>
      </c>
      <c r="C22" s="62" t="s">
        <v>6</v>
      </c>
      <c r="D22" s="89">
        <f>B22*DADOS_INICIAIS!$E$9*1.1</f>
        <v>146389.91399999999</v>
      </c>
      <c r="E22" s="57"/>
    </row>
    <row r="23" spans="1:5" s="55" customFormat="1" ht="21.75">
      <c r="A23" s="66" t="s">
        <v>240</v>
      </c>
      <c r="B23" s="62">
        <v>20</v>
      </c>
      <c r="C23" s="62" t="s">
        <v>6</v>
      </c>
      <c r="D23" s="89">
        <f>B23*DADOS_INICIAIS!$E$9*1.1</f>
        <v>133081.74</v>
      </c>
      <c r="E23" s="57"/>
    </row>
    <row r="24" spans="1:5" s="55" customFormat="1" ht="21.75">
      <c r="A24" s="66" t="s">
        <v>239</v>
      </c>
      <c r="B24" s="62">
        <v>10</v>
      </c>
      <c r="C24" s="62" t="s">
        <v>6</v>
      </c>
      <c r="D24" s="89">
        <f>B24*DADOS_INICIAIS!$E$9*1.1</f>
        <v>66540.87</v>
      </c>
      <c r="E24" s="57"/>
    </row>
    <row r="25" spans="1:5" s="55" customFormat="1" ht="21.75">
      <c r="A25" s="66" t="s">
        <v>238</v>
      </c>
      <c r="B25" s="62">
        <v>15</v>
      </c>
      <c r="C25" s="62" t="s">
        <v>6</v>
      </c>
      <c r="D25" s="89">
        <f>B25*DADOS_INICIAIS!$E$9*1.1</f>
        <v>99811.304999999993</v>
      </c>
      <c r="E25" s="57"/>
    </row>
    <row r="26" spans="1:5" s="55" customFormat="1" ht="21.75">
      <c r="A26" s="66" t="s">
        <v>670</v>
      </c>
      <c r="B26" s="62">
        <v>3</v>
      </c>
      <c r="C26" s="62" t="s">
        <v>6</v>
      </c>
      <c r="D26" s="89">
        <f>B26*DADOS_INICIAIS!$E$9*1.1</f>
        <v>19962.260999999999</v>
      </c>
      <c r="E26" s="57"/>
    </row>
    <row r="27" spans="1:5" s="55" customFormat="1" ht="26.25" customHeight="1">
      <c r="A27" s="70" t="s">
        <v>671</v>
      </c>
      <c r="B27" s="67">
        <v>2</v>
      </c>
      <c r="C27" s="188">
        <v>30000</v>
      </c>
      <c r="D27" s="89">
        <f t="shared" ref="D27:D29" si="1">B27*C27*1.1</f>
        <v>66000</v>
      </c>
      <c r="E27" s="57"/>
    </row>
    <row r="28" spans="1:5" s="55" customFormat="1" ht="26.25" customHeight="1">
      <c r="A28" s="70" t="s">
        <v>322</v>
      </c>
      <c r="B28" s="67">
        <v>1</v>
      </c>
      <c r="C28" s="188">
        <v>110000</v>
      </c>
      <c r="D28" s="89">
        <f t="shared" si="1"/>
        <v>121000.00000000001</v>
      </c>
      <c r="E28" s="57"/>
    </row>
    <row r="29" spans="1:5" s="55" customFormat="1" ht="26.25" customHeight="1">
      <c r="A29" s="70" t="s">
        <v>674</v>
      </c>
      <c r="B29" s="67">
        <v>2</v>
      </c>
      <c r="C29" s="300">
        <v>8300</v>
      </c>
      <c r="D29" s="89">
        <f t="shared" si="1"/>
        <v>18260</v>
      </c>
      <c r="E29" s="57" t="s">
        <v>677</v>
      </c>
    </row>
    <row r="30" spans="1:5" s="55" customFormat="1" ht="26.25" customHeight="1">
      <c r="A30" s="66" t="s">
        <v>675</v>
      </c>
      <c r="B30" s="67">
        <v>4</v>
      </c>
      <c r="C30" s="300">
        <v>2000</v>
      </c>
      <c r="D30" s="89">
        <f t="shared" ref="D30" si="2">B30*C30*1.1</f>
        <v>8800</v>
      </c>
      <c r="E30" s="57" t="s">
        <v>673</v>
      </c>
    </row>
    <row r="31" spans="1:5" s="55" customFormat="1" ht="21.75">
      <c r="A31" s="66" t="s">
        <v>676</v>
      </c>
      <c r="B31" s="67">
        <f>4+2</f>
        <v>6</v>
      </c>
      <c r="C31" s="300">
        <v>5240</v>
      </c>
      <c r="D31" s="89">
        <f t="shared" ref="D31:D32" si="3">B31*C31*1.1</f>
        <v>34584</v>
      </c>
      <c r="E31" s="57"/>
    </row>
    <row r="32" spans="1:5" s="55" customFormat="1" ht="26.25" customHeight="1">
      <c r="A32" s="70" t="s">
        <v>672</v>
      </c>
      <c r="B32" s="67">
        <v>2</v>
      </c>
      <c r="C32" s="300">
        <v>5822</v>
      </c>
      <c r="D32" s="89">
        <f t="shared" si="3"/>
        <v>12808.400000000001</v>
      </c>
      <c r="E32" s="57"/>
    </row>
    <row r="33" spans="1:7" s="55" customFormat="1" ht="21.75">
      <c r="A33" s="66" t="s">
        <v>237</v>
      </c>
      <c r="B33" s="62">
        <v>60</v>
      </c>
      <c r="C33" s="62" t="s">
        <v>6</v>
      </c>
      <c r="D33" s="89">
        <f>B33*DADOS_INICIAIS!$E$9*1.1</f>
        <v>399245.22</v>
      </c>
      <c r="E33" s="57"/>
    </row>
    <row r="34" spans="1:7" s="55" customFormat="1" ht="21.75">
      <c r="A34" s="318" t="s">
        <v>17</v>
      </c>
      <c r="B34" s="318"/>
      <c r="C34" s="318"/>
      <c r="D34" s="90">
        <f>SUM(D22:D33)</f>
        <v>1126483.71</v>
      </c>
      <c r="E34" s="60"/>
    </row>
    <row r="35" spans="1:7" s="55" customFormat="1" ht="21.75">
      <c r="A35" s="322"/>
      <c r="B35" s="322"/>
      <c r="C35" s="322"/>
      <c r="D35" s="100"/>
      <c r="E35" s="59"/>
    </row>
    <row r="36" spans="1:7" s="55" customFormat="1" ht="21.75">
      <c r="A36" s="52" t="s">
        <v>678</v>
      </c>
      <c r="B36" s="53"/>
      <c r="C36" s="53"/>
      <c r="D36" s="98"/>
      <c r="E36" s="53"/>
    </row>
    <row r="37" spans="1:7" s="55" customFormat="1" ht="21.75">
      <c r="A37" s="56"/>
      <c r="B37" s="57"/>
      <c r="C37" s="57"/>
      <c r="D37" s="100"/>
      <c r="E37" s="59"/>
    </row>
    <row r="38" spans="1:7" s="55" customFormat="1" ht="42" customHeight="1">
      <c r="A38" s="63" t="s">
        <v>14</v>
      </c>
      <c r="B38" s="323" t="s">
        <v>5</v>
      </c>
      <c r="C38" s="324"/>
      <c r="D38" s="90" t="s">
        <v>16</v>
      </c>
      <c r="E38" s="59"/>
    </row>
    <row r="39" spans="1:7" s="55" customFormat="1" ht="26.25" customHeight="1">
      <c r="A39" s="70" t="s">
        <v>679</v>
      </c>
      <c r="B39" s="62">
        <v>20</v>
      </c>
      <c r="C39" s="62" t="s">
        <v>6</v>
      </c>
      <c r="D39" s="89">
        <f>SUM(D40:D41)</f>
        <v>100986.66336000001</v>
      </c>
      <c r="E39" s="57"/>
    </row>
    <row r="40" spans="1:7" s="55" customFormat="1" ht="26.25" customHeight="1">
      <c r="A40" s="70" t="s">
        <v>693</v>
      </c>
      <c r="B40" s="62">
        <v>60</v>
      </c>
      <c r="C40" s="62">
        <v>1683.1110560000002</v>
      </c>
      <c r="D40" s="89">
        <f>B40*C40</f>
        <v>100986.66336000001</v>
      </c>
      <c r="E40" s="57"/>
    </row>
    <row r="41" spans="1:7" s="55" customFormat="1" ht="26.25" customHeight="1">
      <c r="A41" s="70" t="s">
        <v>694</v>
      </c>
      <c r="B41" s="62">
        <v>59</v>
      </c>
      <c r="C41" s="62">
        <v>1812.59</v>
      </c>
      <c r="D41" s="89"/>
      <c r="E41" s="57"/>
    </row>
    <row r="42" spans="1:7" s="55" customFormat="1" ht="26.25" customHeight="1">
      <c r="A42" s="70" t="s">
        <v>680</v>
      </c>
      <c r="B42" s="62">
        <v>30</v>
      </c>
      <c r="C42" s="62" t="s">
        <v>6</v>
      </c>
      <c r="D42" s="89">
        <f>B42*DADOS_INICIAIS!$E$9*1.1</f>
        <v>199622.61</v>
      </c>
      <c r="E42" s="57"/>
    </row>
    <row r="43" spans="1:7" s="55" customFormat="1" ht="26.25" customHeight="1">
      <c r="A43" s="70" t="s">
        <v>692</v>
      </c>
      <c r="B43" s="62">
        <v>16</v>
      </c>
      <c r="C43" s="62" t="s">
        <v>6</v>
      </c>
      <c r="D43" s="89"/>
      <c r="E43" s="57"/>
      <c r="F43" s="55">
        <f>1.3*0.55*38</f>
        <v>27.17</v>
      </c>
    </row>
    <row r="44" spans="1:7" s="55" customFormat="1" ht="26.25" customHeight="1">
      <c r="A44" s="70" t="s">
        <v>25</v>
      </c>
      <c r="B44" s="62">
        <v>10</v>
      </c>
      <c r="C44" s="62" t="s">
        <v>6</v>
      </c>
      <c r="D44" s="89">
        <f>B44*DADOS_INICIAIS!$E$9*1.1</f>
        <v>66540.87</v>
      </c>
      <c r="E44" s="57"/>
      <c r="F44" s="55">
        <f>F43*1.5</f>
        <v>40.755000000000003</v>
      </c>
      <c r="G44" s="55">
        <f>F44*2500</f>
        <v>101887.5</v>
      </c>
    </row>
    <row r="45" spans="1:7" s="55" customFormat="1" ht="21.75">
      <c r="A45" s="318" t="s">
        <v>17</v>
      </c>
      <c r="B45" s="318"/>
      <c r="C45" s="318"/>
      <c r="D45" s="90">
        <f>SUM(D40:D44)</f>
        <v>367150.14335999999</v>
      </c>
      <c r="E45" s="60">
        <f>D45/DADOS_INICIAIS!E9</f>
        <v>60.694300765228952</v>
      </c>
    </row>
    <row r="46" spans="1:7" s="55" customFormat="1" ht="21.75">
      <c r="A46" s="322"/>
      <c r="B46" s="322"/>
      <c r="C46" s="322"/>
      <c r="D46" s="100"/>
      <c r="E46" s="59"/>
    </row>
    <row r="47" spans="1:7" s="55" customFormat="1" ht="21.75">
      <c r="A47" s="52" t="s">
        <v>236</v>
      </c>
      <c r="B47" s="53"/>
      <c r="C47" s="53"/>
      <c r="D47" s="98"/>
      <c r="E47" s="53"/>
    </row>
    <row r="48" spans="1:7" s="55" customFormat="1" ht="21.75">
      <c r="A48" s="56"/>
      <c r="B48" s="57"/>
      <c r="C48" s="57"/>
      <c r="D48" s="100"/>
      <c r="E48" s="59"/>
    </row>
    <row r="49" spans="1:9" s="55" customFormat="1" ht="42" customHeight="1">
      <c r="A49" s="63" t="s">
        <v>14</v>
      </c>
      <c r="B49" s="323" t="s">
        <v>5</v>
      </c>
      <c r="C49" s="324"/>
      <c r="D49" s="90" t="s">
        <v>16</v>
      </c>
      <c r="E49" s="59"/>
    </row>
    <row r="50" spans="1:9" s="55" customFormat="1" ht="26.25" customHeight="1">
      <c r="A50" s="70" t="s">
        <v>683</v>
      </c>
      <c r="B50" s="62">
        <v>4</v>
      </c>
      <c r="C50" s="62" t="s">
        <v>6</v>
      </c>
      <c r="D50" s="89">
        <f>B50*DADOS_INICIAIS!$E$9*1.1</f>
        <v>26616.347999999998</v>
      </c>
      <c r="E50" s="57"/>
    </row>
    <row r="51" spans="1:9" s="55" customFormat="1" ht="26.25" customHeight="1">
      <c r="A51" s="66" t="s">
        <v>682</v>
      </c>
      <c r="B51" s="67">
        <v>2</v>
      </c>
      <c r="C51" s="300">
        <v>2000</v>
      </c>
      <c r="D51" s="89">
        <f t="shared" ref="D51" si="4">B51*C51*1.1</f>
        <v>4400</v>
      </c>
      <c r="E51" s="57" t="s">
        <v>673</v>
      </c>
    </row>
    <row r="52" spans="1:9" s="55" customFormat="1" ht="26.25" customHeight="1">
      <c r="A52" s="70" t="s">
        <v>684</v>
      </c>
      <c r="B52" s="62">
        <v>2.5</v>
      </c>
      <c r="C52" s="62" t="s">
        <v>6</v>
      </c>
      <c r="D52" s="89">
        <f>B52*DADOS_INICIAIS!$E$9*1.1</f>
        <v>16635.217499999999</v>
      </c>
      <c r="E52" s="57"/>
    </row>
    <row r="53" spans="1:9" s="55" customFormat="1" ht="26.25" customHeight="1">
      <c r="A53" s="70" t="s">
        <v>685</v>
      </c>
      <c r="B53" s="62">
        <v>0.5</v>
      </c>
      <c r="C53" s="62" t="s">
        <v>6</v>
      </c>
      <c r="D53" s="89">
        <f>B53*DADOS_INICIAIS!$E$9*1.1</f>
        <v>3327.0434999999998</v>
      </c>
      <c r="E53" s="57"/>
    </row>
    <row r="54" spans="1:9" s="55" customFormat="1" ht="21.75">
      <c r="A54" s="70" t="s">
        <v>234</v>
      </c>
      <c r="B54" s="62">
        <v>4</v>
      </c>
      <c r="C54" s="62" t="s">
        <v>6</v>
      </c>
      <c r="D54" s="89">
        <f>B54*DADOS_INICIAIS!$E$9*1.1</f>
        <v>26616.347999999998</v>
      </c>
      <c r="E54" s="57"/>
    </row>
    <row r="55" spans="1:9" s="55" customFormat="1" ht="21.75">
      <c r="A55" s="70" t="s">
        <v>681</v>
      </c>
      <c r="B55" s="62">
        <v>8</v>
      </c>
      <c r="C55" s="62"/>
      <c r="D55" s="89">
        <f>B55*DADOS_INICIAIS!$E$9*1.1</f>
        <v>53232.695999999996</v>
      </c>
      <c r="E55" s="57"/>
    </row>
    <row r="56" spans="1:9" s="55" customFormat="1" ht="26.25" customHeight="1">
      <c r="A56" s="70" t="s">
        <v>235</v>
      </c>
      <c r="B56" s="62">
        <v>5</v>
      </c>
      <c r="C56" s="62" t="s">
        <v>6</v>
      </c>
      <c r="D56" s="89">
        <f>B56*DADOS_INICIAIS!$E$9*1.1</f>
        <v>33270.434999999998</v>
      </c>
      <c r="E56" s="57"/>
    </row>
    <row r="57" spans="1:9" s="55" customFormat="1" ht="21.75">
      <c r="A57" s="70" t="s">
        <v>25</v>
      </c>
      <c r="B57" s="62">
        <v>12</v>
      </c>
      <c r="C57" s="62"/>
      <c r="D57" s="89">
        <f>B57*DADOS_INICIAIS!$E$9*1.1</f>
        <v>79849.043999999994</v>
      </c>
      <c r="E57" s="57"/>
    </row>
    <row r="58" spans="1:9" s="55" customFormat="1" ht="21.75">
      <c r="A58" s="318" t="s">
        <v>17</v>
      </c>
      <c r="B58" s="318"/>
      <c r="C58" s="318"/>
      <c r="D58" s="90">
        <f>SUM(D50:D57)</f>
        <v>243947.13199999998</v>
      </c>
      <c r="E58" s="60"/>
    </row>
    <row r="59" spans="1:9">
      <c r="D59" s="107"/>
      <c r="I59" s="47"/>
    </row>
    <row r="60" spans="1:9" ht="23.25" customHeight="1">
      <c r="A60" s="315" t="s">
        <v>233</v>
      </c>
      <c r="B60" s="316"/>
      <c r="C60" s="316"/>
      <c r="D60" s="108">
        <f>D17+D34+D58+D45</f>
        <v>3576120.0043599997</v>
      </c>
      <c r="E60" s="108">
        <f>D60/DADOS_INICIAIS!E9</f>
        <v>591.17531898756363</v>
      </c>
    </row>
    <row r="62" spans="1:9">
      <c r="E62" s="199">
        <f>E60/1.1</f>
        <v>537.43210817051238</v>
      </c>
    </row>
  </sheetData>
  <mergeCells count="13">
    <mergeCell ref="A60:C60"/>
    <mergeCell ref="A58:C58"/>
    <mergeCell ref="A2:E2"/>
    <mergeCell ref="A17:C17"/>
    <mergeCell ref="A18:C18"/>
    <mergeCell ref="B6:C6"/>
    <mergeCell ref="B21:C21"/>
    <mergeCell ref="B49:C49"/>
    <mergeCell ref="A34:C34"/>
    <mergeCell ref="A35:C35"/>
    <mergeCell ref="B38:C38"/>
    <mergeCell ref="A46:C46"/>
    <mergeCell ref="A45:C4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L51"/>
  <sheetViews>
    <sheetView showGridLines="0" topLeftCell="A26" zoomScale="85" zoomScaleNormal="85" zoomScaleSheetLayoutView="95" workbookViewId="0">
      <selection activeCell="C40" sqref="C40"/>
    </sheetView>
  </sheetViews>
  <sheetFormatPr defaultColWidth="9.140625" defaultRowHeight="19.5"/>
  <cols>
    <col min="1" max="1" width="53" style="45" bestFit="1" customWidth="1"/>
    <col min="2" max="4" width="27" style="45" customWidth="1"/>
    <col min="5" max="5" width="14" style="45" customWidth="1"/>
    <col min="6" max="6" width="17.28515625" style="1" bestFit="1" customWidth="1"/>
    <col min="7" max="16384" width="9.140625" style="1"/>
  </cols>
  <sheetData>
    <row r="1" spans="1:12">
      <c r="A1" s="48"/>
      <c r="B1" s="48"/>
      <c r="C1" s="48"/>
      <c r="D1" s="48"/>
      <c r="E1" s="48"/>
      <c r="G1" s="2"/>
    </row>
    <row r="2" spans="1:12" ht="28.5">
      <c r="A2" s="319" t="s">
        <v>268</v>
      </c>
      <c r="B2" s="320"/>
      <c r="C2" s="320"/>
      <c r="D2" s="320"/>
      <c r="E2" s="321"/>
      <c r="G2" s="2"/>
    </row>
    <row r="3" spans="1:12">
      <c r="A3" s="50"/>
      <c r="B3" s="50"/>
      <c r="C3" s="50"/>
      <c r="D3" s="48"/>
      <c r="E3" s="48"/>
      <c r="G3" s="2"/>
    </row>
    <row r="4" spans="1:12" s="55" customFormat="1" ht="21.75">
      <c r="A4" s="52" t="s">
        <v>267</v>
      </c>
      <c r="B4" s="53"/>
      <c r="C4" s="53"/>
      <c r="D4" s="53"/>
      <c r="E4" s="53"/>
    </row>
    <row r="5" spans="1:12" s="55" customFormat="1" ht="21.75">
      <c r="A5" s="56"/>
      <c r="B5" s="57"/>
      <c r="C5" s="57"/>
      <c r="D5" s="59"/>
      <c r="E5" s="59"/>
    </row>
    <row r="6" spans="1:12" s="55" customFormat="1" ht="42" customHeight="1">
      <c r="A6" s="63" t="s">
        <v>14</v>
      </c>
      <c r="B6" s="65" t="s">
        <v>18</v>
      </c>
      <c r="C6" s="71" t="s">
        <v>259</v>
      </c>
      <c r="D6" s="71" t="s">
        <v>16</v>
      </c>
      <c r="E6" s="59"/>
      <c r="G6" s="55" t="s">
        <v>422</v>
      </c>
      <c r="H6" s="55" t="s">
        <v>199</v>
      </c>
      <c r="I6" s="55" t="s">
        <v>356</v>
      </c>
      <c r="J6" s="55" t="s">
        <v>354</v>
      </c>
      <c r="K6" s="55" t="s">
        <v>357</v>
      </c>
      <c r="L6" s="55" t="s">
        <v>355</v>
      </c>
    </row>
    <row r="7" spans="1:12" s="55" customFormat="1" ht="43.5">
      <c r="A7" s="66" t="s">
        <v>514</v>
      </c>
      <c r="B7" s="67">
        <f>DADOS_INICIAIS!E9</f>
        <v>6049.1699999999992</v>
      </c>
      <c r="C7" s="188">
        <v>210</v>
      </c>
      <c r="D7" s="89">
        <f t="shared" ref="D7:D12" si="0">B7*C7*1.1</f>
        <v>1397358.2699999998</v>
      </c>
      <c r="E7" s="57"/>
      <c r="G7" s="55">
        <v>14</v>
      </c>
      <c r="H7" s="55">
        <f>1+17</f>
        <v>18</v>
      </c>
      <c r="I7" s="55">
        <f>17</f>
        <v>17</v>
      </c>
      <c r="J7" s="55">
        <v>18</v>
      </c>
      <c r="K7" s="55">
        <v>18</v>
      </c>
    </row>
    <row r="8" spans="1:12" s="55" customFormat="1" ht="43.5">
      <c r="A8" s="66" t="s">
        <v>763</v>
      </c>
      <c r="B8" s="67">
        <f>SUM(G8:O8)</f>
        <v>85</v>
      </c>
      <c r="C8" s="188">
        <v>2582</v>
      </c>
      <c r="D8" s="89">
        <f t="shared" si="0"/>
        <v>241417.00000000003</v>
      </c>
      <c r="E8" s="57"/>
      <c r="G8" s="55">
        <v>14</v>
      </c>
      <c r="H8" s="55">
        <f>1+17</f>
        <v>18</v>
      </c>
      <c r="I8" s="55">
        <f>17</f>
        <v>17</v>
      </c>
      <c r="J8" s="55">
        <v>18</v>
      </c>
      <c r="K8" s="55">
        <v>18</v>
      </c>
    </row>
    <row r="9" spans="1:12" s="55" customFormat="1" ht="43.5">
      <c r="A9" s="66" t="s">
        <v>762</v>
      </c>
      <c r="B9" s="67">
        <v>16</v>
      </c>
      <c r="C9" s="188">
        <f>132780</f>
        <v>132780</v>
      </c>
      <c r="D9" s="89">
        <f t="shared" si="0"/>
        <v>2336928</v>
      </c>
      <c r="E9" s="57"/>
      <c r="F9" s="94"/>
    </row>
    <row r="10" spans="1:12" s="55" customFormat="1" ht="21.75">
      <c r="A10" s="66" t="s">
        <v>764</v>
      </c>
      <c r="B10" s="67">
        <v>4</v>
      </c>
      <c r="C10" s="188">
        <v>32915</v>
      </c>
      <c r="D10" s="89">
        <f t="shared" si="0"/>
        <v>144826</v>
      </c>
      <c r="E10" s="57"/>
    </row>
    <row r="11" spans="1:12" s="55" customFormat="1" ht="21.75">
      <c r="A11" s="66" t="s">
        <v>765</v>
      </c>
      <c r="B11" s="67">
        <v>1</v>
      </c>
      <c r="C11" s="188">
        <f>603450</f>
        <v>603450</v>
      </c>
      <c r="D11" s="89">
        <f t="shared" si="0"/>
        <v>663795</v>
      </c>
      <c r="E11" s="57"/>
    </row>
    <row r="12" spans="1:12" s="55" customFormat="1" ht="21.75">
      <c r="A12" s="66" t="s">
        <v>515</v>
      </c>
      <c r="B12" s="67">
        <f>DADOS_INICIAIS!E21+2</f>
        <v>38</v>
      </c>
      <c r="C12" s="188">
        <v>1100</v>
      </c>
      <c r="D12" s="89">
        <f t="shared" si="0"/>
        <v>45980.000000000007</v>
      </c>
      <c r="E12" s="57"/>
    </row>
    <row r="13" spans="1:12" s="55" customFormat="1" ht="21.75">
      <c r="A13" s="66" t="s">
        <v>766</v>
      </c>
      <c r="B13" s="67">
        <v>5</v>
      </c>
      <c r="C13" s="188">
        <f>D13/B13</f>
        <v>38500.000000000007</v>
      </c>
      <c r="D13" s="89">
        <v>192500.00000000003</v>
      </c>
      <c r="E13" s="57"/>
    </row>
    <row r="14" spans="1:12" s="55" customFormat="1" ht="21.75">
      <c r="A14" s="66" t="s">
        <v>266</v>
      </c>
      <c r="B14" s="67">
        <v>0</v>
      </c>
      <c r="C14" s="188">
        <v>2600</v>
      </c>
      <c r="D14" s="89">
        <f>B14*C14*1.1</f>
        <v>0</v>
      </c>
      <c r="E14" s="57"/>
    </row>
    <row r="15" spans="1:12" s="55" customFormat="1" ht="21.75">
      <c r="A15" s="318" t="s">
        <v>17</v>
      </c>
      <c r="B15" s="318"/>
      <c r="C15" s="318"/>
      <c r="D15" s="90">
        <f>SUM(D7:D14)</f>
        <v>5022804.2699999996</v>
      </c>
      <c r="E15" s="60"/>
    </row>
    <row r="16" spans="1:12" s="55" customFormat="1" ht="21.75">
      <c r="A16" s="322"/>
      <c r="B16" s="322"/>
      <c r="C16" s="322"/>
      <c r="D16" s="59"/>
      <c r="E16" s="59"/>
    </row>
    <row r="17" spans="1:5" s="55" customFormat="1" ht="21.75">
      <c r="A17" s="52" t="s">
        <v>265</v>
      </c>
      <c r="B17" s="53"/>
      <c r="C17" s="53"/>
      <c r="D17" s="53"/>
      <c r="E17" s="53"/>
    </row>
    <row r="18" spans="1:5" s="55" customFormat="1" ht="21.75">
      <c r="A18" s="56"/>
      <c r="B18" s="57"/>
      <c r="C18" s="57"/>
      <c r="D18" s="59"/>
      <c r="E18" s="59"/>
    </row>
    <row r="19" spans="1:5" s="55" customFormat="1" ht="42" customHeight="1">
      <c r="A19" s="63" t="s">
        <v>14</v>
      </c>
      <c r="B19" s="323" t="s">
        <v>5</v>
      </c>
      <c r="C19" s="324"/>
      <c r="D19" s="71" t="s">
        <v>16</v>
      </c>
      <c r="E19" s="59"/>
    </row>
    <row r="20" spans="1:5" s="55" customFormat="1" ht="21.75">
      <c r="A20" s="66" t="s">
        <v>264</v>
      </c>
      <c r="B20" s="62">
        <v>10</v>
      </c>
      <c r="C20" s="62" t="s">
        <v>6</v>
      </c>
      <c r="D20" s="89">
        <f>B20*DADOS_INICIAIS!E9*1.1</f>
        <v>66540.87</v>
      </c>
      <c r="E20" s="57"/>
    </row>
    <row r="21" spans="1:5" s="55" customFormat="1" ht="21.75">
      <c r="A21" s="66" t="s">
        <v>263</v>
      </c>
      <c r="B21" s="62">
        <v>4</v>
      </c>
      <c r="C21" s="62" t="s">
        <v>6</v>
      </c>
      <c r="D21" s="89">
        <f>B21*DADOS_INICIAIS!E9*1.1</f>
        <v>26616.347999999998</v>
      </c>
      <c r="E21" s="57"/>
    </row>
    <row r="22" spans="1:5" s="55" customFormat="1" ht="21.75">
      <c r="A22" s="66" t="s">
        <v>686</v>
      </c>
      <c r="B22" s="62">
        <v>2</v>
      </c>
      <c r="C22" s="62" t="s">
        <v>6</v>
      </c>
      <c r="D22" s="89">
        <f>B22*[4]DADOS_INICIAIS!$E$11*1.1</f>
        <v>32325.524000000001</v>
      </c>
      <c r="E22" s="57"/>
    </row>
    <row r="23" spans="1:5" s="55" customFormat="1" ht="21.75">
      <c r="A23" s="66" t="s">
        <v>262</v>
      </c>
      <c r="B23" s="62">
        <v>6</v>
      </c>
      <c r="C23" s="62" t="s">
        <v>6</v>
      </c>
      <c r="D23" s="89">
        <f>B23*DADOS_INICIAIS!E9*1.1</f>
        <v>39924.521999999997</v>
      </c>
      <c r="E23" s="57"/>
    </row>
    <row r="24" spans="1:5" s="55" customFormat="1" ht="43.5">
      <c r="A24" s="66" t="s">
        <v>261</v>
      </c>
      <c r="B24" s="62">
        <v>4</v>
      </c>
      <c r="C24" s="62" t="s">
        <v>6</v>
      </c>
      <c r="D24" s="89">
        <f>B24*DADOS_INICIAIS!E9*1.1</f>
        <v>26616.347999999998</v>
      </c>
      <c r="E24" s="57"/>
    </row>
    <row r="25" spans="1:5" s="55" customFormat="1" ht="21.75">
      <c r="A25" s="318" t="s">
        <v>17</v>
      </c>
      <c r="B25" s="318"/>
      <c r="C25" s="318"/>
      <c r="D25" s="90">
        <f>SUM(D20:D24)</f>
        <v>192023.61199999999</v>
      </c>
      <c r="E25" s="60"/>
    </row>
    <row r="26" spans="1:5" s="55" customFormat="1" ht="21.75">
      <c r="A26" s="322"/>
      <c r="B26" s="322"/>
      <c r="C26" s="322"/>
      <c r="D26" s="59"/>
      <c r="E26" s="59"/>
    </row>
    <row r="27" spans="1:5" s="55" customFormat="1" ht="21.75">
      <c r="A27" s="52" t="s">
        <v>260</v>
      </c>
      <c r="B27" s="53"/>
      <c r="C27" s="53"/>
      <c r="D27" s="53"/>
      <c r="E27" s="53"/>
    </row>
    <row r="28" spans="1:5" s="55" customFormat="1" ht="21.75">
      <c r="A28" s="56"/>
      <c r="B28" s="57"/>
      <c r="C28" s="57"/>
      <c r="D28" s="59"/>
      <c r="E28" s="59"/>
    </row>
    <row r="29" spans="1:5" s="55" customFormat="1" ht="42" customHeight="1">
      <c r="A29" s="63" t="s">
        <v>14</v>
      </c>
      <c r="B29" s="65" t="s">
        <v>18</v>
      </c>
      <c r="C29" s="71" t="s">
        <v>259</v>
      </c>
      <c r="D29" s="71" t="s">
        <v>16</v>
      </c>
      <c r="E29" s="59"/>
    </row>
    <row r="30" spans="1:5" s="55" customFormat="1" ht="26.25" customHeight="1">
      <c r="A30" s="70" t="s">
        <v>258</v>
      </c>
      <c r="B30" s="67">
        <v>3</v>
      </c>
      <c r="C30" s="188">
        <v>151569.28</v>
      </c>
      <c r="D30" s="89">
        <f t="shared" ref="D30:D33" si="1">B30*C30*1.1</f>
        <v>500178.62400000001</v>
      </c>
      <c r="E30" s="299" t="s">
        <v>358</v>
      </c>
    </row>
    <row r="31" spans="1:5" s="55" customFormat="1" ht="26.25" hidden="1" customHeight="1">
      <c r="A31" s="70" t="s">
        <v>336</v>
      </c>
      <c r="B31" s="67">
        <v>0</v>
      </c>
      <c r="C31" s="188">
        <v>350000</v>
      </c>
      <c r="D31" s="89">
        <f t="shared" si="1"/>
        <v>0</v>
      </c>
      <c r="E31" s="57"/>
    </row>
    <row r="32" spans="1:5" s="55" customFormat="1" ht="26.25" hidden="1" customHeight="1">
      <c r="A32" s="70" t="s">
        <v>312</v>
      </c>
      <c r="B32" s="67">
        <v>0</v>
      </c>
      <c r="C32" s="188">
        <f>50*DADOS_INICIAIS!G9</f>
        <v>1377972.5000000002</v>
      </c>
      <c r="D32" s="89">
        <f t="shared" si="1"/>
        <v>0</v>
      </c>
      <c r="E32" s="57"/>
    </row>
    <row r="33" spans="1:9" s="55" customFormat="1" ht="26.25" customHeight="1">
      <c r="A33" s="70" t="s">
        <v>311</v>
      </c>
      <c r="B33" s="67">
        <v>1</v>
      </c>
      <c r="C33" s="188">
        <v>8500</v>
      </c>
      <c r="D33" s="89">
        <f t="shared" si="1"/>
        <v>9350</v>
      </c>
      <c r="E33" s="299"/>
    </row>
    <row r="34" spans="1:9" s="55" customFormat="1" ht="26.25" customHeight="1">
      <c r="A34" s="70" t="s">
        <v>687</v>
      </c>
      <c r="B34" s="67">
        <v>27</v>
      </c>
      <c r="C34" s="188">
        <v>9320</v>
      </c>
      <c r="D34" s="89">
        <f t="shared" ref="D34" si="2">B34*C34*1.1</f>
        <v>276804</v>
      </c>
      <c r="E34" s="299"/>
    </row>
    <row r="35" spans="1:9" s="55" customFormat="1" ht="26.25" customHeight="1">
      <c r="A35" s="70" t="s">
        <v>688</v>
      </c>
      <c r="B35" s="67">
        <v>2</v>
      </c>
      <c r="C35" s="188">
        <v>24980</v>
      </c>
      <c r="D35" s="89">
        <f t="shared" ref="D35" si="3">B35*C35*1.1</f>
        <v>54956.000000000007</v>
      </c>
      <c r="E35" s="299"/>
    </row>
    <row r="36" spans="1:9" s="55" customFormat="1" ht="26.25" customHeight="1">
      <c r="A36" s="70" t="s">
        <v>359</v>
      </c>
      <c r="B36" s="67">
        <v>1</v>
      </c>
      <c r="C36" s="188">
        <v>25000</v>
      </c>
      <c r="D36" s="89">
        <f t="shared" ref="D36" si="4">B36*C36*1.1</f>
        <v>27500.000000000004</v>
      </c>
      <c r="E36" s="299"/>
    </row>
    <row r="37" spans="1:9" s="55" customFormat="1" ht="26.25" customHeight="1">
      <c r="A37" s="70" t="s">
        <v>691</v>
      </c>
      <c r="B37" s="67">
        <v>1</v>
      </c>
      <c r="C37" s="188">
        <v>110000</v>
      </c>
      <c r="D37" s="89">
        <f>B37*C37</f>
        <v>110000</v>
      </c>
      <c r="E37" s="299"/>
    </row>
    <row r="38" spans="1:9" s="55" customFormat="1" ht="26.25" customHeight="1">
      <c r="A38" s="70" t="s">
        <v>512</v>
      </c>
      <c r="B38" s="67">
        <f>DADOS_INICIAIS!E9</f>
        <v>6049.1699999999992</v>
      </c>
      <c r="C38" s="188">
        <v>21.5</v>
      </c>
      <c r="D38" s="89">
        <f>B38*C38*1.1</f>
        <v>143062.87049999999</v>
      </c>
      <c r="E38" s="299"/>
    </row>
    <row r="39" spans="1:9" s="55" customFormat="1" ht="26.25" customHeight="1">
      <c r="A39" s="70" t="s">
        <v>513</v>
      </c>
      <c r="B39" s="67">
        <f>(AMBIENTES!K39+AMBIENTES!K83+AMBIENTES!K86+AMBIENTES!K89+AMBIENTES!K91+AMBIENTES!K94+AMBIENTES!K97+AMBIENTES!K100+AMBIENTES!K103+AMBIENTES!K105+AMBIENTES!K108+AMBIENTES!K119+AMBIENTES!K122+AMBIENTES!K125+AMBIENTES!K127+AMBIENTES!K130+AMBIENTES!K133+AMBIENTES!K134+AMBIENTES!K142+AMBIENTES!K145+AMBIENTES!K148+AMBIENTES!K150+AMBIENTES!K153+AMBIENTES!K156+AMBIENTES!K165+AMBIENTES!K167+AMBIENTES!K169+AMBIENTES!K171+AMBIENTES!K174+AMBIENTES!K176+AMBIENTES!K179+AMBIENTES!K181)*0.8</f>
        <v>188.06399999999996</v>
      </c>
      <c r="C39" s="188">
        <v>280</v>
      </c>
      <c r="D39" s="89">
        <f>B39*C39*1.1</f>
        <v>57923.711999999992</v>
      </c>
      <c r="E39" s="299"/>
    </row>
    <row r="40" spans="1:9" s="55" customFormat="1" ht="26.25" customHeight="1">
      <c r="A40" s="70" t="s">
        <v>255</v>
      </c>
      <c r="B40" s="67">
        <v>2</v>
      </c>
      <c r="C40" s="282">
        <f>36831.3+C41*9</f>
        <v>38181.300000000003</v>
      </c>
      <c r="D40" s="89">
        <f>B40*C40*1.1</f>
        <v>83998.860000000015</v>
      </c>
      <c r="E40" s="299"/>
    </row>
    <row r="41" spans="1:9" s="55" customFormat="1" ht="26.25" customHeight="1">
      <c r="A41" s="70" t="s">
        <v>689</v>
      </c>
      <c r="B41" s="67">
        <f>8+10+2</f>
        <v>20</v>
      </c>
      <c r="C41" s="300">
        <v>150</v>
      </c>
      <c r="D41" s="89">
        <f t="shared" ref="D41" si="5">B41*C41*1.1</f>
        <v>3300.0000000000005</v>
      </c>
      <c r="E41" s="299"/>
    </row>
    <row r="42" spans="1:9" s="55" customFormat="1" ht="26.25" customHeight="1">
      <c r="A42" s="70" t="s">
        <v>690</v>
      </c>
      <c r="B42" s="67">
        <v>2</v>
      </c>
      <c r="C42" s="282">
        <f>25000+2*C41</f>
        <v>25300</v>
      </c>
      <c r="D42" s="89">
        <f>B42*C42*1.1</f>
        <v>55660.000000000007</v>
      </c>
      <c r="E42" s="299"/>
    </row>
    <row r="43" spans="1:9" s="55" customFormat="1" ht="21.75">
      <c r="A43" s="318" t="s">
        <v>17</v>
      </c>
      <c r="B43" s="318"/>
      <c r="C43" s="318"/>
      <c r="D43" s="90">
        <f>SUM(D30:D42)-D41</f>
        <v>1319434.0665000002</v>
      </c>
      <c r="E43" s="60"/>
    </row>
    <row r="44" spans="1:9">
      <c r="I44" s="47"/>
    </row>
    <row r="45" spans="1:9" s="55" customFormat="1" ht="21.75">
      <c r="A45" s="52" t="s">
        <v>254</v>
      </c>
      <c r="B45" s="53"/>
      <c r="C45" s="53"/>
      <c r="D45" s="53"/>
      <c r="E45" s="53"/>
    </row>
    <row r="46" spans="1:9" s="55" customFormat="1" ht="21.75">
      <c r="A46" s="56"/>
      <c r="B46" s="57"/>
      <c r="C46" s="57"/>
      <c r="D46" s="59"/>
      <c r="E46" s="59"/>
    </row>
    <row r="47" spans="1:9" s="55" customFormat="1" ht="40.5" customHeight="1">
      <c r="A47" s="63" t="s">
        <v>14</v>
      </c>
      <c r="B47" s="323" t="s">
        <v>5</v>
      </c>
      <c r="C47" s="324"/>
      <c r="D47" s="71" t="s">
        <v>16</v>
      </c>
      <c r="E47" s="59"/>
    </row>
    <row r="48" spans="1:9" s="55" customFormat="1" ht="26.25" customHeight="1">
      <c r="A48" s="70" t="s">
        <v>253</v>
      </c>
      <c r="B48" s="62">
        <v>30</v>
      </c>
      <c r="C48" s="62" t="s">
        <v>6</v>
      </c>
      <c r="D48" s="89">
        <f>B48*DADOS_INICIAIS!E9*1.1</f>
        <v>199622.61</v>
      </c>
      <c r="E48" s="102"/>
    </row>
    <row r="49" spans="1:9" s="55" customFormat="1" ht="21.75">
      <c r="A49" s="318" t="s">
        <v>17</v>
      </c>
      <c r="B49" s="318"/>
      <c r="C49" s="318"/>
      <c r="D49" s="90">
        <f>SUM(D48:D48)</f>
        <v>199622.61</v>
      </c>
      <c r="E49" s="103"/>
    </row>
    <row r="50" spans="1:9">
      <c r="D50" s="107"/>
      <c r="E50" s="107"/>
      <c r="I50" s="47"/>
    </row>
    <row r="51" spans="1:9" ht="23.25" customHeight="1">
      <c r="A51" s="315" t="s">
        <v>252</v>
      </c>
      <c r="B51" s="316"/>
      <c r="C51" s="317"/>
      <c r="D51" s="108">
        <f>D15+D25+D43+D49</f>
        <v>6733884.5585000003</v>
      </c>
      <c r="E51" s="108">
        <f>D51/DADOS_INICIAIS!E9</f>
        <v>1113.1914888323524</v>
      </c>
    </row>
  </sheetData>
  <mergeCells count="10">
    <mergeCell ref="A43:C43"/>
    <mergeCell ref="A51:C51"/>
    <mergeCell ref="B47:C47"/>
    <mergeCell ref="A49:C49"/>
    <mergeCell ref="A2:E2"/>
    <mergeCell ref="A15:C15"/>
    <mergeCell ref="A16:C16"/>
    <mergeCell ref="B19:C1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4"/>
  <sheetViews>
    <sheetView showGridLines="0" topLeftCell="A7" zoomScale="80" zoomScaleNormal="80" zoomScaleSheetLayoutView="95" workbookViewId="0">
      <selection activeCell="A21" sqref="A21:F21"/>
    </sheetView>
  </sheetViews>
  <sheetFormatPr defaultColWidth="9.140625" defaultRowHeight="1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227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226</v>
      </c>
      <c r="B10" s="62">
        <v>25</v>
      </c>
      <c r="C10" s="62" t="s">
        <v>171</v>
      </c>
      <c r="D10" s="67">
        <f>D14+D15</f>
        <v>2949.0931999999998</v>
      </c>
      <c r="E10" s="67" t="s">
        <v>2</v>
      </c>
      <c r="F10" s="88">
        <v>22</v>
      </c>
      <c r="G10" s="89">
        <f t="shared" ref="G10:G18" si="0">F10*D10*1.1</f>
        <v>71368.055439999996</v>
      </c>
      <c r="H10" s="67"/>
    </row>
    <row r="11" spans="1:10" ht="21.75">
      <c r="A11" s="78" t="s">
        <v>225</v>
      </c>
      <c r="B11" s="62">
        <v>45</v>
      </c>
      <c r="C11" s="62" t="s">
        <v>171</v>
      </c>
      <c r="D11" s="67">
        <f>((2.15*2.15)+(2.15+2.15)*2*1.8)*3</f>
        <v>60.307499999999997</v>
      </c>
      <c r="E11" s="67" t="s">
        <v>2</v>
      </c>
      <c r="F11" s="88">
        <v>41</v>
      </c>
      <c r="G11" s="89">
        <f t="shared" si="0"/>
        <v>2719.8682500000004</v>
      </c>
      <c r="H11" s="67"/>
    </row>
    <row r="12" spans="1:10" ht="21.75">
      <c r="A12" s="78" t="s">
        <v>224</v>
      </c>
      <c r="B12" s="62">
        <v>30</v>
      </c>
      <c r="C12" s="62" t="s">
        <v>171</v>
      </c>
      <c r="D12" s="67">
        <f>INFRAESTRUTURA!D28</f>
        <v>2132.0500000000002</v>
      </c>
      <c r="E12" s="67" t="s">
        <v>2</v>
      </c>
      <c r="F12" s="88">
        <v>35</v>
      </c>
      <c r="G12" s="89">
        <f t="shared" si="0"/>
        <v>82083.925000000003</v>
      </c>
      <c r="H12" s="67"/>
    </row>
    <row r="13" spans="1:10" ht="21.75">
      <c r="A13" s="66" t="s">
        <v>223</v>
      </c>
      <c r="B13" s="62">
        <v>0.4</v>
      </c>
      <c r="C13" s="62" t="s">
        <v>6</v>
      </c>
      <c r="D13" s="67">
        <v>1</v>
      </c>
      <c r="E13" s="67" t="s">
        <v>27</v>
      </c>
      <c r="F13" s="88">
        <f>B13*DADOS_INICIAIS!E9</f>
        <v>2419.6679999999997</v>
      </c>
      <c r="G13" s="89">
        <f t="shared" si="0"/>
        <v>2661.6347999999998</v>
      </c>
      <c r="H13" s="67"/>
    </row>
    <row r="14" spans="1:10" ht="21.75">
      <c r="A14" s="66" t="s">
        <v>222</v>
      </c>
      <c r="B14" s="62">
        <v>0.3</v>
      </c>
      <c r="C14" s="62" t="s">
        <v>37</v>
      </c>
      <c r="D14" s="67">
        <f>B14*DADOS_INICIAIS!$E$9</f>
        <v>1814.7509999999997</v>
      </c>
      <c r="E14" s="67" t="s">
        <v>2</v>
      </c>
      <c r="F14" s="88">
        <v>60</v>
      </c>
      <c r="G14" s="89">
        <f>F14*D14</f>
        <v>108885.05999999998</v>
      </c>
      <c r="H14" s="67"/>
    </row>
    <row r="15" spans="1:10" ht="21.75">
      <c r="A15" s="66" t="s">
        <v>221</v>
      </c>
      <c r="B15" s="62">
        <v>0.1</v>
      </c>
      <c r="C15" s="62" t="s">
        <v>37</v>
      </c>
      <c r="D15" s="67">
        <f>AMBIENTES!K46+AMBIENTES!K47+AMBIENTES!K48+AMBIENTES!K69+AMBIENTES!K115+AMBIENTES!K139+AMBIENTES!K140+AMBIENTES!K188</f>
        <v>1134.3422</v>
      </c>
      <c r="E15" s="67" t="s">
        <v>2</v>
      </c>
      <c r="F15" s="88">
        <v>150</v>
      </c>
      <c r="G15" s="89">
        <f t="shared" si="0"/>
        <v>187166.46300000005</v>
      </c>
      <c r="H15" s="67"/>
    </row>
    <row r="16" spans="1:10" ht="21.75">
      <c r="A16" s="66" t="s">
        <v>220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B16*DADOS_INICIAIS!E9</f>
        <v>3629.5019999999995</v>
      </c>
      <c r="G16" s="89">
        <f t="shared" si="0"/>
        <v>3992.4521999999997</v>
      </c>
      <c r="H16" s="67"/>
    </row>
    <row r="17" spans="1:12" ht="21.75">
      <c r="A17" s="66" t="s">
        <v>383</v>
      </c>
      <c r="B17" s="62"/>
      <c r="C17" s="62"/>
      <c r="D17" s="67"/>
      <c r="E17" s="67" t="s">
        <v>382</v>
      </c>
      <c r="F17" s="88">
        <v>60</v>
      </c>
      <c r="G17" s="89">
        <f t="shared" si="0"/>
        <v>0</v>
      </c>
      <c r="H17" s="67"/>
    </row>
    <row r="18" spans="1:12" ht="21.75">
      <c r="A18" s="66" t="s">
        <v>219</v>
      </c>
      <c r="B18" s="62">
        <v>28</v>
      </c>
      <c r="C18" s="62" t="s">
        <v>171</v>
      </c>
      <c r="D18" s="67">
        <f>D15</f>
        <v>1134.3422</v>
      </c>
      <c r="E18" s="67" t="s">
        <v>2</v>
      </c>
      <c r="F18" s="88">
        <v>28</v>
      </c>
      <c r="G18" s="89">
        <f t="shared" si="0"/>
        <v>34937.739760000004</v>
      </c>
      <c r="H18" s="67"/>
    </row>
    <row r="19" spans="1:12" ht="21.75">
      <c r="A19" s="318" t="s">
        <v>17</v>
      </c>
      <c r="B19" s="318"/>
      <c r="C19" s="318"/>
      <c r="D19" s="318"/>
      <c r="E19" s="318"/>
      <c r="F19" s="318"/>
      <c r="G19" s="90">
        <f>SUM(G10:G18)</f>
        <v>493815.19845000008</v>
      </c>
      <c r="H19" s="90"/>
      <c r="K19" s="55">
        <f>4160+1440+1120+2880+4800+91680+4000</f>
        <v>110080</v>
      </c>
      <c r="L19" s="55">
        <f>K19/21</f>
        <v>5241.9047619047615</v>
      </c>
    </row>
    <row r="21" spans="1:12" ht="21.75">
      <c r="A21" s="328" t="s">
        <v>218</v>
      </c>
      <c r="B21" s="329"/>
      <c r="C21" s="329"/>
      <c r="D21" s="329"/>
      <c r="E21" s="329"/>
      <c r="F21" s="330"/>
      <c r="G21" s="91">
        <f>G19</f>
        <v>493815.19845000008</v>
      </c>
      <c r="H21" s="91">
        <f>G21/DADOS_INICIAIS!E9</f>
        <v>81.633546164184537</v>
      </c>
    </row>
    <row r="24" spans="1:12">
      <c r="H24" s="198">
        <f>H21/1.1</f>
        <v>74.212314694713214</v>
      </c>
    </row>
  </sheetData>
  <mergeCells count="5">
    <mergeCell ref="A21:F21"/>
    <mergeCell ref="A3:H3"/>
    <mergeCell ref="B9:C9"/>
    <mergeCell ref="D9:E9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72A7-E179-4162-B392-A85F2B838B6F}">
  <dimension ref="C1:H84"/>
  <sheetViews>
    <sheetView topLeftCell="A66" workbookViewId="0">
      <selection activeCell="I80" sqref="I80"/>
    </sheetView>
  </sheetViews>
  <sheetFormatPr defaultRowHeight="15"/>
  <cols>
    <col min="3" max="3" width="128" customWidth="1"/>
    <col min="5" max="5" width="11" bestFit="1" customWidth="1"/>
    <col min="7" max="7" width="10" bestFit="1" customWidth="1"/>
  </cols>
  <sheetData>
    <row r="1" spans="3:7" ht="15.75" thickBot="1">
      <c r="C1" t="s">
        <v>575</v>
      </c>
    </row>
    <row r="2" spans="3:7" ht="23.25" thickBot="1">
      <c r="C2" s="290" t="s">
        <v>14</v>
      </c>
      <c r="D2" s="290" t="s">
        <v>571</v>
      </c>
      <c r="E2" s="290" t="s">
        <v>572</v>
      </c>
      <c r="F2" s="290" t="s">
        <v>118</v>
      </c>
      <c r="G2" s="290" t="s">
        <v>573</v>
      </c>
    </row>
    <row r="3" spans="3:7" ht="15.75" thickBot="1">
      <c r="C3" s="289" t="s">
        <v>576</v>
      </c>
      <c r="D3" s="289" t="s">
        <v>385</v>
      </c>
      <c r="E3" s="289">
        <v>1.0529999999999999</v>
      </c>
      <c r="F3" s="289">
        <v>13.92</v>
      </c>
      <c r="G3" s="289">
        <f t="shared" ref="G3:G14" si="0">F3*E3</f>
        <v>14.65776</v>
      </c>
    </row>
    <row r="4" spans="3:7" ht="15.75" thickBot="1">
      <c r="C4" s="289" t="s">
        <v>560</v>
      </c>
      <c r="D4" s="289" t="s">
        <v>385</v>
      </c>
      <c r="E4" s="289">
        <v>1.0529999999999999</v>
      </c>
      <c r="F4" s="289">
        <v>9.5417000000000005</v>
      </c>
      <c r="G4" s="289">
        <f>F4*E4</f>
        <v>10.0474101</v>
      </c>
    </row>
    <row r="5" spans="3:7" ht="15.75" thickBot="1">
      <c r="C5" s="289" t="s">
        <v>561</v>
      </c>
      <c r="D5" s="289" t="s">
        <v>574</v>
      </c>
      <c r="E5" s="289">
        <v>4.95</v>
      </c>
      <c r="F5" s="289">
        <v>0.504</v>
      </c>
      <c r="G5" s="289">
        <f t="shared" si="0"/>
        <v>2.4948000000000001</v>
      </c>
    </row>
    <row r="6" spans="3:7" ht="15.75" thickBot="1">
      <c r="C6" s="289" t="s">
        <v>562</v>
      </c>
      <c r="D6" s="289" t="s">
        <v>26</v>
      </c>
      <c r="E6" s="289">
        <v>1.0978000000000001</v>
      </c>
      <c r="F6" s="289">
        <v>2.173</v>
      </c>
      <c r="G6" s="289">
        <f t="shared" si="0"/>
        <v>2.3855194000000002</v>
      </c>
    </row>
    <row r="7" spans="3:7" ht="15.75" thickBot="1">
      <c r="C7" s="289" t="s">
        <v>563</v>
      </c>
      <c r="D7" s="289" t="s">
        <v>385</v>
      </c>
      <c r="E7" s="289">
        <v>2.5026999999999999</v>
      </c>
      <c r="F7" s="289">
        <v>0.28000000000000003</v>
      </c>
      <c r="G7" s="289">
        <f t="shared" si="0"/>
        <v>0.70075600000000005</v>
      </c>
    </row>
    <row r="8" spans="3:7" ht="15.75" thickBot="1">
      <c r="C8" s="289" t="s">
        <v>565</v>
      </c>
      <c r="D8" s="289" t="s">
        <v>385</v>
      </c>
      <c r="E8" s="289">
        <v>1.4815</v>
      </c>
      <c r="F8" s="289">
        <v>10</v>
      </c>
      <c r="G8" s="289">
        <f t="shared" si="0"/>
        <v>14.815000000000001</v>
      </c>
    </row>
    <row r="9" spans="3:7" ht="15.75" thickBot="1">
      <c r="C9" s="289" t="s">
        <v>566</v>
      </c>
      <c r="D9" s="289" t="s">
        <v>574</v>
      </c>
      <c r="E9" s="289">
        <v>20.186800000000002</v>
      </c>
      <c r="F9" s="289">
        <v>0.09</v>
      </c>
      <c r="G9" s="289">
        <f t="shared" si="0"/>
        <v>1.8168120000000001</v>
      </c>
    </row>
    <row r="10" spans="3:7" ht="15.75" thickBot="1">
      <c r="C10" s="289" t="s">
        <v>567</v>
      </c>
      <c r="D10" s="289" t="s">
        <v>574</v>
      </c>
      <c r="E10" s="289">
        <v>0.4803</v>
      </c>
      <c r="F10" s="289">
        <v>0.2</v>
      </c>
      <c r="G10" s="289">
        <f t="shared" si="0"/>
        <v>9.6060000000000006E-2</v>
      </c>
    </row>
    <row r="11" spans="3:7" ht="15.75" thickBot="1">
      <c r="C11" s="289" t="s">
        <v>568</v>
      </c>
      <c r="D11" s="289" t="s">
        <v>574</v>
      </c>
      <c r="E11" s="289">
        <v>20.186800000000002</v>
      </c>
      <c r="F11" s="289">
        <v>0.19</v>
      </c>
      <c r="G11" s="289">
        <f t="shared" si="0"/>
        <v>3.8354920000000003</v>
      </c>
    </row>
    <row r="12" spans="3:7" ht="15.75" thickBot="1">
      <c r="C12" s="289" t="s">
        <v>564</v>
      </c>
      <c r="D12" s="289" t="s">
        <v>385</v>
      </c>
      <c r="E12" s="289">
        <v>1.1000000000000001</v>
      </c>
      <c r="F12" s="289">
        <v>118.73</v>
      </c>
      <c r="G12" s="289">
        <f t="shared" si="0"/>
        <v>130.60300000000001</v>
      </c>
    </row>
    <row r="13" spans="3:7" ht="15.75" thickBot="1">
      <c r="C13" s="289" t="s">
        <v>569</v>
      </c>
      <c r="D13" s="289" t="s">
        <v>4</v>
      </c>
      <c r="E13" s="289">
        <v>1.5247999999999999</v>
      </c>
      <c r="F13" s="289">
        <v>16.8</v>
      </c>
      <c r="G13" s="289">
        <f t="shared" si="0"/>
        <v>25.61664</v>
      </c>
    </row>
    <row r="14" spans="3:7" ht="15.75" thickBot="1">
      <c r="C14" s="289" t="s">
        <v>570</v>
      </c>
      <c r="D14" s="289" t="s">
        <v>4</v>
      </c>
      <c r="E14" s="289">
        <v>4.0011000000000001</v>
      </c>
      <c r="F14" s="289">
        <v>18.09</v>
      </c>
      <c r="G14" s="289">
        <f t="shared" si="0"/>
        <v>72.379898999999995</v>
      </c>
    </row>
    <row r="15" spans="3:7">
      <c r="G15" s="291">
        <f>SUM(G3:G14)</f>
        <v>279.44914849999998</v>
      </c>
    </row>
    <row r="17" spans="3:7" ht="15.75" thickBot="1">
      <c r="C17" t="s">
        <v>579</v>
      </c>
    </row>
    <row r="18" spans="3:7" ht="23.25" thickBot="1">
      <c r="C18" s="290" t="s">
        <v>14</v>
      </c>
      <c r="D18" s="290" t="s">
        <v>571</v>
      </c>
      <c r="E18" s="290" t="s">
        <v>572</v>
      </c>
      <c r="F18" s="290" t="s">
        <v>118</v>
      </c>
      <c r="G18" s="290" t="s">
        <v>573</v>
      </c>
    </row>
    <row r="19" spans="3:7" ht="15.75" thickBot="1">
      <c r="C19" s="289" t="s">
        <v>580</v>
      </c>
      <c r="D19" s="289" t="s">
        <v>385</v>
      </c>
      <c r="E19" s="289">
        <v>1.0529999999999999</v>
      </c>
      <c r="F19" s="289">
        <v>32</v>
      </c>
      <c r="G19" s="289">
        <f>F19*E19</f>
        <v>33.695999999999998</v>
      </c>
    </row>
    <row r="20" spans="3:7" ht="15.75" thickBot="1">
      <c r="C20" s="289" t="s">
        <v>561</v>
      </c>
      <c r="D20" s="289" t="s">
        <v>574</v>
      </c>
      <c r="E20" s="289">
        <v>4.95</v>
      </c>
      <c r="F20" s="289">
        <v>0.504</v>
      </c>
      <c r="G20" s="289">
        <f t="shared" ref="G20:G28" si="1">F20*E20</f>
        <v>2.4948000000000001</v>
      </c>
    </row>
    <row r="21" spans="3:7" ht="15.75" thickBot="1">
      <c r="C21" s="289" t="s">
        <v>562</v>
      </c>
      <c r="D21" s="289" t="s">
        <v>26</v>
      </c>
      <c r="E21" s="289">
        <v>0.54890000000000005</v>
      </c>
      <c r="F21" s="289">
        <v>2.173</v>
      </c>
      <c r="G21" s="289">
        <f t="shared" si="1"/>
        <v>1.1927597000000001</v>
      </c>
    </row>
    <row r="22" spans="3:7" ht="15.75" thickBot="1">
      <c r="C22" s="289" t="s">
        <v>563</v>
      </c>
      <c r="D22" s="289" t="s">
        <v>385</v>
      </c>
      <c r="E22" s="289">
        <v>1.25135</v>
      </c>
      <c r="F22" s="289">
        <v>0.28000000000000003</v>
      </c>
      <c r="G22" s="289">
        <f t="shared" si="1"/>
        <v>0.35037800000000002</v>
      </c>
    </row>
    <row r="23" spans="3:7" ht="15.75" thickBot="1">
      <c r="C23" s="289" t="s">
        <v>565</v>
      </c>
      <c r="D23" s="289" t="s">
        <v>385</v>
      </c>
      <c r="E23" s="289">
        <v>0.79254999999999998</v>
      </c>
      <c r="F23" s="289">
        <v>10</v>
      </c>
      <c r="G23" s="289">
        <f t="shared" si="1"/>
        <v>7.9254999999999995</v>
      </c>
    </row>
    <row r="24" spans="3:7" ht="15.75" thickBot="1">
      <c r="C24" s="289" t="s">
        <v>566</v>
      </c>
      <c r="D24" s="289" t="s">
        <v>574</v>
      </c>
      <c r="E24" s="289">
        <v>10.093400000000001</v>
      </c>
      <c r="F24" s="289">
        <v>0.09</v>
      </c>
      <c r="G24" s="289">
        <f t="shared" si="1"/>
        <v>0.90840600000000005</v>
      </c>
    </row>
    <row r="25" spans="3:7" ht="15.75" thickBot="1">
      <c r="C25" s="289" t="s">
        <v>567</v>
      </c>
      <c r="D25" s="289" t="s">
        <v>574</v>
      </c>
      <c r="E25" s="289">
        <v>0.27205000000000001</v>
      </c>
      <c r="F25" s="289">
        <v>0.2</v>
      </c>
      <c r="G25" s="289">
        <f t="shared" si="1"/>
        <v>5.4410000000000007E-2</v>
      </c>
    </row>
    <row r="26" spans="3:7" ht="15.75" thickBot="1">
      <c r="C26" s="289" t="s">
        <v>564</v>
      </c>
      <c r="D26" s="289" t="s">
        <v>385</v>
      </c>
      <c r="E26" s="289">
        <v>1.1000000000000001</v>
      </c>
      <c r="F26" s="289">
        <v>20</v>
      </c>
      <c r="G26" s="289">
        <f t="shared" si="1"/>
        <v>22</v>
      </c>
    </row>
    <row r="27" spans="3:7" ht="15.75" thickBot="1">
      <c r="C27" s="289" t="s">
        <v>577</v>
      </c>
      <c r="D27" s="289" t="s">
        <v>4</v>
      </c>
      <c r="E27" s="289">
        <v>1.8233999999999999</v>
      </c>
      <c r="F27" s="289">
        <v>5.1665999999999999</v>
      </c>
      <c r="G27" s="289">
        <f t="shared" si="1"/>
        <v>9.4207784399999994</v>
      </c>
    </row>
    <row r="28" spans="3:7" ht="15.75" thickBot="1">
      <c r="C28" s="289" t="s">
        <v>578</v>
      </c>
      <c r="D28" s="289" t="s">
        <v>4</v>
      </c>
      <c r="E28" s="289">
        <v>4.0011000000000001</v>
      </c>
      <c r="F28" s="289">
        <v>5.73</v>
      </c>
      <c r="G28" s="289">
        <f t="shared" si="1"/>
        <v>22.926303000000001</v>
      </c>
    </row>
    <row r="29" spans="3:7" ht="15.75" thickBot="1">
      <c r="C29" s="289" t="s">
        <v>581</v>
      </c>
      <c r="D29" s="289" t="s">
        <v>4</v>
      </c>
      <c r="E29" s="289">
        <v>0.5714285714285714</v>
      </c>
      <c r="F29" s="289">
        <v>15.3</v>
      </c>
      <c r="G29" s="289">
        <f t="shared" ref="G29" si="2">F29*E29</f>
        <v>8.742857142857142</v>
      </c>
    </row>
    <row r="30" spans="3:7">
      <c r="G30" s="291">
        <f>SUM(G19:G29)</f>
        <v>109.71219228285713</v>
      </c>
    </row>
    <row r="32" spans="3:7" ht="15.75" thickBot="1">
      <c r="C32" t="s">
        <v>582</v>
      </c>
    </row>
    <row r="33" spans="3:7" ht="23.25" thickBot="1">
      <c r="C33" s="290" t="s">
        <v>14</v>
      </c>
      <c r="D33" s="290" t="s">
        <v>571</v>
      </c>
      <c r="E33" s="290" t="s">
        <v>572</v>
      </c>
      <c r="F33" s="290" t="s">
        <v>118</v>
      </c>
      <c r="G33" s="290" t="s">
        <v>573</v>
      </c>
    </row>
    <row r="34" spans="3:7" ht="15.75" thickBot="1">
      <c r="C34" s="289" t="s">
        <v>580</v>
      </c>
      <c r="D34" s="289" t="s">
        <v>385</v>
      </c>
      <c r="E34" s="289">
        <f>E3+E4</f>
        <v>2.1059999999999999</v>
      </c>
      <c r="F34" s="289">
        <v>32</v>
      </c>
      <c r="G34" s="289">
        <f>F34*E34</f>
        <v>67.391999999999996</v>
      </c>
    </row>
    <row r="35" spans="3:7" ht="15.75" thickBot="1">
      <c r="C35" s="289" t="s">
        <v>561</v>
      </c>
      <c r="D35" s="289" t="s">
        <v>574</v>
      </c>
      <c r="E35" s="289">
        <f>E5</f>
        <v>4.95</v>
      </c>
      <c r="F35" s="289">
        <v>0.504</v>
      </c>
      <c r="G35" s="289">
        <f t="shared" ref="G35:G45" si="3">F35*E35</f>
        <v>2.4948000000000001</v>
      </c>
    </row>
    <row r="36" spans="3:7" ht="15.75" thickBot="1">
      <c r="C36" s="289" t="s">
        <v>562</v>
      </c>
      <c r="D36" s="289" t="s">
        <v>26</v>
      </c>
      <c r="E36" s="289">
        <f t="shared" ref="E36:E41" si="4">E6</f>
        <v>1.0978000000000001</v>
      </c>
      <c r="F36" s="289">
        <v>2.173</v>
      </c>
      <c r="G36" s="289">
        <f t="shared" si="3"/>
        <v>2.3855194000000002</v>
      </c>
    </row>
    <row r="37" spans="3:7" ht="15.75" thickBot="1">
      <c r="C37" s="289" t="s">
        <v>563</v>
      </c>
      <c r="D37" s="289" t="s">
        <v>385</v>
      </c>
      <c r="E37" s="289">
        <f t="shared" si="4"/>
        <v>2.5026999999999999</v>
      </c>
      <c r="F37" s="289">
        <v>0.28000000000000003</v>
      </c>
      <c r="G37" s="289">
        <f t="shared" si="3"/>
        <v>0.70075600000000005</v>
      </c>
    </row>
    <row r="38" spans="3:7" ht="15.75" thickBot="1">
      <c r="C38" s="289" t="s">
        <v>565</v>
      </c>
      <c r="D38" s="289" t="s">
        <v>385</v>
      </c>
      <c r="E38" s="289">
        <f t="shared" si="4"/>
        <v>1.4815</v>
      </c>
      <c r="F38" s="289">
        <v>10</v>
      </c>
      <c r="G38" s="289">
        <f t="shared" si="3"/>
        <v>14.815000000000001</v>
      </c>
    </row>
    <row r="39" spans="3:7" ht="15.75" thickBot="1">
      <c r="C39" s="289" t="s">
        <v>566</v>
      </c>
      <c r="D39" s="289" t="s">
        <v>574</v>
      </c>
      <c r="E39" s="289">
        <f t="shared" si="4"/>
        <v>20.186800000000002</v>
      </c>
      <c r="F39" s="289">
        <v>0.09</v>
      </c>
      <c r="G39" s="289">
        <f t="shared" si="3"/>
        <v>1.8168120000000001</v>
      </c>
    </row>
    <row r="40" spans="3:7" ht="15.75" thickBot="1">
      <c r="C40" s="289" t="s">
        <v>567</v>
      </c>
      <c r="D40" s="289" t="s">
        <v>574</v>
      </c>
      <c r="E40" s="289">
        <f t="shared" si="4"/>
        <v>0.4803</v>
      </c>
      <c r="F40" s="289">
        <v>0.2</v>
      </c>
      <c r="G40" s="289">
        <f t="shared" si="3"/>
        <v>9.6060000000000006E-2</v>
      </c>
    </row>
    <row r="41" spans="3:7" ht="15.75" thickBot="1">
      <c r="C41" s="289" t="s">
        <v>568</v>
      </c>
      <c r="D41" s="289" t="s">
        <v>574</v>
      </c>
      <c r="E41" s="289">
        <f t="shared" si="4"/>
        <v>20.186800000000002</v>
      </c>
      <c r="F41" s="289">
        <v>0.19</v>
      </c>
      <c r="G41" s="289">
        <f t="shared" si="3"/>
        <v>3.8354920000000003</v>
      </c>
    </row>
    <row r="42" spans="3:7" ht="15.75" thickBot="1">
      <c r="C42" s="289" t="s">
        <v>564</v>
      </c>
      <c r="D42" s="289" t="s">
        <v>385</v>
      </c>
      <c r="E42" s="289">
        <f>1.1*2</f>
        <v>2.2000000000000002</v>
      </c>
      <c r="F42" s="289">
        <v>20</v>
      </c>
      <c r="G42" s="289">
        <f t="shared" si="3"/>
        <v>44</v>
      </c>
    </row>
    <row r="43" spans="3:7" ht="15.75" thickBot="1">
      <c r="C43" s="289" t="s">
        <v>577</v>
      </c>
      <c r="D43" s="289" t="s">
        <v>4</v>
      </c>
      <c r="E43" s="289">
        <f>E13</f>
        <v>1.5247999999999999</v>
      </c>
      <c r="F43" s="289">
        <v>5.1665999999999999</v>
      </c>
      <c r="G43" s="289">
        <f t="shared" si="3"/>
        <v>7.8780316799999994</v>
      </c>
    </row>
    <row r="44" spans="3:7" ht="15.75" thickBot="1">
      <c r="C44" s="289" t="s">
        <v>578</v>
      </c>
      <c r="D44" s="289" t="s">
        <v>4</v>
      </c>
      <c r="E44" s="289">
        <f>E14</f>
        <v>4.0011000000000001</v>
      </c>
      <c r="F44" s="289">
        <v>5.73</v>
      </c>
      <c r="G44" s="289">
        <f t="shared" si="3"/>
        <v>22.926303000000001</v>
      </c>
    </row>
    <row r="45" spans="3:7" ht="15.75" thickBot="1">
      <c r="C45" s="289" t="s">
        <v>581</v>
      </c>
      <c r="D45" s="289" t="s">
        <v>4</v>
      </c>
      <c r="E45" s="289">
        <f>0.571428571428571*2</f>
        <v>1.1428571428571419</v>
      </c>
      <c r="F45" s="289">
        <v>15.3</v>
      </c>
      <c r="G45" s="289">
        <f t="shared" si="3"/>
        <v>17.485714285714273</v>
      </c>
    </row>
    <row r="46" spans="3:7">
      <c r="G46" s="291">
        <f>SUM(G34:G45)</f>
        <v>185.82648836571425</v>
      </c>
    </row>
    <row r="48" spans="3:7" ht="15.75" thickBot="1">
      <c r="C48" t="s">
        <v>585</v>
      </c>
    </row>
    <row r="49" spans="3:7" ht="23.25" thickBot="1">
      <c r="C49" s="290" t="s">
        <v>14</v>
      </c>
      <c r="D49" s="290" t="s">
        <v>571</v>
      </c>
      <c r="E49" s="290" t="s">
        <v>572</v>
      </c>
      <c r="F49" s="290" t="s">
        <v>118</v>
      </c>
      <c r="G49" s="290" t="s">
        <v>573</v>
      </c>
    </row>
    <row r="50" spans="3:7" ht="15.75" thickBot="1">
      <c r="C50" s="289" t="s">
        <v>589</v>
      </c>
      <c r="D50" s="289" t="s">
        <v>385</v>
      </c>
      <c r="E50" s="289">
        <f>2.2</f>
        <v>2.2000000000000002</v>
      </c>
      <c r="F50" s="289">
        <v>52.27</v>
      </c>
      <c r="G50" s="289">
        <f>F50*E50</f>
        <v>114.99400000000001</v>
      </c>
    </row>
    <row r="51" spans="3:7" ht="15.75" thickBot="1">
      <c r="C51" s="289" t="s">
        <v>587</v>
      </c>
      <c r="D51" s="289" t="s">
        <v>385</v>
      </c>
      <c r="E51" s="289">
        <f>1.1*0.8</f>
        <v>0.88000000000000012</v>
      </c>
      <c r="F51" s="289">
        <v>18</v>
      </c>
      <c r="G51" s="289">
        <f t="shared" ref="G51" si="5">F51*E51</f>
        <v>15.840000000000002</v>
      </c>
    </row>
    <row r="52" spans="3:7" ht="15.75" thickBot="1">
      <c r="C52" s="289" t="s">
        <v>586</v>
      </c>
      <c r="D52" s="289" t="s">
        <v>385</v>
      </c>
      <c r="E52" s="289">
        <f>1.1*0.2</f>
        <v>0.22000000000000003</v>
      </c>
      <c r="F52" s="289">
        <v>240</v>
      </c>
      <c r="G52" s="289">
        <f t="shared" ref="G52:G53" si="6">F52*E52</f>
        <v>52.800000000000004</v>
      </c>
    </row>
    <row r="53" spans="3:7" ht="15.75" thickBot="1">
      <c r="C53" s="289" t="s">
        <v>588</v>
      </c>
      <c r="D53" s="289" t="s">
        <v>385</v>
      </c>
      <c r="E53" s="289">
        <f>1.2*0.14</f>
        <v>0.16800000000000001</v>
      </c>
      <c r="F53" s="289">
        <v>14</v>
      </c>
      <c r="G53" s="289">
        <f t="shared" si="6"/>
        <v>2.3520000000000003</v>
      </c>
    </row>
    <row r="54" spans="3:7">
      <c r="G54" s="291">
        <f>SUM(G50:G53)</f>
        <v>185.98600000000002</v>
      </c>
    </row>
    <row r="56" spans="3:7" ht="15.75" thickBot="1">
      <c r="C56" t="s">
        <v>605</v>
      </c>
    </row>
    <row r="57" spans="3:7" ht="23.25" thickBot="1">
      <c r="C57" s="290" t="s">
        <v>14</v>
      </c>
      <c r="D57" s="290" t="s">
        <v>571</v>
      </c>
      <c r="E57" s="290" t="s">
        <v>572</v>
      </c>
      <c r="F57" s="290" t="s">
        <v>118</v>
      </c>
      <c r="G57" s="290" t="s">
        <v>573</v>
      </c>
    </row>
    <row r="58" spans="3:7" ht="15.75" thickBot="1">
      <c r="C58" s="289" t="s">
        <v>580</v>
      </c>
      <c r="D58" s="289" t="s">
        <v>385</v>
      </c>
      <c r="E58" s="289">
        <f>E19*5</f>
        <v>5.2649999999999997</v>
      </c>
      <c r="F58" s="289">
        <v>32</v>
      </c>
      <c r="G58" s="289">
        <f>F58*E58</f>
        <v>168.48</v>
      </c>
    </row>
    <row r="59" spans="3:7" ht="15.75" thickBot="1">
      <c r="C59" s="289" t="s">
        <v>561</v>
      </c>
      <c r="D59" s="289" t="s">
        <v>574</v>
      </c>
      <c r="E59" s="289">
        <f>E5*2</f>
        <v>9.9</v>
      </c>
      <c r="F59" s="289">
        <v>0.504</v>
      </c>
      <c r="G59" s="289">
        <f t="shared" ref="G59:G69" si="7">F59*E59</f>
        <v>4.9896000000000003</v>
      </c>
    </row>
    <row r="60" spans="3:7" ht="15.75" thickBot="1">
      <c r="C60" s="289" t="s">
        <v>562</v>
      </c>
      <c r="D60" s="289" t="s">
        <v>26</v>
      </c>
      <c r="E60" s="289">
        <f t="shared" ref="E60:E65" si="8">E6*2</f>
        <v>2.1956000000000002</v>
      </c>
      <c r="F60" s="289">
        <v>2.173</v>
      </c>
      <c r="G60" s="289">
        <f t="shared" si="7"/>
        <v>4.7710388000000004</v>
      </c>
    </row>
    <row r="61" spans="3:7" ht="15.75" thickBot="1">
      <c r="C61" s="289" t="s">
        <v>563</v>
      </c>
      <c r="D61" s="289" t="s">
        <v>385</v>
      </c>
      <c r="E61" s="289">
        <f t="shared" si="8"/>
        <v>5.0053999999999998</v>
      </c>
      <c r="F61" s="289">
        <v>0.28000000000000003</v>
      </c>
      <c r="G61" s="289">
        <f t="shared" si="7"/>
        <v>1.4015120000000001</v>
      </c>
    </row>
    <row r="62" spans="3:7" ht="15.75" thickBot="1">
      <c r="C62" s="289" t="s">
        <v>565</v>
      </c>
      <c r="D62" s="289" t="s">
        <v>385</v>
      </c>
      <c r="E62" s="289">
        <f t="shared" si="8"/>
        <v>2.9630000000000001</v>
      </c>
      <c r="F62" s="289">
        <v>10</v>
      </c>
      <c r="G62" s="289">
        <f t="shared" si="7"/>
        <v>29.630000000000003</v>
      </c>
    </row>
    <row r="63" spans="3:7" ht="15.75" thickBot="1">
      <c r="C63" s="289" t="s">
        <v>566</v>
      </c>
      <c r="D63" s="289" t="s">
        <v>574</v>
      </c>
      <c r="E63" s="289">
        <f t="shared" si="8"/>
        <v>40.373600000000003</v>
      </c>
      <c r="F63" s="289">
        <v>0.09</v>
      </c>
      <c r="G63" s="289">
        <f t="shared" si="7"/>
        <v>3.6336240000000002</v>
      </c>
    </row>
    <row r="64" spans="3:7" ht="15.75" thickBot="1">
      <c r="C64" s="289" t="s">
        <v>567</v>
      </c>
      <c r="D64" s="289" t="s">
        <v>574</v>
      </c>
      <c r="E64" s="289">
        <f t="shared" si="8"/>
        <v>0.96060000000000001</v>
      </c>
      <c r="F64" s="289">
        <v>0.2</v>
      </c>
      <c r="G64" s="289">
        <f t="shared" si="7"/>
        <v>0.19212000000000001</v>
      </c>
    </row>
    <row r="65" spans="3:7" ht="15.75" thickBot="1">
      <c r="C65" s="289" t="s">
        <v>568</v>
      </c>
      <c r="D65" s="289" t="s">
        <v>574</v>
      </c>
      <c r="E65" s="289">
        <f t="shared" si="8"/>
        <v>40.373600000000003</v>
      </c>
      <c r="F65" s="289">
        <v>0.19</v>
      </c>
      <c r="G65" s="289">
        <f t="shared" si="7"/>
        <v>7.6709840000000007</v>
      </c>
    </row>
    <row r="66" spans="3:7" ht="15.75" thickBot="1">
      <c r="C66" s="289" t="s">
        <v>564</v>
      </c>
      <c r="D66" s="289" t="s">
        <v>385</v>
      </c>
      <c r="E66" s="289">
        <f>E12*2</f>
        <v>2.2000000000000002</v>
      </c>
      <c r="F66" s="289">
        <v>20</v>
      </c>
      <c r="G66" s="289">
        <f t="shared" si="7"/>
        <v>44</v>
      </c>
    </row>
    <row r="67" spans="3:7" ht="15.75" thickBot="1">
      <c r="C67" s="289" t="s">
        <v>606</v>
      </c>
      <c r="D67" s="289" t="s">
        <v>4</v>
      </c>
      <c r="E67" s="289">
        <f>E13*2</f>
        <v>3.0495999999999999</v>
      </c>
      <c r="F67" s="289">
        <v>16.68</v>
      </c>
      <c r="G67" s="289">
        <f t="shared" si="7"/>
        <v>50.867327999999993</v>
      </c>
    </row>
    <row r="68" spans="3:7" ht="15.75" thickBot="1">
      <c r="C68" s="289" t="s">
        <v>607</v>
      </c>
      <c r="D68" s="289" t="s">
        <v>4</v>
      </c>
      <c r="E68" s="289">
        <f t="shared" ref="E68" si="9">E14*2</f>
        <v>8.0022000000000002</v>
      </c>
      <c r="F68" s="289">
        <v>18.09</v>
      </c>
      <c r="G68" s="289">
        <f t="shared" si="7"/>
        <v>144.75979799999999</v>
      </c>
    </row>
    <row r="69" spans="3:7" ht="15.75" thickBot="1">
      <c r="C69" s="289" t="s">
        <v>581</v>
      </c>
      <c r="D69" s="289" t="s">
        <v>4</v>
      </c>
      <c r="E69" s="289">
        <f>1.14285714285714*1.5</f>
        <v>1.71428571428571</v>
      </c>
      <c r="F69" s="289">
        <v>15.3</v>
      </c>
      <c r="G69" s="289">
        <f t="shared" si="7"/>
        <v>26.228571428571364</v>
      </c>
    </row>
    <row r="70" spans="3:7">
      <c r="G70" s="291">
        <f>SUM(G58:G69)</f>
        <v>486.6245762285713</v>
      </c>
    </row>
    <row r="72" spans="3:7" ht="15.75" thickBot="1">
      <c r="C72" t="s">
        <v>629</v>
      </c>
    </row>
    <row r="73" spans="3:7" ht="23.25" thickBot="1">
      <c r="C73" s="290" t="s">
        <v>14</v>
      </c>
      <c r="D73" s="290" t="s">
        <v>571</v>
      </c>
      <c r="E73" s="290" t="s">
        <v>572</v>
      </c>
      <c r="F73" s="290" t="s">
        <v>118</v>
      </c>
      <c r="G73" s="290" t="s">
        <v>573</v>
      </c>
    </row>
    <row r="74" spans="3:7" ht="15.75" thickBot="1">
      <c r="C74" s="289" t="s">
        <v>560</v>
      </c>
      <c r="D74" s="289" t="s">
        <v>385</v>
      </c>
      <c r="E74" s="289">
        <f>1.1</f>
        <v>1.1000000000000001</v>
      </c>
      <c r="F74" s="289">
        <v>9.5417000000000005</v>
      </c>
      <c r="G74" s="289">
        <f>F74*E74</f>
        <v>10.495870000000002</v>
      </c>
    </row>
    <row r="75" spans="3:7" ht="15.75" thickBot="1">
      <c r="C75" s="289" t="s">
        <v>564</v>
      </c>
      <c r="D75" s="289" t="s">
        <v>385</v>
      </c>
      <c r="E75" s="289">
        <f>1.1</f>
        <v>1.1000000000000001</v>
      </c>
      <c r="F75" s="289">
        <v>20</v>
      </c>
      <c r="G75" s="289">
        <f t="shared" ref="G75" si="10">F75*E75</f>
        <v>22</v>
      </c>
    </row>
    <row r="76" spans="3:7" ht="15.75" thickBot="1">
      <c r="C76" s="289" t="s">
        <v>630</v>
      </c>
      <c r="D76" s="289" t="s">
        <v>385</v>
      </c>
      <c r="E76" s="289">
        <v>1.1000000000000001</v>
      </c>
      <c r="F76" s="289">
        <v>2.173</v>
      </c>
      <c r="G76" s="289">
        <f t="shared" ref="G76" si="11">F76*E76</f>
        <v>2.3903000000000003</v>
      </c>
    </row>
    <row r="77" spans="3:7">
      <c r="G77" s="291">
        <f>SUM(G74:G76)</f>
        <v>34.886170000000007</v>
      </c>
    </row>
    <row r="79" spans="3:7" ht="15.75" thickBot="1">
      <c r="C79" t="s">
        <v>631</v>
      </c>
    </row>
    <row r="80" spans="3:7" ht="23.25" thickBot="1">
      <c r="C80" s="290" t="s">
        <v>14</v>
      </c>
      <c r="D80" s="290" t="s">
        <v>571</v>
      </c>
      <c r="E80" s="290" t="s">
        <v>572</v>
      </c>
      <c r="F80" s="290" t="s">
        <v>118</v>
      </c>
      <c r="G80" s="290" t="s">
        <v>573</v>
      </c>
    </row>
    <row r="81" spans="3:8" ht="15.75" thickBot="1">
      <c r="C81" s="289" t="s">
        <v>560</v>
      </c>
      <c r="D81" s="289" t="s">
        <v>385</v>
      </c>
      <c r="E81" s="289">
        <f>1.1</f>
        <v>1.1000000000000001</v>
      </c>
      <c r="F81" s="289">
        <v>9.5417000000000005</v>
      </c>
      <c r="G81" s="289">
        <f>F81*E81</f>
        <v>10.495870000000002</v>
      </c>
    </row>
    <row r="82" spans="3:8" ht="15.75" thickBot="1">
      <c r="C82" s="289" t="s">
        <v>564</v>
      </c>
      <c r="D82" s="289" t="s">
        <v>385</v>
      </c>
      <c r="E82" s="289">
        <f>1.1</f>
        <v>1.1000000000000001</v>
      </c>
      <c r="F82" s="289">
        <v>20</v>
      </c>
      <c r="G82" s="289">
        <f t="shared" ref="G82" si="12">F82*E82</f>
        <v>22</v>
      </c>
    </row>
    <row r="83" spans="3:8" ht="15.75" thickBot="1">
      <c r="C83" s="289" t="s">
        <v>632</v>
      </c>
      <c r="D83" s="289" t="s">
        <v>571</v>
      </c>
      <c r="E83" s="289"/>
      <c r="G83" s="289">
        <f>H84*E83</f>
        <v>0</v>
      </c>
    </row>
    <row r="84" spans="3:8" ht="15.75" thickBot="1">
      <c r="G84" s="291">
        <f>SUM(G81:G83)</f>
        <v>32.495870000000004</v>
      </c>
      <c r="H84" s="28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FD3B-69D6-4FC8-9C27-8AD2E318CB32}">
  <sheetPr>
    <tabColor rgb="FF0070C0"/>
  </sheetPr>
  <dimension ref="A1:Y737"/>
  <sheetViews>
    <sheetView showGridLines="0" topLeftCell="G1" zoomScale="85" zoomScaleNormal="85" workbookViewId="0">
      <selection activeCell="N29" sqref="M29:N30"/>
    </sheetView>
  </sheetViews>
  <sheetFormatPr defaultColWidth="14.42578125" defaultRowHeight="15" customHeight="1"/>
  <cols>
    <col min="1" max="1" width="12.28515625" customWidth="1"/>
    <col min="2" max="2" width="26.140625" customWidth="1"/>
    <col min="3" max="3" width="38.28515625" customWidth="1"/>
    <col min="4" max="4" width="24.42578125" customWidth="1"/>
    <col min="5" max="6" width="19.85546875" customWidth="1"/>
    <col min="7" max="7" width="19.7109375" customWidth="1"/>
    <col min="8" max="9" width="15.7109375" customWidth="1"/>
    <col min="10" max="10" width="17.28515625" customWidth="1"/>
    <col min="11" max="11" width="15.7109375" customWidth="1"/>
    <col min="12" max="12" width="8.85546875" customWidth="1"/>
    <col min="13" max="14" width="20.7109375" customWidth="1"/>
    <col min="15" max="15" width="22.5703125" customWidth="1"/>
    <col min="16" max="25" width="8.7109375" customWidth="1"/>
  </cols>
  <sheetData>
    <row r="1" spans="1:25" ht="15" customHeight="1">
      <c r="A1" s="214" t="s">
        <v>0</v>
      </c>
      <c r="B1" s="215"/>
      <c r="C1" s="216"/>
      <c r="D1" s="217"/>
      <c r="E1" s="218"/>
      <c r="F1" s="218"/>
      <c r="G1" s="219"/>
      <c r="H1" s="218"/>
      <c r="I1" s="218"/>
      <c r="J1" s="219"/>
      <c r="K1" s="219"/>
      <c r="L1" s="218"/>
      <c r="M1" s="218"/>
      <c r="N1" s="219"/>
      <c r="O1" s="220"/>
    </row>
    <row r="2" spans="1:25" ht="15" customHeight="1">
      <c r="A2" s="221" t="s">
        <v>117</v>
      </c>
      <c r="B2" s="222"/>
      <c r="C2" s="223"/>
      <c r="D2" s="224"/>
      <c r="E2" s="225"/>
      <c r="F2" s="225"/>
      <c r="G2" s="226"/>
      <c r="H2" s="225"/>
      <c r="I2" s="225"/>
      <c r="J2" s="226"/>
      <c r="K2" s="226"/>
      <c r="L2" s="225"/>
      <c r="M2" s="225"/>
      <c r="N2" s="226"/>
      <c r="O2" s="227"/>
    </row>
    <row r="3" spans="1:25" ht="15" customHeight="1">
      <c r="A3" s="221" t="s">
        <v>1</v>
      </c>
      <c r="B3" s="222"/>
      <c r="C3" s="223"/>
      <c r="D3" s="224"/>
      <c r="E3" s="225"/>
      <c r="F3" s="225"/>
      <c r="G3" s="226"/>
      <c r="H3" s="225"/>
      <c r="I3" s="225"/>
      <c r="J3" s="226"/>
      <c r="K3" s="226"/>
      <c r="L3" s="225"/>
      <c r="M3" s="225"/>
      <c r="N3" s="226"/>
      <c r="O3" s="227"/>
    </row>
    <row r="4" spans="1:25" ht="15" customHeight="1">
      <c r="A4" s="228" t="s">
        <v>186</v>
      </c>
      <c r="B4" s="229"/>
      <c r="C4" s="230"/>
      <c r="D4" s="224"/>
      <c r="E4" s="231"/>
      <c r="F4" s="231"/>
      <c r="G4" s="232"/>
      <c r="H4" s="231"/>
      <c r="I4" s="231"/>
      <c r="J4" s="232"/>
      <c r="K4" s="232"/>
      <c r="L4" s="231"/>
      <c r="M4" s="231"/>
      <c r="N4" s="232"/>
      <c r="O4" s="227"/>
    </row>
    <row r="5" spans="1:25" ht="26.25" customHeight="1">
      <c r="A5" s="331" t="s">
        <v>360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3"/>
    </row>
    <row r="6" spans="1:25" ht="14.25" customHeight="1">
      <c r="A6" s="233"/>
      <c r="B6" s="234"/>
      <c r="C6" s="234"/>
      <c r="D6" s="234"/>
      <c r="E6" s="234"/>
      <c r="F6" s="234"/>
      <c r="G6" s="235"/>
      <c r="H6" s="234"/>
      <c r="I6" s="234"/>
      <c r="J6" s="235"/>
      <c r="K6" s="235"/>
      <c r="L6" s="234"/>
      <c r="M6" s="234"/>
      <c r="N6" s="235"/>
      <c r="O6" s="236"/>
    </row>
    <row r="7" spans="1:25" ht="26.25" customHeight="1">
      <c r="A7" s="334" t="s">
        <v>361</v>
      </c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3"/>
    </row>
    <row r="8" spans="1:25" ht="14.25" customHeight="1" thickBot="1">
      <c r="A8" s="233"/>
      <c r="B8" s="234"/>
      <c r="C8" s="234"/>
      <c r="D8" s="234"/>
      <c r="E8" s="234"/>
      <c r="F8" s="234"/>
      <c r="G8" s="235"/>
      <c r="H8" s="234"/>
      <c r="I8" s="234"/>
      <c r="J8" s="235"/>
      <c r="K8" s="235"/>
      <c r="L8" s="234"/>
      <c r="M8" s="234"/>
      <c r="N8" s="235"/>
      <c r="O8" s="236"/>
      <c r="P8" s="234"/>
      <c r="Q8" s="234"/>
      <c r="R8" s="234"/>
      <c r="S8" s="234"/>
      <c r="T8" s="234"/>
      <c r="U8" s="234"/>
      <c r="V8" s="234"/>
      <c r="W8" s="234"/>
      <c r="X8" s="234"/>
      <c r="Y8" s="234"/>
    </row>
    <row r="9" spans="1:25" ht="14.25" customHeight="1" thickBot="1">
      <c r="A9" s="233"/>
      <c r="B9" s="335" t="s">
        <v>362</v>
      </c>
      <c r="C9" s="336"/>
      <c r="D9" s="337"/>
      <c r="E9" s="337"/>
      <c r="F9" s="337"/>
      <c r="G9" s="337"/>
      <c r="H9" s="337"/>
      <c r="I9" s="337"/>
      <c r="J9" s="337"/>
      <c r="K9" s="338"/>
      <c r="L9" s="234"/>
      <c r="M9" s="339" t="s">
        <v>363</v>
      </c>
      <c r="N9" s="340"/>
      <c r="O9" s="236"/>
    </row>
    <row r="10" spans="1:25" ht="14.25" customHeight="1">
      <c r="A10" s="233"/>
      <c r="B10" s="237" t="s">
        <v>364</v>
      </c>
      <c r="C10" s="238" t="s">
        <v>375</v>
      </c>
      <c r="D10" s="239" t="s">
        <v>376</v>
      </c>
      <c r="E10" s="239" t="s">
        <v>377</v>
      </c>
      <c r="F10" s="239" t="s">
        <v>628</v>
      </c>
      <c r="G10" s="240" t="s">
        <v>366</v>
      </c>
      <c r="H10" s="241" t="s">
        <v>367</v>
      </c>
      <c r="I10" s="241" t="s">
        <v>590</v>
      </c>
      <c r="J10" s="242" t="s">
        <v>368</v>
      </c>
      <c r="K10" s="243" t="s">
        <v>369</v>
      </c>
      <c r="L10" s="234"/>
      <c r="M10" s="244" t="s">
        <v>370</v>
      </c>
      <c r="N10" s="245" t="s">
        <v>371</v>
      </c>
      <c r="O10" s="236"/>
    </row>
    <row r="11" spans="1:25" ht="14.25" customHeight="1">
      <c r="A11" s="233"/>
      <c r="B11" s="251" t="s">
        <v>422</v>
      </c>
      <c r="C11" s="252" t="s">
        <v>423</v>
      </c>
      <c r="D11" s="253" t="s">
        <v>399</v>
      </c>
      <c r="E11" s="253" t="s">
        <v>197</v>
      </c>
      <c r="F11" s="294" t="s">
        <v>213</v>
      </c>
      <c r="G11" s="246">
        <f>513.06-G12</f>
        <v>509.05999999999995</v>
      </c>
      <c r="H11" s="255" t="s">
        <v>372</v>
      </c>
      <c r="I11" s="255" t="s">
        <v>213</v>
      </c>
      <c r="J11" s="247">
        <v>1</v>
      </c>
      <c r="K11" s="248">
        <f>G11*J11</f>
        <v>509.05999999999995</v>
      </c>
      <c r="L11" s="234"/>
      <c r="M11" s="249" t="s">
        <v>194</v>
      </c>
      <c r="N11" s="250">
        <f>SUMIF(H:H,"Sim",K:K)</f>
        <v>5971.6071999999986</v>
      </c>
      <c r="O11" s="236" t="e">
        <f>N11/#REF!</f>
        <v>#REF!</v>
      </c>
    </row>
    <row r="12" spans="1:25" ht="14.25" customHeight="1">
      <c r="A12" s="233"/>
      <c r="B12" s="251" t="s">
        <v>422</v>
      </c>
      <c r="C12" s="252" t="s">
        <v>424</v>
      </c>
      <c r="D12" s="253" t="s">
        <v>399</v>
      </c>
      <c r="E12" s="253" t="s">
        <v>197</v>
      </c>
      <c r="F12" s="253" t="s">
        <v>213</v>
      </c>
      <c r="G12" s="254">
        <v>4</v>
      </c>
      <c r="H12" s="255" t="s">
        <v>372</v>
      </c>
      <c r="I12" s="255" t="s">
        <v>213</v>
      </c>
      <c r="J12" s="256">
        <v>1</v>
      </c>
      <c r="K12" s="257">
        <f t="shared" ref="K12:K37" si="0">G12*J12</f>
        <v>4</v>
      </c>
      <c r="L12" s="234"/>
      <c r="M12" s="265" t="s">
        <v>591</v>
      </c>
      <c r="N12" s="264">
        <f>SUMIF(I:I,M12,K:K)</f>
        <v>595.94000000000005</v>
      </c>
      <c r="O12" s="236"/>
    </row>
    <row r="13" spans="1:25" ht="14.25" customHeight="1">
      <c r="A13" s="233"/>
      <c r="B13" s="251" t="s">
        <v>422</v>
      </c>
      <c r="C13" s="252" t="s">
        <v>393</v>
      </c>
      <c r="D13" s="253" t="s">
        <v>399</v>
      </c>
      <c r="E13" s="253" t="s">
        <v>197</v>
      </c>
      <c r="F13" s="253" t="s">
        <v>213</v>
      </c>
      <c r="G13" s="254">
        <v>463.69</v>
      </c>
      <c r="H13" s="255" t="s">
        <v>373</v>
      </c>
      <c r="I13" s="255" t="s">
        <v>213</v>
      </c>
      <c r="J13" s="256">
        <v>1</v>
      </c>
      <c r="K13" s="257">
        <f t="shared" si="0"/>
        <v>463.69</v>
      </c>
      <c r="L13" s="234"/>
      <c r="M13" s="265" t="s">
        <v>592</v>
      </c>
      <c r="N13" s="264">
        <f>SUMIF(I:I,M13,K:K)</f>
        <v>170.03</v>
      </c>
      <c r="O13" s="236"/>
    </row>
    <row r="14" spans="1:25" ht="14.25" customHeight="1">
      <c r="A14" s="233"/>
      <c r="B14" s="251" t="s">
        <v>422</v>
      </c>
      <c r="C14" s="252" t="s">
        <v>425</v>
      </c>
      <c r="D14" s="253" t="s">
        <v>378</v>
      </c>
      <c r="E14" s="253" t="s">
        <v>379</v>
      </c>
      <c r="F14" s="253" t="s">
        <v>213</v>
      </c>
      <c r="G14" s="254">
        <v>73.150000000000006</v>
      </c>
      <c r="H14" s="255" t="s">
        <v>372</v>
      </c>
      <c r="I14" s="255" t="s">
        <v>213</v>
      </c>
      <c r="J14" s="256">
        <v>1</v>
      </c>
      <c r="K14" s="257">
        <f t="shared" si="0"/>
        <v>73.150000000000006</v>
      </c>
      <c r="L14" s="234"/>
      <c r="M14" s="265" t="s">
        <v>595</v>
      </c>
      <c r="N14" s="264">
        <f>SUMIF(I:I,M14,K:K)</f>
        <v>1489.32</v>
      </c>
      <c r="O14" s="236"/>
    </row>
    <row r="15" spans="1:25" ht="14.25" customHeight="1" thickBot="1">
      <c r="A15" s="233"/>
      <c r="B15" s="251" t="s">
        <v>422</v>
      </c>
      <c r="C15" s="252" t="s">
        <v>426</v>
      </c>
      <c r="D15" s="253" t="s">
        <v>378</v>
      </c>
      <c r="E15" s="253" t="s">
        <v>379</v>
      </c>
      <c r="F15" s="253" t="s">
        <v>213</v>
      </c>
      <c r="G15" s="254">
        <v>3.85</v>
      </c>
      <c r="H15" s="255" t="s">
        <v>372</v>
      </c>
      <c r="I15" s="255" t="s">
        <v>213</v>
      </c>
      <c r="J15" s="256">
        <v>1</v>
      </c>
      <c r="K15" s="257">
        <f t="shared" si="0"/>
        <v>3.85</v>
      </c>
      <c r="L15" s="234"/>
      <c r="M15" s="258" t="s">
        <v>593</v>
      </c>
      <c r="N15" s="259">
        <f>SUMIF(I:I,M15,K:K)</f>
        <v>434.65</v>
      </c>
      <c r="O15" s="236"/>
    </row>
    <row r="16" spans="1:25" ht="14.25" customHeight="1" thickBot="1">
      <c r="A16" s="233"/>
      <c r="B16" s="251" t="s">
        <v>422</v>
      </c>
      <c r="C16" s="252" t="s">
        <v>427</v>
      </c>
      <c r="D16" s="253" t="s">
        <v>378</v>
      </c>
      <c r="E16" s="253" t="s">
        <v>197</v>
      </c>
      <c r="F16" s="253" t="s">
        <v>213</v>
      </c>
      <c r="G16" s="254">
        <v>8.4499999999999993</v>
      </c>
      <c r="H16" s="255" t="s">
        <v>372</v>
      </c>
      <c r="I16" s="255" t="s">
        <v>213</v>
      </c>
      <c r="J16" s="256">
        <v>1</v>
      </c>
      <c r="K16" s="257">
        <f t="shared" si="0"/>
        <v>8.4499999999999993</v>
      </c>
      <c r="L16" s="234"/>
      <c r="M16" s="260"/>
      <c r="N16" s="261"/>
      <c r="O16" s="236"/>
    </row>
    <row r="17" spans="1:15" ht="14.25" customHeight="1" thickBot="1">
      <c r="A17" s="233" t="str">
        <f>IF(C16="*&amp;APTO&amp;*","OK","")</f>
        <v/>
      </c>
      <c r="B17" s="251" t="s">
        <v>422</v>
      </c>
      <c r="C17" s="252" t="s">
        <v>428</v>
      </c>
      <c r="D17" s="253" t="s">
        <v>378</v>
      </c>
      <c r="E17" s="253" t="s">
        <v>379</v>
      </c>
      <c r="F17" s="253" t="s">
        <v>213</v>
      </c>
      <c r="G17" s="254">
        <v>10.96</v>
      </c>
      <c r="H17" s="255" t="s">
        <v>372</v>
      </c>
      <c r="I17" s="255" t="s">
        <v>213</v>
      </c>
      <c r="J17" s="256">
        <v>1</v>
      </c>
      <c r="K17" s="257">
        <f t="shared" si="0"/>
        <v>10.96</v>
      </c>
      <c r="L17" s="234"/>
      <c r="M17" s="283" t="s">
        <v>380</v>
      </c>
      <c r="N17" s="284"/>
      <c r="O17" s="236"/>
    </row>
    <row r="18" spans="1:15" ht="14.25" customHeight="1">
      <c r="A18" s="233"/>
      <c r="B18" s="251" t="s">
        <v>422</v>
      </c>
      <c r="C18" s="252" t="s">
        <v>429</v>
      </c>
      <c r="D18" s="253" t="s">
        <v>378</v>
      </c>
      <c r="E18" s="253" t="s">
        <v>379</v>
      </c>
      <c r="F18" s="253" t="s">
        <v>213</v>
      </c>
      <c r="G18" s="254">
        <f>37.43*2</f>
        <v>74.86</v>
      </c>
      <c r="H18" s="255" t="s">
        <v>372</v>
      </c>
      <c r="I18" s="255" t="s">
        <v>213</v>
      </c>
      <c r="J18" s="256">
        <v>1</v>
      </c>
      <c r="K18" s="257">
        <f t="shared" si="0"/>
        <v>74.86</v>
      </c>
      <c r="L18" s="234"/>
      <c r="M18" s="262" t="s">
        <v>365</v>
      </c>
      <c r="N18" s="243" t="s">
        <v>371</v>
      </c>
      <c r="O18" s="236"/>
    </row>
    <row r="19" spans="1:15" ht="14.25" customHeight="1">
      <c r="A19" s="233"/>
      <c r="B19" s="251" t="s">
        <v>422</v>
      </c>
      <c r="C19" s="252" t="s">
        <v>430</v>
      </c>
      <c r="D19" s="253" t="s">
        <v>451</v>
      </c>
      <c r="E19" s="253" t="s">
        <v>379</v>
      </c>
      <c r="F19" s="253" t="s">
        <v>213</v>
      </c>
      <c r="G19" s="254">
        <v>64.739999999999995</v>
      </c>
      <c r="H19" s="255" t="s">
        <v>372</v>
      </c>
      <c r="I19" s="255" t="s">
        <v>213</v>
      </c>
      <c r="J19" s="256">
        <v>1</v>
      </c>
      <c r="K19" s="257">
        <f t="shared" si="0"/>
        <v>64.739999999999995</v>
      </c>
      <c r="L19" s="234"/>
      <c r="M19" s="263" t="s">
        <v>399</v>
      </c>
      <c r="N19" s="264">
        <f>SUMIF(D:D,M19,K:K)</f>
        <v>1061.22</v>
      </c>
      <c r="O19" s="236"/>
    </row>
    <row r="20" spans="1:15" ht="14.25" customHeight="1">
      <c r="A20" s="233"/>
      <c r="B20" s="251" t="s">
        <v>422</v>
      </c>
      <c r="C20" s="252" t="s">
        <v>431</v>
      </c>
      <c r="D20" s="253" t="s">
        <v>378</v>
      </c>
      <c r="E20" s="253" t="s">
        <v>379</v>
      </c>
      <c r="F20" s="253" t="s">
        <v>213</v>
      </c>
      <c r="G20" s="254">
        <v>30.62</v>
      </c>
      <c r="H20" s="255" t="s">
        <v>372</v>
      </c>
      <c r="I20" s="255" t="s">
        <v>213</v>
      </c>
      <c r="J20" s="256">
        <v>1</v>
      </c>
      <c r="K20" s="257">
        <f t="shared" si="0"/>
        <v>30.62</v>
      </c>
      <c r="L20" s="234"/>
      <c r="M20" s="265" t="s">
        <v>378</v>
      </c>
      <c r="N20" s="264">
        <f>SUMIF(D:D,M20,K:K)</f>
        <v>1073.9700000000005</v>
      </c>
      <c r="O20" s="236"/>
    </row>
    <row r="21" spans="1:15" ht="14.25" customHeight="1">
      <c r="A21" s="233"/>
      <c r="B21" s="251" t="s">
        <v>422</v>
      </c>
      <c r="C21" s="252" t="s">
        <v>432</v>
      </c>
      <c r="D21" s="253" t="s">
        <v>378</v>
      </c>
      <c r="E21" s="253" t="s">
        <v>379</v>
      </c>
      <c r="F21" s="253" t="s">
        <v>213</v>
      </c>
      <c r="G21" s="254">
        <v>62.62</v>
      </c>
      <c r="H21" s="255" t="s">
        <v>372</v>
      </c>
      <c r="I21" s="255" t="s">
        <v>213</v>
      </c>
      <c r="J21" s="256">
        <v>1</v>
      </c>
      <c r="K21" s="257">
        <f t="shared" ref="K21" si="1">G21*J21</f>
        <v>62.62</v>
      </c>
      <c r="L21" s="234"/>
      <c r="M21" s="265" t="s">
        <v>451</v>
      </c>
      <c r="N21" s="264">
        <f>SUMIF(D:D,M21,K:K)</f>
        <v>1749.3400000000004</v>
      </c>
      <c r="O21" s="236"/>
    </row>
    <row r="22" spans="1:15" ht="14.25" customHeight="1">
      <c r="A22" s="233"/>
      <c r="B22" s="251" t="s">
        <v>422</v>
      </c>
      <c r="C22" s="252" t="s">
        <v>433</v>
      </c>
      <c r="D22" s="253" t="s">
        <v>378</v>
      </c>
      <c r="E22" s="253" t="s">
        <v>379</v>
      </c>
      <c r="F22" s="253" t="s">
        <v>213</v>
      </c>
      <c r="G22" s="254">
        <v>6.27</v>
      </c>
      <c r="H22" s="255" t="s">
        <v>372</v>
      </c>
      <c r="I22" s="255" t="s">
        <v>213</v>
      </c>
      <c r="J22" s="256">
        <v>1</v>
      </c>
      <c r="K22" s="257">
        <f t="shared" si="0"/>
        <v>6.27</v>
      </c>
      <c r="L22" s="234"/>
      <c r="M22" s="265" t="s">
        <v>523</v>
      </c>
      <c r="N22" s="264">
        <f>SUMIF(D:D,M22,K:K)</f>
        <v>1401.1859999999999</v>
      </c>
      <c r="O22" s="236"/>
    </row>
    <row r="23" spans="1:15" ht="14.25" customHeight="1">
      <c r="A23" s="233"/>
      <c r="B23" s="251" t="s">
        <v>422</v>
      </c>
      <c r="C23" s="252" t="s">
        <v>522</v>
      </c>
      <c r="D23" s="253" t="s">
        <v>378</v>
      </c>
      <c r="E23" s="253" t="s">
        <v>379</v>
      </c>
      <c r="F23" s="253" t="s">
        <v>213</v>
      </c>
      <c r="G23" s="254">
        <f>6.31+6.32</f>
        <v>12.629999999999999</v>
      </c>
      <c r="H23" s="255" t="s">
        <v>372</v>
      </c>
      <c r="I23" s="255" t="s">
        <v>213</v>
      </c>
      <c r="J23" s="256">
        <v>1</v>
      </c>
      <c r="K23" s="257">
        <f t="shared" si="0"/>
        <v>12.629999999999999</v>
      </c>
      <c r="L23" s="234"/>
      <c r="M23" s="265" t="s">
        <v>476</v>
      </c>
      <c r="N23" s="264">
        <f>SUMIF(D:D,M23,K:K)</f>
        <v>1379.6399999999996</v>
      </c>
      <c r="O23" s="236"/>
    </row>
    <row r="24" spans="1:15" ht="14.25" customHeight="1">
      <c r="A24" s="233"/>
      <c r="B24" s="251" t="s">
        <v>422</v>
      </c>
      <c r="C24" s="252" t="s">
        <v>434</v>
      </c>
      <c r="D24" s="253" t="s">
        <v>378</v>
      </c>
      <c r="E24" s="253" t="s">
        <v>379</v>
      </c>
      <c r="F24" s="253" t="s">
        <v>213</v>
      </c>
      <c r="G24" s="254">
        <v>72.260000000000005</v>
      </c>
      <c r="H24" s="255" t="s">
        <v>372</v>
      </c>
      <c r="I24" s="255" t="s">
        <v>213</v>
      </c>
      <c r="J24" s="256">
        <v>1</v>
      </c>
      <c r="K24" s="257">
        <f t="shared" si="0"/>
        <v>72.260000000000005</v>
      </c>
      <c r="L24" s="234"/>
      <c r="M24" s="265" t="s">
        <v>477</v>
      </c>
      <c r="N24" s="264">
        <f>SUMIF(D:D,M24,K:K)</f>
        <v>9.25</v>
      </c>
      <c r="O24" s="236"/>
    </row>
    <row r="25" spans="1:15" ht="14.25" customHeight="1">
      <c r="A25" s="233"/>
      <c r="B25" s="251" t="s">
        <v>422</v>
      </c>
      <c r="C25" s="252" t="s">
        <v>435</v>
      </c>
      <c r="D25" s="253" t="s">
        <v>378</v>
      </c>
      <c r="E25" s="253" t="s">
        <v>197</v>
      </c>
      <c r="F25" s="253" t="s">
        <v>213</v>
      </c>
      <c r="G25" s="254">
        <f>6.78+6.94+6.78</f>
        <v>20.5</v>
      </c>
      <c r="H25" s="255" t="s">
        <v>372</v>
      </c>
      <c r="I25" s="255" t="s">
        <v>213</v>
      </c>
      <c r="J25" s="256">
        <v>1</v>
      </c>
      <c r="K25" s="257">
        <f t="shared" si="0"/>
        <v>20.5</v>
      </c>
      <c r="L25" s="234"/>
      <c r="M25" s="265" t="s">
        <v>474</v>
      </c>
      <c r="N25" s="264">
        <f>SUMIF(D:D,M25,K:K)</f>
        <v>173.03220000000002</v>
      </c>
      <c r="O25" s="236"/>
    </row>
    <row r="26" spans="1:15" ht="14.25" customHeight="1">
      <c r="A26" s="233"/>
      <c r="B26" s="251" t="s">
        <v>422</v>
      </c>
      <c r="C26" s="252" t="s">
        <v>436</v>
      </c>
      <c r="D26" s="253" t="s">
        <v>378</v>
      </c>
      <c r="E26" s="253" t="s">
        <v>379</v>
      </c>
      <c r="F26" s="253" t="s">
        <v>213</v>
      </c>
      <c r="G26" s="254">
        <f>26.45+19.48</f>
        <v>45.93</v>
      </c>
      <c r="H26" s="255" t="s">
        <v>372</v>
      </c>
      <c r="I26" s="255" t="s">
        <v>213</v>
      </c>
      <c r="J26" s="256">
        <v>1</v>
      </c>
      <c r="K26" s="257">
        <f t="shared" si="0"/>
        <v>45.93</v>
      </c>
      <c r="L26" s="234"/>
      <c r="M26" s="265" t="s">
        <v>475</v>
      </c>
      <c r="N26" s="264">
        <f>SUMIF(D:D,M26,K:K)</f>
        <v>16.443000000000001</v>
      </c>
      <c r="O26" s="236"/>
    </row>
    <row r="27" spans="1:15" ht="14.25" customHeight="1">
      <c r="A27" s="233"/>
      <c r="B27" s="251" t="s">
        <v>422</v>
      </c>
      <c r="C27" s="252" t="s">
        <v>437</v>
      </c>
      <c r="D27" s="253" t="s">
        <v>378</v>
      </c>
      <c r="E27" s="253" t="s">
        <v>379</v>
      </c>
      <c r="F27" s="253" t="s">
        <v>213</v>
      </c>
      <c r="G27" s="254">
        <v>36.840000000000003</v>
      </c>
      <c r="H27" s="255" t="s">
        <v>372</v>
      </c>
      <c r="I27" s="255" t="s">
        <v>213</v>
      </c>
      <c r="J27" s="256">
        <v>1</v>
      </c>
      <c r="K27" s="257">
        <f t="shared" si="0"/>
        <v>36.840000000000003</v>
      </c>
      <c r="L27" s="234"/>
      <c r="M27" s="265" t="s">
        <v>525</v>
      </c>
      <c r="N27" s="264">
        <f>SUMIF(D:D,M27,K:K)</f>
        <v>37.313999999999993</v>
      </c>
      <c r="O27" s="236"/>
    </row>
    <row r="28" spans="1:15" ht="14.25" customHeight="1">
      <c r="A28" s="233"/>
      <c r="B28" s="251" t="s">
        <v>422</v>
      </c>
      <c r="C28" s="252" t="s">
        <v>438</v>
      </c>
      <c r="D28" s="253" t="s">
        <v>378</v>
      </c>
      <c r="E28" s="253" t="s">
        <v>379</v>
      </c>
      <c r="F28" s="253" t="s">
        <v>213</v>
      </c>
      <c r="G28" s="254">
        <v>5.83</v>
      </c>
      <c r="H28" s="255" t="s">
        <v>372</v>
      </c>
      <c r="I28" s="255" t="s">
        <v>213</v>
      </c>
      <c r="J28" s="256">
        <v>1</v>
      </c>
      <c r="K28" s="257">
        <f t="shared" si="0"/>
        <v>5.83</v>
      </c>
      <c r="L28" s="234"/>
      <c r="M28" s="265" t="s">
        <v>328</v>
      </c>
      <c r="N28" s="264">
        <f>SUMIF(D:D,M28,K:K)</f>
        <v>525.00999999999988</v>
      </c>
      <c r="O28" s="236"/>
    </row>
    <row r="29" spans="1:15" ht="14.25" customHeight="1">
      <c r="A29" s="233"/>
      <c r="B29" s="251" t="s">
        <v>422</v>
      </c>
      <c r="C29" s="252" t="s">
        <v>439</v>
      </c>
      <c r="D29" s="253" t="s">
        <v>378</v>
      </c>
      <c r="E29" s="253" t="s">
        <v>379</v>
      </c>
      <c r="F29" s="253" t="s">
        <v>213</v>
      </c>
      <c r="G29" s="254">
        <f>31.32+2.64+8.27</f>
        <v>42.230000000000004</v>
      </c>
      <c r="H29" s="255" t="s">
        <v>372</v>
      </c>
      <c r="I29" s="255" t="s">
        <v>213</v>
      </c>
      <c r="J29" s="256">
        <v>1</v>
      </c>
      <c r="K29" s="257">
        <f t="shared" si="0"/>
        <v>42.230000000000004</v>
      </c>
      <c r="L29" s="234"/>
      <c r="M29" s="265" t="s">
        <v>450</v>
      </c>
      <c r="N29" s="264">
        <f>SUMIF(D:D,M29,K:K)</f>
        <v>0</v>
      </c>
      <c r="O29" s="236"/>
    </row>
    <row r="30" spans="1:15" ht="14.25" customHeight="1">
      <c r="A30" s="233"/>
      <c r="B30" s="251" t="s">
        <v>422</v>
      </c>
      <c r="C30" s="252" t="s">
        <v>440</v>
      </c>
      <c r="D30" s="253" t="s">
        <v>378</v>
      </c>
      <c r="E30" s="253" t="s">
        <v>379</v>
      </c>
      <c r="F30" s="253" t="s">
        <v>213</v>
      </c>
      <c r="G30" s="254">
        <f>13+9.33</f>
        <v>22.33</v>
      </c>
      <c r="H30" s="255" t="s">
        <v>372</v>
      </c>
      <c r="I30" s="255" t="s">
        <v>213</v>
      </c>
      <c r="J30" s="256">
        <v>1</v>
      </c>
      <c r="K30" s="257">
        <f t="shared" si="0"/>
        <v>22.33</v>
      </c>
      <c r="L30" s="234"/>
      <c r="M30" s="265" t="s">
        <v>213</v>
      </c>
      <c r="N30" s="264">
        <f>SUMIF(D:D,M30,K:K)</f>
        <v>323.98</v>
      </c>
      <c r="O30" s="236"/>
    </row>
    <row r="31" spans="1:15" ht="14.25" customHeight="1">
      <c r="A31" s="233"/>
      <c r="B31" s="251" t="s">
        <v>422</v>
      </c>
      <c r="C31" s="252" t="s">
        <v>441</v>
      </c>
      <c r="D31" s="253" t="s">
        <v>451</v>
      </c>
      <c r="E31" s="253" t="s">
        <v>379</v>
      </c>
      <c r="F31" s="253" t="s">
        <v>213</v>
      </c>
      <c r="G31" s="254">
        <f>14.45</f>
        <v>14.45</v>
      </c>
      <c r="H31" s="255" t="s">
        <v>372</v>
      </c>
      <c r="I31" s="255" t="s">
        <v>213</v>
      </c>
      <c r="J31" s="256">
        <v>1</v>
      </c>
      <c r="K31" s="257">
        <f t="shared" si="0"/>
        <v>14.45</v>
      </c>
      <c r="L31" s="234"/>
      <c r="M31" s="265"/>
      <c r="N31" s="264">
        <f>SUMIF(D:D,M31,K:K)</f>
        <v>0</v>
      </c>
      <c r="O31" s="236"/>
    </row>
    <row r="32" spans="1:15" ht="14.25" customHeight="1" thickBot="1">
      <c r="A32" s="233"/>
      <c r="B32" s="251" t="s">
        <v>422</v>
      </c>
      <c r="C32" s="252" t="s">
        <v>442</v>
      </c>
      <c r="D32" s="253" t="s">
        <v>451</v>
      </c>
      <c r="E32" s="253" t="s">
        <v>379</v>
      </c>
      <c r="F32" s="253" t="s">
        <v>213</v>
      </c>
      <c r="G32" s="254">
        <v>172.63</v>
      </c>
      <c r="H32" s="255" t="s">
        <v>372</v>
      </c>
      <c r="I32" s="255" t="s">
        <v>213</v>
      </c>
      <c r="J32" s="256">
        <v>1</v>
      </c>
      <c r="K32" s="257">
        <f t="shared" si="0"/>
        <v>172.63</v>
      </c>
      <c r="L32" s="234"/>
      <c r="M32" s="265"/>
      <c r="N32" s="264">
        <f>SUMIF(D:D,M32,K:K)</f>
        <v>0</v>
      </c>
      <c r="O32" s="236"/>
    </row>
    <row r="33" spans="1:15" ht="14.25" customHeight="1" thickBot="1">
      <c r="A33" s="233"/>
      <c r="B33" s="251" t="s">
        <v>422</v>
      </c>
      <c r="C33" s="252" t="s">
        <v>443</v>
      </c>
      <c r="D33" s="253" t="s">
        <v>451</v>
      </c>
      <c r="E33" s="253" t="s">
        <v>379</v>
      </c>
      <c r="F33" s="253" t="s">
        <v>213</v>
      </c>
      <c r="G33" s="254">
        <f>10.48+10.48+4.26</f>
        <v>25.22</v>
      </c>
      <c r="H33" s="255" t="s">
        <v>372</v>
      </c>
      <c r="I33" s="255" t="s">
        <v>213</v>
      </c>
      <c r="J33" s="256">
        <v>1</v>
      </c>
      <c r="K33" s="257">
        <f t="shared" si="0"/>
        <v>25.22</v>
      </c>
      <c r="L33" s="234"/>
      <c r="M33" s="283" t="s">
        <v>381</v>
      </c>
      <c r="N33" s="284"/>
      <c r="O33" s="236"/>
    </row>
    <row r="34" spans="1:15" ht="14.25" customHeight="1">
      <c r="A34" s="233"/>
      <c r="B34" s="251" t="s">
        <v>422</v>
      </c>
      <c r="C34" s="252" t="s">
        <v>444</v>
      </c>
      <c r="D34" s="253" t="s">
        <v>451</v>
      </c>
      <c r="E34" s="253" t="s">
        <v>379</v>
      </c>
      <c r="F34" s="253" t="s">
        <v>213</v>
      </c>
      <c r="G34" s="254">
        <v>25.88</v>
      </c>
      <c r="H34" s="255" t="s">
        <v>372</v>
      </c>
      <c r="I34" s="255" t="s">
        <v>213</v>
      </c>
      <c r="J34" s="256">
        <v>1</v>
      </c>
      <c r="K34" s="257">
        <f t="shared" si="0"/>
        <v>25.88</v>
      </c>
      <c r="L34" s="234"/>
      <c r="M34" s="262" t="s">
        <v>365</v>
      </c>
      <c r="N34" s="243" t="s">
        <v>371</v>
      </c>
      <c r="O34" s="236"/>
    </row>
    <row r="35" spans="1:15" ht="14.25" customHeight="1">
      <c r="A35" s="233"/>
      <c r="B35" s="251" t="s">
        <v>422</v>
      </c>
      <c r="C35" s="252" t="s">
        <v>445</v>
      </c>
      <c r="D35" s="253" t="s">
        <v>451</v>
      </c>
      <c r="E35" s="253" t="s">
        <v>379</v>
      </c>
      <c r="F35" s="253" t="s">
        <v>213</v>
      </c>
      <c r="G35" s="254">
        <v>5.16</v>
      </c>
      <c r="H35" s="255" t="s">
        <v>372</v>
      </c>
      <c r="I35" s="255" t="s">
        <v>213</v>
      </c>
      <c r="J35" s="256">
        <v>1</v>
      </c>
      <c r="K35" s="257">
        <f t="shared" si="0"/>
        <v>5.16</v>
      </c>
      <c r="L35" s="234"/>
      <c r="M35" s="263" t="s">
        <v>379</v>
      </c>
      <c r="N35" s="264">
        <f>SUMIF(E:E,M35,K:K)</f>
        <v>4034.83</v>
      </c>
      <c r="O35" s="236"/>
    </row>
    <row r="36" spans="1:15" ht="14.25" customHeight="1">
      <c r="A36" s="233"/>
      <c r="B36" s="251" t="s">
        <v>422</v>
      </c>
      <c r="C36" s="252" t="s">
        <v>446</v>
      </c>
      <c r="D36" s="253" t="s">
        <v>451</v>
      </c>
      <c r="E36" s="253" t="s">
        <v>379</v>
      </c>
      <c r="F36" s="253" t="s">
        <v>213</v>
      </c>
      <c r="G36" s="254">
        <v>24.85</v>
      </c>
      <c r="H36" s="255" t="s">
        <v>372</v>
      </c>
      <c r="I36" s="255" t="s">
        <v>213</v>
      </c>
      <c r="J36" s="256">
        <v>1</v>
      </c>
      <c r="K36" s="257">
        <f t="shared" si="0"/>
        <v>24.85</v>
      </c>
      <c r="L36" s="234"/>
      <c r="M36" s="265" t="s">
        <v>197</v>
      </c>
      <c r="N36" s="264">
        <f>SUMIF(E:E,M36,K:K)</f>
        <v>1255.1630000000005</v>
      </c>
      <c r="O36" s="236"/>
    </row>
    <row r="37" spans="1:15" ht="14.25" customHeight="1">
      <c r="A37" s="233"/>
      <c r="B37" s="251" t="s">
        <v>422</v>
      </c>
      <c r="C37" s="252" t="s">
        <v>447</v>
      </c>
      <c r="D37" s="253" t="s">
        <v>451</v>
      </c>
      <c r="E37" s="253" t="s">
        <v>379</v>
      </c>
      <c r="F37" s="253" t="s">
        <v>213</v>
      </c>
      <c r="G37" s="254">
        <v>2.8</v>
      </c>
      <c r="H37" s="255" t="s">
        <v>372</v>
      </c>
      <c r="I37" s="255" t="s">
        <v>213</v>
      </c>
      <c r="J37" s="256">
        <v>1</v>
      </c>
      <c r="K37" s="257">
        <f t="shared" si="0"/>
        <v>2.8</v>
      </c>
      <c r="L37" s="234"/>
      <c r="M37" s="265" t="s">
        <v>213</v>
      </c>
      <c r="N37" s="257">
        <f>SUMIF(E:E,M37,K:K)</f>
        <v>2460.3921999999998</v>
      </c>
      <c r="O37" s="236"/>
    </row>
    <row r="38" spans="1:15" ht="14.25" customHeight="1">
      <c r="A38" s="233"/>
      <c r="B38" s="251" t="s">
        <v>422</v>
      </c>
      <c r="C38" s="252" t="s">
        <v>448</v>
      </c>
      <c r="D38" s="253" t="s">
        <v>451</v>
      </c>
      <c r="E38" s="253" t="s">
        <v>379</v>
      </c>
      <c r="F38" s="253" t="s">
        <v>213</v>
      </c>
      <c r="G38" s="254">
        <f>23.28+23.15</f>
        <v>46.43</v>
      </c>
      <c r="H38" s="255" t="s">
        <v>372</v>
      </c>
      <c r="I38" s="255" t="s">
        <v>213</v>
      </c>
      <c r="J38" s="256">
        <v>1</v>
      </c>
      <c r="K38" s="257">
        <f t="shared" ref="K38:K43" si="2">G38*J38</f>
        <v>46.43</v>
      </c>
      <c r="L38" s="234"/>
      <c r="M38" s="265"/>
      <c r="N38" s="257">
        <f>SUMIF(E:E,M38,K:K)</f>
        <v>0</v>
      </c>
      <c r="O38" s="236"/>
    </row>
    <row r="39" spans="1:15" ht="14.25" customHeight="1">
      <c r="A39" s="233"/>
      <c r="B39" s="251" t="s">
        <v>422</v>
      </c>
      <c r="C39" s="252" t="s">
        <v>449</v>
      </c>
      <c r="D39" s="253" t="s">
        <v>451</v>
      </c>
      <c r="E39" s="253" t="s">
        <v>379</v>
      </c>
      <c r="F39" s="253" t="s">
        <v>213</v>
      </c>
      <c r="G39" s="254">
        <f>5.94+5.92</f>
        <v>11.86</v>
      </c>
      <c r="H39" s="255" t="s">
        <v>372</v>
      </c>
      <c r="I39" s="255" t="s">
        <v>213</v>
      </c>
      <c r="J39" s="256">
        <v>1</v>
      </c>
      <c r="K39" s="257">
        <f t="shared" si="2"/>
        <v>11.86</v>
      </c>
      <c r="L39" s="234"/>
      <c r="M39" s="265" t="s">
        <v>637</v>
      </c>
      <c r="N39" s="257">
        <f>SUMIF(F:F,M39,K:K)</f>
        <v>494.27</v>
      </c>
      <c r="O39" s="236"/>
    </row>
    <row r="40" spans="1:15" ht="14.25" customHeight="1">
      <c r="A40" s="233"/>
      <c r="B40" s="251" t="s">
        <v>422</v>
      </c>
      <c r="C40" s="252" t="s">
        <v>784</v>
      </c>
      <c r="D40" s="285" t="s">
        <v>523</v>
      </c>
      <c r="E40" s="253" t="s">
        <v>197</v>
      </c>
      <c r="F40" s="253" t="s">
        <v>213</v>
      </c>
      <c r="G40" s="254">
        <f>5.42+22*1.2*0.27</f>
        <v>12.548</v>
      </c>
      <c r="H40" s="255" t="s">
        <v>372</v>
      </c>
      <c r="I40" s="255" t="s">
        <v>213</v>
      </c>
      <c r="J40" s="256">
        <v>1</v>
      </c>
      <c r="K40" s="257">
        <f t="shared" ref="K40" si="3">G40*J40</f>
        <v>12.548</v>
      </c>
      <c r="L40" s="234"/>
      <c r="M40" s="249" t="s">
        <v>638</v>
      </c>
      <c r="N40" s="257">
        <f>SUMIF(F:F,M40,K:K)</f>
        <v>465.14</v>
      </c>
      <c r="O40" s="236"/>
    </row>
    <row r="41" spans="1:15" ht="14.25" customHeight="1">
      <c r="A41" s="233"/>
      <c r="B41" s="251" t="s">
        <v>422</v>
      </c>
      <c r="C41" s="252" t="s">
        <v>785</v>
      </c>
      <c r="D41" s="253" t="s">
        <v>525</v>
      </c>
      <c r="E41" s="253" t="s">
        <v>197</v>
      </c>
      <c r="F41" s="253" t="s">
        <v>213</v>
      </c>
      <c r="G41" s="254">
        <f>22*1.2*0.18</f>
        <v>4.7519999999999998</v>
      </c>
      <c r="H41" s="255" t="s">
        <v>372</v>
      </c>
      <c r="I41" s="255" t="s">
        <v>213</v>
      </c>
      <c r="J41" s="256">
        <v>1</v>
      </c>
      <c r="K41" s="257">
        <f t="shared" si="2"/>
        <v>4.7519999999999998</v>
      </c>
      <c r="L41" s="234"/>
      <c r="M41" s="249" t="s">
        <v>638</v>
      </c>
      <c r="N41" s="257">
        <f>SUMIF(F:F,M41,K:K)</f>
        <v>465.14</v>
      </c>
      <c r="O41" s="236"/>
    </row>
    <row r="42" spans="1:15" ht="14.25" customHeight="1">
      <c r="A42" s="233"/>
      <c r="B42" s="251" t="s">
        <v>422</v>
      </c>
      <c r="C42" s="252" t="s">
        <v>453</v>
      </c>
      <c r="D42" s="253" t="s">
        <v>378</v>
      </c>
      <c r="E42" s="253" t="s">
        <v>197</v>
      </c>
      <c r="F42" s="253" t="s">
        <v>213</v>
      </c>
      <c r="G42" s="254">
        <v>3.19</v>
      </c>
      <c r="H42" s="255" t="s">
        <v>372</v>
      </c>
      <c r="I42" s="255" t="s">
        <v>213</v>
      </c>
      <c r="J42" s="256">
        <v>1</v>
      </c>
      <c r="K42" s="257">
        <f t="shared" si="2"/>
        <v>3.19</v>
      </c>
      <c r="L42" s="234"/>
      <c r="M42" s="266"/>
      <c r="N42" s="267"/>
      <c r="O42" s="236"/>
    </row>
    <row r="43" spans="1:15" ht="14.25" customHeight="1">
      <c r="A43" s="233"/>
      <c r="B43" s="251" t="s">
        <v>422</v>
      </c>
      <c r="C43" s="252" t="s">
        <v>452</v>
      </c>
      <c r="D43" s="253" t="s">
        <v>378</v>
      </c>
      <c r="E43" s="253" t="s">
        <v>197</v>
      </c>
      <c r="F43" s="253" t="s">
        <v>213</v>
      </c>
      <c r="G43" s="254">
        <f>22*1.2*(0.18+0.27)</f>
        <v>11.879999999999999</v>
      </c>
      <c r="H43" s="255" t="s">
        <v>372</v>
      </c>
      <c r="I43" s="255" t="s">
        <v>213</v>
      </c>
      <c r="J43" s="256">
        <v>1</v>
      </c>
      <c r="K43" s="257">
        <f t="shared" si="2"/>
        <v>11.879999999999999</v>
      </c>
      <c r="L43" s="234"/>
      <c r="M43" s="266"/>
      <c r="N43" s="267"/>
      <c r="O43" s="236"/>
    </row>
    <row r="44" spans="1:15" ht="14.25" customHeight="1">
      <c r="A44" s="233"/>
      <c r="B44" s="251" t="s">
        <v>422</v>
      </c>
      <c r="C44" s="280" t="s">
        <v>454</v>
      </c>
      <c r="D44" s="285" t="s">
        <v>523</v>
      </c>
      <c r="E44" s="253" t="s">
        <v>213</v>
      </c>
      <c r="F44" s="253" t="s">
        <v>213</v>
      </c>
      <c r="G44" s="254">
        <v>220.17</v>
      </c>
      <c r="H44" s="255" t="s">
        <v>373</v>
      </c>
      <c r="I44" s="255" t="s">
        <v>213</v>
      </c>
      <c r="J44" s="256">
        <v>1</v>
      </c>
      <c r="K44" s="257">
        <f t="shared" ref="K44" si="4">G44*J44</f>
        <v>220.17</v>
      </c>
      <c r="L44" s="234"/>
      <c r="M44" s="266"/>
      <c r="N44" s="267"/>
      <c r="O44" s="236"/>
    </row>
    <row r="45" spans="1:15" ht="14.25" customHeight="1">
      <c r="A45" s="233"/>
      <c r="B45" s="251" t="s">
        <v>374</v>
      </c>
      <c r="C45" s="280" t="s">
        <v>455</v>
      </c>
      <c r="D45" s="285" t="s">
        <v>523</v>
      </c>
      <c r="E45" s="253" t="s">
        <v>213</v>
      </c>
      <c r="F45" s="253" t="s">
        <v>213</v>
      </c>
      <c r="G45" s="254">
        <f>25.91+16*2*0.18+8*3.3*0.18</f>
        <v>36.422000000000004</v>
      </c>
      <c r="H45" s="255" t="s">
        <v>373</v>
      </c>
      <c r="I45" s="255" t="s">
        <v>213</v>
      </c>
      <c r="J45" s="256">
        <v>1</v>
      </c>
      <c r="K45" s="257">
        <f t="shared" ref="K45" si="5">G45*J45</f>
        <v>36.422000000000004</v>
      </c>
      <c r="L45" s="234"/>
      <c r="M45" s="266"/>
      <c r="N45" s="267"/>
      <c r="O45" s="236"/>
    </row>
    <row r="46" spans="1:15" ht="14.25" customHeight="1">
      <c r="A46" s="233"/>
      <c r="B46" s="251" t="s">
        <v>374</v>
      </c>
      <c r="C46" s="252" t="s">
        <v>456</v>
      </c>
      <c r="D46" s="253" t="s">
        <v>451</v>
      </c>
      <c r="E46" s="253" t="s">
        <v>213</v>
      </c>
      <c r="F46" s="253" t="s">
        <v>213</v>
      </c>
      <c r="G46" s="254">
        <v>177.41</v>
      </c>
      <c r="H46" s="255" t="s">
        <v>372</v>
      </c>
      <c r="I46" s="255" t="s">
        <v>213</v>
      </c>
      <c r="J46" s="256">
        <v>1</v>
      </c>
      <c r="K46" s="257">
        <f t="shared" ref="K46:K55" si="6">G46*J46</f>
        <v>177.41</v>
      </c>
      <c r="L46" s="234"/>
      <c r="M46" s="266"/>
      <c r="N46" s="267"/>
      <c r="O46" s="236"/>
    </row>
    <row r="47" spans="1:15" ht="14.25" customHeight="1">
      <c r="A47" s="233"/>
      <c r="B47" s="251" t="s">
        <v>374</v>
      </c>
      <c r="C47" s="252" t="s">
        <v>457</v>
      </c>
      <c r="D47" s="253" t="s">
        <v>451</v>
      </c>
      <c r="E47" s="253" t="s">
        <v>213</v>
      </c>
      <c r="F47" s="253" t="s">
        <v>213</v>
      </c>
      <c r="G47" s="254">
        <v>106.72</v>
      </c>
      <c r="H47" s="255" t="s">
        <v>372</v>
      </c>
      <c r="I47" s="255" t="s">
        <v>213</v>
      </c>
      <c r="J47" s="256">
        <v>1</v>
      </c>
      <c r="K47" s="257">
        <f t="shared" si="6"/>
        <v>106.72</v>
      </c>
      <c r="L47" s="234"/>
      <c r="M47" s="266"/>
      <c r="N47" s="267"/>
      <c r="O47" s="236"/>
    </row>
    <row r="48" spans="1:15" ht="14.25" customHeight="1">
      <c r="A48" s="233"/>
      <c r="B48" s="251" t="s">
        <v>374</v>
      </c>
      <c r="C48" s="252" t="s">
        <v>458</v>
      </c>
      <c r="D48" s="253" t="s">
        <v>451</v>
      </c>
      <c r="E48" s="253" t="s">
        <v>213</v>
      </c>
      <c r="F48" s="253" t="s">
        <v>213</v>
      </c>
      <c r="G48" s="254">
        <v>143.55000000000001</v>
      </c>
      <c r="H48" s="255" t="s">
        <v>372</v>
      </c>
      <c r="I48" s="255" t="s">
        <v>213</v>
      </c>
      <c r="J48" s="256">
        <v>1</v>
      </c>
      <c r="K48" s="257">
        <f t="shared" si="6"/>
        <v>143.55000000000001</v>
      </c>
      <c r="L48" s="234"/>
      <c r="M48" s="266"/>
      <c r="N48" s="267"/>
      <c r="O48" s="236"/>
    </row>
    <row r="49" spans="1:15" ht="14.25" customHeight="1">
      <c r="A49" s="233"/>
      <c r="B49" s="251" t="s">
        <v>374</v>
      </c>
      <c r="C49" s="252" t="s">
        <v>459</v>
      </c>
      <c r="D49" s="253" t="s">
        <v>451</v>
      </c>
      <c r="E49" s="253" t="s">
        <v>379</v>
      </c>
      <c r="F49" s="253" t="s">
        <v>637</v>
      </c>
      <c r="G49" s="254">
        <v>214.79</v>
      </c>
      <c r="H49" s="255" t="s">
        <v>372</v>
      </c>
      <c r="I49" s="255" t="s">
        <v>591</v>
      </c>
      <c r="J49" s="256">
        <v>1</v>
      </c>
      <c r="K49" s="257">
        <f t="shared" si="6"/>
        <v>214.79</v>
      </c>
      <c r="L49" s="234"/>
      <c r="M49" s="266"/>
      <c r="N49" s="267"/>
      <c r="O49" s="236"/>
    </row>
    <row r="50" spans="1:15" ht="14.25" customHeight="1">
      <c r="A50" s="233"/>
      <c r="B50" s="251" t="s">
        <v>374</v>
      </c>
      <c r="C50" s="252" t="s">
        <v>460</v>
      </c>
      <c r="D50" s="253" t="s">
        <v>451</v>
      </c>
      <c r="E50" s="253" t="s">
        <v>379</v>
      </c>
      <c r="F50" s="253" t="s">
        <v>379</v>
      </c>
      <c r="G50" s="254">
        <v>16.690000000000001</v>
      </c>
      <c r="H50" s="255" t="s">
        <v>372</v>
      </c>
      <c r="I50" s="255" t="s">
        <v>591</v>
      </c>
      <c r="J50" s="256">
        <v>1</v>
      </c>
      <c r="K50" s="257">
        <f t="shared" si="6"/>
        <v>16.690000000000001</v>
      </c>
      <c r="L50" s="234"/>
      <c r="M50" s="266"/>
      <c r="N50" s="267"/>
      <c r="O50" s="236"/>
    </row>
    <row r="51" spans="1:15" ht="14.25" customHeight="1">
      <c r="A51" s="233"/>
      <c r="B51" s="251" t="s">
        <v>374</v>
      </c>
      <c r="C51" s="252" t="s">
        <v>439</v>
      </c>
      <c r="D51" s="253" t="s">
        <v>378</v>
      </c>
      <c r="E51" s="253" t="s">
        <v>379</v>
      </c>
      <c r="F51" s="253" t="s">
        <v>379</v>
      </c>
      <c r="G51" s="254">
        <v>43.7</v>
      </c>
      <c r="H51" s="255" t="s">
        <v>372</v>
      </c>
      <c r="I51" s="255" t="s">
        <v>591</v>
      </c>
      <c r="J51" s="256">
        <v>1</v>
      </c>
      <c r="K51" s="257">
        <f t="shared" si="6"/>
        <v>43.7</v>
      </c>
      <c r="L51" s="234"/>
      <c r="M51" s="266"/>
      <c r="N51" s="267"/>
      <c r="O51" s="236"/>
    </row>
    <row r="52" spans="1:15" ht="14.25" customHeight="1">
      <c r="A52" s="233"/>
      <c r="B52" s="251" t="s">
        <v>374</v>
      </c>
      <c r="C52" s="252" t="s">
        <v>461</v>
      </c>
      <c r="D52" s="253" t="s">
        <v>378</v>
      </c>
      <c r="E52" s="253" t="s">
        <v>379</v>
      </c>
      <c r="F52" s="253" t="s">
        <v>379</v>
      </c>
      <c r="G52" s="254">
        <v>16.190000000000001</v>
      </c>
      <c r="H52" s="255" t="s">
        <v>372</v>
      </c>
      <c r="I52" s="255" t="s">
        <v>591</v>
      </c>
      <c r="J52" s="256">
        <v>1</v>
      </c>
      <c r="K52" s="257">
        <f t="shared" si="6"/>
        <v>16.190000000000001</v>
      </c>
      <c r="L52" s="234"/>
      <c r="M52" s="266"/>
      <c r="N52" s="267"/>
      <c r="O52" s="236"/>
    </row>
    <row r="53" spans="1:15" ht="14.25" customHeight="1">
      <c r="A53" s="233"/>
      <c r="B53" s="251" t="s">
        <v>374</v>
      </c>
      <c r="C53" s="252" t="s">
        <v>430</v>
      </c>
      <c r="D53" s="253" t="s">
        <v>378</v>
      </c>
      <c r="E53" s="253" t="s">
        <v>379</v>
      </c>
      <c r="F53" s="253" t="s">
        <v>637</v>
      </c>
      <c r="G53" s="254">
        <v>13.73</v>
      </c>
      <c r="H53" s="255" t="s">
        <v>372</v>
      </c>
      <c r="I53" s="255" t="s">
        <v>591</v>
      </c>
      <c r="J53" s="256">
        <v>1</v>
      </c>
      <c r="K53" s="257">
        <f t="shared" si="6"/>
        <v>13.73</v>
      </c>
      <c r="L53" s="234"/>
      <c r="M53" s="266"/>
      <c r="N53" s="267"/>
      <c r="O53" s="236"/>
    </row>
    <row r="54" spans="1:15" ht="14.25" customHeight="1">
      <c r="A54" s="233"/>
      <c r="B54" s="251" t="s">
        <v>374</v>
      </c>
      <c r="C54" s="252" t="s">
        <v>444</v>
      </c>
      <c r="D54" s="253" t="s">
        <v>451</v>
      </c>
      <c r="E54" s="253" t="s">
        <v>379</v>
      </c>
      <c r="F54" s="253" t="s">
        <v>637</v>
      </c>
      <c r="G54" s="254">
        <v>113.4</v>
      </c>
      <c r="H54" s="255" t="s">
        <v>372</v>
      </c>
      <c r="I54" s="255" t="s">
        <v>591</v>
      </c>
      <c r="J54" s="256">
        <v>1</v>
      </c>
      <c r="K54" s="257">
        <f t="shared" si="6"/>
        <v>113.4</v>
      </c>
      <c r="L54" s="234"/>
      <c r="M54" s="266"/>
      <c r="N54" s="267"/>
      <c r="O54" s="236"/>
    </row>
    <row r="55" spans="1:15" ht="14.25" customHeight="1">
      <c r="A55" s="233"/>
      <c r="B55" s="251" t="s">
        <v>374</v>
      </c>
      <c r="C55" s="252" t="s">
        <v>462</v>
      </c>
      <c r="D55" s="253" t="s">
        <v>451</v>
      </c>
      <c r="E55" s="253" t="s">
        <v>379</v>
      </c>
      <c r="F55" s="253" t="s">
        <v>637</v>
      </c>
      <c r="G55" s="254">
        <v>152.35</v>
      </c>
      <c r="H55" s="255" t="s">
        <v>372</v>
      </c>
      <c r="I55" s="255" t="s">
        <v>591</v>
      </c>
      <c r="J55" s="256">
        <v>1</v>
      </c>
      <c r="K55" s="257">
        <f t="shared" si="6"/>
        <v>152.35</v>
      </c>
      <c r="L55" s="234"/>
      <c r="M55" s="266"/>
      <c r="N55" s="267"/>
      <c r="O55" s="236"/>
    </row>
    <row r="56" spans="1:15" ht="14.25" customHeight="1">
      <c r="A56" s="233"/>
      <c r="B56" s="251" t="s">
        <v>374</v>
      </c>
      <c r="C56" s="252" t="s">
        <v>463</v>
      </c>
      <c r="D56" s="253" t="s">
        <v>451</v>
      </c>
      <c r="E56" s="253" t="s">
        <v>379</v>
      </c>
      <c r="F56" s="253" t="s">
        <v>213</v>
      </c>
      <c r="G56" s="254">
        <v>7.38</v>
      </c>
      <c r="H56" s="255" t="s">
        <v>372</v>
      </c>
      <c r="I56" s="255" t="s">
        <v>213</v>
      </c>
      <c r="J56" s="256">
        <v>1</v>
      </c>
      <c r="K56" s="257">
        <f t="shared" ref="K56:K72" si="7">G56*J56</f>
        <v>7.38</v>
      </c>
      <c r="L56" s="234"/>
      <c r="M56" s="266"/>
      <c r="N56" s="267"/>
      <c r="O56" s="236"/>
    </row>
    <row r="57" spans="1:15" ht="14.25" customHeight="1">
      <c r="A57" s="233"/>
      <c r="B57" s="251" t="s">
        <v>374</v>
      </c>
      <c r="C57" s="252" t="s">
        <v>430</v>
      </c>
      <c r="D57" s="253" t="s">
        <v>451</v>
      </c>
      <c r="E57" s="253" t="s">
        <v>379</v>
      </c>
      <c r="F57" s="253" t="s">
        <v>213</v>
      </c>
      <c r="G57" s="254">
        <v>6.42</v>
      </c>
      <c r="H57" s="255" t="s">
        <v>372</v>
      </c>
      <c r="I57" s="255" t="s">
        <v>213</v>
      </c>
      <c r="J57" s="256">
        <v>1</v>
      </c>
      <c r="K57" s="257">
        <f t="shared" si="7"/>
        <v>6.42</v>
      </c>
      <c r="L57" s="234"/>
      <c r="M57" s="266"/>
      <c r="N57" s="267"/>
      <c r="O57" s="236"/>
    </row>
    <row r="58" spans="1:15" ht="14.25" customHeight="1">
      <c r="A58" s="233"/>
      <c r="B58" s="251" t="s">
        <v>374</v>
      </c>
      <c r="C58" s="252" t="s">
        <v>464</v>
      </c>
      <c r="D58" s="253" t="s">
        <v>451</v>
      </c>
      <c r="E58" s="253" t="s">
        <v>379</v>
      </c>
      <c r="F58" s="253" t="s">
        <v>213</v>
      </c>
      <c r="G58" s="254">
        <v>12.74</v>
      </c>
      <c r="H58" s="255" t="s">
        <v>372</v>
      </c>
      <c r="I58" s="255" t="s">
        <v>213</v>
      </c>
      <c r="J58" s="256">
        <v>1</v>
      </c>
      <c r="K58" s="257">
        <f t="shared" si="7"/>
        <v>12.74</v>
      </c>
      <c r="L58" s="234"/>
      <c r="M58" s="266"/>
      <c r="N58" s="267"/>
      <c r="O58" s="236"/>
    </row>
    <row r="59" spans="1:15" ht="14.25" customHeight="1">
      <c r="A59" s="233"/>
      <c r="B59" s="251" t="s">
        <v>374</v>
      </c>
      <c r="C59" s="252" t="s">
        <v>465</v>
      </c>
      <c r="D59" s="253" t="s">
        <v>451</v>
      </c>
      <c r="E59" s="253" t="s">
        <v>379</v>
      </c>
      <c r="F59" s="253" t="s">
        <v>213</v>
      </c>
      <c r="G59" s="254">
        <v>10.4</v>
      </c>
      <c r="H59" s="255" t="s">
        <v>372</v>
      </c>
      <c r="I59" s="255" t="s">
        <v>213</v>
      </c>
      <c r="J59" s="256">
        <v>1</v>
      </c>
      <c r="K59" s="257">
        <f t="shared" si="7"/>
        <v>10.4</v>
      </c>
      <c r="L59" s="234"/>
      <c r="M59" s="266"/>
      <c r="N59" s="267"/>
      <c r="O59" s="236"/>
    </row>
    <row r="60" spans="1:15" ht="14.25" customHeight="1">
      <c r="A60" s="233"/>
      <c r="B60" s="251" t="s">
        <v>374</v>
      </c>
      <c r="C60" s="252" t="s">
        <v>466</v>
      </c>
      <c r="D60" s="253" t="s">
        <v>451</v>
      </c>
      <c r="E60" s="253" t="s">
        <v>379</v>
      </c>
      <c r="F60" s="253" t="s">
        <v>213</v>
      </c>
      <c r="G60" s="254">
        <f>6.36+4.2+7.3+4.21</f>
        <v>22.07</v>
      </c>
      <c r="H60" s="255" t="s">
        <v>372</v>
      </c>
      <c r="I60" s="255" t="s">
        <v>213</v>
      </c>
      <c r="J60" s="256">
        <v>1</v>
      </c>
      <c r="K60" s="257">
        <f t="shared" si="7"/>
        <v>22.07</v>
      </c>
      <c r="L60" s="234"/>
      <c r="M60" s="266"/>
      <c r="N60" s="267"/>
      <c r="O60" s="236"/>
    </row>
    <row r="61" spans="1:15" ht="14.25" customHeight="1">
      <c r="A61" s="233"/>
      <c r="B61" s="251" t="s">
        <v>374</v>
      </c>
      <c r="C61" s="252" t="s">
        <v>430</v>
      </c>
      <c r="D61" s="253" t="s">
        <v>451</v>
      </c>
      <c r="E61" s="253" t="s">
        <v>379</v>
      </c>
      <c r="F61" s="253" t="s">
        <v>213</v>
      </c>
      <c r="G61" s="254">
        <v>17.100000000000001</v>
      </c>
      <c r="H61" s="255" t="s">
        <v>372</v>
      </c>
      <c r="I61" s="255" t="s">
        <v>213</v>
      </c>
      <c r="J61" s="256">
        <v>1</v>
      </c>
      <c r="K61" s="257">
        <f t="shared" si="7"/>
        <v>17.100000000000001</v>
      </c>
      <c r="L61" s="234"/>
      <c r="M61" s="266"/>
      <c r="N61" s="267"/>
      <c r="O61" s="236"/>
    </row>
    <row r="62" spans="1:15" ht="14.25" customHeight="1">
      <c r="A62" s="233"/>
      <c r="B62" s="251" t="s">
        <v>374</v>
      </c>
      <c r="C62" s="252" t="s">
        <v>467</v>
      </c>
      <c r="D62" s="253" t="s">
        <v>451</v>
      </c>
      <c r="E62" s="253" t="s">
        <v>379</v>
      </c>
      <c r="F62" s="253" t="s">
        <v>213</v>
      </c>
      <c r="G62" s="254">
        <v>6.66</v>
      </c>
      <c r="H62" s="255" t="s">
        <v>372</v>
      </c>
      <c r="I62" s="255" t="s">
        <v>213</v>
      </c>
      <c r="J62" s="256">
        <v>1</v>
      </c>
      <c r="K62" s="257">
        <f t="shared" si="7"/>
        <v>6.66</v>
      </c>
      <c r="L62" s="234"/>
      <c r="M62" s="266"/>
      <c r="N62" s="267"/>
      <c r="O62" s="236"/>
    </row>
    <row r="63" spans="1:15" ht="14.25" customHeight="1">
      <c r="A63" s="233"/>
      <c r="B63" s="251" t="s">
        <v>374</v>
      </c>
      <c r="C63" s="252" t="s">
        <v>468</v>
      </c>
      <c r="D63" s="253" t="s">
        <v>476</v>
      </c>
      <c r="E63" s="253" t="s">
        <v>379</v>
      </c>
      <c r="F63" s="253" t="s">
        <v>638</v>
      </c>
      <c r="G63" s="254">
        <v>60.56</v>
      </c>
      <c r="H63" s="255" t="s">
        <v>372</v>
      </c>
      <c r="I63" s="255" t="s">
        <v>592</v>
      </c>
      <c r="J63" s="256">
        <v>1</v>
      </c>
      <c r="K63" s="257">
        <f t="shared" si="7"/>
        <v>60.56</v>
      </c>
      <c r="L63" s="234"/>
      <c r="M63" s="266"/>
      <c r="N63" s="267"/>
      <c r="O63" s="236"/>
    </row>
    <row r="64" spans="1:15" ht="14.25" customHeight="1">
      <c r="A64" s="233"/>
      <c r="B64" s="251" t="s">
        <v>374</v>
      </c>
      <c r="C64" s="252" t="s">
        <v>469</v>
      </c>
      <c r="D64" s="253" t="s">
        <v>451</v>
      </c>
      <c r="E64" s="253" t="s">
        <v>379</v>
      </c>
      <c r="F64" s="253" t="s">
        <v>213</v>
      </c>
      <c r="G64" s="254">
        <v>7.29</v>
      </c>
      <c r="H64" s="255" t="s">
        <v>372</v>
      </c>
      <c r="I64" s="255" t="s">
        <v>213</v>
      </c>
      <c r="J64" s="256">
        <v>1</v>
      </c>
      <c r="K64" s="257">
        <f t="shared" si="7"/>
        <v>7.29</v>
      </c>
      <c r="L64" s="234"/>
      <c r="M64" s="266"/>
      <c r="N64" s="267"/>
      <c r="O64" s="236"/>
    </row>
    <row r="65" spans="1:15" ht="14.25" customHeight="1">
      <c r="A65" s="233"/>
      <c r="B65" s="251" t="s">
        <v>374</v>
      </c>
      <c r="C65" s="252" t="s">
        <v>436</v>
      </c>
      <c r="D65" s="253" t="s">
        <v>451</v>
      </c>
      <c r="E65" s="253" t="s">
        <v>379</v>
      </c>
      <c r="F65" s="253" t="s">
        <v>213</v>
      </c>
      <c r="G65" s="254">
        <f>12.69+5.04+12.5</f>
        <v>30.23</v>
      </c>
      <c r="H65" s="255" t="s">
        <v>372</v>
      </c>
      <c r="I65" s="255" t="s">
        <v>213</v>
      </c>
      <c r="J65" s="256">
        <v>1</v>
      </c>
      <c r="K65" s="257">
        <f t="shared" si="7"/>
        <v>30.23</v>
      </c>
      <c r="L65" s="234"/>
      <c r="M65" s="266"/>
      <c r="N65" s="267"/>
      <c r="O65" s="236"/>
    </row>
    <row r="66" spans="1:15" ht="14.25" customHeight="1">
      <c r="A66" s="233"/>
      <c r="B66" s="251" t="s">
        <v>374</v>
      </c>
      <c r="C66" s="252" t="s">
        <v>472</v>
      </c>
      <c r="D66" s="253" t="s">
        <v>451</v>
      </c>
      <c r="E66" s="253" t="s">
        <v>379</v>
      </c>
      <c r="F66" s="253" t="s">
        <v>213</v>
      </c>
      <c r="G66" s="254">
        <v>120.14</v>
      </c>
      <c r="H66" s="255" t="s">
        <v>372</v>
      </c>
      <c r="I66" s="255" t="s">
        <v>213</v>
      </c>
      <c r="J66" s="256">
        <v>1</v>
      </c>
      <c r="K66" s="257">
        <f t="shared" si="7"/>
        <v>120.14</v>
      </c>
      <c r="L66" s="234"/>
      <c r="M66" s="266"/>
      <c r="N66" s="267"/>
      <c r="O66" s="236"/>
    </row>
    <row r="67" spans="1:15" ht="14.25" customHeight="1">
      <c r="A67" s="233"/>
      <c r="B67" s="251" t="s">
        <v>374</v>
      </c>
      <c r="C67" s="252" t="s">
        <v>470</v>
      </c>
      <c r="D67" s="253" t="s">
        <v>477</v>
      </c>
      <c r="E67" s="253" t="s">
        <v>379</v>
      </c>
      <c r="F67" s="253" t="s">
        <v>213</v>
      </c>
      <c r="G67" s="254">
        <v>9.25</v>
      </c>
      <c r="H67" s="255" t="s">
        <v>372</v>
      </c>
      <c r="I67" s="255" t="s">
        <v>213</v>
      </c>
      <c r="J67" s="256">
        <v>1</v>
      </c>
      <c r="K67" s="257">
        <f t="shared" si="7"/>
        <v>9.25</v>
      </c>
      <c r="L67" s="234"/>
      <c r="M67" s="266"/>
      <c r="N67" s="267"/>
      <c r="O67" s="236"/>
    </row>
    <row r="68" spans="1:15" ht="14.25" customHeight="1">
      <c r="A68" s="233"/>
      <c r="B68" s="251" t="s">
        <v>374</v>
      </c>
      <c r="C68" s="252" t="s">
        <v>471</v>
      </c>
      <c r="D68" s="253" t="s">
        <v>451</v>
      </c>
      <c r="E68" s="253" t="s">
        <v>379</v>
      </c>
      <c r="F68" s="253" t="s">
        <v>213</v>
      </c>
      <c r="G68" s="254">
        <v>13.28</v>
      </c>
      <c r="H68" s="255" t="s">
        <v>372</v>
      </c>
      <c r="I68" s="255" t="s">
        <v>213</v>
      </c>
      <c r="J68" s="256">
        <v>1</v>
      </c>
      <c r="K68" s="257">
        <f t="shared" si="7"/>
        <v>13.28</v>
      </c>
      <c r="L68" s="234"/>
      <c r="M68" s="266"/>
      <c r="N68" s="267"/>
      <c r="O68" s="236"/>
    </row>
    <row r="69" spans="1:15" ht="14.25" customHeight="1">
      <c r="A69" s="233"/>
      <c r="B69" s="251" t="s">
        <v>374</v>
      </c>
      <c r="C69" s="252" t="s">
        <v>473</v>
      </c>
      <c r="D69" s="253" t="s">
        <v>474</v>
      </c>
      <c r="E69" s="253" t="s">
        <v>213</v>
      </c>
      <c r="F69" s="253" t="s">
        <v>213</v>
      </c>
      <c r="G69" s="254">
        <f>32.88+48.18+28.1*1.3+26.53*1.3</f>
        <v>152.07900000000001</v>
      </c>
      <c r="H69" s="255" t="s">
        <v>372</v>
      </c>
      <c r="I69" s="255" t="s">
        <v>213</v>
      </c>
      <c r="J69" s="256">
        <v>1</v>
      </c>
      <c r="K69" s="257">
        <f t="shared" si="7"/>
        <v>152.07900000000001</v>
      </c>
      <c r="L69" s="234"/>
      <c r="M69" s="266"/>
      <c r="N69" s="267"/>
      <c r="O69" s="236"/>
    </row>
    <row r="70" spans="1:15" ht="14.25" customHeight="1">
      <c r="A70" s="233"/>
      <c r="B70" s="251" t="s">
        <v>374</v>
      </c>
      <c r="C70" s="252" t="s">
        <v>784</v>
      </c>
      <c r="D70" s="285" t="s">
        <v>523</v>
      </c>
      <c r="E70" s="253" t="s">
        <v>197</v>
      </c>
      <c r="F70" s="253" t="s">
        <v>213</v>
      </c>
      <c r="G70" s="254">
        <f>7.4+18.03</f>
        <v>25.43</v>
      </c>
      <c r="H70" s="255" t="s">
        <v>372</v>
      </c>
      <c r="I70" s="255" t="s">
        <v>213</v>
      </c>
      <c r="J70" s="256">
        <v>1</v>
      </c>
      <c r="K70" s="257">
        <f t="shared" ref="K70" si="8">G70*J70</f>
        <v>25.43</v>
      </c>
      <c r="L70" s="234"/>
      <c r="M70" s="266"/>
      <c r="N70" s="267"/>
      <c r="O70" s="236"/>
    </row>
    <row r="71" spans="1:15" ht="14.25" customHeight="1">
      <c r="A71" s="233"/>
      <c r="B71" s="251" t="s">
        <v>374</v>
      </c>
      <c r="C71" s="252" t="s">
        <v>785</v>
      </c>
      <c r="D71" s="253" t="s">
        <v>525</v>
      </c>
      <c r="E71" s="253" t="s">
        <v>197</v>
      </c>
      <c r="F71" s="253" t="s">
        <v>213</v>
      </c>
      <c r="G71" s="254">
        <f>25*1.2*0.18</f>
        <v>5.3999999999999995</v>
      </c>
      <c r="H71" s="255" t="s">
        <v>372</v>
      </c>
      <c r="I71" s="255" t="s">
        <v>213</v>
      </c>
      <c r="J71" s="256">
        <v>1</v>
      </c>
      <c r="K71" s="257">
        <f t="shared" si="7"/>
        <v>5.3999999999999995</v>
      </c>
      <c r="L71" s="234"/>
      <c r="M71" s="266"/>
      <c r="N71" s="267"/>
      <c r="O71" s="236"/>
    </row>
    <row r="72" spans="1:15" ht="14.25" customHeight="1">
      <c r="A72" s="233"/>
      <c r="B72" s="251" t="s">
        <v>374</v>
      </c>
      <c r="C72" s="252" t="s">
        <v>453</v>
      </c>
      <c r="D72" s="253" t="s">
        <v>378</v>
      </c>
      <c r="E72" s="253" t="s">
        <v>197</v>
      </c>
      <c r="F72" s="253" t="s">
        <v>213</v>
      </c>
      <c r="G72" s="254">
        <v>3.75</v>
      </c>
      <c r="H72" s="255" t="s">
        <v>372</v>
      </c>
      <c r="I72" s="255" t="s">
        <v>213</v>
      </c>
      <c r="J72" s="256">
        <v>1</v>
      </c>
      <c r="K72" s="257">
        <f t="shared" si="7"/>
        <v>3.75</v>
      </c>
      <c r="L72" s="234"/>
      <c r="M72" s="266"/>
      <c r="N72" s="267"/>
      <c r="O72" s="236"/>
    </row>
    <row r="73" spans="1:15" ht="14.25" customHeight="1">
      <c r="A73" s="233"/>
      <c r="B73" s="251" t="s">
        <v>374</v>
      </c>
      <c r="C73" s="252" t="s">
        <v>524</v>
      </c>
      <c r="D73" s="253" t="s">
        <v>475</v>
      </c>
      <c r="E73" s="253" t="s">
        <v>197</v>
      </c>
      <c r="F73" s="253" t="s">
        <v>213</v>
      </c>
      <c r="G73" s="254">
        <f>17*2.1*(0.27)+9*1.4*(0.27)*2</f>
        <v>16.443000000000001</v>
      </c>
      <c r="H73" s="255" t="s">
        <v>372</v>
      </c>
      <c r="I73" s="255" t="s">
        <v>213</v>
      </c>
      <c r="J73" s="256">
        <v>1</v>
      </c>
      <c r="K73" s="257">
        <f t="shared" ref="K73:K77" si="9">G73*J73</f>
        <v>16.443000000000001</v>
      </c>
      <c r="L73" s="234"/>
      <c r="M73" s="266"/>
      <c r="N73" s="267"/>
      <c r="O73" s="236"/>
    </row>
    <row r="74" spans="1:15" ht="14.25" customHeight="1">
      <c r="A74" s="233"/>
      <c r="B74" s="251" t="s">
        <v>374</v>
      </c>
      <c r="C74" s="252" t="s">
        <v>526</v>
      </c>
      <c r="D74" s="253" t="s">
        <v>525</v>
      </c>
      <c r="E74" s="253" t="s">
        <v>213</v>
      </c>
      <c r="F74" s="253" t="s">
        <v>213</v>
      </c>
      <c r="G74" s="254">
        <f>17*2.1*(0.18)+9*1.4*(0.18)*2</f>
        <v>10.962</v>
      </c>
      <c r="H74" s="255" t="s">
        <v>372</v>
      </c>
      <c r="I74" s="255" t="s">
        <v>213</v>
      </c>
      <c r="J74" s="256">
        <v>1</v>
      </c>
      <c r="K74" s="257">
        <f t="shared" ref="K74" si="10">G74*J74</f>
        <v>10.962</v>
      </c>
      <c r="L74" s="234"/>
      <c r="M74" s="266"/>
      <c r="N74" s="267"/>
      <c r="O74" s="236"/>
    </row>
    <row r="75" spans="1:15" ht="14.25" customHeight="1">
      <c r="A75" s="233"/>
      <c r="B75" s="251" t="s">
        <v>374</v>
      </c>
      <c r="C75" s="252" t="s">
        <v>478</v>
      </c>
      <c r="D75" s="285" t="s">
        <v>523</v>
      </c>
      <c r="E75" s="253" t="s">
        <v>213</v>
      </c>
      <c r="F75" s="253" t="s">
        <v>213</v>
      </c>
      <c r="G75" s="254">
        <v>176.69</v>
      </c>
      <c r="H75" s="255" t="s">
        <v>373</v>
      </c>
      <c r="I75" s="255" t="s">
        <v>213</v>
      </c>
      <c r="J75" s="256">
        <v>1</v>
      </c>
      <c r="K75" s="257">
        <f t="shared" si="9"/>
        <v>176.69</v>
      </c>
      <c r="L75" s="234"/>
      <c r="M75" s="266"/>
      <c r="N75" s="267"/>
      <c r="O75" s="236"/>
    </row>
    <row r="76" spans="1:15" ht="14.25" customHeight="1">
      <c r="A76" s="233"/>
      <c r="B76" s="251" t="s">
        <v>374</v>
      </c>
      <c r="C76" s="252" t="s">
        <v>479</v>
      </c>
      <c r="D76" s="285" t="s">
        <v>523</v>
      </c>
      <c r="E76" s="253" t="s">
        <v>213</v>
      </c>
      <c r="F76" s="253" t="s">
        <v>213</v>
      </c>
      <c r="G76" s="254">
        <f>253.55*1.2+304.2*1.2+62.17</f>
        <v>731.46999999999991</v>
      </c>
      <c r="H76" s="255" t="s">
        <v>373</v>
      </c>
      <c r="I76" s="255" t="s">
        <v>213</v>
      </c>
      <c r="J76" s="256">
        <v>1</v>
      </c>
      <c r="K76" s="257">
        <f t="shared" si="9"/>
        <v>731.46999999999991</v>
      </c>
      <c r="L76" s="234"/>
      <c r="M76" s="266"/>
      <c r="N76" s="267"/>
      <c r="O76" s="236"/>
    </row>
    <row r="77" spans="1:15" ht="14.25" customHeight="1">
      <c r="A77" s="233"/>
      <c r="B77" s="251" t="s">
        <v>374</v>
      </c>
      <c r="C77" s="252" t="s">
        <v>455</v>
      </c>
      <c r="D77" s="285" t="s">
        <v>523</v>
      </c>
      <c r="E77" s="253" t="s">
        <v>213</v>
      </c>
      <c r="F77" s="253" t="s">
        <v>213</v>
      </c>
      <c r="G77" s="254">
        <f>74.16+56.52+(28+24)*2.1*0.18</f>
        <v>150.33600000000001</v>
      </c>
      <c r="H77" s="255" t="s">
        <v>373</v>
      </c>
      <c r="I77" s="255" t="s">
        <v>213</v>
      </c>
      <c r="J77" s="256">
        <v>1</v>
      </c>
      <c r="K77" s="257">
        <f t="shared" si="9"/>
        <v>150.33600000000001</v>
      </c>
      <c r="L77" s="234"/>
      <c r="M77" s="266"/>
      <c r="N77" s="267"/>
      <c r="O77" s="236"/>
    </row>
    <row r="78" spans="1:15" ht="14.25" customHeight="1">
      <c r="A78" s="233"/>
      <c r="B78" s="251" t="s">
        <v>480</v>
      </c>
      <c r="C78" s="252" t="s">
        <v>481</v>
      </c>
      <c r="D78" s="253" t="s">
        <v>328</v>
      </c>
      <c r="E78" s="253" t="s">
        <v>379</v>
      </c>
      <c r="F78" s="253" t="s">
        <v>638</v>
      </c>
      <c r="G78" s="254">
        <v>117</v>
      </c>
      <c r="H78" s="255" t="s">
        <v>372</v>
      </c>
      <c r="I78" s="255" t="s">
        <v>593</v>
      </c>
      <c r="J78" s="256">
        <v>1</v>
      </c>
      <c r="K78" s="257">
        <f t="shared" ref="K78:K95" si="11">G78*J78</f>
        <v>117</v>
      </c>
      <c r="L78" s="234"/>
      <c r="M78" s="266"/>
      <c r="N78" s="267"/>
      <c r="O78" s="236"/>
    </row>
    <row r="79" spans="1:15" ht="14.25" customHeight="1">
      <c r="A79" s="233"/>
      <c r="B79" s="251" t="s">
        <v>480</v>
      </c>
      <c r="C79" s="252" t="s">
        <v>482</v>
      </c>
      <c r="D79" s="253" t="s">
        <v>328</v>
      </c>
      <c r="E79" s="253" t="s">
        <v>379</v>
      </c>
      <c r="F79" s="253" t="s">
        <v>638</v>
      </c>
      <c r="G79" s="254">
        <v>22.18</v>
      </c>
      <c r="H79" s="255" t="s">
        <v>372</v>
      </c>
      <c r="I79" s="255" t="s">
        <v>593</v>
      </c>
      <c r="J79" s="256">
        <v>1</v>
      </c>
      <c r="K79" s="257">
        <f t="shared" si="11"/>
        <v>22.18</v>
      </c>
      <c r="L79" s="234"/>
      <c r="M79" s="266"/>
      <c r="N79" s="267"/>
      <c r="O79" s="236"/>
    </row>
    <row r="80" spans="1:15" ht="14.25" customHeight="1">
      <c r="A80" s="233"/>
      <c r="B80" s="251" t="s">
        <v>480</v>
      </c>
      <c r="C80" s="252" t="s">
        <v>430</v>
      </c>
      <c r="D80" s="253" t="s">
        <v>328</v>
      </c>
      <c r="E80" s="253" t="s">
        <v>379</v>
      </c>
      <c r="F80" s="253" t="s">
        <v>638</v>
      </c>
      <c r="G80" s="254">
        <v>16.8</v>
      </c>
      <c r="H80" s="255" t="s">
        <v>372</v>
      </c>
      <c r="I80" s="255" t="s">
        <v>593</v>
      </c>
      <c r="J80" s="256">
        <v>1</v>
      </c>
      <c r="K80" s="257">
        <f t="shared" si="11"/>
        <v>16.8</v>
      </c>
      <c r="L80" s="234"/>
      <c r="M80" s="266"/>
      <c r="N80" s="267"/>
      <c r="O80" s="236"/>
    </row>
    <row r="81" spans="1:15" ht="14.25" customHeight="1">
      <c r="A81" s="233"/>
      <c r="B81" s="251" t="s">
        <v>480</v>
      </c>
      <c r="C81" s="252" t="s">
        <v>425</v>
      </c>
      <c r="D81" s="253" t="s">
        <v>328</v>
      </c>
      <c r="E81" s="253" t="s">
        <v>379</v>
      </c>
      <c r="F81" s="253" t="s">
        <v>213</v>
      </c>
      <c r="G81" s="254">
        <v>24.3</v>
      </c>
      <c r="H81" s="255" t="s">
        <v>372</v>
      </c>
      <c r="I81" s="255" t="s">
        <v>213</v>
      </c>
      <c r="J81" s="256">
        <v>1</v>
      </c>
      <c r="K81" s="257">
        <f t="shared" si="11"/>
        <v>24.3</v>
      </c>
      <c r="L81" s="234"/>
      <c r="M81" s="266"/>
      <c r="N81" s="267"/>
      <c r="O81" s="236"/>
    </row>
    <row r="82" spans="1:15" ht="14.25" customHeight="1">
      <c r="A82" s="233"/>
      <c r="B82" s="251" t="s">
        <v>480</v>
      </c>
      <c r="C82" s="252" t="s">
        <v>483</v>
      </c>
      <c r="D82" s="253" t="s">
        <v>476</v>
      </c>
      <c r="E82" s="253" t="s">
        <v>379</v>
      </c>
      <c r="F82" s="253" t="s">
        <v>379</v>
      </c>
      <c r="G82" s="254">
        <v>34.4</v>
      </c>
      <c r="H82" s="255" t="s">
        <v>372</v>
      </c>
      <c r="I82" s="255" t="s">
        <v>595</v>
      </c>
      <c r="J82" s="256">
        <v>1</v>
      </c>
      <c r="K82" s="257">
        <f t="shared" si="11"/>
        <v>34.4</v>
      </c>
      <c r="L82" s="234"/>
      <c r="M82" s="266"/>
      <c r="N82" s="267"/>
      <c r="O82" s="236"/>
    </row>
    <row r="83" spans="1:15" ht="14.25" customHeight="1">
      <c r="A83" s="233"/>
      <c r="B83" s="251" t="s">
        <v>480</v>
      </c>
      <c r="C83" s="252" t="s">
        <v>485</v>
      </c>
      <c r="D83" s="253" t="s">
        <v>378</v>
      </c>
      <c r="E83" s="253" t="s">
        <v>379</v>
      </c>
      <c r="F83" s="253" t="s">
        <v>379</v>
      </c>
      <c r="G83" s="254">
        <v>4.7699999999999996</v>
      </c>
      <c r="H83" s="255" t="s">
        <v>372</v>
      </c>
      <c r="I83" s="255" t="s">
        <v>595</v>
      </c>
      <c r="J83" s="256">
        <v>1</v>
      </c>
      <c r="K83" s="257">
        <f t="shared" si="11"/>
        <v>4.7699999999999996</v>
      </c>
      <c r="L83" s="234"/>
      <c r="M83" s="266"/>
      <c r="N83" s="267"/>
      <c r="O83" s="236"/>
    </row>
    <row r="84" spans="1:15" ht="14.25" customHeight="1">
      <c r="A84" s="233"/>
      <c r="B84" s="251" t="s">
        <v>480</v>
      </c>
      <c r="C84" s="252" t="s">
        <v>492</v>
      </c>
      <c r="D84" s="253" t="s">
        <v>378</v>
      </c>
      <c r="E84" s="253" t="s">
        <v>379</v>
      </c>
      <c r="F84" s="253" t="s">
        <v>379</v>
      </c>
      <c r="G84" s="254">
        <v>13.84</v>
      </c>
      <c r="H84" s="255" t="s">
        <v>372</v>
      </c>
      <c r="I84" s="255" t="s">
        <v>213</v>
      </c>
      <c r="J84" s="256">
        <v>1</v>
      </c>
      <c r="K84" s="257">
        <f t="shared" si="11"/>
        <v>13.84</v>
      </c>
      <c r="L84" s="234"/>
      <c r="M84" s="266"/>
      <c r="N84" s="267"/>
      <c r="O84" s="236"/>
    </row>
    <row r="85" spans="1:15" ht="14.25" customHeight="1">
      <c r="A85" s="233"/>
      <c r="B85" s="251" t="s">
        <v>480</v>
      </c>
      <c r="C85" s="252" t="s">
        <v>486</v>
      </c>
      <c r="D85" s="253" t="s">
        <v>476</v>
      </c>
      <c r="E85" s="253" t="s">
        <v>379</v>
      </c>
      <c r="F85" s="253" t="s">
        <v>379</v>
      </c>
      <c r="G85" s="254">
        <v>34.369999999999997</v>
      </c>
      <c r="H85" s="255" t="s">
        <v>372</v>
      </c>
      <c r="I85" s="255" t="s">
        <v>595</v>
      </c>
      <c r="J85" s="256">
        <v>1</v>
      </c>
      <c r="K85" s="257">
        <f t="shared" si="11"/>
        <v>34.369999999999997</v>
      </c>
      <c r="L85" s="234"/>
      <c r="M85" s="266"/>
      <c r="N85" s="267"/>
      <c r="O85" s="236"/>
    </row>
    <row r="86" spans="1:15" ht="14.25" customHeight="1">
      <c r="A86" s="233"/>
      <c r="B86" s="251" t="s">
        <v>480</v>
      </c>
      <c r="C86" s="252" t="s">
        <v>487</v>
      </c>
      <c r="D86" s="253" t="s">
        <v>378</v>
      </c>
      <c r="E86" s="253" t="s">
        <v>379</v>
      </c>
      <c r="F86" s="253" t="s">
        <v>379</v>
      </c>
      <c r="G86" s="254">
        <v>5.0999999999999996</v>
      </c>
      <c r="H86" s="255" t="s">
        <v>372</v>
      </c>
      <c r="I86" s="255" t="s">
        <v>595</v>
      </c>
      <c r="J86" s="256">
        <v>1</v>
      </c>
      <c r="K86" s="257">
        <f t="shared" si="11"/>
        <v>5.0999999999999996</v>
      </c>
      <c r="L86" s="234"/>
      <c r="M86" s="266"/>
      <c r="N86" s="267"/>
      <c r="O86" s="236"/>
    </row>
    <row r="87" spans="1:15" ht="14.25" customHeight="1">
      <c r="A87" s="233"/>
      <c r="B87" s="251" t="s">
        <v>480</v>
      </c>
      <c r="C87" s="252" t="s">
        <v>493</v>
      </c>
      <c r="D87" s="253" t="s">
        <v>378</v>
      </c>
      <c r="E87" s="253" t="s">
        <v>379</v>
      </c>
      <c r="F87" s="253" t="s">
        <v>379</v>
      </c>
      <c r="G87" s="254">
        <v>2.91</v>
      </c>
      <c r="H87" s="255" t="s">
        <v>372</v>
      </c>
      <c r="I87" s="255" t="s">
        <v>213</v>
      </c>
      <c r="J87" s="256">
        <v>1</v>
      </c>
      <c r="K87" s="257">
        <f t="shared" si="11"/>
        <v>2.91</v>
      </c>
      <c r="L87" s="234"/>
      <c r="M87" s="266"/>
      <c r="N87" s="267"/>
      <c r="O87" s="236"/>
    </row>
    <row r="88" spans="1:15" ht="14.25" customHeight="1">
      <c r="A88" s="233"/>
      <c r="B88" s="251" t="s">
        <v>480</v>
      </c>
      <c r="C88" s="252" t="s">
        <v>488</v>
      </c>
      <c r="D88" s="253" t="s">
        <v>476</v>
      </c>
      <c r="E88" s="253" t="s">
        <v>379</v>
      </c>
      <c r="F88" s="253" t="s">
        <v>379</v>
      </c>
      <c r="G88" s="254">
        <v>31.1</v>
      </c>
      <c r="H88" s="255" t="s">
        <v>372</v>
      </c>
      <c r="I88" s="255" t="s">
        <v>595</v>
      </c>
      <c r="J88" s="256">
        <v>1</v>
      </c>
      <c r="K88" s="257">
        <f t="shared" si="11"/>
        <v>31.1</v>
      </c>
      <c r="L88" s="234"/>
      <c r="M88" s="266"/>
      <c r="N88" s="267"/>
      <c r="O88" s="236"/>
    </row>
    <row r="89" spans="1:15" ht="14.25" customHeight="1">
      <c r="A89" s="233"/>
      <c r="B89" s="251" t="s">
        <v>480</v>
      </c>
      <c r="C89" s="252" t="s">
        <v>489</v>
      </c>
      <c r="D89" s="253" t="s">
        <v>378</v>
      </c>
      <c r="E89" s="253" t="s">
        <v>379</v>
      </c>
      <c r="F89" s="253" t="s">
        <v>379</v>
      </c>
      <c r="G89" s="254">
        <v>4.54</v>
      </c>
      <c r="H89" s="255" t="s">
        <v>372</v>
      </c>
      <c r="I89" s="255" t="s">
        <v>595</v>
      </c>
      <c r="J89" s="256">
        <v>1</v>
      </c>
      <c r="K89" s="257">
        <f t="shared" si="11"/>
        <v>4.54</v>
      </c>
      <c r="L89" s="234"/>
      <c r="M89" s="266"/>
      <c r="N89" s="267"/>
      <c r="O89" s="236"/>
    </row>
    <row r="90" spans="1:15" ht="14.25" customHeight="1">
      <c r="A90" s="233"/>
      <c r="B90" s="251" t="s">
        <v>480</v>
      </c>
      <c r="C90" s="252" t="s">
        <v>490</v>
      </c>
      <c r="D90" s="253" t="s">
        <v>476</v>
      </c>
      <c r="E90" s="253" t="s">
        <v>379</v>
      </c>
      <c r="F90" s="253" t="s">
        <v>379</v>
      </c>
      <c r="G90" s="254">
        <v>37.17</v>
      </c>
      <c r="H90" s="255" t="s">
        <v>372</v>
      </c>
      <c r="I90" s="255" t="s">
        <v>595</v>
      </c>
      <c r="J90" s="256">
        <v>1</v>
      </c>
      <c r="K90" s="257">
        <f t="shared" si="11"/>
        <v>37.17</v>
      </c>
      <c r="L90" s="234"/>
      <c r="M90" s="266"/>
      <c r="N90" s="267"/>
      <c r="O90" s="236"/>
    </row>
    <row r="91" spans="1:15" ht="14.25" customHeight="1">
      <c r="A91" s="233"/>
      <c r="B91" s="251" t="s">
        <v>480</v>
      </c>
      <c r="C91" s="252" t="s">
        <v>491</v>
      </c>
      <c r="D91" s="253" t="s">
        <v>378</v>
      </c>
      <c r="E91" s="253" t="s">
        <v>379</v>
      </c>
      <c r="F91" s="253" t="s">
        <v>379</v>
      </c>
      <c r="G91" s="254">
        <v>7.25</v>
      </c>
      <c r="H91" s="255" t="s">
        <v>372</v>
      </c>
      <c r="I91" s="255" t="s">
        <v>595</v>
      </c>
      <c r="J91" s="256">
        <v>1</v>
      </c>
      <c r="K91" s="257">
        <f t="shared" si="11"/>
        <v>7.25</v>
      </c>
      <c r="L91" s="234"/>
      <c r="M91" s="266"/>
      <c r="N91" s="267"/>
      <c r="O91" s="236"/>
    </row>
    <row r="92" spans="1:15" ht="14.25" customHeight="1">
      <c r="A92" s="233"/>
      <c r="B92" s="251" t="s">
        <v>480</v>
      </c>
      <c r="C92" s="252" t="s">
        <v>494</v>
      </c>
      <c r="D92" s="253" t="s">
        <v>378</v>
      </c>
      <c r="E92" s="253" t="s">
        <v>379</v>
      </c>
      <c r="F92" s="253" t="s">
        <v>379</v>
      </c>
      <c r="G92" s="254">
        <v>2.91</v>
      </c>
      <c r="H92" s="255" t="s">
        <v>372</v>
      </c>
      <c r="I92" s="255" t="s">
        <v>213</v>
      </c>
      <c r="J92" s="256">
        <v>1</v>
      </c>
      <c r="K92" s="257">
        <f t="shared" si="11"/>
        <v>2.91</v>
      </c>
      <c r="L92" s="234"/>
      <c r="M92" s="266"/>
      <c r="N92" s="267"/>
      <c r="O92" s="236"/>
    </row>
    <row r="93" spans="1:15" ht="14.25" customHeight="1">
      <c r="A93" s="233"/>
      <c r="B93" s="251" t="s">
        <v>480</v>
      </c>
      <c r="C93" s="252" t="s">
        <v>495</v>
      </c>
      <c r="D93" s="253" t="s">
        <v>476</v>
      </c>
      <c r="E93" s="253" t="s">
        <v>379</v>
      </c>
      <c r="F93" s="253" t="s">
        <v>379</v>
      </c>
      <c r="G93" s="254">
        <v>72.349999999999994</v>
      </c>
      <c r="H93" s="255" t="s">
        <v>372</v>
      </c>
      <c r="I93" s="255" t="s">
        <v>595</v>
      </c>
      <c r="J93" s="256">
        <v>1</v>
      </c>
      <c r="K93" s="257">
        <f t="shared" si="11"/>
        <v>72.349999999999994</v>
      </c>
      <c r="L93" s="234"/>
      <c r="M93" s="266"/>
      <c r="N93" s="267"/>
      <c r="O93" s="236"/>
    </row>
    <row r="94" spans="1:15" ht="14.25" customHeight="1">
      <c r="A94" s="233"/>
      <c r="B94" s="251" t="s">
        <v>480</v>
      </c>
      <c r="C94" s="252" t="s">
        <v>496</v>
      </c>
      <c r="D94" s="253" t="s">
        <v>378</v>
      </c>
      <c r="E94" s="253" t="s">
        <v>379</v>
      </c>
      <c r="F94" s="253" t="s">
        <v>379</v>
      </c>
      <c r="G94" s="254">
        <v>9.14</v>
      </c>
      <c r="H94" s="255" t="s">
        <v>372</v>
      </c>
      <c r="I94" s="255" t="s">
        <v>595</v>
      </c>
      <c r="J94" s="256">
        <v>1</v>
      </c>
      <c r="K94" s="257">
        <f t="shared" si="11"/>
        <v>9.14</v>
      </c>
      <c r="L94" s="234"/>
      <c r="M94" s="266"/>
      <c r="N94" s="267"/>
      <c r="O94" s="236"/>
    </row>
    <row r="95" spans="1:15" ht="14.25" customHeight="1">
      <c r="A95" s="233"/>
      <c r="B95" s="251" t="s">
        <v>480</v>
      </c>
      <c r="C95" s="252" t="s">
        <v>497</v>
      </c>
      <c r="D95" s="253" t="s">
        <v>378</v>
      </c>
      <c r="E95" s="253" t="s">
        <v>379</v>
      </c>
      <c r="F95" s="253" t="s">
        <v>379</v>
      </c>
      <c r="G95" s="254">
        <v>12.92</v>
      </c>
      <c r="H95" s="255" t="s">
        <v>372</v>
      </c>
      <c r="I95" s="255" t="s">
        <v>213</v>
      </c>
      <c r="J95" s="256">
        <v>1</v>
      </c>
      <c r="K95" s="257">
        <f t="shared" si="11"/>
        <v>12.92</v>
      </c>
      <c r="L95" s="234"/>
      <c r="M95" s="266"/>
      <c r="N95" s="267"/>
      <c r="O95" s="236"/>
    </row>
    <row r="96" spans="1:15" ht="14.25" customHeight="1">
      <c r="A96" s="233"/>
      <c r="B96" s="251" t="s">
        <v>480</v>
      </c>
      <c r="C96" s="252" t="s">
        <v>484</v>
      </c>
      <c r="D96" s="253" t="s">
        <v>476</v>
      </c>
      <c r="E96" s="253" t="s">
        <v>379</v>
      </c>
      <c r="F96" s="253" t="s">
        <v>379</v>
      </c>
      <c r="G96" s="254">
        <v>34.409999999999997</v>
      </c>
      <c r="H96" s="255" t="s">
        <v>372</v>
      </c>
      <c r="I96" s="255" t="s">
        <v>595</v>
      </c>
      <c r="J96" s="256">
        <v>1</v>
      </c>
      <c r="K96" s="257">
        <f t="shared" ref="K96:K140" si="12">G96*J96</f>
        <v>34.409999999999997</v>
      </c>
      <c r="L96" s="234"/>
      <c r="M96" s="266"/>
      <c r="N96" s="267"/>
      <c r="O96" s="236"/>
    </row>
    <row r="97" spans="1:15" ht="14.25" customHeight="1">
      <c r="A97" s="233"/>
      <c r="B97" s="251" t="s">
        <v>480</v>
      </c>
      <c r="C97" s="252" t="s">
        <v>498</v>
      </c>
      <c r="D97" s="253" t="s">
        <v>378</v>
      </c>
      <c r="E97" s="253" t="s">
        <v>379</v>
      </c>
      <c r="F97" s="253" t="s">
        <v>379</v>
      </c>
      <c r="G97" s="254">
        <v>4.7699999999999996</v>
      </c>
      <c r="H97" s="255" t="s">
        <v>372</v>
      </c>
      <c r="I97" s="255" t="s">
        <v>595</v>
      </c>
      <c r="J97" s="256">
        <v>1</v>
      </c>
      <c r="K97" s="257">
        <f t="shared" si="12"/>
        <v>4.7699999999999996</v>
      </c>
      <c r="L97" s="234"/>
      <c r="M97" s="266"/>
      <c r="N97" s="267"/>
      <c r="O97" s="236"/>
    </row>
    <row r="98" spans="1:15" ht="14.25" customHeight="1">
      <c r="A98" s="233"/>
      <c r="B98" s="251" t="s">
        <v>480</v>
      </c>
      <c r="C98" s="252" t="s">
        <v>499</v>
      </c>
      <c r="D98" s="253" t="s">
        <v>378</v>
      </c>
      <c r="E98" s="253" t="s">
        <v>379</v>
      </c>
      <c r="F98" s="253" t="s">
        <v>379</v>
      </c>
      <c r="G98" s="254">
        <v>13.84</v>
      </c>
      <c r="H98" s="255" t="s">
        <v>372</v>
      </c>
      <c r="I98" s="255" t="s">
        <v>213</v>
      </c>
      <c r="J98" s="256">
        <v>1</v>
      </c>
      <c r="K98" s="257">
        <f t="shared" si="12"/>
        <v>13.84</v>
      </c>
      <c r="L98" s="234"/>
      <c r="M98" s="266"/>
      <c r="N98" s="267"/>
      <c r="O98" s="236"/>
    </row>
    <row r="99" spans="1:15" ht="14.25" customHeight="1">
      <c r="A99" s="233"/>
      <c r="B99" s="251" t="s">
        <v>480</v>
      </c>
      <c r="C99" s="252" t="s">
        <v>500</v>
      </c>
      <c r="D99" s="253" t="s">
        <v>476</v>
      </c>
      <c r="E99" s="253" t="s">
        <v>379</v>
      </c>
      <c r="F99" s="253" t="s">
        <v>379</v>
      </c>
      <c r="G99" s="254">
        <v>34.56</v>
      </c>
      <c r="H99" s="255" t="s">
        <v>372</v>
      </c>
      <c r="I99" s="255" t="s">
        <v>595</v>
      </c>
      <c r="J99" s="256">
        <v>1</v>
      </c>
      <c r="K99" s="257">
        <f t="shared" si="12"/>
        <v>34.56</v>
      </c>
      <c r="L99" s="234"/>
      <c r="M99" s="266"/>
      <c r="N99" s="267"/>
      <c r="O99" s="236"/>
    </row>
    <row r="100" spans="1:15" ht="14.25" customHeight="1">
      <c r="A100" s="233"/>
      <c r="B100" s="251" t="s">
        <v>480</v>
      </c>
      <c r="C100" s="252" t="s">
        <v>501</v>
      </c>
      <c r="D100" s="253" t="s">
        <v>378</v>
      </c>
      <c r="E100" s="253" t="s">
        <v>379</v>
      </c>
      <c r="F100" s="253" t="s">
        <v>379</v>
      </c>
      <c r="G100" s="254">
        <v>4.95</v>
      </c>
      <c r="H100" s="255" t="s">
        <v>372</v>
      </c>
      <c r="I100" s="255" t="s">
        <v>595</v>
      </c>
      <c r="J100" s="256">
        <v>1</v>
      </c>
      <c r="K100" s="257">
        <f t="shared" si="12"/>
        <v>4.95</v>
      </c>
      <c r="L100" s="234"/>
      <c r="M100" s="266"/>
      <c r="N100" s="267"/>
      <c r="O100" s="236"/>
    </row>
    <row r="101" spans="1:15" ht="14.25" customHeight="1">
      <c r="A101" s="233"/>
      <c r="B101" s="251" t="s">
        <v>480</v>
      </c>
      <c r="C101" s="252" t="s">
        <v>502</v>
      </c>
      <c r="D101" s="253" t="s">
        <v>378</v>
      </c>
      <c r="E101" s="253" t="s">
        <v>379</v>
      </c>
      <c r="F101" s="253" t="s">
        <v>379</v>
      </c>
      <c r="G101" s="254">
        <v>2.91</v>
      </c>
      <c r="H101" s="255" t="s">
        <v>372</v>
      </c>
      <c r="I101" s="255" t="s">
        <v>213</v>
      </c>
      <c r="J101" s="256">
        <v>1</v>
      </c>
      <c r="K101" s="257">
        <f t="shared" si="12"/>
        <v>2.91</v>
      </c>
      <c r="L101" s="234"/>
      <c r="M101" s="266"/>
      <c r="N101" s="267"/>
      <c r="O101" s="236"/>
    </row>
    <row r="102" spans="1:15" ht="14.25" customHeight="1">
      <c r="A102" s="233"/>
      <c r="B102" s="251" t="s">
        <v>480</v>
      </c>
      <c r="C102" s="252" t="s">
        <v>503</v>
      </c>
      <c r="D102" s="253" t="s">
        <v>476</v>
      </c>
      <c r="E102" s="253" t="s">
        <v>379</v>
      </c>
      <c r="F102" s="253" t="s">
        <v>379</v>
      </c>
      <c r="G102" s="254">
        <v>30.57</v>
      </c>
      <c r="H102" s="255" t="s">
        <v>372</v>
      </c>
      <c r="I102" s="255" t="s">
        <v>595</v>
      </c>
      <c r="J102" s="256">
        <v>1</v>
      </c>
      <c r="K102" s="257">
        <f t="shared" si="12"/>
        <v>30.57</v>
      </c>
      <c r="L102" s="234"/>
      <c r="M102" s="266"/>
      <c r="N102" s="267"/>
      <c r="O102" s="236"/>
    </row>
    <row r="103" spans="1:15" ht="14.25" customHeight="1">
      <c r="A103" s="233"/>
      <c r="B103" s="251" t="s">
        <v>480</v>
      </c>
      <c r="C103" s="252" t="s">
        <v>504</v>
      </c>
      <c r="D103" s="253" t="s">
        <v>378</v>
      </c>
      <c r="E103" s="253" t="s">
        <v>379</v>
      </c>
      <c r="F103" s="253" t="s">
        <v>379</v>
      </c>
      <c r="G103" s="254">
        <v>4.54</v>
      </c>
      <c r="H103" s="255" t="s">
        <v>372</v>
      </c>
      <c r="I103" s="255" t="s">
        <v>595</v>
      </c>
      <c r="J103" s="256">
        <v>1</v>
      </c>
      <c r="K103" s="257">
        <f t="shared" si="12"/>
        <v>4.54</v>
      </c>
      <c r="L103" s="234"/>
      <c r="M103" s="266"/>
      <c r="N103" s="267"/>
      <c r="O103" s="236"/>
    </row>
    <row r="104" spans="1:15" ht="14.25" customHeight="1">
      <c r="A104" s="233"/>
      <c r="B104" s="251" t="s">
        <v>480</v>
      </c>
      <c r="C104" s="252" t="s">
        <v>505</v>
      </c>
      <c r="D104" s="253" t="s">
        <v>378</v>
      </c>
      <c r="E104" s="253" t="s">
        <v>379</v>
      </c>
      <c r="F104" s="253" t="s">
        <v>379</v>
      </c>
      <c r="G104" s="254">
        <v>39.17</v>
      </c>
      <c r="H104" s="255" t="s">
        <v>372</v>
      </c>
      <c r="I104" s="255" t="s">
        <v>595</v>
      </c>
      <c r="J104" s="256">
        <v>1</v>
      </c>
      <c r="K104" s="257">
        <f t="shared" si="12"/>
        <v>39.17</v>
      </c>
      <c r="L104" s="234"/>
      <c r="M104" s="266"/>
      <c r="N104" s="267"/>
      <c r="O104" s="236"/>
    </row>
    <row r="105" spans="1:15" ht="14.25" customHeight="1">
      <c r="A105" s="233"/>
      <c r="B105" s="251" t="s">
        <v>480</v>
      </c>
      <c r="C105" s="252" t="s">
        <v>506</v>
      </c>
      <c r="D105" s="253" t="s">
        <v>476</v>
      </c>
      <c r="E105" s="253" t="s">
        <v>379</v>
      </c>
      <c r="F105" s="253" t="s">
        <v>379</v>
      </c>
      <c r="G105" s="254">
        <v>7.25</v>
      </c>
      <c r="H105" s="255" t="s">
        <v>372</v>
      </c>
      <c r="I105" s="255" t="s">
        <v>595</v>
      </c>
      <c r="J105" s="256">
        <v>1</v>
      </c>
      <c r="K105" s="257">
        <f t="shared" si="12"/>
        <v>7.25</v>
      </c>
      <c r="L105" s="234"/>
      <c r="M105" s="266"/>
      <c r="N105" s="267"/>
      <c r="O105" s="236"/>
    </row>
    <row r="106" spans="1:15" ht="14.25" customHeight="1">
      <c r="A106" s="233"/>
      <c r="B106" s="251" t="s">
        <v>480</v>
      </c>
      <c r="C106" s="252" t="s">
        <v>507</v>
      </c>
      <c r="D106" s="253" t="s">
        <v>378</v>
      </c>
      <c r="E106" s="253" t="s">
        <v>379</v>
      </c>
      <c r="F106" s="253" t="s">
        <v>379</v>
      </c>
      <c r="G106" s="254">
        <v>2.91</v>
      </c>
      <c r="H106" s="255" t="s">
        <v>372</v>
      </c>
      <c r="I106" s="255" t="s">
        <v>213</v>
      </c>
      <c r="J106" s="256">
        <v>1</v>
      </c>
      <c r="K106" s="257">
        <f t="shared" si="12"/>
        <v>2.91</v>
      </c>
      <c r="L106" s="234"/>
      <c r="M106" s="266"/>
      <c r="N106" s="267"/>
      <c r="O106" s="236"/>
    </row>
    <row r="107" spans="1:15" ht="14.25" customHeight="1">
      <c r="A107" s="233"/>
      <c r="B107" s="251" t="s">
        <v>480</v>
      </c>
      <c r="C107" s="252" t="s">
        <v>508</v>
      </c>
      <c r="D107" s="253" t="s">
        <v>476</v>
      </c>
      <c r="E107" s="253" t="s">
        <v>379</v>
      </c>
      <c r="F107" s="253" t="s">
        <v>379</v>
      </c>
      <c r="G107" s="254">
        <v>72.349999999999994</v>
      </c>
      <c r="H107" s="255" t="s">
        <v>372</v>
      </c>
      <c r="I107" s="255" t="s">
        <v>595</v>
      </c>
      <c r="J107" s="256">
        <v>1</v>
      </c>
      <c r="K107" s="257">
        <f t="shared" si="12"/>
        <v>72.349999999999994</v>
      </c>
      <c r="L107" s="234"/>
      <c r="M107" s="266"/>
      <c r="N107" s="267"/>
      <c r="O107" s="236"/>
    </row>
    <row r="108" spans="1:15" ht="14.25" customHeight="1">
      <c r="A108" s="233"/>
      <c r="B108" s="251" t="s">
        <v>480</v>
      </c>
      <c r="C108" s="252" t="s">
        <v>509</v>
      </c>
      <c r="D108" s="253" t="s">
        <v>378</v>
      </c>
      <c r="E108" s="253" t="s">
        <v>379</v>
      </c>
      <c r="F108" s="253" t="s">
        <v>379</v>
      </c>
      <c r="G108" s="254">
        <v>9.14</v>
      </c>
      <c r="H108" s="255" t="s">
        <v>372</v>
      </c>
      <c r="I108" s="255" t="s">
        <v>595</v>
      </c>
      <c r="J108" s="256">
        <v>1</v>
      </c>
      <c r="K108" s="257">
        <f t="shared" si="12"/>
        <v>9.14</v>
      </c>
      <c r="L108" s="234"/>
      <c r="M108" s="266"/>
      <c r="N108" s="267"/>
      <c r="O108" s="236"/>
    </row>
    <row r="109" spans="1:15" ht="14.25" customHeight="1" thickBot="1">
      <c r="A109" s="233"/>
      <c r="B109" s="251" t="s">
        <v>480</v>
      </c>
      <c r="C109" s="252" t="s">
        <v>510</v>
      </c>
      <c r="D109" s="253" t="s">
        <v>378</v>
      </c>
      <c r="E109" s="253" t="s">
        <v>379</v>
      </c>
      <c r="F109" s="253" t="s">
        <v>379</v>
      </c>
      <c r="G109" s="254">
        <v>12.92</v>
      </c>
      <c r="H109" s="255" t="s">
        <v>372</v>
      </c>
      <c r="I109" s="255" t="s">
        <v>213</v>
      </c>
      <c r="J109" s="256">
        <v>1</v>
      </c>
      <c r="K109" s="257">
        <f t="shared" si="12"/>
        <v>12.92</v>
      </c>
      <c r="L109" s="234"/>
      <c r="M109" s="258"/>
      <c r="N109" s="269"/>
      <c r="O109" s="236"/>
    </row>
    <row r="110" spans="1:15" ht="14.25" customHeight="1">
      <c r="A110" s="233"/>
      <c r="B110" s="251" t="s">
        <v>480</v>
      </c>
      <c r="C110" s="252" t="s">
        <v>430</v>
      </c>
      <c r="D110" s="253" t="s">
        <v>328</v>
      </c>
      <c r="E110" s="253" t="s">
        <v>379</v>
      </c>
      <c r="F110" s="253" t="s">
        <v>379</v>
      </c>
      <c r="G110" s="254">
        <v>30.07</v>
      </c>
      <c r="H110" s="255" t="s">
        <v>372</v>
      </c>
      <c r="I110" s="255" t="s">
        <v>593</v>
      </c>
      <c r="J110" s="256">
        <v>1</v>
      </c>
      <c r="K110" s="257">
        <f t="shared" si="12"/>
        <v>30.07</v>
      </c>
      <c r="L110" s="234"/>
      <c r="M110" s="281"/>
      <c r="N110" s="270"/>
      <c r="O110" s="236"/>
    </row>
    <row r="111" spans="1:15" ht="14.25" customHeight="1">
      <c r="A111" s="233"/>
      <c r="B111" s="251" t="s">
        <v>480</v>
      </c>
      <c r="C111" s="252" t="s">
        <v>784</v>
      </c>
      <c r="D111" s="285" t="s">
        <v>523</v>
      </c>
      <c r="E111" s="253" t="s">
        <v>197</v>
      </c>
      <c r="F111" s="253" t="s">
        <v>213</v>
      </c>
      <c r="G111" s="254">
        <f>7.94+25*1.2*0.27</f>
        <v>16.040000000000003</v>
      </c>
      <c r="H111" s="255" t="s">
        <v>372</v>
      </c>
      <c r="I111" s="255" t="s">
        <v>213</v>
      </c>
      <c r="J111" s="256">
        <v>1</v>
      </c>
      <c r="K111" s="257">
        <f t="shared" ref="K111" si="13">G111*J111</f>
        <v>16.040000000000003</v>
      </c>
      <c r="L111" s="234"/>
      <c r="M111" s="281"/>
      <c r="N111" s="270"/>
      <c r="O111" s="236"/>
    </row>
    <row r="112" spans="1:15" ht="14.25" customHeight="1">
      <c r="A112" s="233"/>
      <c r="B112" s="251" t="s">
        <v>480</v>
      </c>
      <c r="C112" s="252" t="s">
        <v>785</v>
      </c>
      <c r="D112" s="253" t="s">
        <v>525</v>
      </c>
      <c r="E112" s="253" t="s">
        <v>197</v>
      </c>
      <c r="F112" s="253" t="s">
        <v>213</v>
      </c>
      <c r="G112" s="254">
        <f>25*1.2*0.18</f>
        <v>5.3999999999999995</v>
      </c>
      <c r="H112" s="255" t="s">
        <v>372</v>
      </c>
      <c r="I112" s="255" t="s">
        <v>213</v>
      </c>
      <c r="J112" s="256">
        <v>1</v>
      </c>
      <c r="K112" s="257">
        <f t="shared" si="12"/>
        <v>5.3999999999999995</v>
      </c>
      <c r="L112" s="234"/>
      <c r="M112" s="281"/>
      <c r="N112" s="270"/>
      <c r="O112" s="236"/>
    </row>
    <row r="113" spans="1:15" ht="14.25" customHeight="1">
      <c r="A113" s="233"/>
      <c r="B113" s="251" t="s">
        <v>480</v>
      </c>
      <c r="C113" s="252" t="s">
        <v>453</v>
      </c>
      <c r="D113" s="253" t="s">
        <v>378</v>
      </c>
      <c r="E113" s="253" t="s">
        <v>197</v>
      </c>
      <c r="F113" s="253" t="s">
        <v>213</v>
      </c>
      <c r="G113" s="254">
        <v>5.76</v>
      </c>
      <c r="H113" s="255" t="s">
        <v>372</v>
      </c>
      <c r="I113" s="255" t="s">
        <v>213</v>
      </c>
      <c r="J113" s="256">
        <v>1</v>
      </c>
      <c r="K113" s="257">
        <f t="shared" si="12"/>
        <v>5.76</v>
      </c>
      <c r="L113" s="234"/>
      <c r="M113" s="281"/>
      <c r="N113" s="270"/>
      <c r="O113" s="236"/>
    </row>
    <row r="114" spans="1:15" ht="14.25" customHeight="1">
      <c r="A114" s="233"/>
      <c r="B114" s="251" t="s">
        <v>511</v>
      </c>
      <c r="C114" s="252" t="s">
        <v>430</v>
      </c>
      <c r="D114" s="253" t="s">
        <v>328</v>
      </c>
      <c r="E114" s="253" t="s">
        <v>379</v>
      </c>
      <c r="F114" s="253" t="s">
        <v>638</v>
      </c>
      <c r="G114" s="254">
        <f>16.8+29.37+30.96</f>
        <v>77.13</v>
      </c>
      <c r="H114" s="255" t="s">
        <v>372</v>
      </c>
      <c r="I114" s="255" t="s">
        <v>593</v>
      </c>
      <c r="J114" s="268">
        <v>1</v>
      </c>
      <c r="K114" s="257">
        <f t="shared" si="12"/>
        <v>77.13</v>
      </c>
      <c r="L114" s="234"/>
      <c r="M114" s="281"/>
      <c r="N114" s="270"/>
      <c r="O114" s="236"/>
    </row>
    <row r="115" spans="1:15" ht="14.25" customHeight="1">
      <c r="A115" s="233"/>
      <c r="B115" s="251" t="s">
        <v>511</v>
      </c>
      <c r="C115" s="252" t="s">
        <v>457</v>
      </c>
      <c r="D115" s="253" t="s">
        <v>451</v>
      </c>
      <c r="E115" s="253" t="s">
        <v>213</v>
      </c>
      <c r="F115" s="253" t="s">
        <v>213</v>
      </c>
      <c r="G115" s="254">
        <v>176.7</v>
      </c>
      <c r="H115" s="255" t="s">
        <v>372</v>
      </c>
      <c r="I115" s="255" t="s">
        <v>213</v>
      </c>
      <c r="J115" s="268">
        <v>1</v>
      </c>
      <c r="K115" s="257">
        <f t="shared" si="12"/>
        <v>176.7</v>
      </c>
      <c r="L115" s="234"/>
      <c r="M115" s="281"/>
      <c r="N115" s="270"/>
      <c r="O115" s="236"/>
    </row>
    <row r="116" spans="1:15" ht="14.25" customHeight="1">
      <c r="A116" s="233"/>
      <c r="B116" s="251" t="s">
        <v>511</v>
      </c>
      <c r="C116" s="252" t="s">
        <v>425</v>
      </c>
      <c r="D116" s="253" t="s">
        <v>328</v>
      </c>
      <c r="E116" s="253" t="s">
        <v>379</v>
      </c>
      <c r="F116" s="253" t="s">
        <v>213</v>
      </c>
      <c r="G116" s="254">
        <v>21.43</v>
      </c>
      <c r="H116" s="255" t="s">
        <v>372</v>
      </c>
      <c r="I116" s="255" t="s">
        <v>213</v>
      </c>
      <c r="J116" s="268">
        <v>1</v>
      </c>
      <c r="K116" s="257">
        <f t="shared" si="12"/>
        <v>21.43</v>
      </c>
      <c r="L116" s="234"/>
      <c r="M116" s="281"/>
      <c r="N116" s="270"/>
      <c r="O116" s="236"/>
    </row>
    <row r="117" spans="1:15" ht="14.25" customHeight="1">
      <c r="A117" s="233"/>
      <c r="B117" s="251" t="s">
        <v>511</v>
      </c>
      <c r="C117" s="252" t="s">
        <v>447</v>
      </c>
      <c r="D117" s="253" t="s">
        <v>378</v>
      </c>
      <c r="E117" s="253" t="s">
        <v>379</v>
      </c>
      <c r="F117" s="253" t="s">
        <v>213</v>
      </c>
      <c r="G117" s="254">
        <v>2.59</v>
      </c>
      <c r="H117" s="255" t="s">
        <v>372</v>
      </c>
      <c r="I117" s="255" t="s">
        <v>213</v>
      </c>
      <c r="J117" s="268">
        <v>1</v>
      </c>
      <c r="K117" s="257">
        <f t="shared" si="12"/>
        <v>2.59</v>
      </c>
      <c r="L117" s="234"/>
      <c r="M117" s="281"/>
      <c r="N117" s="270"/>
      <c r="O117" s="236"/>
    </row>
    <row r="118" spans="1:15" ht="14.25" customHeight="1">
      <c r="A118" s="233"/>
      <c r="B118" s="251" t="s">
        <v>511</v>
      </c>
      <c r="C118" s="252" t="s">
        <v>483</v>
      </c>
      <c r="D118" s="253" t="s">
        <v>476</v>
      </c>
      <c r="E118" s="253" t="s">
        <v>379</v>
      </c>
      <c r="F118" s="253" t="s">
        <v>379</v>
      </c>
      <c r="G118" s="254">
        <v>34.4</v>
      </c>
      <c r="H118" s="255" t="s">
        <v>372</v>
      </c>
      <c r="I118" s="255" t="s">
        <v>595</v>
      </c>
      <c r="J118" s="268">
        <v>1</v>
      </c>
      <c r="K118" s="257">
        <f t="shared" si="12"/>
        <v>34.4</v>
      </c>
      <c r="L118" s="234"/>
      <c r="M118" s="281"/>
      <c r="N118" s="270"/>
      <c r="O118" s="236"/>
    </row>
    <row r="119" spans="1:15" ht="14.25" customHeight="1">
      <c r="A119" s="233"/>
      <c r="B119" s="251" t="s">
        <v>511</v>
      </c>
      <c r="C119" s="252" t="s">
        <v>485</v>
      </c>
      <c r="D119" s="253" t="s">
        <v>378</v>
      </c>
      <c r="E119" s="253" t="s">
        <v>379</v>
      </c>
      <c r="F119" s="253" t="s">
        <v>379</v>
      </c>
      <c r="G119" s="254">
        <v>4.95</v>
      </c>
      <c r="H119" s="255" t="s">
        <v>372</v>
      </c>
      <c r="I119" s="255" t="s">
        <v>595</v>
      </c>
      <c r="J119" s="268">
        <v>1</v>
      </c>
      <c r="K119" s="257">
        <f t="shared" si="12"/>
        <v>4.95</v>
      </c>
      <c r="L119" s="234"/>
      <c r="M119" s="281"/>
      <c r="N119" s="270"/>
      <c r="O119" s="236"/>
    </row>
    <row r="120" spans="1:15" ht="14.25" customHeight="1">
      <c r="A120" s="233"/>
      <c r="B120" s="251" t="s">
        <v>511</v>
      </c>
      <c r="C120" s="252" t="s">
        <v>492</v>
      </c>
      <c r="D120" s="253" t="s">
        <v>378</v>
      </c>
      <c r="E120" s="253" t="s">
        <v>379</v>
      </c>
      <c r="F120" s="253" t="s">
        <v>379</v>
      </c>
      <c r="G120" s="254">
        <v>1.98</v>
      </c>
      <c r="H120" s="255" t="s">
        <v>372</v>
      </c>
      <c r="I120" s="255" t="s">
        <v>213</v>
      </c>
      <c r="J120" s="268">
        <v>1</v>
      </c>
      <c r="K120" s="257">
        <f t="shared" si="12"/>
        <v>1.98</v>
      </c>
      <c r="L120" s="234"/>
      <c r="M120" s="281"/>
      <c r="N120" s="270"/>
      <c r="O120" s="236"/>
    </row>
    <row r="121" spans="1:15" ht="14.25" customHeight="1">
      <c r="A121" s="233"/>
      <c r="B121" s="251" t="s">
        <v>511</v>
      </c>
      <c r="C121" s="252" t="s">
        <v>486</v>
      </c>
      <c r="D121" s="253" t="s">
        <v>476</v>
      </c>
      <c r="E121" s="253" t="s">
        <v>379</v>
      </c>
      <c r="F121" s="253" t="s">
        <v>379</v>
      </c>
      <c r="G121" s="254">
        <v>34.56</v>
      </c>
      <c r="H121" s="255" t="s">
        <v>372</v>
      </c>
      <c r="I121" s="255" t="s">
        <v>595</v>
      </c>
      <c r="J121" s="268">
        <v>1</v>
      </c>
      <c r="K121" s="257">
        <f t="shared" si="12"/>
        <v>34.56</v>
      </c>
      <c r="L121" s="234"/>
      <c r="M121" s="281"/>
      <c r="N121" s="270"/>
      <c r="O121" s="236"/>
    </row>
    <row r="122" spans="1:15" ht="14.25" customHeight="1">
      <c r="A122" s="233"/>
      <c r="B122" s="251" t="s">
        <v>511</v>
      </c>
      <c r="C122" s="252" t="s">
        <v>487</v>
      </c>
      <c r="D122" s="253" t="s">
        <v>378</v>
      </c>
      <c r="E122" s="253" t="s">
        <v>379</v>
      </c>
      <c r="F122" s="253" t="s">
        <v>379</v>
      </c>
      <c r="G122" s="254">
        <v>4.95</v>
      </c>
      <c r="H122" s="255" t="s">
        <v>372</v>
      </c>
      <c r="I122" s="255" t="s">
        <v>595</v>
      </c>
      <c r="J122" s="268">
        <v>1</v>
      </c>
      <c r="K122" s="257">
        <f t="shared" si="12"/>
        <v>4.95</v>
      </c>
      <c r="L122" s="234"/>
      <c r="M122" s="281"/>
      <c r="N122" s="270"/>
      <c r="O122" s="236"/>
    </row>
    <row r="123" spans="1:15" ht="14.25" customHeight="1">
      <c r="A123" s="233"/>
      <c r="B123" s="251" t="s">
        <v>511</v>
      </c>
      <c r="C123" s="252" t="s">
        <v>493</v>
      </c>
      <c r="D123" s="253" t="s">
        <v>378</v>
      </c>
      <c r="E123" s="253" t="s">
        <v>379</v>
      </c>
      <c r="F123" s="253" t="s">
        <v>379</v>
      </c>
      <c r="G123" s="254">
        <v>1.78</v>
      </c>
      <c r="H123" s="255" t="s">
        <v>372</v>
      </c>
      <c r="I123" s="255" t="s">
        <v>213</v>
      </c>
      <c r="J123" s="268">
        <v>1</v>
      </c>
      <c r="K123" s="257">
        <f t="shared" si="12"/>
        <v>1.78</v>
      </c>
      <c r="L123" s="234"/>
      <c r="M123" s="281"/>
      <c r="N123" s="270"/>
      <c r="O123" s="236"/>
    </row>
    <row r="124" spans="1:15" ht="14.25" customHeight="1">
      <c r="A124" s="233"/>
      <c r="B124" s="251" t="s">
        <v>511</v>
      </c>
      <c r="C124" s="252" t="s">
        <v>488</v>
      </c>
      <c r="D124" s="253" t="s">
        <v>476</v>
      </c>
      <c r="E124" s="253" t="s">
        <v>379</v>
      </c>
      <c r="F124" s="253" t="s">
        <v>379</v>
      </c>
      <c r="G124" s="254">
        <v>31.1</v>
      </c>
      <c r="H124" s="255" t="s">
        <v>372</v>
      </c>
      <c r="I124" s="255" t="s">
        <v>595</v>
      </c>
      <c r="J124" s="268">
        <v>1</v>
      </c>
      <c r="K124" s="257">
        <f t="shared" si="12"/>
        <v>31.1</v>
      </c>
      <c r="L124" s="234"/>
      <c r="M124" s="281"/>
      <c r="N124" s="270"/>
      <c r="O124" s="236"/>
    </row>
    <row r="125" spans="1:15" ht="14.25" customHeight="1">
      <c r="A125" s="233"/>
      <c r="B125" s="251" t="s">
        <v>511</v>
      </c>
      <c r="C125" s="252" t="s">
        <v>489</v>
      </c>
      <c r="D125" s="253" t="s">
        <v>378</v>
      </c>
      <c r="E125" s="253" t="s">
        <v>379</v>
      </c>
      <c r="F125" s="253" t="s">
        <v>379</v>
      </c>
      <c r="G125" s="254">
        <v>4.54</v>
      </c>
      <c r="H125" s="255" t="s">
        <v>372</v>
      </c>
      <c r="I125" s="255" t="s">
        <v>595</v>
      </c>
      <c r="J125" s="268">
        <v>1</v>
      </c>
      <c r="K125" s="257">
        <f t="shared" si="12"/>
        <v>4.54</v>
      </c>
      <c r="L125" s="234"/>
      <c r="M125" s="281"/>
      <c r="N125" s="270"/>
      <c r="O125" s="236"/>
    </row>
    <row r="126" spans="1:15" ht="14.25" customHeight="1">
      <c r="A126" s="233"/>
      <c r="B126" s="251" t="s">
        <v>511</v>
      </c>
      <c r="C126" s="252" t="s">
        <v>490</v>
      </c>
      <c r="D126" s="253" t="s">
        <v>476</v>
      </c>
      <c r="E126" s="253" t="s">
        <v>379</v>
      </c>
      <c r="F126" s="253" t="s">
        <v>379</v>
      </c>
      <c r="G126" s="254">
        <v>39.17</v>
      </c>
      <c r="H126" s="255" t="s">
        <v>372</v>
      </c>
      <c r="I126" s="255" t="s">
        <v>595</v>
      </c>
      <c r="J126" s="268">
        <v>1</v>
      </c>
      <c r="K126" s="257">
        <f t="shared" si="12"/>
        <v>39.17</v>
      </c>
      <c r="L126" s="234"/>
      <c r="M126" s="281"/>
      <c r="N126" s="270"/>
      <c r="O126" s="236"/>
    </row>
    <row r="127" spans="1:15" ht="14.25" customHeight="1">
      <c r="A127" s="233"/>
      <c r="B127" s="251" t="s">
        <v>511</v>
      </c>
      <c r="C127" s="252" t="s">
        <v>491</v>
      </c>
      <c r="D127" s="253" t="s">
        <v>378</v>
      </c>
      <c r="E127" s="253" t="s">
        <v>379</v>
      </c>
      <c r="F127" s="253" t="s">
        <v>379</v>
      </c>
      <c r="G127" s="254">
        <v>7.25</v>
      </c>
      <c r="H127" s="255" t="s">
        <v>372</v>
      </c>
      <c r="I127" s="255" t="s">
        <v>595</v>
      </c>
      <c r="J127" s="268">
        <v>1</v>
      </c>
      <c r="K127" s="257">
        <f t="shared" si="12"/>
        <v>7.25</v>
      </c>
      <c r="L127" s="234"/>
      <c r="M127" s="281"/>
      <c r="N127" s="270"/>
      <c r="O127" s="236"/>
    </row>
    <row r="128" spans="1:15" ht="14.25" customHeight="1">
      <c r="A128" s="233"/>
      <c r="B128" s="251" t="s">
        <v>511</v>
      </c>
      <c r="C128" s="252" t="s">
        <v>494</v>
      </c>
      <c r="D128" s="253" t="s">
        <v>378</v>
      </c>
      <c r="E128" s="253" t="s">
        <v>379</v>
      </c>
      <c r="F128" s="253" t="s">
        <v>379</v>
      </c>
      <c r="G128" s="254">
        <v>1.78</v>
      </c>
      <c r="H128" s="255" t="s">
        <v>372</v>
      </c>
      <c r="I128" s="255" t="s">
        <v>213</v>
      </c>
      <c r="J128" s="268">
        <v>1</v>
      </c>
      <c r="K128" s="257">
        <f t="shared" si="12"/>
        <v>1.78</v>
      </c>
      <c r="L128" s="234"/>
      <c r="M128" s="281"/>
      <c r="N128" s="270"/>
      <c r="O128" s="236"/>
    </row>
    <row r="129" spans="1:15" ht="14.25" customHeight="1">
      <c r="A129" s="233"/>
      <c r="B129" s="251" t="s">
        <v>511</v>
      </c>
      <c r="C129" s="252" t="s">
        <v>505</v>
      </c>
      <c r="D129" s="253" t="s">
        <v>476</v>
      </c>
      <c r="E129" s="253" t="s">
        <v>379</v>
      </c>
      <c r="F129" s="253" t="s">
        <v>379</v>
      </c>
      <c r="G129" s="254">
        <v>39.020000000000003</v>
      </c>
      <c r="H129" s="255" t="s">
        <v>372</v>
      </c>
      <c r="I129" s="255" t="s">
        <v>595</v>
      </c>
      <c r="J129" s="268">
        <v>1</v>
      </c>
      <c r="K129" s="257">
        <f t="shared" si="12"/>
        <v>39.020000000000003</v>
      </c>
      <c r="L129" s="234"/>
      <c r="M129" s="281"/>
      <c r="N129" s="270"/>
      <c r="O129" s="236"/>
    </row>
    <row r="130" spans="1:15" ht="14.25" customHeight="1">
      <c r="A130" s="233"/>
      <c r="B130" s="251" t="s">
        <v>511</v>
      </c>
      <c r="C130" s="252" t="s">
        <v>506</v>
      </c>
      <c r="D130" s="253" t="s">
        <v>378</v>
      </c>
      <c r="E130" s="253" t="s">
        <v>379</v>
      </c>
      <c r="F130" s="253" t="s">
        <v>379</v>
      </c>
      <c r="G130" s="254">
        <v>7.38</v>
      </c>
      <c r="H130" s="255" t="s">
        <v>372</v>
      </c>
      <c r="I130" s="255" t="s">
        <v>595</v>
      </c>
      <c r="J130" s="268">
        <v>1</v>
      </c>
      <c r="K130" s="257">
        <f t="shared" si="12"/>
        <v>7.38</v>
      </c>
      <c r="L130" s="234"/>
      <c r="M130" s="281"/>
      <c r="N130" s="270"/>
      <c r="O130" s="236"/>
    </row>
    <row r="131" spans="1:15" ht="14.25" customHeight="1">
      <c r="A131" s="233"/>
      <c r="B131" s="251" t="s">
        <v>511</v>
      </c>
      <c r="C131" s="252" t="s">
        <v>507</v>
      </c>
      <c r="D131" s="253" t="s">
        <v>378</v>
      </c>
      <c r="E131" s="253" t="s">
        <v>379</v>
      </c>
      <c r="F131" s="253" t="s">
        <v>379</v>
      </c>
      <c r="G131" s="254">
        <v>1.98</v>
      </c>
      <c r="H131" s="255" t="s">
        <v>372</v>
      </c>
      <c r="I131" s="255" t="s">
        <v>213</v>
      </c>
      <c r="J131" s="268">
        <v>1</v>
      </c>
      <c r="K131" s="257">
        <f t="shared" si="12"/>
        <v>1.98</v>
      </c>
      <c r="L131" s="234"/>
      <c r="M131" s="281"/>
      <c r="N131" s="270"/>
      <c r="O131" s="236"/>
    </row>
    <row r="132" spans="1:15" ht="14.25" customHeight="1">
      <c r="A132" s="233"/>
      <c r="B132" s="251" t="s">
        <v>511</v>
      </c>
      <c r="C132" s="252" t="s">
        <v>530</v>
      </c>
      <c r="D132" s="253" t="s">
        <v>476</v>
      </c>
      <c r="E132" s="253" t="s">
        <v>379</v>
      </c>
      <c r="F132" s="253" t="s">
        <v>379</v>
      </c>
      <c r="G132" s="254">
        <v>34.369999999999997</v>
      </c>
      <c r="H132" s="255" t="s">
        <v>372</v>
      </c>
      <c r="I132" s="255" t="s">
        <v>595</v>
      </c>
      <c r="J132" s="268">
        <v>1</v>
      </c>
      <c r="K132" s="257">
        <f t="shared" si="12"/>
        <v>34.369999999999997</v>
      </c>
      <c r="L132" s="234"/>
      <c r="M132" s="281"/>
      <c r="N132" s="270"/>
      <c r="O132" s="236"/>
    </row>
    <row r="133" spans="1:15" ht="14.25" customHeight="1">
      <c r="A133" s="233"/>
      <c r="B133" s="251" t="s">
        <v>511</v>
      </c>
      <c r="C133" s="252" t="s">
        <v>528</v>
      </c>
      <c r="D133" s="253" t="s">
        <v>378</v>
      </c>
      <c r="E133" s="253" t="s">
        <v>379</v>
      </c>
      <c r="F133" s="253" t="s">
        <v>379</v>
      </c>
      <c r="G133" s="254">
        <v>9.59</v>
      </c>
      <c r="H133" s="255" t="s">
        <v>372</v>
      </c>
      <c r="I133" s="255" t="s">
        <v>595</v>
      </c>
      <c r="J133" s="268">
        <v>1</v>
      </c>
      <c r="K133" s="257">
        <f t="shared" si="12"/>
        <v>9.59</v>
      </c>
      <c r="L133" s="234"/>
      <c r="M133" s="281"/>
      <c r="N133" s="270"/>
      <c r="O133" s="236"/>
    </row>
    <row r="134" spans="1:15" ht="14.25" customHeight="1">
      <c r="A134" s="233"/>
      <c r="B134" s="251" t="s">
        <v>511</v>
      </c>
      <c r="C134" s="252" t="s">
        <v>528</v>
      </c>
      <c r="D134" s="253" t="s">
        <v>378</v>
      </c>
      <c r="E134" s="253" t="s">
        <v>379</v>
      </c>
      <c r="F134" s="253" t="s">
        <v>379</v>
      </c>
      <c r="G134" s="254">
        <v>5.12</v>
      </c>
      <c r="H134" s="255" t="s">
        <v>372</v>
      </c>
      <c r="I134" s="255" t="s">
        <v>595</v>
      </c>
      <c r="J134" s="268">
        <v>1</v>
      </c>
      <c r="K134" s="257">
        <f t="shared" si="12"/>
        <v>5.12</v>
      </c>
      <c r="L134" s="234"/>
      <c r="M134" s="281"/>
      <c r="N134" s="270"/>
      <c r="O134" s="236"/>
    </row>
    <row r="135" spans="1:15" ht="14.25" customHeight="1">
      <c r="A135" s="233"/>
      <c r="B135" s="251" t="s">
        <v>511</v>
      </c>
      <c r="C135" s="252" t="s">
        <v>531</v>
      </c>
      <c r="D135" s="253" t="s">
        <v>476</v>
      </c>
      <c r="E135" s="253" t="s">
        <v>379</v>
      </c>
      <c r="F135" s="253" t="s">
        <v>379</v>
      </c>
      <c r="G135" s="254">
        <v>28.56</v>
      </c>
      <c r="H135" s="255" t="s">
        <v>372</v>
      </c>
      <c r="I135" s="255" t="s">
        <v>595</v>
      </c>
      <c r="J135" s="268">
        <v>1</v>
      </c>
      <c r="K135" s="257">
        <f t="shared" si="12"/>
        <v>28.56</v>
      </c>
      <c r="L135" s="234"/>
      <c r="M135" s="281"/>
      <c r="N135" s="270"/>
      <c r="O135" s="236"/>
    </row>
    <row r="136" spans="1:15" ht="14.25" customHeight="1">
      <c r="A136" s="233"/>
      <c r="B136" s="251" t="s">
        <v>511</v>
      </c>
      <c r="C136" s="252" t="s">
        <v>527</v>
      </c>
      <c r="D136" s="253" t="s">
        <v>476</v>
      </c>
      <c r="E136" s="253" t="s">
        <v>379</v>
      </c>
      <c r="F136" s="253" t="s">
        <v>379</v>
      </c>
      <c r="G136" s="254">
        <v>33.979999999999997</v>
      </c>
      <c r="H136" s="255" t="s">
        <v>372</v>
      </c>
      <c r="I136" s="255" t="s">
        <v>595</v>
      </c>
      <c r="J136" s="268">
        <v>1</v>
      </c>
      <c r="K136" s="257">
        <f t="shared" si="12"/>
        <v>33.979999999999997</v>
      </c>
      <c r="L136" s="234"/>
      <c r="M136" s="281"/>
      <c r="N136" s="270"/>
      <c r="O136" s="236"/>
    </row>
    <row r="137" spans="1:15" ht="14.25" customHeight="1">
      <c r="A137" s="233"/>
      <c r="B137" s="251" t="s">
        <v>511</v>
      </c>
      <c r="C137" s="252" t="s">
        <v>532</v>
      </c>
      <c r="D137" s="253" t="s">
        <v>476</v>
      </c>
      <c r="E137" s="253" t="s">
        <v>379</v>
      </c>
      <c r="F137" s="253" t="s">
        <v>379</v>
      </c>
      <c r="G137" s="254">
        <v>6.93</v>
      </c>
      <c r="H137" s="255" t="s">
        <v>372</v>
      </c>
      <c r="I137" s="255" t="s">
        <v>595</v>
      </c>
      <c r="J137" s="268">
        <v>1</v>
      </c>
      <c r="K137" s="257">
        <f t="shared" si="12"/>
        <v>6.93</v>
      </c>
      <c r="L137" s="234"/>
      <c r="M137" s="281"/>
      <c r="N137" s="270"/>
      <c r="O137" s="236"/>
    </row>
    <row r="138" spans="1:15" ht="14.25" customHeight="1">
      <c r="A138" s="233"/>
      <c r="B138" s="251" t="s">
        <v>511</v>
      </c>
      <c r="C138" s="252" t="s">
        <v>529</v>
      </c>
      <c r="D138" s="253" t="s">
        <v>378</v>
      </c>
      <c r="E138" s="253" t="s">
        <v>379</v>
      </c>
      <c r="F138" s="253" t="s">
        <v>379</v>
      </c>
      <c r="G138" s="254">
        <f>24.57</f>
        <v>24.57</v>
      </c>
      <c r="H138" s="255" t="s">
        <v>372</v>
      </c>
      <c r="I138" s="255" t="s">
        <v>595</v>
      </c>
      <c r="J138" s="268">
        <v>1</v>
      </c>
      <c r="K138" s="257">
        <f t="shared" si="12"/>
        <v>24.57</v>
      </c>
      <c r="L138" s="234"/>
      <c r="M138" s="281"/>
      <c r="N138" s="270"/>
      <c r="O138" s="236"/>
    </row>
    <row r="139" spans="1:15" ht="14.25" customHeight="1">
      <c r="A139" s="233"/>
      <c r="B139" s="251" t="s">
        <v>511</v>
      </c>
      <c r="C139" s="252" t="s">
        <v>537</v>
      </c>
      <c r="D139" s="253" t="s">
        <v>378</v>
      </c>
      <c r="E139" s="253" t="s">
        <v>213</v>
      </c>
      <c r="F139" s="253" t="s">
        <v>213</v>
      </c>
      <c r="G139" s="254">
        <f>32.95</f>
        <v>32.950000000000003</v>
      </c>
      <c r="H139" s="255" t="s">
        <v>372</v>
      </c>
      <c r="I139" s="255" t="s">
        <v>213</v>
      </c>
      <c r="J139" s="268">
        <v>1</v>
      </c>
      <c r="K139" s="257">
        <f t="shared" ref="K139" si="14">G139*J139</f>
        <v>32.950000000000003</v>
      </c>
      <c r="L139" s="234"/>
      <c r="M139" s="281"/>
      <c r="N139" s="270"/>
      <c r="O139" s="236"/>
    </row>
    <row r="140" spans="1:15" ht="14.25" customHeight="1">
      <c r="A140" s="233"/>
      <c r="B140" s="251" t="s">
        <v>511</v>
      </c>
      <c r="C140" s="252" t="s">
        <v>533</v>
      </c>
      <c r="D140" s="253" t="s">
        <v>474</v>
      </c>
      <c r="E140" s="253" t="s">
        <v>213</v>
      </c>
      <c r="F140" s="253" t="s">
        <v>213</v>
      </c>
      <c r="G140" s="254">
        <f>6.51+12*0.8*0.4+12*0.8*0.167+9*1</f>
        <v>20.953200000000002</v>
      </c>
      <c r="H140" s="255" t="s">
        <v>372</v>
      </c>
      <c r="I140" s="255" t="s">
        <v>213</v>
      </c>
      <c r="J140" s="268">
        <v>1</v>
      </c>
      <c r="K140" s="257">
        <f t="shared" si="12"/>
        <v>20.953200000000002</v>
      </c>
      <c r="L140" s="234"/>
      <c r="M140" s="281"/>
      <c r="N140" s="270"/>
      <c r="O140" s="236"/>
    </row>
    <row r="141" spans="1:15" ht="14.25" customHeight="1">
      <c r="A141" s="233"/>
      <c r="B141" s="251" t="s">
        <v>511</v>
      </c>
      <c r="C141" s="252" t="s">
        <v>484</v>
      </c>
      <c r="D141" s="253" t="s">
        <v>476</v>
      </c>
      <c r="E141" s="253" t="s">
        <v>379</v>
      </c>
      <c r="F141" s="253" t="s">
        <v>379</v>
      </c>
      <c r="G141" s="254">
        <v>34.56</v>
      </c>
      <c r="H141" s="255" t="s">
        <v>372</v>
      </c>
      <c r="I141" s="255" t="s">
        <v>595</v>
      </c>
      <c r="J141" s="268">
        <v>1</v>
      </c>
      <c r="K141" s="257">
        <f t="shared" ref="K141:K193" si="15">G141*J141</f>
        <v>34.56</v>
      </c>
      <c r="L141" s="234"/>
      <c r="M141" s="281"/>
      <c r="N141" s="270"/>
      <c r="O141" s="236"/>
    </row>
    <row r="142" spans="1:15" ht="14.25" customHeight="1">
      <c r="A142" s="233"/>
      <c r="B142" s="251" t="s">
        <v>511</v>
      </c>
      <c r="C142" s="252" t="s">
        <v>498</v>
      </c>
      <c r="D142" s="253" t="s">
        <v>378</v>
      </c>
      <c r="E142" s="253" t="s">
        <v>379</v>
      </c>
      <c r="F142" s="253" t="s">
        <v>379</v>
      </c>
      <c r="G142" s="254">
        <v>4.95</v>
      </c>
      <c r="H142" s="255" t="s">
        <v>372</v>
      </c>
      <c r="I142" s="255" t="s">
        <v>595</v>
      </c>
      <c r="J142" s="268">
        <v>1</v>
      </c>
      <c r="K142" s="257">
        <f t="shared" si="15"/>
        <v>4.95</v>
      </c>
      <c r="L142" s="234"/>
      <c r="M142" s="281"/>
      <c r="N142" s="270"/>
      <c r="O142" s="236"/>
    </row>
    <row r="143" spans="1:15" ht="14.25" customHeight="1">
      <c r="A143" s="233"/>
      <c r="B143" s="251" t="s">
        <v>511</v>
      </c>
      <c r="C143" s="252" t="s">
        <v>499</v>
      </c>
      <c r="D143" s="253" t="s">
        <v>378</v>
      </c>
      <c r="E143" s="253" t="s">
        <v>379</v>
      </c>
      <c r="F143" s="253" t="s">
        <v>379</v>
      </c>
      <c r="G143" s="254">
        <v>1.98</v>
      </c>
      <c r="H143" s="255" t="s">
        <v>372</v>
      </c>
      <c r="I143" s="255" t="s">
        <v>213</v>
      </c>
      <c r="J143" s="268">
        <v>1</v>
      </c>
      <c r="K143" s="257">
        <f t="shared" si="15"/>
        <v>1.98</v>
      </c>
      <c r="L143" s="234"/>
      <c r="M143" s="281"/>
      <c r="N143" s="270"/>
      <c r="O143" s="236"/>
    </row>
    <row r="144" spans="1:15" ht="14.25" customHeight="1">
      <c r="A144" s="233"/>
      <c r="B144" s="251" t="s">
        <v>511</v>
      </c>
      <c r="C144" s="252" t="s">
        <v>500</v>
      </c>
      <c r="D144" s="253" t="s">
        <v>476</v>
      </c>
      <c r="E144" s="253" t="s">
        <v>379</v>
      </c>
      <c r="F144" s="253" t="s">
        <v>379</v>
      </c>
      <c r="G144" s="254">
        <v>34.56</v>
      </c>
      <c r="H144" s="255" t="s">
        <v>372</v>
      </c>
      <c r="I144" s="255" t="s">
        <v>595</v>
      </c>
      <c r="J144" s="268">
        <v>1</v>
      </c>
      <c r="K144" s="257">
        <f t="shared" si="15"/>
        <v>34.56</v>
      </c>
      <c r="L144" s="234"/>
      <c r="M144" s="281"/>
      <c r="N144" s="270"/>
      <c r="O144" s="236"/>
    </row>
    <row r="145" spans="1:15" ht="14.25" customHeight="1">
      <c r="A145" s="233"/>
      <c r="B145" s="251" t="s">
        <v>511</v>
      </c>
      <c r="C145" s="252" t="s">
        <v>501</v>
      </c>
      <c r="D145" s="253" t="s">
        <v>378</v>
      </c>
      <c r="E145" s="253" t="s">
        <v>379</v>
      </c>
      <c r="F145" s="253" t="s">
        <v>379</v>
      </c>
      <c r="G145" s="254">
        <v>4.95</v>
      </c>
      <c r="H145" s="255" t="s">
        <v>372</v>
      </c>
      <c r="I145" s="255" t="s">
        <v>595</v>
      </c>
      <c r="J145" s="268">
        <v>1</v>
      </c>
      <c r="K145" s="257">
        <f t="shared" si="15"/>
        <v>4.95</v>
      </c>
      <c r="L145" s="234"/>
      <c r="M145" s="281"/>
      <c r="N145" s="270"/>
      <c r="O145" s="236"/>
    </row>
    <row r="146" spans="1:15" ht="14.25" customHeight="1">
      <c r="A146" s="233"/>
      <c r="B146" s="251" t="s">
        <v>511</v>
      </c>
      <c r="C146" s="252" t="s">
        <v>502</v>
      </c>
      <c r="D146" s="253" t="s">
        <v>378</v>
      </c>
      <c r="E146" s="253" t="s">
        <v>379</v>
      </c>
      <c r="F146" s="253" t="s">
        <v>379</v>
      </c>
      <c r="G146" s="254">
        <v>1.78</v>
      </c>
      <c r="H146" s="255" t="s">
        <v>372</v>
      </c>
      <c r="I146" s="255" t="s">
        <v>213</v>
      </c>
      <c r="J146" s="268">
        <v>1</v>
      </c>
      <c r="K146" s="257">
        <f t="shared" si="15"/>
        <v>1.78</v>
      </c>
      <c r="L146" s="234"/>
      <c r="M146" s="281"/>
      <c r="N146" s="270"/>
      <c r="O146" s="236"/>
    </row>
    <row r="147" spans="1:15" ht="14.25" customHeight="1">
      <c r="A147" s="233"/>
      <c r="B147" s="251" t="s">
        <v>511</v>
      </c>
      <c r="C147" s="252" t="s">
        <v>503</v>
      </c>
      <c r="D147" s="253" t="s">
        <v>476</v>
      </c>
      <c r="E147" s="253" t="s">
        <v>379</v>
      </c>
      <c r="F147" s="253" t="s">
        <v>379</v>
      </c>
      <c r="G147" s="254">
        <v>30.57</v>
      </c>
      <c r="H147" s="255" t="s">
        <v>372</v>
      </c>
      <c r="I147" s="255" t="s">
        <v>595</v>
      </c>
      <c r="J147" s="268">
        <v>1</v>
      </c>
      <c r="K147" s="257">
        <f t="shared" si="15"/>
        <v>30.57</v>
      </c>
      <c r="L147" s="234"/>
      <c r="M147" s="281"/>
      <c r="N147" s="270"/>
      <c r="O147" s="236"/>
    </row>
    <row r="148" spans="1:15" ht="14.25" customHeight="1">
      <c r="A148" s="233"/>
      <c r="B148" s="251" t="s">
        <v>511</v>
      </c>
      <c r="C148" s="252" t="s">
        <v>504</v>
      </c>
      <c r="D148" s="253" t="s">
        <v>378</v>
      </c>
      <c r="E148" s="253" t="s">
        <v>379</v>
      </c>
      <c r="F148" s="253" t="s">
        <v>379</v>
      </c>
      <c r="G148" s="254">
        <v>4.54</v>
      </c>
      <c r="H148" s="255" t="s">
        <v>372</v>
      </c>
      <c r="I148" s="255" t="s">
        <v>595</v>
      </c>
      <c r="J148" s="268">
        <v>1</v>
      </c>
      <c r="K148" s="257">
        <f t="shared" si="15"/>
        <v>4.54</v>
      </c>
      <c r="L148" s="234"/>
      <c r="M148" s="281"/>
      <c r="N148" s="270"/>
      <c r="O148" s="236"/>
    </row>
    <row r="149" spans="1:15" ht="14.25" customHeight="1">
      <c r="A149" s="233"/>
      <c r="B149" s="251" t="s">
        <v>511</v>
      </c>
      <c r="C149" s="252" t="s">
        <v>505</v>
      </c>
      <c r="D149" s="253" t="s">
        <v>476</v>
      </c>
      <c r="E149" s="253" t="s">
        <v>379</v>
      </c>
      <c r="F149" s="253" t="s">
        <v>379</v>
      </c>
      <c r="G149" s="254">
        <v>39.17</v>
      </c>
      <c r="H149" s="255" t="s">
        <v>372</v>
      </c>
      <c r="I149" s="255" t="s">
        <v>595</v>
      </c>
      <c r="J149" s="268">
        <v>1</v>
      </c>
      <c r="K149" s="257">
        <f t="shared" si="15"/>
        <v>39.17</v>
      </c>
      <c r="L149" s="234"/>
      <c r="M149" s="281"/>
      <c r="N149" s="270"/>
      <c r="O149" s="236"/>
    </row>
    <row r="150" spans="1:15" ht="14.25" customHeight="1">
      <c r="A150" s="233"/>
      <c r="B150" s="251" t="s">
        <v>511</v>
      </c>
      <c r="C150" s="252" t="s">
        <v>491</v>
      </c>
      <c r="D150" s="253" t="s">
        <v>378</v>
      </c>
      <c r="E150" s="253" t="s">
        <v>379</v>
      </c>
      <c r="F150" s="253" t="s">
        <v>379</v>
      </c>
      <c r="G150" s="254">
        <v>7.25</v>
      </c>
      <c r="H150" s="255" t="s">
        <v>372</v>
      </c>
      <c r="I150" s="255" t="s">
        <v>595</v>
      </c>
      <c r="J150" s="268">
        <v>1</v>
      </c>
      <c r="K150" s="257">
        <f t="shared" si="15"/>
        <v>7.25</v>
      </c>
      <c r="L150" s="234"/>
      <c r="M150" s="281"/>
      <c r="N150" s="270"/>
      <c r="O150" s="236"/>
    </row>
    <row r="151" spans="1:15" ht="14.25" customHeight="1">
      <c r="A151" s="233"/>
      <c r="B151" s="251" t="s">
        <v>511</v>
      </c>
      <c r="C151" s="252" t="s">
        <v>494</v>
      </c>
      <c r="D151" s="253" t="s">
        <v>378</v>
      </c>
      <c r="E151" s="253" t="s">
        <v>379</v>
      </c>
      <c r="F151" s="253" t="s">
        <v>379</v>
      </c>
      <c r="G151" s="254">
        <v>1.78</v>
      </c>
      <c r="H151" s="255" t="s">
        <v>372</v>
      </c>
      <c r="I151" s="255" t="s">
        <v>213</v>
      </c>
      <c r="J151" s="268">
        <v>1</v>
      </c>
      <c r="K151" s="257">
        <f t="shared" si="15"/>
        <v>1.78</v>
      </c>
      <c r="L151" s="234"/>
      <c r="M151" s="281"/>
      <c r="N151" s="270"/>
      <c r="O151" s="236"/>
    </row>
    <row r="152" spans="1:15" ht="14.25" customHeight="1">
      <c r="A152" s="233"/>
      <c r="B152" s="251" t="s">
        <v>511</v>
      </c>
      <c r="C152" s="252" t="s">
        <v>505</v>
      </c>
      <c r="D152" s="253" t="s">
        <v>476</v>
      </c>
      <c r="E152" s="253" t="s">
        <v>379</v>
      </c>
      <c r="F152" s="253" t="s">
        <v>379</v>
      </c>
      <c r="G152" s="254">
        <v>39.020000000000003</v>
      </c>
      <c r="H152" s="255" t="s">
        <v>372</v>
      </c>
      <c r="I152" s="255" t="s">
        <v>595</v>
      </c>
      <c r="J152" s="268">
        <v>1</v>
      </c>
      <c r="K152" s="257">
        <f t="shared" si="15"/>
        <v>39.020000000000003</v>
      </c>
      <c r="L152" s="234"/>
      <c r="M152" s="281"/>
      <c r="N152" s="270"/>
      <c r="O152" s="236"/>
    </row>
    <row r="153" spans="1:15" ht="14.25" customHeight="1">
      <c r="A153" s="233"/>
      <c r="B153" s="251" t="s">
        <v>511</v>
      </c>
      <c r="C153" s="252" t="s">
        <v>506</v>
      </c>
      <c r="D153" s="253" t="s">
        <v>378</v>
      </c>
      <c r="E153" s="253" t="s">
        <v>379</v>
      </c>
      <c r="F153" s="253" t="s">
        <v>379</v>
      </c>
      <c r="G153" s="254">
        <v>7.38</v>
      </c>
      <c r="H153" s="255" t="s">
        <v>372</v>
      </c>
      <c r="I153" s="255" t="s">
        <v>595</v>
      </c>
      <c r="J153" s="268">
        <v>1</v>
      </c>
      <c r="K153" s="257">
        <f t="shared" si="15"/>
        <v>7.38</v>
      </c>
      <c r="L153" s="234"/>
      <c r="M153" s="281"/>
      <c r="N153" s="270"/>
      <c r="O153" s="236"/>
    </row>
    <row r="154" spans="1:15" ht="14.25" customHeight="1">
      <c r="A154" s="233"/>
      <c r="B154" s="251" t="s">
        <v>511</v>
      </c>
      <c r="C154" s="252" t="s">
        <v>507</v>
      </c>
      <c r="D154" s="253" t="s">
        <v>378</v>
      </c>
      <c r="E154" s="253" t="s">
        <v>379</v>
      </c>
      <c r="F154" s="253" t="s">
        <v>379</v>
      </c>
      <c r="G154" s="254">
        <v>1.98</v>
      </c>
      <c r="H154" s="255" t="s">
        <v>372</v>
      </c>
      <c r="I154" s="255" t="s">
        <v>213</v>
      </c>
      <c r="J154" s="268">
        <v>1</v>
      </c>
      <c r="K154" s="257">
        <f t="shared" si="15"/>
        <v>1.98</v>
      </c>
      <c r="L154" s="234"/>
      <c r="M154" s="281"/>
      <c r="N154" s="270"/>
      <c r="O154" s="236"/>
    </row>
    <row r="155" spans="1:15" ht="14.25" customHeight="1">
      <c r="A155" s="233"/>
      <c r="B155" s="251" t="s">
        <v>511</v>
      </c>
      <c r="C155" s="252" t="s">
        <v>534</v>
      </c>
      <c r="D155" s="253" t="s">
        <v>476</v>
      </c>
      <c r="E155" s="253" t="s">
        <v>379</v>
      </c>
      <c r="F155" s="253" t="s">
        <v>379</v>
      </c>
      <c r="G155" s="254">
        <v>28.78</v>
      </c>
      <c r="H155" s="255" t="s">
        <v>372</v>
      </c>
      <c r="I155" s="255" t="s">
        <v>595</v>
      </c>
      <c r="J155" s="268">
        <v>1</v>
      </c>
      <c r="K155" s="257">
        <f t="shared" si="15"/>
        <v>28.78</v>
      </c>
      <c r="L155" s="234"/>
      <c r="M155" s="281"/>
      <c r="N155" s="270"/>
      <c r="O155" s="236"/>
    </row>
    <row r="156" spans="1:15" ht="14.25" customHeight="1">
      <c r="A156" s="233"/>
      <c r="B156" s="251" t="s">
        <v>511</v>
      </c>
      <c r="C156" s="252" t="s">
        <v>535</v>
      </c>
      <c r="D156" s="253" t="s">
        <v>378</v>
      </c>
      <c r="E156" s="253" t="s">
        <v>379</v>
      </c>
      <c r="F156" s="253" t="s">
        <v>379</v>
      </c>
      <c r="G156" s="254">
        <v>4.88</v>
      </c>
      <c r="H156" s="255" t="s">
        <v>372</v>
      </c>
      <c r="I156" s="255" t="s">
        <v>595</v>
      </c>
      <c r="J156" s="268">
        <v>1</v>
      </c>
      <c r="K156" s="257">
        <f t="shared" si="15"/>
        <v>4.88</v>
      </c>
      <c r="L156" s="234"/>
      <c r="M156" s="281"/>
      <c r="N156" s="270"/>
      <c r="O156" s="236"/>
    </row>
    <row r="157" spans="1:15" ht="14.25" customHeight="1">
      <c r="A157" s="233"/>
      <c r="B157" s="251" t="s">
        <v>511</v>
      </c>
      <c r="C157" s="252" t="s">
        <v>536</v>
      </c>
      <c r="D157" s="253" t="s">
        <v>378</v>
      </c>
      <c r="E157" s="253" t="s">
        <v>379</v>
      </c>
      <c r="F157" s="253" t="s">
        <v>379</v>
      </c>
      <c r="G157" s="254">
        <v>1.98</v>
      </c>
      <c r="H157" s="255" t="s">
        <v>372</v>
      </c>
      <c r="I157" s="255" t="s">
        <v>213</v>
      </c>
      <c r="J157" s="268">
        <v>1</v>
      </c>
      <c r="K157" s="257">
        <f t="shared" si="15"/>
        <v>1.98</v>
      </c>
      <c r="L157" s="234"/>
      <c r="M157" s="281"/>
      <c r="N157" s="270"/>
      <c r="O157" s="236"/>
    </row>
    <row r="158" spans="1:15" ht="14.25" customHeight="1">
      <c r="A158" s="233"/>
      <c r="B158" s="251" t="s">
        <v>511</v>
      </c>
      <c r="C158" s="252" t="s">
        <v>784</v>
      </c>
      <c r="D158" s="285" t="s">
        <v>523</v>
      </c>
      <c r="E158" s="253" t="s">
        <v>197</v>
      </c>
      <c r="F158" s="253" t="s">
        <v>213</v>
      </c>
      <c r="G158" s="254">
        <f>7.94+25*1.2*0.27</f>
        <v>16.040000000000003</v>
      </c>
      <c r="H158" s="255" t="s">
        <v>372</v>
      </c>
      <c r="I158" s="255" t="s">
        <v>213</v>
      </c>
      <c r="J158" s="256">
        <v>1</v>
      </c>
      <c r="K158" s="257">
        <f t="shared" ref="K158" si="16">G158*J158</f>
        <v>16.040000000000003</v>
      </c>
      <c r="L158" s="234"/>
      <c r="M158" s="281"/>
      <c r="N158" s="270"/>
      <c r="O158" s="236"/>
    </row>
    <row r="159" spans="1:15" ht="14.25" customHeight="1">
      <c r="A159" s="233"/>
      <c r="B159" s="251" t="s">
        <v>511</v>
      </c>
      <c r="C159" s="252" t="s">
        <v>785</v>
      </c>
      <c r="D159" s="253" t="s">
        <v>525</v>
      </c>
      <c r="E159" s="253" t="s">
        <v>197</v>
      </c>
      <c r="F159" s="253" t="s">
        <v>213</v>
      </c>
      <c r="G159" s="254">
        <f>25*1.2*0.18</f>
        <v>5.3999999999999995</v>
      </c>
      <c r="H159" s="255" t="s">
        <v>372</v>
      </c>
      <c r="I159" s="255" t="s">
        <v>213</v>
      </c>
      <c r="J159" s="256">
        <v>1</v>
      </c>
      <c r="K159" s="257">
        <f t="shared" si="15"/>
        <v>5.3999999999999995</v>
      </c>
      <c r="L159" s="234"/>
      <c r="M159" s="281"/>
      <c r="N159" s="270"/>
      <c r="O159" s="236"/>
    </row>
    <row r="160" spans="1:15" ht="14.25" customHeight="1">
      <c r="A160" s="233"/>
      <c r="B160" s="251" t="s">
        <v>511</v>
      </c>
      <c r="C160" s="252" t="s">
        <v>453</v>
      </c>
      <c r="D160" s="253" t="s">
        <v>378</v>
      </c>
      <c r="E160" s="253" t="s">
        <v>197</v>
      </c>
      <c r="F160" s="253" t="s">
        <v>213</v>
      </c>
      <c r="G160" s="254">
        <v>5.76</v>
      </c>
      <c r="H160" s="255" t="s">
        <v>372</v>
      </c>
      <c r="I160" s="255" t="s">
        <v>213</v>
      </c>
      <c r="J160" s="256">
        <v>1</v>
      </c>
      <c r="K160" s="257">
        <f t="shared" si="15"/>
        <v>5.76</v>
      </c>
      <c r="L160" s="234"/>
      <c r="M160" s="281"/>
      <c r="N160" s="270"/>
      <c r="O160" s="236"/>
    </row>
    <row r="161" spans="1:15" ht="14.25" customHeight="1">
      <c r="A161" s="233"/>
      <c r="B161" s="251" t="s">
        <v>538</v>
      </c>
      <c r="C161" s="252" t="s">
        <v>430</v>
      </c>
      <c r="D161" s="253" t="s">
        <v>328</v>
      </c>
      <c r="E161" s="253" t="s">
        <v>379</v>
      </c>
      <c r="F161" s="253" t="s">
        <v>638</v>
      </c>
      <c r="G161" s="254">
        <f>16.71+117.29+37.47</f>
        <v>171.47</v>
      </c>
      <c r="H161" s="255" t="s">
        <v>372</v>
      </c>
      <c r="I161" s="255" t="s">
        <v>593</v>
      </c>
      <c r="J161" s="256">
        <v>1</v>
      </c>
      <c r="K161" s="257">
        <f t="shared" si="15"/>
        <v>171.47</v>
      </c>
      <c r="L161" s="234"/>
      <c r="M161" s="281"/>
      <c r="N161" s="270"/>
      <c r="O161" s="236"/>
    </row>
    <row r="162" spans="1:15" ht="14.25" customHeight="1">
      <c r="A162" s="233"/>
      <c r="B162" s="251" t="s">
        <v>538</v>
      </c>
      <c r="C162" s="252" t="s">
        <v>425</v>
      </c>
      <c r="D162" s="253" t="s">
        <v>328</v>
      </c>
      <c r="E162" s="253" t="s">
        <v>379</v>
      </c>
      <c r="F162" s="253" t="s">
        <v>213</v>
      </c>
      <c r="G162" s="254">
        <v>25.51</v>
      </c>
      <c r="H162" s="255" t="s">
        <v>372</v>
      </c>
      <c r="I162" s="255" t="s">
        <v>213</v>
      </c>
      <c r="J162" s="256">
        <v>1</v>
      </c>
      <c r="K162" s="257">
        <f t="shared" si="15"/>
        <v>25.51</v>
      </c>
      <c r="L162" s="234"/>
      <c r="M162" s="281"/>
      <c r="N162" s="270"/>
      <c r="O162" s="236"/>
    </row>
    <row r="163" spans="1:15" ht="14.25" customHeight="1">
      <c r="A163" s="233"/>
      <c r="B163" s="251" t="s">
        <v>538</v>
      </c>
      <c r="C163" s="252" t="s">
        <v>456</v>
      </c>
      <c r="D163" s="253" t="s">
        <v>378</v>
      </c>
      <c r="E163" s="253" t="s">
        <v>379</v>
      </c>
      <c r="F163" s="253" t="s">
        <v>213</v>
      </c>
      <c r="G163" s="254">
        <v>25.09</v>
      </c>
      <c r="H163" s="255" t="s">
        <v>372</v>
      </c>
      <c r="I163" s="255" t="s">
        <v>591</v>
      </c>
      <c r="J163" s="256">
        <v>1</v>
      </c>
      <c r="K163" s="257">
        <f t="shared" si="15"/>
        <v>25.09</v>
      </c>
      <c r="L163" s="234"/>
      <c r="M163" s="281"/>
      <c r="N163" s="270"/>
      <c r="O163" s="236"/>
    </row>
    <row r="164" spans="1:15" ht="14.25" customHeight="1">
      <c r="A164" s="233"/>
      <c r="B164" s="251" t="s">
        <v>538</v>
      </c>
      <c r="C164" s="252" t="s">
        <v>597</v>
      </c>
      <c r="D164" s="253" t="s">
        <v>476</v>
      </c>
      <c r="E164" s="253" t="s">
        <v>379</v>
      </c>
      <c r="F164" s="253" t="s">
        <v>379</v>
      </c>
      <c r="G164" s="254">
        <v>26.68</v>
      </c>
      <c r="H164" s="255" t="s">
        <v>372</v>
      </c>
      <c r="I164" s="255" t="s">
        <v>595</v>
      </c>
      <c r="J164" s="268">
        <v>2</v>
      </c>
      <c r="K164" s="257">
        <f t="shared" si="15"/>
        <v>53.36</v>
      </c>
      <c r="L164" s="234"/>
      <c r="M164" s="281"/>
      <c r="N164" s="270"/>
      <c r="O164" s="236"/>
    </row>
    <row r="165" spans="1:15" ht="14.25" customHeight="1">
      <c r="A165" s="233"/>
      <c r="B165" s="251" t="s">
        <v>538</v>
      </c>
      <c r="C165" s="252" t="s">
        <v>598</v>
      </c>
      <c r="D165" s="253" t="s">
        <v>378</v>
      </c>
      <c r="E165" s="253" t="s">
        <v>379</v>
      </c>
      <c r="F165" s="253" t="s">
        <v>379</v>
      </c>
      <c r="G165" s="254">
        <v>5.0999999999999996</v>
      </c>
      <c r="H165" s="255" t="s">
        <v>372</v>
      </c>
      <c r="I165" s="255" t="s">
        <v>595</v>
      </c>
      <c r="J165" s="268">
        <v>2</v>
      </c>
      <c r="K165" s="257">
        <f t="shared" si="15"/>
        <v>10.199999999999999</v>
      </c>
      <c r="L165" s="234"/>
      <c r="M165" s="281"/>
      <c r="N165" s="270"/>
      <c r="O165" s="236"/>
    </row>
    <row r="166" spans="1:15" ht="14.25" customHeight="1">
      <c r="A166" s="233"/>
      <c r="B166" s="251" t="s">
        <v>538</v>
      </c>
      <c r="C166" s="252" t="s">
        <v>600</v>
      </c>
      <c r="D166" s="253" t="s">
        <v>476</v>
      </c>
      <c r="E166" s="253" t="s">
        <v>379</v>
      </c>
      <c r="F166" s="253" t="s">
        <v>379</v>
      </c>
      <c r="G166" s="254">
        <v>26.68</v>
      </c>
      <c r="H166" s="255" t="s">
        <v>372</v>
      </c>
      <c r="I166" s="255" t="s">
        <v>592</v>
      </c>
      <c r="J166" s="268">
        <v>2</v>
      </c>
      <c r="K166" s="257">
        <f t="shared" ref="K166:K167" si="17">G166*J166</f>
        <v>53.36</v>
      </c>
      <c r="L166" s="234"/>
      <c r="M166" s="281"/>
      <c r="N166" s="270"/>
      <c r="O166" s="236"/>
    </row>
    <row r="167" spans="1:15" ht="14.25" customHeight="1">
      <c r="A167" s="233"/>
      <c r="B167" s="251" t="s">
        <v>538</v>
      </c>
      <c r="C167" s="252" t="s">
        <v>599</v>
      </c>
      <c r="D167" s="253" t="s">
        <v>378</v>
      </c>
      <c r="E167" s="253" t="s">
        <v>379</v>
      </c>
      <c r="F167" s="253" t="s">
        <v>379</v>
      </c>
      <c r="G167" s="254">
        <v>5.0999999999999996</v>
      </c>
      <c r="H167" s="255" t="s">
        <v>372</v>
      </c>
      <c r="I167" s="255" t="s">
        <v>592</v>
      </c>
      <c r="J167" s="268">
        <v>2</v>
      </c>
      <c r="K167" s="257">
        <f t="shared" si="17"/>
        <v>10.199999999999999</v>
      </c>
      <c r="L167" s="234"/>
      <c r="M167" s="281"/>
      <c r="N167" s="270"/>
      <c r="O167" s="236"/>
    </row>
    <row r="168" spans="1:15" ht="14.25" customHeight="1">
      <c r="A168" s="233"/>
      <c r="B168" s="251" t="s">
        <v>538</v>
      </c>
      <c r="C168" s="252" t="s">
        <v>539</v>
      </c>
      <c r="D168" s="253" t="s">
        <v>476</v>
      </c>
      <c r="E168" s="253" t="s">
        <v>379</v>
      </c>
      <c r="F168" s="253" t="s">
        <v>379</v>
      </c>
      <c r="G168" s="254">
        <v>24.73</v>
      </c>
      <c r="H168" s="255" t="s">
        <v>372</v>
      </c>
      <c r="I168" s="255" t="s">
        <v>595</v>
      </c>
      <c r="J168" s="268">
        <v>2</v>
      </c>
      <c r="K168" s="257">
        <f t="shared" si="15"/>
        <v>49.46</v>
      </c>
      <c r="L168" s="234"/>
      <c r="M168" s="281"/>
      <c r="N168" s="270"/>
      <c r="O168" s="236"/>
    </row>
    <row r="169" spans="1:15" ht="14.25" customHeight="1">
      <c r="A169" s="233"/>
      <c r="B169" s="251" t="s">
        <v>538</v>
      </c>
      <c r="C169" s="252" t="s">
        <v>540</v>
      </c>
      <c r="D169" s="253" t="s">
        <v>378</v>
      </c>
      <c r="E169" s="253" t="s">
        <v>379</v>
      </c>
      <c r="F169" s="253" t="s">
        <v>379</v>
      </c>
      <c r="G169" s="254">
        <v>4.8</v>
      </c>
      <c r="H169" s="255" t="s">
        <v>372</v>
      </c>
      <c r="I169" s="255" t="s">
        <v>595</v>
      </c>
      <c r="J169" s="268">
        <v>2</v>
      </c>
      <c r="K169" s="257">
        <f t="shared" si="15"/>
        <v>9.6</v>
      </c>
      <c r="L169" s="234"/>
      <c r="M169" s="281"/>
      <c r="N169" s="270"/>
      <c r="O169" s="236"/>
    </row>
    <row r="170" spans="1:15" ht="14.25" customHeight="1">
      <c r="A170" s="233"/>
      <c r="B170" s="251" t="s">
        <v>538</v>
      </c>
      <c r="C170" s="252" t="s">
        <v>483</v>
      </c>
      <c r="D170" s="253" t="s">
        <v>476</v>
      </c>
      <c r="E170" s="253" t="s">
        <v>379</v>
      </c>
      <c r="F170" s="253" t="s">
        <v>379</v>
      </c>
      <c r="G170" s="254">
        <v>35.76</v>
      </c>
      <c r="H170" s="255" t="s">
        <v>372</v>
      </c>
      <c r="I170" s="255" t="s">
        <v>595</v>
      </c>
      <c r="J170" s="268">
        <v>2</v>
      </c>
      <c r="K170" s="257">
        <f t="shared" si="15"/>
        <v>71.52</v>
      </c>
      <c r="L170" s="234"/>
      <c r="M170" s="281"/>
      <c r="N170" s="270"/>
      <c r="O170" s="236"/>
    </row>
    <row r="171" spans="1:15" ht="14.25" customHeight="1">
      <c r="A171" s="233"/>
      <c r="B171" s="251" t="s">
        <v>538</v>
      </c>
      <c r="C171" s="252" t="s">
        <v>485</v>
      </c>
      <c r="D171" s="253" t="s">
        <v>378</v>
      </c>
      <c r="E171" s="253" t="s">
        <v>379</v>
      </c>
      <c r="F171" s="253" t="s">
        <v>379</v>
      </c>
      <c r="G171" s="254">
        <v>5.0999999999999996</v>
      </c>
      <c r="H171" s="255" t="s">
        <v>372</v>
      </c>
      <c r="I171" s="255" t="s">
        <v>595</v>
      </c>
      <c r="J171" s="268">
        <v>2</v>
      </c>
      <c r="K171" s="257">
        <f t="shared" si="15"/>
        <v>10.199999999999999</v>
      </c>
      <c r="L171" s="234"/>
      <c r="M171" s="281"/>
      <c r="N171" s="270"/>
      <c r="O171" s="236"/>
    </row>
    <row r="172" spans="1:15" ht="14.25" customHeight="1">
      <c r="A172" s="233"/>
      <c r="B172" s="251" t="s">
        <v>538</v>
      </c>
      <c r="C172" s="252" t="s">
        <v>492</v>
      </c>
      <c r="D172" s="253" t="s">
        <v>378</v>
      </c>
      <c r="E172" s="253" t="s">
        <v>379</v>
      </c>
      <c r="F172" s="253" t="s">
        <v>379</v>
      </c>
      <c r="G172" s="254">
        <v>3.1</v>
      </c>
      <c r="H172" s="255" t="s">
        <v>372</v>
      </c>
      <c r="I172" s="255" t="s">
        <v>213</v>
      </c>
      <c r="J172" s="268">
        <v>2</v>
      </c>
      <c r="K172" s="257">
        <f t="shared" si="15"/>
        <v>6.2</v>
      </c>
      <c r="L172" s="234"/>
      <c r="M172" s="281"/>
      <c r="N172" s="270"/>
      <c r="O172" s="236"/>
    </row>
    <row r="173" spans="1:15" ht="14.25" customHeight="1">
      <c r="A173" s="233"/>
      <c r="B173" s="251" t="s">
        <v>538</v>
      </c>
      <c r="C173" s="252" t="s">
        <v>488</v>
      </c>
      <c r="D173" s="253" t="s">
        <v>476</v>
      </c>
      <c r="E173" s="253" t="s">
        <v>379</v>
      </c>
      <c r="F173" s="253" t="s">
        <v>379</v>
      </c>
      <c r="G173" s="254">
        <v>31.1</v>
      </c>
      <c r="H173" s="255" t="s">
        <v>372</v>
      </c>
      <c r="I173" s="255" t="s">
        <v>595</v>
      </c>
      <c r="J173" s="268">
        <v>2</v>
      </c>
      <c r="K173" s="257">
        <f t="shared" si="15"/>
        <v>62.2</v>
      </c>
      <c r="L173" s="234"/>
      <c r="M173" s="281"/>
      <c r="N173" s="270"/>
      <c r="O173" s="236"/>
    </row>
    <row r="174" spans="1:15" ht="14.25" customHeight="1">
      <c r="A174" s="233"/>
      <c r="B174" s="251" t="s">
        <v>538</v>
      </c>
      <c r="C174" s="252" t="s">
        <v>489</v>
      </c>
      <c r="D174" s="253" t="s">
        <v>378</v>
      </c>
      <c r="E174" s="253" t="s">
        <v>379</v>
      </c>
      <c r="F174" s="253" t="s">
        <v>379</v>
      </c>
      <c r="G174" s="254">
        <v>4.54</v>
      </c>
      <c r="H174" s="255" t="s">
        <v>372</v>
      </c>
      <c r="I174" s="255" t="s">
        <v>595</v>
      </c>
      <c r="J174" s="268">
        <v>2</v>
      </c>
      <c r="K174" s="257">
        <f t="shared" si="15"/>
        <v>9.08</v>
      </c>
      <c r="L174" s="234"/>
      <c r="M174" s="281"/>
      <c r="N174" s="270"/>
      <c r="O174" s="236"/>
    </row>
    <row r="175" spans="1:15" ht="14.25" customHeight="1">
      <c r="A175" s="233"/>
      <c r="B175" s="251" t="s">
        <v>538</v>
      </c>
      <c r="C175" s="252" t="s">
        <v>490</v>
      </c>
      <c r="D175" s="253" t="s">
        <v>476</v>
      </c>
      <c r="E175" s="253" t="s">
        <v>379</v>
      </c>
      <c r="F175" s="253" t="s">
        <v>379</v>
      </c>
      <c r="G175" s="254">
        <v>39.92</v>
      </c>
      <c r="H175" s="255" t="s">
        <v>372</v>
      </c>
      <c r="I175" s="255" t="s">
        <v>595</v>
      </c>
      <c r="J175" s="268">
        <v>2</v>
      </c>
      <c r="K175" s="257">
        <f t="shared" si="15"/>
        <v>79.84</v>
      </c>
      <c r="L175" s="234"/>
      <c r="M175" s="281"/>
      <c r="N175" s="270"/>
      <c r="O175" s="236"/>
    </row>
    <row r="176" spans="1:15" ht="14.25" customHeight="1">
      <c r="A176" s="233"/>
      <c r="B176" s="251" t="s">
        <v>538</v>
      </c>
      <c r="C176" s="252" t="s">
        <v>491</v>
      </c>
      <c r="D176" s="253" t="s">
        <v>378</v>
      </c>
      <c r="E176" s="253" t="s">
        <v>379</v>
      </c>
      <c r="F176" s="253" t="s">
        <v>379</v>
      </c>
      <c r="G176" s="254">
        <v>7.5</v>
      </c>
      <c r="H176" s="255" t="s">
        <v>372</v>
      </c>
      <c r="I176" s="255" t="s">
        <v>595</v>
      </c>
      <c r="J176" s="268">
        <v>2</v>
      </c>
      <c r="K176" s="257">
        <f t="shared" si="15"/>
        <v>15</v>
      </c>
      <c r="L176" s="234"/>
      <c r="M176" s="281"/>
      <c r="N176" s="270"/>
      <c r="O176" s="236"/>
    </row>
    <row r="177" spans="1:15" ht="14.25" customHeight="1">
      <c r="A177" s="233"/>
      <c r="B177" s="251" t="s">
        <v>538</v>
      </c>
      <c r="C177" s="252" t="s">
        <v>494</v>
      </c>
      <c r="D177" s="253" t="s">
        <v>378</v>
      </c>
      <c r="E177" s="253" t="s">
        <v>379</v>
      </c>
      <c r="F177" s="253" t="s">
        <v>379</v>
      </c>
      <c r="G177" s="254">
        <v>3.1</v>
      </c>
      <c r="H177" s="255" t="s">
        <v>372</v>
      </c>
      <c r="I177" s="255" t="s">
        <v>213</v>
      </c>
      <c r="J177" s="268">
        <v>2</v>
      </c>
      <c r="K177" s="257">
        <f t="shared" si="15"/>
        <v>6.2</v>
      </c>
      <c r="L177" s="234"/>
      <c r="M177" s="281"/>
      <c r="N177" s="270"/>
      <c r="O177" s="236"/>
    </row>
    <row r="178" spans="1:15" ht="14.25" customHeight="1">
      <c r="A178" s="233"/>
      <c r="B178" s="251" t="s">
        <v>538</v>
      </c>
      <c r="C178" s="252" t="s">
        <v>601</v>
      </c>
      <c r="D178" s="253" t="s">
        <v>476</v>
      </c>
      <c r="E178" s="253" t="s">
        <v>379</v>
      </c>
      <c r="F178" s="253" t="s">
        <v>379</v>
      </c>
      <c r="G178" s="254">
        <v>36.03</v>
      </c>
      <c r="H178" s="255" t="s">
        <v>372</v>
      </c>
      <c r="I178" s="255" t="s">
        <v>595</v>
      </c>
      <c r="J178" s="268">
        <v>1</v>
      </c>
      <c r="K178" s="257">
        <f t="shared" si="15"/>
        <v>36.03</v>
      </c>
      <c r="L178" s="234"/>
      <c r="M178" s="281"/>
      <c r="N178" s="270"/>
      <c r="O178" s="236"/>
    </row>
    <row r="179" spans="1:15" ht="14.25" customHeight="1">
      <c r="A179" s="233"/>
      <c r="B179" s="251" t="s">
        <v>538</v>
      </c>
      <c r="C179" s="252" t="s">
        <v>602</v>
      </c>
      <c r="D179" s="253" t="s">
        <v>378</v>
      </c>
      <c r="E179" s="253" t="s">
        <v>379</v>
      </c>
      <c r="F179" s="253" t="s">
        <v>379</v>
      </c>
      <c r="G179" s="254">
        <v>9.8800000000000008</v>
      </c>
      <c r="H179" s="255" t="s">
        <v>372</v>
      </c>
      <c r="I179" s="255" t="s">
        <v>595</v>
      </c>
      <c r="J179" s="268">
        <v>1</v>
      </c>
      <c r="K179" s="257">
        <f t="shared" si="15"/>
        <v>9.8800000000000008</v>
      </c>
      <c r="L179" s="234"/>
      <c r="M179" s="281"/>
      <c r="N179" s="270"/>
      <c r="O179" s="236"/>
    </row>
    <row r="180" spans="1:15" ht="14.25" customHeight="1">
      <c r="A180" s="233"/>
      <c r="B180" s="251" t="s">
        <v>538</v>
      </c>
      <c r="C180" s="252" t="s">
        <v>603</v>
      </c>
      <c r="D180" s="253" t="s">
        <v>476</v>
      </c>
      <c r="E180" s="253" t="s">
        <v>379</v>
      </c>
      <c r="F180" s="253" t="s">
        <v>379</v>
      </c>
      <c r="G180" s="254">
        <v>36.03</v>
      </c>
      <c r="H180" s="255" t="s">
        <v>372</v>
      </c>
      <c r="I180" s="255" t="s">
        <v>592</v>
      </c>
      <c r="J180" s="268">
        <v>1</v>
      </c>
      <c r="K180" s="257">
        <f t="shared" ref="K180:K181" si="18">G180*J180</f>
        <v>36.03</v>
      </c>
      <c r="L180" s="234"/>
      <c r="M180" s="281"/>
      <c r="N180" s="270"/>
      <c r="O180" s="236"/>
    </row>
    <row r="181" spans="1:15" ht="14.25" customHeight="1">
      <c r="A181" s="233"/>
      <c r="B181" s="251" t="s">
        <v>538</v>
      </c>
      <c r="C181" s="252" t="s">
        <v>604</v>
      </c>
      <c r="D181" s="253" t="s">
        <v>378</v>
      </c>
      <c r="E181" s="253" t="s">
        <v>379</v>
      </c>
      <c r="F181" s="253" t="s">
        <v>379</v>
      </c>
      <c r="G181" s="254">
        <v>9.8800000000000008</v>
      </c>
      <c r="H181" s="255" t="s">
        <v>372</v>
      </c>
      <c r="I181" s="255" t="s">
        <v>592</v>
      </c>
      <c r="J181" s="268">
        <v>1</v>
      </c>
      <c r="K181" s="257">
        <f t="shared" si="18"/>
        <v>9.8800000000000008</v>
      </c>
      <c r="L181" s="234"/>
      <c r="M181" s="281"/>
      <c r="N181" s="270"/>
      <c r="O181" s="236"/>
    </row>
    <row r="182" spans="1:15" ht="14.25" customHeight="1">
      <c r="A182" s="233"/>
      <c r="B182" s="251" t="s">
        <v>538</v>
      </c>
      <c r="C182" s="252" t="s">
        <v>541</v>
      </c>
      <c r="D182" s="253" t="s">
        <v>328</v>
      </c>
      <c r="E182" s="253" t="s">
        <v>379</v>
      </c>
      <c r="F182" s="253" t="s">
        <v>379</v>
      </c>
      <c r="G182" s="254">
        <v>9.56</v>
      </c>
      <c r="H182" s="255" t="s">
        <v>372</v>
      </c>
      <c r="I182" s="255" t="s">
        <v>213</v>
      </c>
      <c r="J182" s="268">
        <v>1</v>
      </c>
      <c r="K182" s="257">
        <f t="shared" si="15"/>
        <v>9.56</v>
      </c>
      <c r="L182" s="234"/>
      <c r="M182" s="281"/>
      <c r="N182" s="270"/>
      <c r="O182" s="236"/>
    </row>
    <row r="183" spans="1:15" ht="14.25" customHeight="1">
      <c r="A183" s="233"/>
      <c r="B183" s="251" t="s">
        <v>538</v>
      </c>
      <c r="C183" s="252" t="s">
        <v>542</v>
      </c>
      <c r="D183" s="253" t="s">
        <v>328</v>
      </c>
      <c r="E183" s="253" t="s">
        <v>379</v>
      </c>
      <c r="F183" s="253" t="s">
        <v>379</v>
      </c>
      <c r="G183" s="254">
        <v>9.56</v>
      </c>
      <c r="H183" s="255" t="s">
        <v>372</v>
      </c>
      <c r="I183" s="255" t="s">
        <v>213</v>
      </c>
      <c r="J183" s="268">
        <v>1</v>
      </c>
      <c r="K183" s="257">
        <f t="shared" si="15"/>
        <v>9.56</v>
      </c>
      <c r="L183" s="234"/>
      <c r="M183" s="281"/>
      <c r="N183" s="270"/>
      <c r="O183" s="236"/>
    </row>
    <row r="184" spans="1:15" ht="14.25" customHeight="1">
      <c r="A184" s="233"/>
      <c r="B184" s="251" t="s">
        <v>538</v>
      </c>
      <c r="C184" s="252" t="s">
        <v>784</v>
      </c>
      <c r="D184" s="285" t="s">
        <v>523</v>
      </c>
      <c r="E184" s="253" t="s">
        <v>197</v>
      </c>
      <c r="F184" s="253" t="s">
        <v>213</v>
      </c>
      <c r="G184" s="254">
        <f>7.94+25*1.2*0.27</f>
        <v>16.040000000000003</v>
      </c>
      <c r="H184" s="255" t="s">
        <v>372</v>
      </c>
      <c r="I184" s="255" t="s">
        <v>213</v>
      </c>
      <c r="J184" s="256">
        <v>1</v>
      </c>
      <c r="K184" s="257">
        <f t="shared" si="15"/>
        <v>16.040000000000003</v>
      </c>
      <c r="L184" s="234"/>
      <c r="M184" s="281"/>
      <c r="N184" s="270"/>
      <c r="O184" s="236"/>
    </row>
    <row r="185" spans="1:15" ht="14.25" customHeight="1">
      <c r="A185" s="233"/>
      <c r="B185" s="251" t="s">
        <v>538</v>
      </c>
      <c r="C185" s="252" t="s">
        <v>785</v>
      </c>
      <c r="D185" s="253" t="s">
        <v>525</v>
      </c>
      <c r="E185" s="253" t="s">
        <v>197</v>
      </c>
      <c r="F185" s="253" t="s">
        <v>213</v>
      </c>
      <c r="G185" s="254">
        <f>25*1.2*0.18</f>
        <v>5.3999999999999995</v>
      </c>
      <c r="H185" s="255" t="s">
        <v>372</v>
      </c>
      <c r="I185" s="255" t="s">
        <v>213</v>
      </c>
      <c r="J185" s="256">
        <v>1</v>
      </c>
      <c r="K185" s="257">
        <f t="shared" ref="K185:K187" si="19">G185*J185</f>
        <v>5.3999999999999995</v>
      </c>
      <c r="L185" s="234"/>
      <c r="M185" s="281"/>
      <c r="N185" s="270"/>
      <c r="O185" s="236"/>
    </row>
    <row r="186" spans="1:15" ht="14.25" customHeight="1">
      <c r="A186" s="233"/>
      <c r="B186" s="251" t="s">
        <v>538</v>
      </c>
      <c r="C186" s="252" t="s">
        <v>453</v>
      </c>
      <c r="D186" s="253" t="s">
        <v>378</v>
      </c>
      <c r="E186" s="253" t="s">
        <v>197</v>
      </c>
      <c r="F186" s="253" t="s">
        <v>213</v>
      </c>
      <c r="G186" s="254">
        <v>5.76</v>
      </c>
      <c r="H186" s="255" t="s">
        <v>372</v>
      </c>
      <c r="I186" s="255" t="s">
        <v>213</v>
      </c>
      <c r="J186" s="256">
        <v>1</v>
      </c>
      <c r="K186" s="257">
        <f t="shared" si="19"/>
        <v>5.76</v>
      </c>
      <c r="L186" s="234"/>
      <c r="M186" s="281"/>
      <c r="N186" s="270"/>
      <c r="O186" s="236"/>
    </row>
    <row r="187" spans="1:15" ht="14.25" customHeight="1">
      <c r="A187" s="233"/>
      <c r="B187" s="251" t="s">
        <v>198</v>
      </c>
      <c r="C187" s="252" t="s">
        <v>544</v>
      </c>
      <c r="D187" s="253" t="s">
        <v>399</v>
      </c>
      <c r="E187" s="253" t="s">
        <v>197</v>
      </c>
      <c r="F187" s="253" t="s">
        <v>213</v>
      </c>
      <c r="G187" s="254">
        <v>84.47</v>
      </c>
      <c r="H187" s="255" t="s">
        <v>372</v>
      </c>
      <c r="I187" s="255" t="s">
        <v>213</v>
      </c>
      <c r="J187" s="256">
        <v>1</v>
      </c>
      <c r="K187" s="257">
        <f t="shared" si="19"/>
        <v>84.47</v>
      </c>
      <c r="L187" s="234"/>
      <c r="M187" s="281"/>
      <c r="N187" s="270"/>
      <c r="O187" s="236"/>
    </row>
    <row r="188" spans="1:15" ht="14.25" customHeight="1">
      <c r="A188" s="233"/>
      <c r="B188" s="251" t="s">
        <v>198</v>
      </c>
      <c r="C188" s="252" t="s">
        <v>543</v>
      </c>
      <c r="D188" s="253" t="s">
        <v>213</v>
      </c>
      <c r="E188" s="253" t="s">
        <v>213</v>
      </c>
      <c r="F188" s="253" t="s">
        <v>213</v>
      </c>
      <c r="G188" s="254">
        <f>(20.16+99.7)*2+84.26</f>
        <v>323.98</v>
      </c>
      <c r="H188" s="255" t="s">
        <v>372</v>
      </c>
      <c r="I188" s="255" t="s">
        <v>213</v>
      </c>
      <c r="J188" s="256">
        <v>1</v>
      </c>
      <c r="K188" s="257">
        <f t="shared" si="15"/>
        <v>323.98</v>
      </c>
      <c r="L188" s="234"/>
      <c r="M188" s="281"/>
      <c r="N188" s="270"/>
      <c r="O188" s="236"/>
    </row>
    <row r="189" spans="1:15" ht="14.25" customHeight="1">
      <c r="A189" s="233"/>
      <c r="B189" s="251"/>
      <c r="C189" s="252"/>
      <c r="D189" s="253"/>
      <c r="E189" s="253"/>
      <c r="F189" s="253"/>
      <c r="G189" s="254"/>
      <c r="H189" s="255"/>
      <c r="I189" s="255"/>
      <c r="J189" s="268"/>
      <c r="K189" s="257">
        <f t="shared" si="15"/>
        <v>0</v>
      </c>
      <c r="L189" s="234"/>
      <c r="M189" s="281"/>
      <c r="N189" s="270"/>
      <c r="O189" s="236"/>
    </row>
    <row r="190" spans="1:15" ht="14.25" customHeight="1">
      <c r="A190" s="233"/>
      <c r="B190" s="251"/>
      <c r="C190" s="252"/>
      <c r="D190" s="253"/>
      <c r="E190" s="253"/>
      <c r="F190" s="253"/>
      <c r="G190" s="254"/>
      <c r="H190" s="255"/>
      <c r="I190" s="255"/>
      <c r="J190" s="268"/>
      <c r="K190" s="257">
        <f t="shared" si="15"/>
        <v>0</v>
      </c>
      <c r="L190" s="234"/>
      <c r="M190" s="281"/>
      <c r="N190" s="270"/>
      <c r="O190" s="236"/>
    </row>
    <row r="191" spans="1:15" ht="14.25" customHeight="1">
      <c r="A191" s="233"/>
      <c r="B191" s="251"/>
      <c r="C191" s="252"/>
      <c r="D191" s="253"/>
      <c r="E191" s="253"/>
      <c r="F191" s="253"/>
      <c r="G191" s="254"/>
      <c r="H191" s="255"/>
      <c r="I191" s="255"/>
      <c r="J191" s="268"/>
      <c r="K191" s="257">
        <f t="shared" si="15"/>
        <v>0</v>
      </c>
      <c r="L191" s="234"/>
      <c r="M191" s="281"/>
      <c r="N191" s="270"/>
      <c r="O191" s="236"/>
    </row>
    <row r="192" spans="1:15" ht="14.25" customHeight="1">
      <c r="A192" s="233"/>
      <c r="B192" s="251"/>
      <c r="C192" s="252"/>
      <c r="D192" s="253"/>
      <c r="E192" s="253"/>
      <c r="F192" s="253"/>
      <c r="G192" s="254"/>
      <c r="H192" s="255"/>
      <c r="I192" s="255"/>
      <c r="J192" s="268"/>
      <c r="K192" s="257">
        <f t="shared" si="15"/>
        <v>0</v>
      </c>
      <c r="L192" s="234"/>
      <c r="M192" s="281"/>
      <c r="N192" s="270"/>
      <c r="O192" s="236"/>
    </row>
    <row r="193" spans="1:15" ht="14.25" customHeight="1">
      <c r="A193" s="233"/>
      <c r="B193" s="251"/>
      <c r="C193" s="252"/>
      <c r="D193" s="253"/>
      <c r="E193" s="253"/>
      <c r="F193" s="253"/>
      <c r="G193" s="254"/>
      <c r="H193" s="255"/>
      <c r="I193" s="255"/>
      <c r="J193" s="268"/>
      <c r="K193" s="257">
        <f t="shared" si="15"/>
        <v>0</v>
      </c>
      <c r="L193" s="234"/>
      <c r="M193" s="281"/>
      <c r="N193" s="270"/>
      <c r="O193" s="236"/>
    </row>
    <row r="194" spans="1:15" ht="14.25" customHeight="1">
      <c r="A194" s="233"/>
      <c r="B194" s="251"/>
      <c r="C194" s="252"/>
      <c r="D194" s="253"/>
      <c r="E194" s="253"/>
      <c r="F194" s="253"/>
      <c r="G194" s="254"/>
      <c r="H194" s="255"/>
      <c r="I194" s="255"/>
      <c r="J194" s="268"/>
      <c r="K194" s="267"/>
      <c r="L194" s="234"/>
      <c r="M194" s="281"/>
      <c r="N194" s="270"/>
      <c r="O194" s="236"/>
    </row>
    <row r="195" spans="1:15" ht="14.25" customHeight="1">
      <c r="A195" s="233"/>
      <c r="B195" s="251"/>
      <c r="C195" s="252"/>
      <c r="D195" s="253"/>
      <c r="E195" s="253"/>
      <c r="F195" s="253"/>
      <c r="G195" s="254"/>
      <c r="H195" s="255"/>
      <c r="I195" s="255"/>
      <c r="J195" s="268"/>
      <c r="K195" s="267"/>
      <c r="L195" s="234"/>
      <c r="M195" s="281"/>
      <c r="N195" s="270"/>
      <c r="O195" s="236"/>
    </row>
    <row r="196" spans="1:15" ht="14.25" customHeight="1">
      <c r="A196" s="233"/>
      <c r="B196" s="251"/>
      <c r="C196" s="252"/>
      <c r="D196" s="253"/>
      <c r="E196" s="253"/>
      <c r="F196" s="253"/>
      <c r="G196" s="254"/>
      <c r="H196" s="255"/>
      <c r="I196" s="255"/>
      <c r="J196" s="268"/>
      <c r="K196" s="267"/>
      <c r="L196" s="234"/>
      <c r="M196" s="281"/>
      <c r="N196" s="270"/>
      <c r="O196" s="236"/>
    </row>
    <row r="197" spans="1:15" ht="14.25" customHeight="1">
      <c r="A197" s="233"/>
      <c r="B197" s="251"/>
      <c r="C197" s="252"/>
      <c r="D197" s="253"/>
      <c r="E197" s="253"/>
      <c r="F197" s="253"/>
      <c r="G197" s="254"/>
      <c r="H197" s="255"/>
      <c r="I197" s="255"/>
      <c r="J197" s="268"/>
      <c r="K197" s="267"/>
      <c r="L197" s="234"/>
      <c r="M197" s="281"/>
      <c r="N197" s="270"/>
      <c r="O197" s="236"/>
    </row>
    <row r="198" spans="1:15" ht="14.25" customHeight="1">
      <c r="A198" s="233"/>
      <c r="B198" s="251"/>
      <c r="C198" s="252"/>
      <c r="D198" s="253"/>
      <c r="E198" s="253"/>
      <c r="F198" s="253"/>
      <c r="G198" s="254"/>
      <c r="H198" s="255"/>
      <c r="I198" s="255"/>
      <c r="J198" s="268"/>
      <c r="K198" s="267"/>
      <c r="L198" s="234"/>
      <c r="M198" s="281"/>
      <c r="N198" s="270"/>
      <c r="O198" s="236"/>
    </row>
    <row r="199" spans="1:15" ht="14.25" customHeight="1">
      <c r="A199" s="233"/>
      <c r="B199" s="251"/>
      <c r="C199" s="252"/>
      <c r="D199" s="253"/>
      <c r="E199" s="253"/>
      <c r="F199" s="253"/>
      <c r="G199" s="254"/>
      <c r="H199" s="255"/>
      <c r="I199" s="255"/>
      <c r="J199" s="268"/>
      <c r="K199" s="267"/>
      <c r="L199" s="234"/>
      <c r="M199" s="281"/>
      <c r="N199" s="270"/>
      <c r="O199" s="236"/>
    </row>
    <row r="200" spans="1:15" ht="14.25" customHeight="1">
      <c r="A200" s="233"/>
      <c r="B200" s="251"/>
      <c r="C200" s="252"/>
      <c r="D200" s="253"/>
      <c r="E200" s="253"/>
      <c r="F200" s="253"/>
      <c r="G200" s="254"/>
      <c r="H200" s="255"/>
      <c r="I200" s="255"/>
      <c r="J200" s="268"/>
      <c r="K200" s="267"/>
      <c r="L200" s="234"/>
      <c r="N200" s="270"/>
      <c r="O200" s="236"/>
    </row>
    <row r="201" spans="1:15" ht="14.25" customHeight="1" thickBot="1">
      <c r="A201" s="234"/>
      <c r="B201" s="271"/>
      <c r="C201" s="272"/>
      <c r="D201" s="273"/>
      <c r="E201" s="273"/>
      <c r="F201" s="273"/>
      <c r="G201" s="274"/>
      <c r="H201" s="275"/>
      <c r="I201" s="275"/>
      <c r="J201" s="276"/>
      <c r="K201" s="269"/>
      <c r="L201" s="234"/>
      <c r="N201" s="270"/>
      <c r="O201" s="234"/>
    </row>
    <row r="202" spans="1:15" ht="14.25" customHeight="1">
      <c r="A202" s="234"/>
      <c r="G202" s="270"/>
      <c r="J202" s="270"/>
      <c r="K202" s="270"/>
      <c r="L202" s="234"/>
      <c r="N202" s="270"/>
      <c r="O202" s="234"/>
    </row>
    <row r="203" spans="1:15" ht="14.25" customHeight="1">
      <c r="A203" s="234"/>
      <c r="G203" s="270"/>
      <c r="J203" s="270"/>
      <c r="K203" s="270"/>
      <c r="L203" s="234"/>
      <c r="N203" s="270"/>
      <c r="O203" s="234"/>
    </row>
    <row r="204" spans="1:15" ht="14.25" customHeight="1">
      <c r="A204" s="234"/>
      <c r="G204" s="270"/>
      <c r="J204" s="270"/>
      <c r="K204" s="270"/>
      <c r="L204" s="234"/>
      <c r="N204" s="270"/>
      <c r="O204" s="234"/>
    </row>
    <row r="205" spans="1:15" ht="14.25" customHeight="1">
      <c r="A205" s="234"/>
      <c r="G205" s="270"/>
      <c r="J205" s="270"/>
      <c r="K205" s="270"/>
      <c r="L205" s="234"/>
      <c r="N205" s="270"/>
      <c r="O205" s="234"/>
    </row>
    <row r="206" spans="1:15" ht="14.25" customHeight="1">
      <c r="A206" s="234"/>
      <c r="G206" s="270"/>
      <c r="J206" s="270"/>
      <c r="K206" s="270"/>
      <c r="L206" s="234"/>
      <c r="N206" s="270"/>
      <c r="O206" s="234"/>
    </row>
    <row r="207" spans="1:15" ht="14.25" customHeight="1">
      <c r="A207" s="234"/>
      <c r="G207" s="270"/>
      <c r="J207" s="270"/>
      <c r="K207" s="270"/>
      <c r="L207" s="234"/>
      <c r="N207" s="270"/>
      <c r="O207" s="234"/>
    </row>
    <row r="208" spans="1:15" ht="14.25" customHeight="1">
      <c r="A208" s="234"/>
      <c r="G208" s="270"/>
      <c r="J208" s="270"/>
      <c r="K208" s="270"/>
      <c r="L208" s="234"/>
      <c r="N208" s="270"/>
      <c r="O208" s="234"/>
    </row>
    <row r="209" spans="1:15" ht="14.25" customHeight="1">
      <c r="A209" s="234"/>
      <c r="G209" s="270"/>
      <c r="J209" s="270"/>
      <c r="K209" s="270"/>
      <c r="L209" s="234"/>
      <c r="N209" s="270"/>
      <c r="O209" s="234"/>
    </row>
    <row r="210" spans="1:15" ht="14.25" customHeight="1">
      <c r="A210" s="234"/>
      <c r="G210" s="270"/>
      <c r="J210" s="270"/>
      <c r="K210" s="270"/>
      <c r="L210" s="234"/>
      <c r="N210" s="270"/>
      <c r="O210" s="234"/>
    </row>
    <row r="211" spans="1:15" ht="14.25" customHeight="1">
      <c r="A211" s="234"/>
      <c r="G211" s="270"/>
      <c r="J211" s="270"/>
      <c r="K211" s="270"/>
      <c r="L211" s="234"/>
      <c r="N211" s="270"/>
      <c r="O211" s="234"/>
    </row>
    <row r="212" spans="1:15" ht="14.25" customHeight="1">
      <c r="A212" s="234"/>
      <c r="G212" s="270"/>
      <c r="J212" s="270"/>
      <c r="K212" s="270"/>
      <c r="L212" s="234"/>
      <c r="N212" s="270"/>
      <c r="O212" s="234"/>
    </row>
    <row r="213" spans="1:15" ht="14.25" customHeight="1">
      <c r="A213" s="234"/>
      <c r="G213" s="270"/>
      <c r="J213" s="270"/>
      <c r="K213" s="270"/>
      <c r="L213" s="234"/>
      <c r="N213" s="270"/>
      <c r="O213" s="234"/>
    </row>
    <row r="214" spans="1:15" ht="14.25" customHeight="1">
      <c r="A214" s="234"/>
      <c r="G214" s="270"/>
      <c r="J214" s="270"/>
      <c r="K214" s="270"/>
      <c r="L214" s="234"/>
      <c r="N214" s="270"/>
      <c r="O214" s="234"/>
    </row>
    <row r="215" spans="1:15" ht="14.25" customHeight="1">
      <c r="A215" s="234"/>
      <c r="G215" s="270"/>
      <c r="J215" s="270"/>
      <c r="K215" s="270"/>
      <c r="L215" s="234"/>
      <c r="N215" s="270"/>
      <c r="O215" s="234"/>
    </row>
    <row r="216" spans="1:15" ht="14.25" customHeight="1">
      <c r="A216" s="234"/>
      <c r="G216" s="270"/>
      <c r="J216" s="270"/>
      <c r="K216" s="270"/>
      <c r="L216" s="234"/>
      <c r="N216" s="270"/>
      <c r="O216" s="234"/>
    </row>
    <row r="217" spans="1:15" ht="14.25" customHeight="1">
      <c r="A217" s="234"/>
      <c r="G217" s="270"/>
      <c r="J217" s="270"/>
      <c r="K217" s="270"/>
      <c r="L217" s="234"/>
      <c r="N217" s="270"/>
      <c r="O217" s="234"/>
    </row>
    <row r="218" spans="1:15" ht="14.25" customHeight="1">
      <c r="A218" s="234"/>
      <c r="G218" s="270"/>
      <c r="J218" s="270"/>
      <c r="K218" s="270"/>
      <c r="L218" s="234"/>
      <c r="N218" s="270"/>
      <c r="O218" s="234"/>
    </row>
    <row r="219" spans="1:15" ht="14.25" customHeight="1">
      <c r="A219" s="234"/>
      <c r="G219" s="270"/>
      <c r="J219" s="270"/>
      <c r="K219" s="270"/>
      <c r="L219" s="234"/>
      <c r="N219" s="270"/>
      <c r="O219" s="234"/>
    </row>
    <row r="220" spans="1:15" ht="14.25" customHeight="1">
      <c r="A220" s="234"/>
      <c r="G220" s="270"/>
      <c r="J220" s="270"/>
      <c r="K220" s="270"/>
      <c r="L220" s="234"/>
      <c r="N220" s="270"/>
      <c r="O220" s="234"/>
    </row>
    <row r="221" spans="1:15" ht="14.25" customHeight="1">
      <c r="A221" s="234"/>
      <c r="G221" s="270"/>
      <c r="J221" s="270"/>
      <c r="K221" s="270"/>
      <c r="L221" s="234"/>
      <c r="N221" s="270"/>
      <c r="O221" s="234"/>
    </row>
    <row r="222" spans="1:15" ht="14.25" customHeight="1">
      <c r="A222" s="234"/>
      <c r="G222" s="270"/>
      <c r="J222" s="270"/>
      <c r="K222" s="270"/>
      <c r="L222" s="234"/>
      <c r="N222" s="270"/>
      <c r="O222" s="234"/>
    </row>
    <row r="223" spans="1:15" ht="14.25" customHeight="1">
      <c r="A223" s="234"/>
      <c r="G223" s="270"/>
      <c r="J223" s="270"/>
      <c r="K223" s="270"/>
      <c r="L223" s="234"/>
      <c r="N223" s="270"/>
      <c r="O223" s="234"/>
    </row>
    <row r="224" spans="1:15" ht="14.25" customHeight="1">
      <c r="A224" s="234"/>
      <c r="G224" s="270"/>
      <c r="J224" s="270"/>
      <c r="K224" s="270"/>
      <c r="L224" s="234"/>
      <c r="N224" s="270"/>
      <c r="O224" s="234"/>
    </row>
    <row r="225" spans="1:15" ht="14.25" customHeight="1">
      <c r="A225" s="234"/>
      <c r="G225" s="270"/>
      <c r="J225" s="270"/>
      <c r="K225" s="270"/>
      <c r="L225" s="234"/>
      <c r="N225" s="270"/>
      <c r="O225" s="234"/>
    </row>
    <row r="226" spans="1:15" ht="14.25" customHeight="1">
      <c r="A226" s="234"/>
      <c r="G226" s="270"/>
      <c r="J226" s="270"/>
      <c r="K226" s="270"/>
      <c r="L226" s="234"/>
      <c r="N226" s="270"/>
      <c r="O226" s="234"/>
    </row>
    <row r="227" spans="1:15" ht="14.25" customHeight="1">
      <c r="A227" s="234"/>
      <c r="G227" s="270"/>
      <c r="J227" s="270"/>
      <c r="K227" s="270"/>
      <c r="L227" s="234"/>
      <c r="N227" s="270"/>
      <c r="O227" s="234"/>
    </row>
    <row r="228" spans="1:15" ht="14.25" customHeight="1">
      <c r="A228" s="234"/>
      <c r="G228" s="270"/>
      <c r="J228" s="270"/>
      <c r="K228" s="270"/>
      <c r="L228" s="234"/>
      <c r="N228" s="270"/>
      <c r="O228" s="234"/>
    </row>
    <row r="229" spans="1:15" ht="14.25" customHeight="1">
      <c r="A229" s="234"/>
      <c r="G229" s="270"/>
      <c r="J229" s="270"/>
      <c r="K229" s="270"/>
      <c r="L229" s="234"/>
      <c r="N229" s="270"/>
      <c r="O229" s="234"/>
    </row>
    <row r="230" spans="1:15" ht="14.25" customHeight="1">
      <c r="A230" s="234"/>
      <c r="G230" s="270"/>
      <c r="J230" s="270"/>
      <c r="K230" s="270"/>
      <c r="L230" s="234"/>
      <c r="N230" s="270"/>
      <c r="O230" s="234"/>
    </row>
    <row r="231" spans="1:15" ht="14.25" customHeight="1">
      <c r="A231" s="234"/>
      <c r="G231" s="270"/>
      <c r="J231" s="270"/>
      <c r="K231" s="270"/>
      <c r="L231" s="234"/>
      <c r="N231" s="270"/>
      <c r="O231" s="234"/>
    </row>
    <row r="232" spans="1:15" ht="14.25" customHeight="1">
      <c r="A232" s="234"/>
      <c r="G232" s="270"/>
      <c r="J232" s="270"/>
      <c r="K232" s="270"/>
      <c r="L232" s="234"/>
      <c r="N232" s="270"/>
      <c r="O232" s="234"/>
    </row>
    <row r="233" spans="1:15" ht="14.25" customHeight="1">
      <c r="A233" s="234"/>
      <c r="G233" s="270"/>
      <c r="J233" s="270"/>
      <c r="K233" s="270"/>
      <c r="L233" s="234"/>
      <c r="N233" s="270"/>
      <c r="O233" s="234"/>
    </row>
    <row r="234" spans="1:15" ht="14.25" customHeight="1">
      <c r="A234" s="234"/>
      <c r="G234" s="270"/>
      <c r="J234" s="270"/>
      <c r="K234" s="270"/>
      <c r="L234" s="234"/>
      <c r="N234" s="270"/>
      <c r="O234" s="234"/>
    </row>
    <row r="235" spans="1:15" ht="14.25" customHeight="1">
      <c r="A235" s="234"/>
      <c r="G235" s="270"/>
      <c r="J235" s="270"/>
      <c r="K235" s="270"/>
      <c r="L235" s="234"/>
      <c r="N235" s="270"/>
      <c r="O235" s="234"/>
    </row>
    <row r="236" spans="1:15" ht="14.25" customHeight="1">
      <c r="A236" s="234"/>
      <c r="G236" s="270"/>
      <c r="J236" s="270"/>
      <c r="K236" s="270"/>
      <c r="L236" s="234"/>
      <c r="N236" s="270"/>
      <c r="O236" s="234"/>
    </row>
    <row r="237" spans="1:15" ht="14.25" customHeight="1">
      <c r="A237" s="234"/>
      <c r="G237" s="270"/>
      <c r="J237" s="270"/>
      <c r="K237" s="270"/>
      <c r="L237" s="234"/>
      <c r="N237" s="270"/>
      <c r="O237" s="234"/>
    </row>
    <row r="238" spans="1:15" ht="14.25" customHeight="1">
      <c r="A238" s="234"/>
      <c r="G238" s="270"/>
      <c r="J238" s="270"/>
      <c r="K238" s="270"/>
      <c r="L238" s="234"/>
      <c r="N238" s="270"/>
      <c r="O238" s="234"/>
    </row>
    <row r="239" spans="1:15" ht="14.25" customHeight="1">
      <c r="A239" s="234"/>
      <c r="G239" s="270"/>
      <c r="J239" s="270"/>
      <c r="K239" s="270"/>
      <c r="L239" s="234"/>
      <c r="N239" s="270"/>
      <c r="O239" s="234"/>
    </row>
    <row r="240" spans="1:15" ht="14.25" customHeight="1">
      <c r="A240" s="234"/>
      <c r="G240" s="270"/>
      <c r="J240" s="270"/>
      <c r="K240" s="270"/>
      <c r="L240" s="234"/>
      <c r="N240" s="270"/>
      <c r="O240" s="234"/>
    </row>
    <row r="241" spans="1:15" ht="14.25" customHeight="1">
      <c r="A241" s="234"/>
      <c r="G241" s="270"/>
      <c r="J241" s="270"/>
      <c r="K241" s="270"/>
      <c r="L241" s="234"/>
      <c r="N241" s="270"/>
      <c r="O241" s="234"/>
    </row>
    <row r="242" spans="1:15" ht="14.25" customHeight="1">
      <c r="A242" s="234"/>
      <c r="G242" s="270"/>
      <c r="J242" s="270"/>
      <c r="K242" s="270"/>
      <c r="L242" s="234"/>
      <c r="N242" s="270"/>
      <c r="O242" s="234"/>
    </row>
    <row r="243" spans="1:15" ht="14.25" customHeight="1">
      <c r="A243" s="234"/>
      <c r="G243" s="270"/>
      <c r="J243" s="270"/>
      <c r="K243" s="270"/>
      <c r="L243" s="234"/>
      <c r="N243" s="270"/>
      <c r="O243" s="234"/>
    </row>
    <row r="244" spans="1:15" ht="14.25" customHeight="1">
      <c r="A244" s="234"/>
      <c r="G244" s="270"/>
      <c r="J244" s="270"/>
      <c r="K244" s="270"/>
      <c r="L244" s="234"/>
      <c r="N244" s="270"/>
      <c r="O244" s="234"/>
    </row>
    <row r="245" spans="1:15" ht="14.25" customHeight="1">
      <c r="A245" s="234"/>
      <c r="G245" s="270"/>
      <c r="J245" s="270"/>
      <c r="K245" s="270"/>
      <c r="L245" s="234"/>
      <c r="N245" s="270"/>
      <c r="O245" s="234"/>
    </row>
    <row r="246" spans="1:15" ht="14.25" customHeight="1">
      <c r="A246" s="234"/>
      <c r="G246" s="270"/>
      <c r="J246" s="270"/>
      <c r="K246" s="270"/>
      <c r="L246" s="234"/>
      <c r="N246" s="270"/>
      <c r="O246" s="234"/>
    </row>
    <row r="247" spans="1:15" ht="14.25" customHeight="1">
      <c r="A247" s="234"/>
      <c r="G247" s="270"/>
      <c r="J247" s="270"/>
      <c r="K247" s="270"/>
      <c r="L247" s="234"/>
      <c r="N247" s="270"/>
      <c r="O247" s="234"/>
    </row>
    <row r="248" spans="1:15" ht="14.25" customHeight="1">
      <c r="A248" s="234"/>
      <c r="G248" s="270"/>
      <c r="J248" s="270"/>
      <c r="K248" s="270"/>
      <c r="L248" s="234"/>
      <c r="N248" s="270"/>
      <c r="O248" s="234"/>
    </row>
    <row r="249" spans="1:15" ht="14.25" customHeight="1">
      <c r="A249" s="234"/>
      <c r="G249" s="270"/>
      <c r="J249" s="270"/>
      <c r="K249" s="270"/>
      <c r="L249" s="234"/>
      <c r="N249" s="270"/>
      <c r="O249" s="234"/>
    </row>
    <row r="250" spans="1:15" ht="14.25" customHeight="1">
      <c r="A250" s="234"/>
      <c r="G250" s="270"/>
      <c r="J250" s="270"/>
      <c r="K250" s="270"/>
      <c r="L250" s="234"/>
      <c r="N250" s="270"/>
      <c r="O250" s="234"/>
    </row>
    <row r="251" spans="1:15" ht="14.25" customHeight="1">
      <c r="A251" s="234"/>
      <c r="G251" s="270"/>
      <c r="J251" s="270"/>
      <c r="K251" s="270"/>
      <c r="L251" s="234"/>
      <c r="N251" s="270"/>
      <c r="O251" s="234"/>
    </row>
    <row r="252" spans="1:15" ht="14.25" customHeight="1">
      <c r="A252" s="234"/>
      <c r="G252" s="270"/>
      <c r="J252" s="270"/>
      <c r="K252" s="270"/>
      <c r="L252" s="234"/>
      <c r="N252" s="270"/>
      <c r="O252" s="234"/>
    </row>
    <row r="253" spans="1:15" ht="14.25" customHeight="1">
      <c r="A253" s="234"/>
      <c r="G253" s="270"/>
      <c r="J253" s="270"/>
      <c r="K253" s="270"/>
      <c r="L253" s="234"/>
      <c r="N253" s="270"/>
      <c r="O253" s="234"/>
    </row>
    <row r="254" spans="1:15" ht="14.25" customHeight="1">
      <c r="A254" s="234"/>
      <c r="G254" s="270"/>
      <c r="J254" s="270"/>
      <c r="K254" s="270"/>
      <c r="L254" s="234"/>
      <c r="N254" s="270"/>
      <c r="O254" s="234"/>
    </row>
    <row r="255" spans="1:15" ht="14.25" customHeight="1">
      <c r="A255" s="234"/>
      <c r="G255" s="270"/>
      <c r="J255" s="270"/>
      <c r="K255" s="270"/>
      <c r="L255" s="234"/>
      <c r="N255" s="270"/>
      <c r="O255" s="234"/>
    </row>
    <row r="256" spans="1:15" ht="14.25" customHeight="1">
      <c r="A256" s="234"/>
      <c r="G256" s="270"/>
      <c r="J256" s="270"/>
      <c r="K256" s="270"/>
      <c r="L256" s="234"/>
      <c r="N256" s="270"/>
      <c r="O256" s="234"/>
    </row>
    <row r="257" spans="1:15" ht="14.25" customHeight="1">
      <c r="A257" s="234"/>
      <c r="G257" s="270"/>
      <c r="J257" s="270"/>
      <c r="K257" s="270"/>
      <c r="L257" s="234"/>
      <c r="N257" s="270"/>
      <c r="O257" s="234"/>
    </row>
    <row r="258" spans="1:15" ht="14.25" customHeight="1">
      <c r="A258" s="234"/>
      <c r="G258" s="270"/>
      <c r="J258" s="270"/>
      <c r="K258" s="270"/>
      <c r="L258" s="234"/>
      <c r="N258" s="270"/>
      <c r="O258" s="234"/>
    </row>
    <row r="259" spans="1:15" ht="14.25" customHeight="1">
      <c r="A259" s="234"/>
      <c r="G259" s="270"/>
      <c r="J259" s="270"/>
      <c r="K259" s="270"/>
      <c r="L259" s="234"/>
      <c r="N259" s="270"/>
      <c r="O259" s="234"/>
    </row>
    <row r="260" spans="1:15" ht="14.25" customHeight="1">
      <c r="A260" s="234"/>
      <c r="G260" s="270"/>
      <c r="J260" s="270"/>
      <c r="K260" s="270"/>
      <c r="L260" s="234"/>
      <c r="N260" s="270"/>
      <c r="O260" s="234"/>
    </row>
    <row r="261" spans="1:15" ht="14.25" customHeight="1">
      <c r="A261" s="234"/>
      <c r="G261" s="270"/>
      <c r="J261" s="270"/>
      <c r="K261" s="270"/>
      <c r="L261" s="234"/>
      <c r="N261" s="270"/>
      <c r="O261" s="234"/>
    </row>
    <row r="262" spans="1:15" ht="14.25" customHeight="1">
      <c r="A262" s="234"/>
      <c r="G262" s="270"/>
      <c r="J262" s="270"/>
      <c r="K262" s="270"/>
      <c r="L262" s="234"/>
      <c r="N262" s="270"/>
      <c r="O262" s="234"/>
    </row>
    <row r="263" spans="1:15" ht="14.25" customHeight="1">
      <c r="A263" s="234"/>
      <c r="G263" s="270"/>
      <c r="J263" s="270"/>
      <c r="K263" s="270"/>
      <c r="L263" s="234"/>
      <c r="N263" s="270"/>
      <c r="O263" s="234"/>
    </row>
    <row r="264" spans="1:15" ht="14.25" customHeight="1">
      <c r="A264" s="234"/>
      <c r="G264" s="270"/>
      <c r="J264" s="270"/>
      <c r="K264" s="270"/>
      <c r="L264" s="234"/>
      <c r="N264" s="270"/>
      <c r="O264" s="234"/>
    </row>
    <row r="265" spans="1:15" ht="14.25" customHeight="1">
      <c r="A265" s="234"/>
      <c r="G265" s="270"/>
      <c r="J265" s="270"/>
      <c r="K265" s="270"/>
      <c r="L265" s="234"/>
      <c r="N265" s="270"/>
      <c r="O265" s="234"/>
    </row>
    <row r="266" spans="1:15" ht="14.25" customHeight="1">
      <c r="A266" s="234"/>
      <c r="G266" s="270"/>
      <c r="J266" s="270"/>
      <c r="K266" s="270"/>
      <c r="L266" s="234"/>
      <c r="N266" s="270"/>
      <c r="O266" s="234"/>
    </row>
    <row r="267" spans="1:15" ht="14.25" customHeight="1">
      <c r="A267" s="234"/>
      <c r="G267" s="270"/>
      <c r="J267" s="270"/>
      <c r="K267" s="270"/>
      <c r="L267" s="234"/>
      <c r="N267" s="270"/>
      <c r="O267" s="234"/>
    </row>
    <row r="268" spans="1:15" ht="14.25" customHeight="1">
      <c r="A268" s="234"/>
      <c r="G268" s="270"/>
      <c r="J268" s="270"/>
      <c r="K268" s="270"/>
      <c r="L268" s="234"/>
      <c r="N268" s="270"/>
      <c r="O268" s="234"/>
    </row>
    <row r="269" spans="1:15" ht="14.25" customHeight="1">
      <c r="A269" s="234"/>
      <c r="G269" s="270"/>
      <c r="J269" s="270"/>
      <c r="K269" s="270"/>
      <c r="L269" s="234"/>
      <c r="N269" s="270"/>
      <c r="O269" s="234"/>
    </row>
    <row r="270" spans="1:15" ht="14.25" customHeight="1">
      <c r="A270" s="234"/>
      <c r="G270" s="270"/>
      <c r="J270" s="270"/>
      <c r="K270" s="270"/>
      <c r="L270" s="234"/>
      <c r="N270" s="270"/>
      <c r="O270" s="234"/>
    </row>
    <row r="271" spans="1:15" ht="14.25" customHeight="1">
      <c r="A271" s="234"/>
      <c r="G271" s="270"/>
      <c r="J271" s="270"/>
      <c r="K271" s="270"/>
      <c r="L271" s="234"/>
      <c r="N271" s="270"/>
      <c r="O271" s="234"/>
    </row>
    <row r="272" spans="1:15" ht="14.25" customHeight="1">
      <c r="A272" s="234"/>
      <c r="G272" s="270"/>
      <c r="J272" s="270"/>
      <c r="K272" s="270"/>
      <c r="L272" s="234"/>
      <c r="N272" s="270"/>
      <c r="O272" s="234"/>
    </row>
    <row r="273" spans="1:15" ht="14.25" customHeight="1">
      <c r="A273" s="234"/>
      <c r="G273" s="270"/>
      <c r="J273" s="270"/>
      <c r="K273" s="270"/>
      <c r="L273" s="234"/>
      <c r="N273" s="270"/>
      <c r="O273" s="234"/>
    </row>
    <row r="274" spans="1:15" ht="14.25" customHeight="1">
      <c r="A274" s="234"/>
      <c r="G274" s="270"/>
      <c r="J274" s="270"/>
      <c r="K274" s="270"/>
      <c r="L274" s="234"/>
      <c r="N274" s="270"/>
      <c r="O274" s="234"/>
    </row>
    <row r="275" spans="1:15" ht="14.25" customHeight="1">
      <c r="A275" s="234"/>
      <c r="G275" s="270"/>
      <c r="J275" s="270"/>
      <c r="K275" s="270"/>
      <c r="L275" s="234"/>
      <c r="N275" s="270"/>
      <c r="O275" s="234"/>
    </row>
    <row r="276" spans="1:15" ht="14.25" customHeight="1">
      <c r="A276" s="234"/>
      <c r="G276" s="270"/>
      <c r="J276" s="270"/>
      <c r="K276" s="270"/>
      <c r="L276" s="234"/>
      <c r="N276" s="270"/>
      <c r="O276" s="234"/>
    </row>
    <row r="277" spans="1:15" ht="14.25" customHeight="1">
      <c r="A277" s="234"/>
      <c r="G277" s="270"/>
      <c r="J277" s="270"/>
      <c r="K277" s="270"/>
      <c r="L277" s="234"/>
      <c r="N277" s="270"/>
      <c r="O277" s="234"/>
    </row>
    <row r="278" spans="1:15" ht="14.25" customHeight="1">
      <c r="A278" s="234"/>
      <c r="G278" s="270"/>
      <c r="J278" s="270"/>
      <c r="K278" s="270"/>
      <c r="L278" s="234"/>
      <c r="N278" s="270"/>
      <c r="O278" s="234"/>
    </row>
    <row r="279" spans="1:15" ht="14.25" customHeight="1">
      <c r="A279" s="234"/>
      <c r="G279" s="270"/>
      <c r="J279" s="270"/>
      <c r="K279" s="270"/>
      <c r="L279" s="234"/>
      <c r="N279" s="270"/>
      <c r="O279" s="234"/>
    </row>
    <row r="280" spans="1:15" ht="14.25" customHeight="1">
      <c r="A280" s="234"/>
      <c r="G280" s="270"/>
      <c r="J280" s="270"/>
      <c r="K280" s="270"/>
      <c r="L280" s="234"/>
      <c r="N280" s="270"/>
      <c r="O280" s="234"/>
    </row>
    <row r="281" spans="1:15" ht="14.25" customHeight="1">
      <c r="A281" s="234"/>
      <c r="G281" s="270"/>
      <c r="J281" s="270"/>
      <c r="K281" s="270"/>
      <c r="L281" s="234"/>
      <c r="N281" s="270"/>
      <c r="O281" s="234"/>
    </row>
    <row r="282" spans="1:15" ht="14.25" customHeight="1">
      <c r="A282" s="234"/>
      <c r="G282" s="270"/>
      <c r="J282" s="270"/>
      <c r="K282" s="270"/>
      <c r="L282" s="234"/>
      <c r="N282" s="270"/>
      <c r="O282" s="234"/>
    </row>
    <row r="283" spans="1:15" ht="14.25" customHeight="1">
      <c r="A283" s="234"/>
      <c r="G283" s="270"/>
      <c r="J283" s="270"/>
      <c r="K283" s="270"/>
      <c r="L283" s="234"/>
      <c r="N283" s="270"/>
      <c r="O283" s="234"/>
    </row>
    <row r="284" spans="1:15" ht="14.25" customHeight="1">
      <c r="A284" s="234"/>
      <c r="G284" s="270"/>
      <c r="J284" s="270"/>
      <c r="K284" s="270"/>
      <c r="L284" s="234"/>
      <c r="N284" s="270"/>
      <c r="O284" s="234"/>
    </row>
    <row r="285" spans="1:15" ht="14.25" customHeight="1">
      <c r="A285" s="234"/>
      <c r="G285" s="270"/>
      <c r="J285" s="270"/>
      <c r="K285" s="270"/>
      <c r="L285" s="234"/>
      <c r="N285" s="270"/>
      <c r="O285" s="234"/>
    </row>
    <row r="286" spans="1:15" ht="14.25" customHeight="1">
      <c r="A286" s="234"/>
      <c r="G286" s="270"/>
      <c r="J286" s="270"/>
      <c r="K286" s="270"/>
      <c r="L286" s="234"/>
      <c r="N286" s="270"/>
      <c r="O286" s="234"/>
    </row>
    <row r="287" spans="1:15" ht="14.25" customHeight="1">
      <c r="A287" s="234"/>
      <c r="G287" s="270"/>
      <c r="J287" s="270"/>
      <c r="K287" s="270"/>
      <c r="L287" s="234"/>
      <c r="N287" s="270"/>
      <c r="O287" s="234"/>
    </row>
    <row r="288" spans="1:15" ht="14.25" customHeight="1">
      <c r="A288" s="234"/>
      <c r="G288" s="270"/>
      <c r="J288" s="270"/>
      <c r="K288" s="270"/>
      <c r="L288" s="234"/>
      <c r="N288" s="270"/>
      <c r="O288" s="234"/>
    </row>
    <row r="289" spans="1:15" ht="14.25" customHeight="1">
      <c r="A289" s="234"/>
      <c r="G289" s="270"/>
      <c r="J289" s="270"/>
      <c r="K289" s="270"/>
      <c r="L289" s="234"/>
      <c r="N289" s="270"/>
      <c r="O289" s="234"/>
    </row>
    <row r="290" spans="1:15" ht="14.25" customHeight="1">
      <c r="A290" s="234"/>
      <c r="G290" s="270"/>
      <c r="J290" s="270"/>
      <c r="K290" s="270"/>
      <c r="L290" s="234"/>
      <c r="N290" s="270"/>
      <c r="O290" s="234"/>
    </row>
    <row r="291" spans="1:15" ht="14.25" customHeight="1">
      <c r="A291" s="234"/>
      <c r="G291" s="270"/>
      <c r="J291" s="270"/>
      <c r="K291" s="270"/>
      <c r="L291" s="234"/>
      <c r="N291" s="270"/>
      <c r="O291" s="234"/>
    </row>
    <row r="292" spans="1:15" ht="14.25" customHeight="1">
      <c r="A292" s="234"/>
      <c r="G292" s="270"/>
      <c r="J292" s="270"/>
      <c r="K292" s="270"/>
      <c r="L292" s="234"/>
      <c r="N292" s="270"/>
      <c r="O292" s="234"/>
    </row>
    <row r="293" spans="1:15" ht="14.25" customHeight="1">
      <c r="A293" s="234"/>
      <c r="G293" s="270"/>
      <c r="J293" s="270"/>
      <c r="K293" s="270"/>
      <c r="L293" s="234"/>
      <c r="N293" s="270"/>
      <c r="O293" s="234"/>
    </row>
    <row r="294" spans="1:15" ht="14.25" customHeight="1">
      <c r="A294" s="234"/>
      <c r="G294" s="270"/>
      <c r="J294" s="270"/>
      <c r="K294" s="270"/>
      <c r="L294" s="234"/>
      <c r="N294" s="270"/>
      <c r="O294" s="234"/>
    </row>
    <row r="295" spans="1:15" ht="14.25" customHeight="1">
      <c r="A295" s="234"/>
      <c r="G295" s="270"/>
      <c r="J295" s="270"/>
      <c r="K295" s="270"/>
      <c r="L295" s="234"/>
      <c r="N295" s="270"/>
      <c r="O295" s="234"/>
    </row>
    <row r="296" spans="1:15" ht="14.25" customHeight="1">
      <c r="A296" s="234"/>
      <c r="G296" s="270"/>
      <c r="J296" s="270"/>
      <c r="K296" s="270"/>
      <c r="L296" s="234"/>
      <c r="N296" s="270"/>
      <c r="O296" s="234"/>
    </row>
    <row r="297" spans="1:15" ht="14.25" customHeight="1">
      <c r="A297" s="234"/>
      <c r="G297" s="270"/>
      <c r="J297" s="270"/>
      <c r="K297" s="270"/>
      <c r="L297" s="234"/>
      <c r="N297" s="270"/>
      <c r="O297" s="234"/>
    </row>
    <row r="298" spans="1:15" ht="14.25" customHeight="1">
      <c r="A298" s="234"/>
      <c r="G298" s="270"/>
      <c r="J298" s="270"/>
      <c r="K298" s="270"/>
      <c r="L298" s="234"/>
      <c r="N298" s="270"/>
      <c r="O298" s="234"/>
    </row>
    <row r="299" spans="1:15" ht="14.25" customHeight="1">
      <c r="A299" s="234"/>
      <c r="G299" s="270"/>
      <c r="J299" s="270"/>
      <c r="K299" s="270"/>
      <c r="L299" s="234"/>
      <c r="N299" s="270"/>
      <c r="O299" s="234"/>
    </row>
    <row r="300" spans="1:15" ht="14.25" customHeight="1">
      <c r="A300" s="234"/>
      <c r="G300" s="270"/>
      <c r="J300" s="270"/>
      <c r="K300" s="270"/>
      <c r="L300" s="234"/>
      <c r="N300" s="270"/>
      <c r="O300" s="234"/>
    </row>
    <row r="301" spans="1:15" ht="14.25" customHeight="1">
      <c r="A301" s="234"/>
      <c r="G301" s="270"/>
      <c r="J301" s="270"/>
      <c r="K301" s="270"/>
      <c r="L301" s="234"/>
      <c r="N301" s="270"/>
      <c r="O301" s="234"/>
    </row>
    <row r="302" spans="1:15" ht="14.25" customHeight="1">
      <c r="A302" s="234"/>
      <c r="G302" s="270"/>
      <c r="J302" s="270"/>
      <c r="K302" s="270"/>
      <c r="L302" s="234"/>
      <c r="N302" s="270"/>
      <c r="O302" s="234"/>
    </row>
    <row r="303" spans="1:15" ht="14.25" customHeight="1">
      <c r="A303" s="234"/>
      <c r="G303" s="270"/>
      <c r="J303" s="270"/>
      <c r="K303" s="270"/>
      <c r="L303" s="234"/>
      <c r="N303" s="270"/>
      <c r="O303" s="234"/>
    </row>
    <row r="304" spans="1:15" ht="14.25" customHeight="1">
      <c r="A304" s="234"/>
      <c r="G304" s="270"/>
      <c r="J304" s="270"/>
      <c r="K304" s="270"/>
      <c r="L304" s="234"/>
      <c r="N304" s="270"/>
      <c r="O304" s="234"/>
    </row>
    <row r="305" spans="1:15" ht="14.25" customHeight="1">
      <c r="A305" s="234"/>
      <c r="G305" s="270"/>
      <c r="J305" s="270"/>
      <c r="K305" s="270"/>
      <c r="L305" s="234"/>
      <c r="N305" s="270"/>
      <c r="O305" s="234"/>
    </row>
    <row r="306" spans="1:15" ht="14.25" customHeight="1">
      <c r="A306" s="234"/>
      <c r="G306" s="270"/>
      <c r="J306" s="270"/>
      <c r="K306" s="270"/>
      <c r="L306" s="234"/>
      <c r="N306" s="270"/>
      <c r="O306" s="234"/>
    </row>
    <row r="307" spans="1:15" ht="14.25" customHeight="1">
      <c r="A307" s="234"/>
      <c r="G307" s="270"/>
      <c r="J307" s="270"/>
      <c r="K307" s="270"/>
      <c r="L307" s="234"/>
      <c r="N307" s="270"/>
      <c r="O307" s="234"/>
    </row>
    <row r="308" spans="1:15" ht="14.25" customHeight="1">
      <c r="A308" s="234"/>
      <c r="G308" s="270"/>
      <c r="J308" s="270"/>
      <c r="K308" s="270"/>
      <c r="L308" s="234"/>
      <c r="N308" s="270"/>
      <c r="O308" s="234"/>
    </row>
    <row r="309" spans="1:15" ht="14.25" customHeight="1">
      <c r="A309" s="234"/>
      <c r="G309" s="270"/>
      <c r="J309" s="270"/>
      <c r="K309" s="270"/>
      <c r="L309" s="234"/>
      <c r="N309" s="270"/>
      <c r="O309" s="234"/>
    </row>
    <row r="310" spans="1:15" ht="14.25" customHeight="1">
      <c r="A310" s="234"/>
      <c r="G310" s="270"/>
      <c r="J310" s="270"/>
      <c r="K310" s="270"/>
      <c r="L310" s="234"/>
      <c r="N310" s="270"/>
      <c r="O310" s="234"/>
    </row>
    <row r="311" spans="1:15" ht="14.25" customHeight="1">
      <c r="A311" s="234"/>
      <c r="G311" s="270"/>
      <c r="J311" s="270"/>
      <c r="K311" s="270"/>
      <c r="L311" s="234"/>
      <c r="N311" s="270"/>
      <c r="O311" s="234"/>
    </row>
    <row r="312" spans="1:15" ht="14.25" customHeight="1">
      <c r="A312" s="234"/>
      <c r="G312" s="270"/>
      <c r="J312" s="270"/>
      <c r="K312" s="270"/>
      <c r="L312" s="234"/>
      <c r="N312" s="270"/>
      <c r="O312" s="234"/>
    </row>
    <row r="313" spans="1:15" ht="14.25" customHeight="1">
      <c r="A313" s="234"/>
      <c r="G313" s="270"/>
      <c r="J313" s="270"/>
      <c r="K313" s="270"/>
      <c r="L313" s="234"/>
      <c r="N313" s="270"/>
      <c r="O313" s="234"/>
    </row>
    <row r="314" spans="1:15" ht="14.25" customHeight="1">
      <c r="A314" s="234"/>
      <c r="G314" s="270"/>
      <c r="J314" s="270"/>
      <c r="K314" s="270"/>
      <c r="L314" s="234"/>
      <c r="N314" s="270"/>
      <c r="O314" s="234"/>
    </row>
    <row r="315" spans="1:15" ht="14.25" customHeight="1">
      <c r="A315" s="234"/>
      <c r="G315" s="270"/>
      <c r="J315" s="270"/>
      <c r="K315" s="270"/>
      <c r="L315" s="234"/>
      <c r="N315" s="270"/>
      <c r="O315" s="234"/>
    </row>
    <row r="316" spans="1:15" ht="14.25" customHeight="1">
      <c r="A316" s="234"/>
      <c r="G316" s="270"/>
      <c r="J316" s="270"/>
      <c r="K316" s="270"/>
      <c r="L316" s="234"/>
      <c r="N316" s="270"/>
      <c r="O316" s="234"/>
    </row>
    <row r="317" spans="1:15" ht="14.25" customHeight="1">
      <c r="A317" s="234"/>
      <c r="G317" s="270"/>
      <c r="J317" s="270"/>
      <c r="K317" s="270"/>
      <c r="L317" s="234"/>
      <c r="N317" s="270"/>
      <c r="O317" s="234"/>
    </row>
    <row r="318" spans="1:15" ht="14.25" customHeight="1">
      <c r="A318" s="234"/>
      <c r="G318" s="270"/>
      <c r="J318" s="270"/>
      <c r="K318" s="270"/>
      <c r="L318" s="234"/>
      <c r="N318" s="270"/>
      <c r="O318" s="234"/>
    </row>
    <row r="319" spans="1:15" ht="14.25" customHeight="1">
      <c r="A319" s="234"/>
      <c r="G319" s="270"/>
      <c r="J319" s="270"/>
      <c r="K319" s="270"/>
      <c r="L319" s="234"/>
      <c r="N319" s="270"/>
      <c r="O319" s="234"/>
    </row>
    <row r="320" spans="1:15" ht="14.25" customHeight="1">
      <c r="A320" s="234"/>
      <c r="G320" s="270"/>
      <c r="J320" s="270"/>
      <c r="K320" s="270"/>
      <c r="L320" s="234"/>
      <c r="N320" s="270"/>
      <c r="O320" s="234"/>
    </row>
    <row r="321" spans="1:15" ht="14.25" customHeight="1">
      <c r="A321" s="234"/>
      <c r="G321" s="270"/>
      <c r="J321" s="270"/>
      <c r="K321" s="270"/>
      <c r="L321" s="234"/>
      <c r="N321" s="270"/>
      <c r="O321" s="234"/>
    </row>
    <row r="322" spans="1:15" ht="14.25" customHeight="1">
      <c r="A322" s="234"/>
      <c r="G322" s="270"/>
      <c r="J322" s="270"/>
      <c r="K322" s="270"/>
      <c r="L322" s="234"/>
      <c r="N322" s="270"/>
      <c r="O322" s="234"/>
    </row>
    <row r="323" spans="1:15" ht="14.25" customHeight="1">
      <c r="A323" s="234"/>
      <c r="G323" s="270"/>
      <c r="J323" s="270"/>
      <c r="K323" s="270"/>
      <c r="L323" s="234"/>
      <c r="N323" s="270"/>
      <c r="O323" s="234"/>
    </row>
    <row r="324" spans="1:15" ht="14.25" customHeight="1">
      <c r="A324" s="234"/>
      <c r="G324" s="270"/>
      <c r="J324" s="270"/>
      <c r="K324" s="270"/>
      <c r="L324" s="234"/>
      <c r="N324" s="270"/>
      <c r="O324" s="234"/>
    </row>
    <row r="325" spans="1:15" ht="14.25" customHeight="1">
      <c r="A325" s="234"/>
      <c r="G325" s="270"/>
      <c r="J325" s="270"/>
      <c r="K325" s="270"/>
      <c r="L325" s="234"/>
      <c r="N325" s="270"/>
      <c r="O325" s="234"/>
    </row>
    <row r="326" spans="1:15" ht="14.25" customHeight="1">
      <c r="A326" s="234"/>
      <c r="G326" s="270"/>
      <c r="J326" s="270"/>
      <c r="K326" s="270"/>
      <c r="L326" s="234"/>
      <c r="N326" s="270"/>
      <c r="O326" s="234"/>
    </row>
    <row r="327" spans="1:15" ht="14.25" customHeight="1">
      <c r="A327" s="234"/>
      <c r="G327" s="270"/>
      <c r="J327" s="270"/>
      <c r="K327" s="270"/>
      <c r="L327" s="234"/>
      <c r="N327" s="270"/>
      <c r="O327" s="234"/>
    </row>
    <row r="328" spans="1:15" ht="14.25" customHeight="1">
      <c r="A328" s="234"/>
      <c r="G328" s="270"/>
      <c r="J328" s="270"/>
      <c r="K328" s="270"/>
      <c r="L328" s="234"/>
      <c r="N328" s="270"/>
      <c r="O328" s="234"/>
    </row>
    <row r="329" spans="1:15" ht="14.25" customHeight="1">
      <c r="A329" s="234"/>
      <c r="G329" s="270"/>
      <c r="J329" s="270"/>
      <c r="K329" s="270"/>
      <c r="L329" s="234"/>
      <c r="N329" s="270"/>
      <c r="O329" s="234"/>
    </row>
    <row r="330" spans="1:15" ht="14.25" customHeight="1">
      <c r="A330" s="234"/>
      <c r="G330" s="270"/>
      <c r="J330" s="270"/>
      <c r="K330" s="270"/>
      <c r="L330" s="234"/>
      <c r="N330" s="270"/>
      <c r="O330" s="234"/>
    </row>
    <row r="331" spans="1:15" ht="14.25" customHeight="1">
      <c r="A331" s="234"/>
      <c r="G331" s="270"/>
      <c r="J331" s="270"/>
      <c r="K331" s="270"/>
      <c r="L331" s="234"/>
      <c r="N331" s="270"/>
      <c r="O331" s="234"/>
    </row>
    <row r="332" spans="1:15" ht="14.25" customHeight="1">
      <c r="A332" s="234"/>
      <c r="G332" s="270"/>
      <c r="J332" s="270"/>
      <c r="K332" s="270"/>
      <c r="L332" s="234"/>
      <c r="N332" s="270"/>
      <c r="O332" s="234"/>
    </row>
    <row r="333" spans="1:15" ht="14.25" customHeight="1">
      <c r="A333" s="234"/>
      <c r="G333" s="270"/>
      <c r="J333" s="270"/>
      <c r="K333" s="270"/>
      <c r="L333" s="234"/>
      <c r="N333" s="270"/>
      <c r="O333" s="234"/>
    </row>
    <row r="334" spans="1:15" ht="14.25" customHeight="1">
      <c r="A334" s="234"/>
      <c r="G334" s="270"/>
      <c r="J334" s="270"/>
      <c r="K334" s="270"/>
      <c r="L334" s="234"/>
      <c r="N334" s="270"/>
      <c r="O334" s="234"/>
    </row>
    <row r="335" spans="1:15" ht="14.25" customHeight="1">
      <c r="A335" s="234"/>
      <c r="G335" s="270"/>
      <c r="J335" s="270"/>
      <c r="K335" s="270"/>
      <c r="L335" s="234"/>
      <c r="N335" s="270"/>
      <c r="O335" s="234"/>
    </row>
    <row r="336" spans="1:15" ht="14.25" customHeight="1">
      <c r="A336" s="234"/>
      <c r="G336" s="270"/>
      <c r="J336" s="270"/>
      <c r="K336" s="270"/>
      <c r="L336" s="234"/>
      <c r="N336" s="270"/>
      <c r="O336" s="234"/>
    </row>
    <row r="337" spans="1:15" ht="14.25" customHeight="1">
      <c r="A337" s="234"/>
      <c r="G337" s="270"/>
      <c r="J337" s="270"/>
      <c r="K337" s="270"/>
      <c r="L337" s="234"/>
      <c r="N337" s="270"/>
      <c r="O337" s="234"/>
    </row>
    <row r="338" spans="1:15" ht="14.25" customHeight="1">
      <c r="A338" s="234"/>
      <c r="G338" s="270"/>
      <c r="J338" s="270"/>
      <c r="K338" s="270"/>
      <c r="L338" s="234"/>
      <c r="N338" s="270"/>
      <c r="O338" s="234"/>
    </row>
    <row r="339" spans="1:15" ht="14.25" customHeight="1">
      <c r="A339" s="234"/>
      <c r="G339" s="270"/>
      <c r="J339" s="270"/>
      <c r="K339" s="270"/>
      <c r="L339" s="234"/>
      <c r="N339" s="270"/>
      <c r="O339" s="234"/>
    </row>
    <row r="340" spans="1:15" ht="14.25" customHeight="1">
      <c r="A340" s="234"/>
      <c r="G340" s="270"/>
      <c r="J340" s="270"/>
      <c r="K340" s="270"/>
      <c r="L340" s="234"/>
      <c r="N340" s="270"/>
      <c r="O340" s="234"/>
    </row>
    <row r="341" spans="1:15" ht="14.25" customHeight="1">
      <c r="A341" s="234"/>
      <c r="G341" s="270"/>
      <c r="J341" s="270"/>
      <c r="K341" s="270"/>
      <c r="L341" s="234"/>
      <c r="N341" s="270"/>
      <c r="O341" s="234"/>
    </row>
    <row r="342" spans="1:15" ht="14.25" customHeight="1">
      <c r="A342" s="234"/>
      <c r="G342" s="270"/>
      <c r="J342" s="270"/>
      <c r="K342" s="270"/>
      <c r="L342" s="234"/>
      <c r="N342" s="270"/>
      <c r="O342" s="234"/>
    </row>
    <row r="343" spans="1:15" ht="14.25" customHeight="1">
      <c r="A343" s="234"/>
      <c r="G343" s="270"/>
      <c r="J343" s="270"/>
      <c r="K343" s="270"/>
      <c r="L343" s="234"/>
      <c r="N343" s="270"/>
      <c r="O343" s="234"/>
    </row>
    <row r="344" spans="1:15" ht="14.25" customHeight="1">
      <c r="A344" s="234"/>
      <c r="G344" s="270"/>
      <c r="J344" s="270"/>
      <c r="K344" s="270"/>
      <c r="L344" s="234"/>
      <c r="N344" s="270"/>
      <c r="O344" s="234"/>
    </row>
    <row r="345" spans="1:15" ht="14.25" customHeight="1">
      <c r="A345" s="234"/>
      <c r="G345" s="270"/>
      <c r="J345" s="270"/>
      <c r="K345" s="270"/>
      <c r="L345" s="234"/>
      <c r="N345" s="270"/>
      <c r="O345" s="234"/>
    </row>
    <row r="346" spans="1:15" ht="14.25" customHeight="1">
      <c r="A346" s="234"/>
      <c r="G346" s="270"/>
      <c r="J346" s="270"/>
      <c r="K346" s="270"/>
      <c r="L346" s="234"/>
      <c r="N346" s="270"/>
      <c r="O346" s="234"/>
    </row>
    <row r="347" spans="1:15" ht="14.25" customHeight="1">
      <c r="A347" s="234"/>
      <c r="G347" s="270"/>
      <c r="J347" s="270"/>
      <c r="K347" s="270"/>
      <c r="L347" s="234"/>
      <c r="N347" s="270"/>
      <c r="O347" s="234"/>
    </row>
    <row r="348" spans="1:15" ht="14.25" customHeight="1">
      <c r="A348" s="234"/>
      <c r="G348" s="270"/>
      <c r="J348" s="270"/>
      <c r="K348" s="270"/>
      <c r="L348" s="234"/>
      <c r="N348" s="270"/>
      <c r="O348" s="234"/>
    </row>
    <row r="349" spans="1:15" ht="14.25" customHeight="1">
      <c r="A349" s="234"/>
      <c r="G349" s="270"/>
      <c r="J349" s="270"/>
      <c r="K349" s="270"/>
      <c r="L349" s="234"/>
      <c r="N349" s="270"/>
      <c r="O349" s="234"/>
    </row>
    <row r="350" spans="1:15" ht="14.25" customHeight="1">
      <c r="A350" s="234"/>
      <c r="G350" s="270"/>
      <c r="J350" s="270"/>
      <c r="K350" s="270"/>
      <c r="L350" s="234"/>
      <c r="N350" s="270"/>
      <c r="O350" s="234"/>
    </row>
    <row r="351" spans="1:15" ht="14.25" customHeight="1">
      <c r="A351" s="234"/>
      <c r="G351" s="270"/>
      <c r="J351" s="270"/>
      <c r="K351" s="270"/>
      <c r="L351" s="234"/>
      <c r="N351" s="270"/>
      <c r="O351" s="234"/>
    </row>
    <row r="352" spans="1:15" ht="14.25" customHeight="1">
      <c r="A352" s="234"/>
      <c r="G352" s="270"/>
      <c r="J352" s="270"/>
      <c r="K352" s="270"/>
      <c r="L352" s="234"/>
      <c r="N352" s="270"/>
      <c r="O352" s="234"/>
    </row>
    <row r="353" spans="1:15" ht="14.25" customHeight="1">
      <c r="A353" s="234"/>
      <c r="G353" s="270"/>
      <c r="J353" s="270"/>
      <c r="K353" s="270"/>
      <c r="L353" s="234"/>
      <c r="N353" s="270"/>
      <c r="O353" s="234"/>
    </row>
    <row r="354" spans="1:15" ht="14.25" customHeight="1">
      <c r="A354" s="234"/>
      <c r="G354" s="270"/>
      <c r="J354" s="270"/>
      <c r="K354" s="270"/>
      <c r="L354" s="234"/>
      <c r="N354" s="270"/>
      <c r="O354" s="234"/>
    </row>
    <row r="355" spans="1:15" ht="14.25" customHeight="1">
      <c r="A355" s="234"/>
      <c r="G355" s="270"/>
      <c r="J355" s="270"/>
      <c r="K355" s="270"/>
      <c r="L355" s="234"/>
      <c r="N355" s="270"/>
      <c r="O355" s="234"/>
    </row>
    <row r="356" spans="1:15" ht="14.25" customHeight="1">
      <c r="A356" s="234"/>
      <c r="G356" s="270"/>
      <c r="J356" s="270"/>
      <c r="K356" s="270"/>
      <c r="L356" s="234"/>
      <c r="N356" s="270"/>
      <c r="O356" s="234"/>
    </row>
    <row r="357" spans="1:15" ht="14.25" customHeight="1">
      <c r="A357" s="234"/>
      <c r="G357" s="270"/>
      <c r="J357" s="270"/>
      <c r="K357" s="270"/>
      <c r="L357" s="234"/>
      <c r="N357" s="270"/>
      <c r="O357" s="234"/>
    </row>
    <row r="358" spans="1:15" ht="14.25" customHeight="1">
      <c r="A358" s="234"/>
      <c r="G358" s="270"/>
      <c r="J358" s="270"/>
      <c r="K358" s="270"/>
      <c r="L358" s="234"/>
      <c r="N358" s="270"/>
      <c r="O358" s="234"/>
    </row>
    <row r="359" spans="1:15" ht="14.25" customHeight="1">
      <c r="A359" s="234"/>
      <c r="G359" s="270"/>
      <c r="J359" s="270"/>
      <c r="K359" s="270"/>
      <c r="L359" s="234"/>
      <c r="N359" s="270"/>
      <c r="O359" s="234"/>
    </row>
    <row r="360" spans="1:15" ht="14.25" customHeight="1">
      <c r="A360" s="234"/>
      <c r="G360" s="270"/>
      <c r="J360" s="270"/>
      <c r="K360" s="270"/>
      <c r="L360" s="234"/>
      <c r="N360" s="270"/>
      <c r="O360" s="234"/>
    </row>
    <row r="361" spans="1:15" ht="14.25" customHeight="1">
      <c r="A361" s="234"/>
      <c r="G361" s="270"/>
      <c r="J361" s="270"/>
      <c r="K361" s="270"/>
      <c r="L361" s="234"/>
      <c r="N361" s="270"/>
      <c r="O361" s="234"/>
    </row>
    <row r="362" spans="1:15" ht="14.25" customHeight="1">
      <c r="A362" s="234"/>
      <c r="G362" s="270"/>
      <c r="J362" s="270"/>
      <c r="K362" s="270"/>
      <c r="L362" s="234"/>
      <c r="N362" s="270"/>
      <c r="O362" s="234"/>
    </row>
    <row r="363" spans="1:15" ht="14.25" customHeight="1">
      <c r="A363" s="234"/>
      <c r="G363" s="270"/>
      <c r="J363" s="270"/>
      <c r="K363" s="270"/>
      <c r="L363" s="234"/>
      <c r="N363" s="270"/>
      <c r="O363" s="234"/>
    </row>
    <row r="364" spans="1:15" ht="14.25" customHeight="1">
      <c r="A364" s="234"/>
      <c r="G364" s="270"/>
      <c r="J364" s="270"/>
      <c r="K364" s="270"/>
      <c r="L364" s="234"/>
      <c r="N364" s="270"/>
      <c r="O364" s="234"/>
    </row>
    <row r="365" spans="1:15" ht="14.25" customHeight="1">
      <c r="A365" s="234"/>
      <c r="G365" s="270"/>
      <c r="J365" s="270"/>
      <c r="K365" s="270"/>
      <c r="L365" s="234"/>
      <c r="N365" s="270"/>
      <c r="O365" s="234"/>
    </row>
    <row r="366" spans="1:15" ht="14.25" customHeight="1">
      <c r="A366" s="234"/>
      <c r="G366" s="270"/>
      <c r="J366" s="270"/>
      <c r="K366" s="270"/>
      <c r="L366" s="234"/>
      <c r="N366" s="270"/>
      <c r="O366" s="234"/>
    </row>
    <row r="367" spans="1:15" ht="14.25" customHeight="1">
      <c r="A367" s="234"/>
      <c r="G367" s="270"/>
      <c r="J367" s="270"/>
      <c r="K367" s="270"/>
      <c r="L367" s="234"/>
      <c r="N367" s="270"/>
      <c r="O367" s="234"/>
    </row>
    <row r="368" spans="1:15" ht="14.25" customHeight="1">
      <c r="A368" s="234"/>
      <c r="G368" s="270"/>
      <c r="J368" s="270"/>
      <c r="K368" s="270"/>
      <c r="L368" s="234"/>
      <c r="N368" s="270"/>
      <c r="O368" s="234"/>
    </row>
    <row r="369" spans="1:15" ht="14.25" customHeight="1">
      <c r="A369" s="234"/>
      <c r="G369" s="270"/>
      <c r="J369" s="270"/>
      <c r="K369" s="270"/>
      <c r="L369" s="234"/>
      <c r="N369" s="270"/>
      <c r="O369" s="234"/>
    </row>
    <row r="370" spans="1:15" ht="14.25" customHeight="1">
      <c r="A370" s="234"/>
      <c r="G370" s="270"/>
      <c r="J370" s="270"/>
      <c r="K370" s="270"/>
      <c r="L370" s="234"/>
      <c r="N370" s="270"/>
      <c r="O370" s="234"/>
    </row>
    <row r="371" spans="1:15" ht="14.25" customHeight="1">
      <c r="A371" s="234"/>
      <c r="G371" s="270"/>
      <c r="J371" s="270"/>
      <c r="K371" s="270"/>
      <c r="L371" s="234"/>
      <c r="N371" s="270"/>
      <c r="O371" s="234"/>
    </row>
    <row r="372" spans="1:15" ht="14.25" customHeight="1">
      <c r="A372" s="234"/>
      <c r="G372" s="270"/>
      <c r="J372" s="270"/>
      <c r="K372" s="270"/>
      <c r="L372" s="234"/>
      <c r="N372" s="270"/>
      <c r="O372" s="234"/>
    </row>
    <row r="373" spans="1:15" ht="14.25" customHeight="1">
      <c r="A373" s="234"/>
      <c r="G373" s="270"/>
      <c r="J373" s="270"/>
      <c r="K373" s="270"/>
      <c r="L373" s="234"/>
      <c r="N373" s="270"/>
      <c r="O373" s="234"/>
    </row>
    <row r="374" spans="1:15" ht="14.25" customHeight="1">
      <c r="A374" s="234"/>
      <c r="G374" s="270"/>
      <c r="J374" s="270"/>
      <c r="K374" s="270"/>
      <c r="L374" s="234"/>
      <c r="N374" s="270"/>
      <c r="O374" s="234"/>
    </row>
    <row r="375" spans="1:15" ht="14.25" customHeight="1">
      <c r="A375" s="234"/>
      <c r="G375" s="270"/>
      <c r="J375" s="270"/>
      <c r="K375" s="270"/>
      <c r="L375" s="234"/>
      <c r="N375" s="270"/>
      <c r="O375" s="234"/>
    </row>
    <row r="376" spans="1:15" ht="14.25" customHeight="1">
      <c r="A376" s="234"/>
      <c r="G376" s="270"/>
      <c r="J376" s="270"/>
      <c r="K376" s="270"/>
      <c r="L376" s="234"/>
      <c r="N376" s="270"/>
      <c r="O376" s="234"/>
    </row>
    <row r="377" spans="1:15" ht="14.25" customHeight="1">
      <c r="A377" s="234"/>
      <c r="G377" s="270"/>
      <c r="J377" s="270"/>
      <c r="K377" s="270"/>
      <c r="L377" s="234"/>
      <c r="N377" s="270"/>
      <c r="O377" s="234"/>
    </row>
    <row r="378" spans="1:15" ht="14.25" customHeight="1">
      <c r="A378" s="234"/>
      <c r="G378" s="270"/>
      <c r="J378" s="270"/>
      <c r="K378" s="270"/>
      <c r="L378" s="234"/>
      <c r="N378" s="270"/>
      <c r="O378" s="234"/>
    </row>
    <row r="379" spans="1:15" ht="14.25" customHeight="1">
      <c r="A379" s="234"/>
      <c r="G379" s="270"/>
      <c r="J379" s="270"/>
      <c r="K379" s="270"/>
      <c r="L379" s="234"/>
      <c r="N379" s="270"/>
      <c r="O379" s="234"/>
    </row>
    <row r="380" spans="1:15" ht="14.25" customHeight="1">
      <c r="A380" s="234"/>
      <c r="G380" s="270"/>
      <c r="J380" s="270"/>
      <c r="K380" s="270"/>
      <c r="L380" s="234"/>
      <c r="N380" s="270"/>
      <c r="O380" s="234"/>
    </row>
    <row r="381" spans="1:15" ht="14.25" customHeight="1">
      <c r="A381" s="234"/>
      <c r="G381" s="270"/>
      <c r="J381" s="270"/>
      <c r="K381" s="270"/>
      <c r="L381" s="234"/>
      <c r="N381" s="270"/>
      <c r="O381" s="234"/>
    </row>
    <row r="382" spans="1:15" ht="14.25" customHeight="1">
      <c r="A382" s="234"/>
      <c r="G382" s="270"/>
      <c r="J382" s="270"/>
      <c r="K382" s="270"/>
      <c r="L382" s="234"/>
      <c r="N382" s="270"/>
      <c r="O382" s="234"/>
    </row>
    <row r="383" spans="1:15" ht="14.25" customHeight="1">
      <c r="A383" s="234"/>
      <c r="G383" s="270"/>
      <c r="J383" s="270"/>
      <c r="K383" s="270"/>
      <c r="L383" s="234"/>
      <c r="N383" s="270"/>
      <c r="O383" s="234"/>
    </row>
    <row r="384" spans="1:15" ht="14.25" customHeight="1">
      <c r="A384" s="234"/>
      <c r="G384" s="270"/>
      <c r="J384" s="270"/>
      <c r="K384" s="270"/>
      <c r="L384" s="234"/>
      <c r="N384" s="270"/>
      <c r="O384" s="234"/>
    </row>
    <row r="385" spans="1:15" ht="14.25" customHeight="1">
      <c r="A385" s="234"/>
      <c r="G385" s="270"/>
      <c r="J385" s="270"/>
      <c r="K385" s="270"/>
      <c r="L385" s="234"/>
      <c r="N385" s="270"/>
      <c r="O385" s="234"/>
    </row>
    <row r="386" spans="1:15" ht="14.25" customHeight="1">
      <c r="A386" s="234"/>
      <c r="G386" s="270"/>
      <c r="J386" s="270"/>
      <c r="K386" s="270"/>
      <c r="L386" s="234"/>
      <c r="N386" s="270"/>
      <c r="O386" s="234"/>
    </row>
    <row r="387" spans="1:15" ht="14.25" customHeight="1">
      <c r="A387" s="234"/>
      <c r="G387" s="270"/>
      <c r="J387" s="270"/>
      <c r="K387" s="270"/>
      <c r="L387" s="234"/>
      <c r="N387" s="270"/>
      <c r="O387" s="234"/>
    </row>
    <row r="388" spans="1:15" ht="14.25" customHeight="1">
      <c r="A388" s="234"/>
      <c r="G388" s="270"/>
      <c r="J388" s="270"/>
      <c r="K388" s="270"/>
      <c r="L388" s="234"/>
      <c r="N388" s="270"/>
      <c r="O388" s="234"/>
    </row>
    <row r="389" spans="1:15" ht="14.25" customHeight="1">
      <c r="A389" s="234"/>
      <c r="G389" s="270"/>
      <c r="J389" s="270"/>
      <c r="K389" s="270"/>
      <c r="L389" s="234"/>
      <c r="N389" s="270"/>
      <c r="O389" s="234"/>
    </row>
    <row r="390" spans="1:15" ht="14.25" customHeight="1">
      <c r="A390" s="234"/>
      <c r="G390" s="270"/>
      <c r="J390" s="270"/>
      <c r="K390" s="270"/>
      <c r="L390" s="234"/>
      <c r="N390" s="270"/>
      <c r="O390" s="234"/>
    </row>
    <row r="391" spans="1:15" ht="14.25" customHeight="1">
      <c r="A391" s="234"/>
      <c r="G391" s="270"/>
      <c r="J391" s="270"/>
      <c r="K391" s="270"/>
      <c r="L391" s="234"/>
      <c r="N391" s="270"/>
      <c r="O391" s="234"/>
    </row>
    <row r="392" spans="1:15" ht="14.25" customHeight="1">
      <c r="A392" s="234"/>
      <c r="G392" s="270"/>
      <c r="J392" s="270"/>
      <c r="K392" s="270"/>
      <c r="L392" s="234"/>
      <c r="N392" s="270"/>
      <c r="O392" s="234"/>
    </row>
    <row r="393" spans="1:15" ht="14.25" customHeight="1">
      <c r="A393" s="234"/>
      <c r="G393" s="270"/>
      <c r="J393" s="270"/>
      <c r="K393" s="270"/>
      <c r="L393" s="234"/>
      <c r="N393" s="270"/>
      <c r="O393" s="234"/>
    </row>
    <row r="394" spans="1:15" ht="14.25" customHeight="1">
      <c r="A394" s="234"/>
      <c r="G394" s="270"/>
      <c r="J394" s="270"/>
      <c r="K394" s="270"/>
      <c r="L394" s="234"/>
      <c r="N394" s="270"/>
      <c r="O394" s="234"/>
    </row>
    <row r="395" spans="1:15" ht="14.25" customHeight="1">
      <c r="A395" s="234"/>
      <c r="G395" s="270"/>
      <c r="J395" s="270"/>
      <c r="K395" s="270"/>
      <c r="L395" s="234"/>
      <c r="N395" s="270"/>
      <c r="O395" s="234"/>
    </row>
    <row r="396" spans="1:15" ht="14.25" customHeight="1">
      <c r="A396" s="234"/>
      <c r="G396" s="270"/>
      <c r="J396" s="270"/>
      <c r="K396" s="270"/>
      <c r="L396" s="234"/>
      <c r="N396" s="270"/>
      <c r="O396" s="234"/>
    </row>
    <row r="397" spans="1:15" ht="14.25" customHeight="1">
      <c r="A397" s="234"/>
      <c r="G397" s="270"/>
      <c r="J397" s="270"/>
      <c r="K397" s="270"/>
      <c r="L397" s="234"/>
      <c r="N397" s="270"/>
      <c r="O397" s="234"/>
    </row>
    <row r="398" spans="1:15" ht="14.25" customHeight="1">
      <c r="A398" s="234"/>
      <c r="G398" s="270"/>
      <c r="J398" s="270"/>
      <c r="K398" s="270"/>
      <c r="L398" s="234"/>
      <c r="N398" s="270"/>
      <c r="O398" s="234"/>
    </row>
    <row r="399" spans="1:15" ht="14.25" customHeight="1">
      <c r="A399" s="234"/>
      <c r="G399" s="270"/>
      <c r="J399" s="270"/>
      <c r="K399" s="270"/>
      <c r="L399" s="234"/>
      <c r="N399" s="270"/>
      <c r="O399" s="234"/>
    </row>
    <row r="400" spans="1:15" ht="14.25" customHeight="1">
      <c r="A400" s="234"/>
      <c r="G400" s="270"/>
      <c r="J400" s="270"/>
      <c r="K400" s="270"/>
      <c r="L400" s="234"/>
      <c r="N400" s="270"/>
      <c r="O400" s="234"/>
    </row>
    <row r="401" spans="1:15" ht="14.25" customHeight="1">
      <c r="A401" s="234"/>
      <c r="G401" s="270"/>
      <c r="J401" s="270"/>
      <c r="K401" s="270"/>
      <c r="L401" s="234"/>
      <c r="N401" s="270"/>
      <c r="O401" s="234"/>
    </row>
    <row r="402" spans="1:15" ht="14.25" customHeight="1">
      <c r="A402" s="234"/>
      <c r="G402" s="270"/>
      <c r="J402" s="270"/>
      <c r="K402" s="270"/>
      <c r="L402" s="234"/>
      <c r="N402" s="270"/>
      <c r="O402" s="234"/>
    </row>
    <row r="403" spans="1:15" ht="14.25" customHeight="1">
      <c r="A403" s="234"/>
      <c r="G403" s="270"/>
      <c r="J403" s="270"/>
      <c r="K403" s="270"/>
      <c r="L403" s="234"/>
      <c r="N403" s="270"/>
      <c r="O403" s="234"/>
    </row>
    <row r="404" spans="1:15" ht="14.25" customHeight="1">
      <c r="A404" s="234"/>
      <c r="G404" s="270"/>
      <c r="J404" s="270"/>
      <c r="K404" s="270"/>
      <c r="L404" s="234"/>
      <c r="N404" s="270"/>
      <c r="O404" s="234"/>
    </row>
    <row r="405" spans="1:15" ht="14.25" customHeight="1">
      <c r="A405" s="234"/>
      <c r="G405" s="270"/>
      <c r="J405" s="270"/>
      <c r="K405" s="270"/>
      <c r="L405" s="234"/>
      <c r="N405" s="270"/>
      <c r="O405" s="234"/>
    </row>
    <row r="406" spans="1:15" ht="14.25" customHeight="1">
      <c r="A406" s="234"/>
      <c r="G406" s="270"/>
      <c r="J406" s="270"/>
      <c r="K406" s="270"/>
      <c r="L406" s="234"/>
      <c r="N406" s="270"/>
      <c r="O406" s="234"/>
    </row>
    <row r="407" spans="1:15" ht="14.25" customHeight="1">
      <c r="A407" s="234"/>
      <c r="G407" s="270"/>
      <c r="J407" s="270"/>
      <c r="K407" s="270"/>
      <c r="L407" s="234"/>
      <c r="N407" s="270"/>
      <c r="O407" s="234"/>
    </row>
    <row r="408" spans="1:15" ht="14.25" customHeight="1">
      <c r="A408" s="234"/>
      <c r="G408" s="270"/>
      <c r="J408" s="270"/>
      <c r="K408" s="270"/>
      <c r="L408" s="234"/>
      <c r="N408" s="270"/>
      <c r="O408" s="234"/>
    </row>
    <row r="409" spans="1:15" ht="14.25" customHeight="1">
      <c r="A409" s="234"/>
      <c r="G409" s="270"/>
      <c r="J409" s="270"/>
      <c r="K409" s="270"/>
      <c r="L409" s="234"/>
      <c r="N409" s="270"/>
      <c r="O409" s="234"/>
    </row>
    <row r="410" spans="1:15" ht="14.25" customHeight="1">
      <c r="A410" s="234"/>
      <c r="G410" s="270"/>
      <c r="J410" s="270"/>
      <c r="K410" s="270"/>
      <c r="L410" s="234"/>
      <c r="N410" s="270"/>
      <c r="O410" s="234"/>
    </row>
    <row r="411" spans="1:15" ht="14.25" customHeight="1">
      <c r="A411" s="234"/>
      <c r="G411" s="270"/>
      <c r="J411" s="270"/>
      <c r="K411" s="270"/>
      <c r="L411" s="234"/>
      <c r="N411" s="270"/>
      <c r="O411" s="234"/>
    </row>
    <row r="412" spans="1:15" ht="14.25" customHeight="1">
      <c r="A412" s="234"/>
      <c r="G412" s="270"/>
      <c r="J412" s="270"/>
      <c r="K412" s="270"/>
      <c r="L412" s="234"/>
      <c r="N412" s="270"/>
      <c r="O412" s="234"/>
    </row>
    <row r="413" spans="1:15" ht="14.25" customHeight="1">
      <c r="A413" s="234"/>
      <c r="G413" s="270"/>
      <c r="J413" s="270"/>
      <c r="K413" s="270"/>
      <c r="L413" s="234"/>
      <c r="N413" s="270"/>
      <c r="O413" s="234"/>
    </row>
    <row r="414" spans="1:15" ht="14.25" customHeight="1">
      <c r="A414" s="234"/>
      <c r="G414" s="270"/>
      <c r="J414" s="270"/>
      <c r="K414" s="270"/>
      <c r="L414" s="234"/>
      <c r="N414" s="270"/>
      <c r="O414" s="234"/>
    </row>
    <row r="415" spans="1:15" ht="14.25" customHeight="1">
      <c r="A415" s="234"/>
      <c r="G415" s="270"/>
      <c r="J415" s="270"/>
      <c r="K415" s="270"/>
      <c r="L415" s="234"/>
      <c r="N415" s="270"/>
      <c r="O415" s="234"/>
    </row>
    <row r="416" spans="1:15" ht="14.25" customHeight="1">
      <c r="A416" s="234"/>
      <c r="G416" s="270"/>
      <c r="J416" s="270"/>
      <c r="K416" s="270"/>
      <c r="L416" s="234"/>
      <c r="N416" s="270"/>
      <c r="O416" s="234"/>
    </row>
    <row r="417" spans="1:15" ht="14.25" customHeight="1">
      <c r="A417" s="234"/>
      <c r="G417" s="270"/>
      <c r="J417" s="270"/>
      <c r="K417" s="270"/>
      <c r="L417" s="234"/>
      <c r="N417" s="270"/>
      <c r="O417" s="234"/>
    </row>
    <row r="418" spans="1:15" ht="14.25" customHeight="1">
      <c r="A418" s="234"/>
      <c r="G418" s="270"/>
      <c r="J418" s="270"/>
      <c r="K418" s="270"/>
      <c r="L418" s="234"/>
      <c r="N418" s="270"/>
      <c r="O418" s="234"/>
    </row>
    <row r="419" spans="1:15" ht="14.25" customHeight="1">
      <c r="A419" s="234"/>
      <c r="G419" s="270"/>
      <c r="J419" s="270"/>
      <c r="K419" s="270"/>
      <c r="L419" s="234"/>
      <c r="N419" s="270"/>
      <c r="O419" s="234"/>
    </row>
    <row r="420" spans="1:15" ht="14.25" customHeight="1">
      <c r="A420" s="234"/>
      <c r="G420" s="270"/>
      <c r="J420" s="270"/>
      <c r="K420" s="270"/>
      <c r="L420" s="234"/>
      <c r="N420" s="270"/>
      <c r="O420" s="234"/>
    </row>
    <row r="421" spans="1:15" ht="14.25" customHeight="1">
      <c r="A421" s="234"/>
      <c r="G421" s="270"/>
      <c r="J421" s="270"/>
      <c r="K421" s="270"/>
      <c r="L421" s="234"/>
      <c r="N421" s="270"/>
      <c r="O421" s="234"/>
    </row>
    <row r="422" spans="1:15" ht="14.25" customHeight="1">
      <c r="A422" s="234"/>
      <c r="G422" s="270"/>
      <c r="J422" s="270"/>
      <c r="K422" s="270"/>
      <c r="L422" s="234"/>
      <c r="N422" s="270"/>
      <c r="O422" s="234"/>
    </row>
    <row r="423" spans="1:15" ht="14.25" customHeight="1">
      <c r="A423" s="234"/>
      <c r="G423" s="270"/>
      <c r="J423" s="270"/>
      <c r="K423" s="270"/>
      <c r="L423" s="234"/>
      <c r="N423" s="270"/>
      <c r="O423" s="234"/>
    </row>
    <row r="424" spans="1:15" ht="14.25" customHeight="1">
      <c r="A424" s="234"/>
      <c r="G424" s="270"/>
      <c r="J424" s="270"/>
      <c r="K424" s="270"/>
      <c r="L424" s="234"/>
      <c r="N424" s="270"/>
      <c r="O424" s="234"/>
    </row>
    <row r="425" spans="1:15" ht="14.25" customHeight="1">
      <c r="A425" s="234"/>
      <c r="G425" s="270"/>
      <c r="J425" s="270"/>
      <c r="K425" s="270"/>
      <c r="L425" s="234"/>
      <c r="N425" s="270"/>
      <c r="O425" s="234"/>
    </row>
    <row r="426" spans="1:15" ht="14.25" customHeight="1">
      <c r="A426" s="234"/>
      <c r="G426" s="270"/>
      <c r="J426" s="270"/>
      <c r="K426" s="270"/>
      <c r="L426" s="234"/>
      <c r="N426" s="270"/>
      <c r="O426" s="234"/>
    </row>
    <row r="427" spans="1:15" ht="14.25" customHeight="1">
      <c r="A427" s="234"/>
      <c r="G427" s="270"/>
      <c r="J427" s="270"/>
      <c r="K427" s="270"/>
      <c r="L427" s="234"/>
      <c r="N427" s="270"/>
      <c r="O427" s="234"/>
    </row>
    <row r="428" spans="1:15" ht="14.25" customHeight="1">
      <c r="A428" s="234"/>
      <c r="G428" s="270"/>
      <c r="J428" s="270"/>
      <c r="K428" s="270"/>
      <c r="L428" s="234"/>
      <c r="N428" s="270"/>
      <c r="O428" s="234"/>
    </row>
    <row r="429" spans="1:15" ht="14.25" customHeight="1">
      <c r="A429" s="234"/>
      <c r="G429" s="270"/>
      <c r="J429" s="270"/>
      <c r="K429" s="270"/>
      <c r="L429" s="234"/>
      <c r="N429" s="270"/>
      <c r="O429" s="234"/>
    </row>
    <row r="430" spans="1:15" ht="14.25" customHeight="1">
      <c r="A430" s="234"/>
      <c r="G430" s="270"/>
      <c r="J430" s="270"/>
      <c r="K430" s="270"/>
      <c r="L430" s="234"/>
      <c r="N430" s="270"/>
      <c r="O430" s="234"/>
    </row>
    <row r="431" spans="1:15" ht="14.25" customHeight="1">
      <c r="A431" s="234"/>
      <c r="G431" s="270"/>
      <c r="J431" s="270"/>
      <c r="K431" s="270"/>
      <c r="L431" s="234"/>
      <c r="N431" s="270"/>
      <c r="O431" s="234"/>
    </row>
    <row r="432" spans="1:15" ht="14.25" customHeight="1">
      <c r="A432" s="234"/>
      <c r="G432" s="270"/>
      <c r="J432" s="270"/>
      <c r="K432" s="270"/>
      <c r="L432" s="234"/>
      <c r="N432" s="270"/>
      <c r="O432" s="234"/>
    </row>
    <row r="433" spans="1:15" ht="14.25" customHeight="1">
      <c r="A433" s="234"/>
      <c r="G433" s="270"/>
      <c r="J433" s="270"/>
      <c r="K433" s="270"/>
      <c r="L433" s="234"/>
      <c r="N433" s="270"/>
      <c r="O433" s="234"/>
    </row>
    <row r="434" spans="1:15" ht="14.25" customHeight="1">
      <c r="A434" s="234"/>
      <c r="G434" s="270"/>
      <c r="J434" s="270"/>
      <c r="K434" s="270"/>
      <c r="L434" s="234"/>
      <c r="N434" s="270"/>
      <c r="O434" s="234"/>
    </row>
    <row r="435" spans="1:15" ht="14.25" customHeight="1">
      <c r="A435" s="234"/>
      <c r="G435" s="270"/>
      <c r="J435" s="270"/>
      <c r="K435" s="270"/>
      <c r="L435" s="234"/>
      <c r="N435" s="270"/>
      <c r="O435" s="234"/>
    </row>
    <row r="436" spans="1:15" ht="14.25" customHeight="1">
      <c r="A436" s="234"/>
      <c r="G436" s="270"/>
      <c r="J436" s="270"/>
      <c r="K436" s="270"/>
      <c r="L436" s="234"/>
      <c r="N436" s="270"/>
      <c r="O436" s="234"/>
    </row>
    <row r="437" spans="1:15" ht="14.25" customHeight="1">
      <c r="A437" s="234"/>
      <c r="G437" s="270"/>
      <c r="J437" s="270"/>
      <c r="K437" s="270"/>
      <c r="L437" s="234"/>
      <c r="N437" s="270"/>
      <c r="O437" s="234"/>
    </row>
    <row r="438" spans="1:15" ht="14.25" customHeight="1">
      <c r="A438" s="234"/>
      <c r="G438" s="270"/>
      <c r="J438" s="270"/>
      <c r="K438" s="270"/>
      <c r="L438" s="234"/>
      <c r="N438" s="270"/>
      <c r="O438" s="234"/>
    </row>
    <row r="439" spans="1:15" ht="14.25" customHeight="1">
      <c r="A439" s="234"/>
      <c r="G439" s="270"/>
      <c r="J439" s="270"/>
      <c r="K439" s="270"/>
      <c r="L439" s="234"/>
      <c r="N439" s="270"/>
      <c r="O439" s="234"/>
    </row>
    <row r="440" spans="1:15" ht="14.25" customHeight="1">
      <c r="A440" s="234"/>
      <c r="G440" s="270"/>
      <c r="J440" s="270"/>
      <c r="K440" s="270"/>
      <c r="L440" s="234"/>
      <c r="N440" s="270"/>
      <c r="O440" s="234"/>
    </row>
    <row r="441" spans="1:15" ht="14.25" customHeight="1">
      <c r="A441" s="234"/>
      <c r="G441" s="270"/>
      <c r="J441" s="270"/>
      <c r="K441" s="270"/>
      <c r="L441" s="234"/>
      <c r="N441" s="270"/>
      <c r="O441" s="234"/>
    </row>
    <row r="442" spans="1:15" ht="14.25" customHeight="1">
      <c r="A442" s="234"/>
      <c r="G442" s="270"/>
      <c r="J442" s="270"/>
      <c r="K442" s="270"/>
      <c r="L442" s="234"/>
      <c r="N442" s="270"/>
      <c r="O442" s="234"/>
    </row>
    <row r="443" spans="1:15" ht="14.25" customHeight="1">
      <c r="A443" s="234"/>
      <c r="G443" s="270"/>
      <c r="J443" s="270"/>
      <c r="K443" s="270"/>
      <c r="L443" s="234"/>
      <c r="N443" s="270"/>
      <c r="O443" s="234"/>
    </row>
    <row r="444" spans="1:15" ht="14.25" customHeight="1">
      <c r="A444" s="234"/>
      <c r="G444" s="270"/>
      <c r="J444" s="270"/>
      <c r="K444" s="270"/>
      <c r="L444" s="234"/>
      <c r="N444" s="270"/>
      <c r="O444" s="234"/>
    </row>
    <row r="445" spans="1:15" ht="14.25" customHeight="1">
      <c r="A445" s="234"/>
      <c r="G445" s="270"/>
      <c r="J445" s="270"/>
      <c r="K445" s="270"/>
      <c r="L445" s="234"/>
      <c r="N445" s="270"/>
      <c r="O445" s="234"/>
    </row>
    <row r="446" spans="1:15" ht="14.25" customHeight="1">
      <c r="A446" s="234"/>
      <c r="G446" s="270"/>
      <c r="J446" s="270"/>
      <c r="K446" s="270"/>
      <c r="L446" s="234"/>
      <c r="N446" s="270"/>
      <c r="O446" s="234"/>
    </row>
    <row r="447" spans="1:15" ht="14.25" customHeight="1">
      <c r="A447" s="234"/>
      <c r="G447" s="270"/>
      <c r="J447" s="270"/>
      <c r="K447" s="270"/>
      <c r="L447" s="234"/>
      <c r="N447" s="270"/>
      <c r="O447" s="234"/>
    </row>
    <row r="448" spans="1:15" ht="14.25" customHeight="1">
      <c r="A448" s="234"/>
      <c r="G448" s="270"/>
      <c r="J448" s="270"/>
      <c r="K448" s="270"/>
      <c r="L448" s="234"/>
      <c r="N448" s="270"/>
      <c r="O448" s="234"/>
    </row>
    <row r="449" spans="1:15" ht="14.25" customHeight="1">
      <c r="A449" s="234"/>
      <c r="G449" s="270"/>
      <c r="J449" s="270"/>
      <c r="K449" s="270"/>
      <c r="L449" s="234"/>
      <c r="N449" s="270"/>
      <c r="O449" s="234"/>
    </row>
    <row r="450" spans="1:15" ht="14.25" customHeight="1">
      <c r="A450" s="234"/>
      <c r="G450" s="270"/>
      <c r="J450" s="270"/>
      <c r="K450" s="270"/>
      <c r="L450" s="234"/>
      <c r="N450" s="270"/>
      <c r="O450" s="234"/>
    </row>
    <row r="451" spans="1:15" ht="14.25" customHeight="1">
      <c r="A451" s="234"/>
      <c r="G451" s="270"/>
      <c r="J451" s="270"/>
      <c r="K451" s="270"/>
      <c r="L451" s="234"/>
      <c r="N451" s="270"/>
      <c r="O451" s="234"/>
    </row>
    <row r="452" spans="1:15" ht="14.25" customHeight="1">
      <c r="A452" s="234"/>
      <c r="G452" s="270"/>
      <c r="J452" s="270"/>
      <c r="K452" s="270"/>
      <c r="L452" s="234"/>
      <c r="N452" s="270"/>
      <c r="O452" s="234"/>
    </row>
    <row r="453" spans="1:15" ht="14.25" customHeight="1">
      <c r="A453" s="234"/>
      <c r="G453" s="270"/>
      <c r="J453" s="270"/>
      <c r="K453" s="270"/>
      <c r="L453" s="234"/>
      <c r="N453" s="270"/>
      <c r="O453" s="234"/>
    </row>
    <row r="454" spans="1:15" ht="14.25" customHeight="1">
      <c r="A454" s="234"/>
      <c r="G454" s="270"/>
      <c r="J454" s="270"/>
      <c r="K454" s="270"/>
      <c r="L454" s="234"/>
      <c r="N454" s="270"/>
      <c r="O454" s="234"/>
    </row>
    <row r="455" spans="1:15" ht="14.25" customHeight="1">
      <c r="A455" s="234"/>
      <c r="G455" s="270"/>
      <c r="J455" s="270"/>
      <c r="K455" s="270"/>
      <c r="L455" s="234"/>
      <c r="N455" s="270"/>
      <c r="O455" s="234"/>
    </row>
    <row r="456" spans="1:15" ht="14.25" customHeight="1">
      <c r="A456" s="234"/>
      <c r="G456" s="270"/>
      <c r="J456" s="270"/>
      <c r="K456" s="270"/>
      <c r="L456" s="234"/>
      <c r="N456" s="270"/>
      <c r="O456" s="234"/>
    </row>
    <row r="457" spans="1:15" ht="14.25" customHeight="1">
      <c r="A457" s="234"/>
      <c r="G457" s="270"/>
      <c r="J457" s="270"/>
      <c r="K457" s="270"/>
      <c r="L457" s="234"/>
      <c r="N457" s="270"/>
      <c r="O457" s="234"/>
    </row>
    <row r="458" spans="1:15" ht="14.25" customHeight="1">
      <c r="A458" s="234"/>
      <c r="G458" s="270"/>
      <c r="J458" s="270"/>
      <c r="K458" s="270"/>
      <c r="L458" s="234"/>
      <c r="N458" s="270"/>
      <c r="O458" s="234"/>
    </row>
    <row r="459" spans="1:15" ht="14.25" customHeight="1">
      <c r="A459" s="234"/>
      <c r="G459" s="270"/>
      <c r="J459" s="270"/>
      <c r="K459" s="270"/>
      <c r="L459" s="234"/>
      <c r="N459" s="270"/>
      <c r="O459" s="234"/>
    </row>
    <row r="460" spans="1:15" ht="14.25" customHeight="1">
      <c r="A460" s="234"/>
      <c r="G460" s="270"/>
      <c r="J460" s="270"/>
      <c r="K460" s="270"/>
      <c r="L460" s="234"/>
      <c r="N460" s="270"/>
      <c r="O460" s="234"/>
    </row>
    <row r="461" spans="1:15" ht="14.25" customHeight="1">
      <c r="A461" s="234"/>
      <c r="G461" s="270"/>
      <c r="J461" s="270"/>
      <c r="K461" s="270"/>
      <c r="L461" s="234"/>
      <c r="N461" s="270"/>
      <c r="O461" s="234"/>
    </row>
    <row r="462" spans="1:15" ht="14.25" customHeight="1">
      <c r="A462" s="234"/>
      <c r="G462" s="270"/>
      <c r="J462" s="270"/>
      <c r="K462" s="270"/>
      <c r="L462" s="234"/>
      <c r="N462" s="270"/>
      <c r="O462" s="234"/>
    </row>
    <row r="463" spans="1:15" ht="14.25" customHeight="1">
      <c r="A463" s="234"/>
      <c r="G463" s="270"/>
      <c r="J463" s="270"/>
      <c r="K463" s="270"/>
      <c r="L463" s="234"/>
      <c r="N463" s="270"/>
      <c r="O463" s="234"/>
    </row>
    <row r="464" spans="1:15" ht="14.25" customHeight="1">
      <c r="A464" s="234"/>
      <c r="G464" s="270"/>
      <c r="J464" s="270"/>
      <c r="K464" s="270"/>
      <c r="L464" s="234"/>
      <c r="N464" s="270"/>
      <c r="O464" s="234"/>
    </row>
    <row r="465" spans="1:15" ht="14.25" customHeight="1">
      <c r="A465" s="234"/>
      <c r="G465" s="270"/>
      <c r="J465" s="270"/>
      <c r="K465" s="270"/>
      <c r="L465" s="234"/>
      <c r="N465" s="270"/>
      <c r="O465" s="234"/>
    </row>
    <row r="466" spans="1:15" ht="14.25" customHeight="1">
      <c r="A466" s="234"/>
      <c r="G466" s="270"/>
      <c r="J466" s="270"/>
      <c r="K466" s="270"/>
      <c r="L466" s="234"/>
      <c r="N466" s="270"/>
      <c r="O466" s="234"/>
    </row>
    <row r="467" spans="1:15" ht="14.25" customHeight="1">
      <c r="A467" s="234"/>
      <c r="G467" s="270"/>
      <c r="J467" s="270"/>
      <c r="K467" s="270"/>
      <c r="L467" s="234"/>
      <c r="N467" s="270"/>
      <c r="O467" s="234"/>
    </row>
    <row r="468" spans="1:15" ht="14.25" customHeight="1">
      <c r="A468" s="234"/>
      <c r="G468" s="270"/>
      <c r="J468" s="270"/>
      <c r="K468" s="270"/>
      <c r="L468" s="234"/>
      <c r="N468" s="270"/>
      <c r="O468" s="234"/>
    </row>
    <row r="469" spans="1:15" ht="14.25" customHeight="1">
      <c r="A469" s="234"/>
      <c r="G469" s="270"/>
      <c r="J469" s="270"/>
      <c r="K469" s="270"/>
      <c r="L469" s="234"/>
      <c r="N469" s="270"/>
      <c r="O469" s="234"/>
    </row>
    <row r="470" spans="1:15" ht="14.25" customHeight="1">
      <c r="A470" s="234"/>
      <c r="G470" s="270"/>
      <c r="J470" s="270"/>
      <c r="K470" s="270"/>
      <c r="L470" s="234"/>
      <c r="N470" s="270"/>
      <c r="O470" s="234"/>
    </row>
    <row r="471" spans="1:15" ht="14.25" customHeight="1">
      <c r="A471" s="234"/>
      <c r="G471" s="270"/>
      <c r="J471" s="270"/>
      <c r="K471" s="270"/>
      <c r="L471" s="234"/>
      <c r="N471" s="270"/>
      <c r="O471" s="234"/>
    </row>
    <row r="472" spans="1:15" ht="14.25" customHeight="1">
      <c r="A472" s="234"/>
      <c r="G472" s="270"/>
      <c r="J472" s="270"/>
      <c r="K472" s="270"/>
      <c r="L472" s="234"/>
      <c r="N472" s="270"/>
      <c r="O472" s="234"/>
    </row>
    <row r="473" spans="1:15" ht="14.25" customHeight="1">
      <c r="A473" s="234"/>
      <c r="G473" s="270"/>
      <c r="J473" s="270"/>
      <c r="K473" s="270"/>
      <c r="L473" s="234"/>
      <c r="N473" s="270"/>
      <c r="O473" s="234"/>
    </row>
    <row r="474" spans="1:15" ht="14.25" customHeight="1">
      <c r="A474" s="234"/>
      <c r="G474" s="270"/>
      <c r="J474" s="270"/>
      <c r="K474" s="270"/>
      <c r="L474" s="234"/>
      <c r="N474" s="270"/>
      <c r="O474" s="234"/>
    </row>
    <row r="475" spans="1:15" ht="14.25" customHeight="1">
      <c r="A475" s="234"/>
      <c r="G475" s="270"/>
      <c r="J475" s="270"/>
      <c r="K475" s="270"/>
      <c r="L475" s="234"/>
      <c r="N475" s="270"/>
      <c r="O475" s="234"/>
    </row>
    <row r="476" spans="1:15" ht="14.25" customHeight="1">
      <c r="A476" s="234"/>
      <c r="G476" s="270"/>
      <c r="J476" s="270"/>
      <c r="K476" s="270"/>
      <c r="L476" s="234"/>
      <c r="N476" s="270"/>
      <c r="O476" s="234"/>
    </row>
    <row r="477" spans="1:15" ht="14.25" customHeight="1">
      <c r="A477" s="234"/>
      <c r="G477" s="270"/>
      <c r="J477" s="270"/>
      <c r="K477" s="270"/>
      <c r="L477" s="234"/>
      <c r="N477" s="270"/>
      <c r="O477" s="234"/>
    </row>
    <row r="478" spans="1:15" ht="14.25" customHeight="1">
      <c r="A478" s="234"/>
      <c r="G478" s="270"/>
      <c r="J478" s="270"/>
      <c r="K478" s="270"/>
      <c r="L478" s="234"/>
      <c r="N478" s="270"/>
      <c r="O478" s="234"/>
    </row>
    <row r="479" spans="1:15" ht="14.25" customHeight="1">
      <c r="A479" s="234"/>
      <c r="G479" s="270"/>
      <c r="J479" s="270"/>
      <c r="K479" s="270"/>
      <c r="L479" s="234"/>
      <c r="N479" s="270"/>
      <c r="O479" s="234"/>
    </row>
    <row r="480" spans="1:15" ht="14.25" customHeight="1">
      <c r="A480" s="234"/>
      <c r="G480" s="270"/>
      <c r="J480" s="270"/>
      <c r="K480" s="270"/>
      <c r="L480" s="234"/>
      <c r="N480" s="270"/>
      <c r="O480" s="234"/>
    </row>
    <row r="481" spans="1:15" ht="14.25" customHeight="1">
      <c r="A481" s="234"/>
      <c r="G481" s="270"/>
      <c r="J481" s="270"/>
      <c r="K481" s="270"/>
      <c r="L481" s="234"/>
      <c r="N481" s="270"/>
      <c r="O481" s="234"/>
    </row>
    <row r="482" spans="1:15" ht="14.25" customHeight="1">
      <c r="A482" s="234"/>
      <c r="G482" s="270"/>
      <c r="J482" s="270"/>
      <c r="K482" s="270"/>
      <c r="L482" s="234"/>
      <c r="N482" s="270"/>
      <c r="O482" s="234"/>
    </row>
    <row r="483" spans="1:15" ht="14.25" customHeight="1">
      <c r="A483" s="234"/>
      <c r="G483" s="270"/>
      <c r="J483" s="270"/>
      <c r="K483" s="270"/>
      <c r="L483" s="234"/>
      <c r="N483" s="270"/>
      <c r="O483" s="234"/>
    </row>
    <row r="484" spans="1:15" ht="14.25" customHeight="1">
      <c r="A484" s="234"/>
      <c r="G484" s="270"/>
      <c r="J484" s="270"/>
      <c r="K484" s="270"/>
      <c r="L484" s="234"/>
      <c r="N484" s="270"/>
      <c r="O484" s="234"/>
    </row>
    <row r="485" spans="1:15" ht="14.25" customHeight="1">
      <c r="A485" s="234"/>
      <c r="G485" s="270"/>
      <c r="J485" s="270"/>
      <c r="K485" s="270"/>
      <c r="L485" s="234"/>
      <c r="N485" s="270"/>
      <c r="O485" s="234"/>
    </row>
    <row r="486" spans="1:15" ht="14.25" customHeight="1">
      <c r="A486" s="234"/>
      <c r="G486" s="270"/>
      <c r="J486" s="270"/>
      <c r="K486" s="270"/>
      <c r="L486" s="234"/>
      <c r="N486" s="270"/>
      <c r="O486" s="234"/>
    </row>
    <row r="487" spans="1:15" ht="14.25" customHeight="1">
      <c r="A487" s="234"/>
      <c r="G487" s="270"/>
      <c r="J487" s="270"/>
      <c r="K487" s="270"/>
      <c r="L487" s="234"/>
      <c r="N487" s="270"/>
      <c r="O487" s="234"/>
    </row>
    <row r="488" spans="1:15" ht="14.25" customHeight="1">
      <c r="A488" s="234"/>
      <c r="G488" s="270"/>
      <c r="J488" s="270"/>
      <c r="K488" s="270"/>
      <c r="L488" s="234"/>
      <c r="N488" s="270"/>
      <c r="O488" s="234"/>
    </row>
    <row r="489" spans="1:15" ht="14.25" customHeight="1">
      <c r="A489" s="234"/>
      <c r="G489" s="270"/>
      <c r="J489" s="270"/>
      <c r="K489" s="270"/>
      <c r="L489" s="234"/>
      <c r="N489" s="270"/>
      <c r="O489" s="234"/>
    </row>
    <row r="490" spans="1:15" ht="14.25" customHeight="1">
      <c r="A490" s="234"/>
      <c r="G490" s="270"/>
      <c r="J490" s="270"/>
      <c r="K490" s="270"/>
      <c r="L490" s="234"/>
      <c r="N490" s="270"/>
      <c r="O490" s="234"/>
    </row>
    <row r="491" spans="1:15" ht="14.25" customHeight="1">
      <c r="A491" s="234"/>
      <c r="G491" s="270"/>
      <c r="J491" s="270"/>
      <c r="K491" s="270"/>
      <c r="L491" s="234"/>
      <c r="N491" s="270"/>
      <c r="O491" s="234"/>
    </row>
    <row r="492" spans="1:15" ht="14.25" customHeight="1">
      <c r="A492" s="234"/>
      <c r="G492" s="270"/>
      <c r="J492" s="270"/>
      <c r="K492" s="270"/>
      <c r="L492" s="234"/>
      <c r="N492" s="270"/>
      <c r="O492" s="234"/>
    </row>
    <row r="493" spans="1:15" ht="14.25" customHeight="1">
      <c r="A493" s="234"/>
      <c r="G493" s="270"/>
      <c r="J493" s="270"/>
      <c r="K493" s="270"/>
      <c r="L493" s="234"/>
      <c r="N493" s="270"/>
      <c r="O493" s="234"/>
    </row>
    <row r="494" spans="1:15" ht="14.25" customHeight="1">
      <c r="A494" s="234"/>
      <c r="G494" s="270"/>
      <c r="J494" s="270"/>
      <c r="K494" s="270"/>
      <c r="L494" s="234"/>
      <c r="N494" s="270"/>
      <c r="O494" s="234"/>
    </row>
    <row r="495" spans="1:15" ht="14.25" customHeight="1">
      <c r="A495" s="234"/>
      <c r="G495" s="270"/>
      <c r="J495" s="270"/>
      <c r="K495" s="270"/>
      <c r="L495" s="234"/>
      <c r="N495" s="270"/>
      <c r="O495" s="234"/>
    </row>
    <row r="496" spans="1:15" ht="14.25" customHeight="1">
      <c r="A496" s="234"/>
      <c r="G496" s="270"/>
      <c r="J496" s="270"/>
      <c r="K496" s="270"/>
      <c r="L496" s="234"/>
      <c r="N496" s="270"/>
      <c r="O496" s="234"/>
    </row>
    <row r="497" spans="1:15" ht="14.25" customHeight="1">
      <c r="A497" s="234"/>
      <c r="G497" s="270"/>
      <c r="J497" s="270"/>
      <c r="K497" s="270"/>
      <c r="L497" s="234"/>
      <c r="N497" s="270"/>
      <c r="O497" s="234"/>
    </row>
    <row r="498" spans="1:15" ht="14.25" customHeight="1">
      <c r="A498" s="234"/>
      <c r="G498" s="270"/>
      <c r="J498" s="270"/>
      <c r="K498" s="270"/>
      <c r="L498" s="234"/>
      <c r="N498" s="270"/>
      <c r="O498" s="234"/>
    </row>
    <row r="499" spans="1:15" ht="14.25" customHeight="1">
      <c r="A499" s="234"/>
      <c r="G499" s="270"/>
      <c r="J499" s="270"/>
      <c r="K499" s="270"/>
      <c r="L499" s="234"/>
      <c r="N499" s="270"/>
      <c r="O499" s="234"/>
    </row>
    <row r="500" spans="1:15" ht="14.25" customHeight="1">
      <c r="A500" s="234"/>
      <c r="G500" s="270"/>
      <c r="J500" s="270"/>
      <c r="K500" s="270"/>
      <c r="L500" s="234"/>
      <c r="N500" s="270"/>
      <c r="O500" s="234"/>
    </row>
    <row r="501" spans="1:15" ht="14.25" customHeight="1">
      <c r="A501" s="234"/>
      <c r="G501" s="270"/>
      <c r="J501" s="270"/>
      <c r="K501" s="270"/>
      <c r="L501" s="234"/>
      <c r="N501" s="270"/>
      <c r="O501" s="234"/>
    </row>
    <row r="502" spans="1:15" ht="14.25" customHeight="1">
      <c r="A502" s="234"/>
      <c r="G502" s="270"/>
      <c r="J502" s="270"/>
      <c r="K502" s="270"/>
      <c r="L502" s="234"/>
      <c r="N502" s="270"/>
      <c r="O502" s="234"/>
    </row>
    <row r="503" spans="1:15" ht="14.25" customHeight="1">
      <c r="A503" s="234"/>
      <c r="G503" s="270"/>
      <c r="J503" s="270"/>
      <c r="K503" s="270"/>
      <c r="L503" s="234"/>
      <c r="N503" s="270"/>
      <c r="O503" s="234"/>
    </row>
    <row r="504" spans="1:15" ht="14.25" customHeight="1">
      <c r="A504" s="234"/>
      <c r="G504" s="270"/>
      <c r="J504" s="270"/>
      <c r="K504" s="270"/>
      <c r="L504" s="234"/>
      <c r="N504" s="270"/>
      <c r="O504" s="234"/>
    </row>
    <row r="505" spans="1:15" ht="14.25" customHeight="1">
      <c r="A505" s="234"/>
      <c r="G505" s="270"/>
      <c r="J505" s="270"/>
      <c r="K505" s="270"/>
      <c r="L505" s="234"/>
      <c r="N505" s="270"/>
      <c r="O505" s="234"/>
    </row>
    <row r="506" spans="1:15" ht="14.25" customHeight="1">
      <c r="A506" s="234"/>
      <c r="G506" s="270"/>
      <c r="J506" s="270"/>
      <c r="K506" s="270"/>
      <c r="L506" s="234"/>
      <c r="N506" s="270"/>
      <c r="O506" s="234"/>
    </row>
    <row r="507" spans="1:15" ht="14.25" customHeight="1">
      <c r="A507" s="234"/>
      <c r="G507" s="270"/>
      <c r="J507" s="270"/>
      <c r="K507" s="270"/>
      <c r="L507" s="234"/>
      <c r="N507" s="270"/>
      <c r="O507" s="234"/>
    </row>
    <row r="508" spans="1:15" ht="14.25" customHeight="1">
      <c r="A508" s="234"/>
      <c r="G508" s="270"/>
      <c r="J508" s="270"/>
      <c r="K508" s="270"/>
      <c r="L508" s="234"/>
      <c r="N508" s="270"/>
      <c r="O508" s="234"/>
    </row>
    <row r="509" spans="1:15" ht="14.25" customHeight="1">
      <c r="A509" s="234"/>
      <c r="G509" s="270"/>
      <c r="J509" s="270"/>
      <c r="K509" s="270"/>
      <c r="L509" s="234"/>
      <c r="N509" s="270"/>
      <c r="O509" s="234"/>
    </row>
    <row r="510" spans="1:15" ht="14.25" customHeight="1">
      <c r="A510" s="234"/>
      <c r="G510" s="270"/>
      <c r="J510" s="270"/>
      <c r="K510" s="270"/>
      <c r="L510" s="234"/>
      <c r="N510" s="270"/>
      <c r="O510" s="234"/>
    </row>
    <row r="511" spans="1:15" ht="14.25" customHeight="1">
      <c r="A511" s="234"/>
      <c r="G511" s="270"/>
      <c r="J511" s="270"/>
      <c r="K511" s="270"/>
      <c r="L511" s="234"/>
      <c r="N511" s="270"/>
      <c r="O511" s="234"/>
    </row>
    <row r="512" spans="1:15" ht="14.25" customHeight="1">
      <c r="A512" s="234"/>
      <c r="G512" s="270"/>
      <c r="J512" s="270"/>
      <c r="K512" s="270"/>
      <c r="L512" s="234"/>
      <c r="N512" s="270"/>
      <c r="O512" s="234"/>
    </row>
    <row r="513" spans="1:15" ht="14.25" customHeight="1">
      <c r="A513" s="234"/>
      <c r="G513" s="270"/>
      <c r="J513" s="270"/>
      <c r="K513" s="270"/>
      <c r="L513" s="234"/>
      <c r="N513" s="270"/>
      <c r="O513" s="234"/>
    </row>
    <row r="514" spans="1:15" ht="14.25" customHeight="1">
      <c r="A514" s="234"/>
      <c r="G514" s="270"/>
      <c r="J514" s="270"/>
      <c r="K514" s="270"/>
      <c r="L514" s="234"/>
      <c r="N514" s="270"/>
      <c r="O514" s="234"/>
    </row>
    <row r="515" spans="1:15" ht="14.25" customHeight="1">
      <c r="A515" s="234"/>
      <c r="G515" s="270"/>
      <c r="J515" s="270"/>
      <c r="K515" s="270"/>
      <c r="L515" s="234"/>
      <c r="N515" s="270"/>
      <c r="O515" s="234"/>
    </row>
    <row r="516" spans="1:15" ht="14.25" customHeight="1">
      <c r="A516" s="234"/>
      <c r="G516" s="270"/>
      <c r="J516" s="270"/>
      <c r="K516" s="270"/>
      <c r="L516" s="234"/>
      <c r="N516" s="270"/>
      <c r="O516" s="234"/>
    </row>
    <row r="517" spans="1:15" ht="14.25" customHeight="1">
      <c r="A517" s="234"/>
      <c r="G517" s="270"/>
      <c r="J517" s="270"/>
      <c r="K517" s="270"/>
      <c r="L517" s="234"/>
      <c r="N517" s="270"/>
      <c r="O517" s="234"/>
    </row>
    <row r="518" spans="1:15" ht="14.25" customHeight="1">
      <c r="A518" s="234"/>
      <c r="G518" s="270"/>
      <c r="J518" s="270"/>
      <c r="K518" s="270"/>
      <c r="L518" s="234"/>
      <c r="N518" s="270"/>
      <c r="O518" s="234"/>
    </row>
    <row r="519" spans="1:15" ht="14.25" customHeight="1">
      <c r="A519" s="234"/>
      <c r="G519" s="270"/>
      <c r="J519" s="270"/>
      <c r="K519" s="270"/>
      <c r="L519" s="234"/>
      <c r="N519" s="270"/>
      <c r="O519" s="234"/>
    </row>
    <row r="520" spans="1:15" ht="14.25" customHeight="1">
      <c r="A520" s="234"/>
      <c r="G520" s="270"/>
      <c r="J520" s="270"/>
      <c r="K520" s="270"/>
      <c r="L520" s="234"/>
      <c r="N520" s="270"/>
      <c r="O520" s="234"/>
    </row>
    <row r="521" spans="1:15" ht="14.25" customHeight="1">
      <c r="A521" s="234"/>
      <c r="G521" s="270"/>
      <c r="J521" s="270"/>
      <c r="K521" s="270"/>
      <c r="L521" s="234"/>
      <c r="N521" s="270"/>
      <c r="O521" s="234"/>
    </row>
    <row r="522" spans="1:15" ht="14.25" customHeight="1">
      <c r="A522" s="234"/>
      <c r="G522" s="270"/>
      <c r="J522" s="270"/>
      <c r="K522" s="270"/>
      <c r="L522" s="234"/>
      <c r="N522" s="270"/>
      <c r="O522" s="234"/>
    </row>
    <row r="523" spans="1:15" ht="14.25" customHeight="1">
      <c r="A523" s="234"/>
      <c r="G523" s="270"/>
      <c r="J523" s="270"/>
      <c r="K523" s="270"/>
      <c r="L523" s="234"/>
      <c r="N523" s="270"/>
      <c r="O523" s="234"/>
    </row>
    <row r="524" spans="1:15" ht="14.25" customHeight="1">
      <c r="A524" s="234"/>
      <c r="G524" s="270"/>
      <c r="J524" s="270"/>
      <c r="K524" s="270"/>
      <c r="L524" s="234"/>
      <c r="N524" s="270"/>
      <c r="O524" s="234"/>
    </row>
    <row r="525" spans="1:15" ht="14.25" customHeight="1">
      <c r="A525" s="234"/>
      <c r="G525" s="270"/>
      <c r="J525" s="270"/>
      <c r="K525" s="270"/>
      <c r="L525" s="234"/>
      <c r="N525" s="270"/>
      <c r="O525" s="234"/>
    </row>
    <row r="526" spans="1:15" ht="14.25" customHeight="1">
      <c r="A526" s="234"/>
      <c r="G526" s="270"/>
      <c r="J526" s="270"/>
      <c r="K526" s="270"/>
      <c r="L526" s="234"/>
      <c r="N526" s="270"/>
      <c r="O526" s="234"/>
    </row>
    <row r="527" spans="1:15" ht="14.25" customHeight="1">
      <c r="A527" s="234"/>
      <c r="G527" s="270"/>
      <c r="J527" s="270"/>
      <c r="K527" s="270"/>
      <c r="L527" s="234"/>
      <c r="N527" s="270"/>
      <c r="O527" s="234"/>
    </row>
    <row r="528" spans="1:15" ht="14.25" customHeight="1">
      <c r="A528" s="234"/>
      <c r="G528" s="270"/>
      <c r="J528" s="270"/>
      <c r="K528" s="270"/>
      <c r="L528" s="234"/>
      <c r="N528" s="270"/>
      <c r="O528" s="234"/>
    </row>
    <row r="529" spans="1:15" ht="14.25" customHeight="1">
      <c r="A529" s="234"/>
      <c r="G529" s="270"/>
      <c r="J529" s="270"/>
      <c r="K529" s="270"/>
      <c r="L529" s="234"/>
      <c r="N529" s="270"/>
      <c r="O529" s="234"/>
    </row>
    <row r="530" spans="1:15" ht="14.25" customHeight="1">
      <c r="A530" s="234"/>
      <c r="G530" s="270"/>
      <c r="J530" s="270"/>
      <c r="K530" s="270"/>
      <c r="L530" s="234"/>
      <c r="N530" s="270"/>
      <c r="O530" s="234"/>
    </row>
    <row r="531" spans="1:15" ht="14.25" customHeight="1">
      <c r="A531" s="234"/>
      <c r="G531" s="270"/>
      <c r="J531" s="270"/>
      <c r="K531" s="270"/>
      <c r="L531" s="234"/>
      <c r="N531" s="270"/>
      <c r="O531" s="234"/>
    </row>
    <row r="532" spans="1:15" ht="14.25" customHeight="1">
      <c r="A532" s="234"/>
      <c r="G532" s="270"/>
      <c r="J532" s="270"/>
      <c r="K532" s="270"/>
      <c r="L532" s="234"/>
      <c r="N532" s="270"/>
      <c r="O532" s="234"/>
    </row>
    <row r="533" spans="1:15" ht="14.25" customHeight="1">
      <c r="A533" s="234"/>
      <c r="G533" s="270"/>
      <c r="J533" s="270"/>
      <c r="K533" s="270"/>
      <c r="L533" s="234"/>
      <c r="N533" s="270"/>
      <c r="O533" s="234"/>
    </row>
    <row r="534" spans="1:15" ht="14.25" customHeight="1">
      <c r="A534" s="234"/>
      <c r="G534" s="270"/>
      <c r="J534" s="270"/>
      <c r="K534" s="270"/>
      <c r="L534" s="234"/>
      <c r="N534" s="270"/>
      <c r="O534" s="234"/>
    </row>
    <row r="535" spans="1:15" ht="14.25" customHeight="1">
      <c r="A535" s="234"/>
      <c r="G535" s="270"/>
      <c r="J535" s="270"/>
      <c r="K535" s="270"/>
      <c r="L535" s="234"/>
      <c r="N535" s="270"/>
      <c r="O535" s="234"/>
    </row>
    <row r="536" spans="1:15" ht="14.25" customHeight="1">
      <c r="A536" s="234"/>
      <c r="G536" s="270"/>
      <c r="J536" s="270"/>
      <c r="K536" s="270"/>
      <c r="L536" s="234"/>
      <c r="N536" s="270"/>
      <c r="O536" s="234"/>
    </row>
    <row r="537" spans="1:15" ht="14.25" customHeight="1">
      <c r="A537" s="234"/>
      <c r="G537" s="270"/>
      <c r="J537" s="270"/>
      <c r="K537" s="270"/>
      <c r="L537" s="234"/>
      <c r="N537" s="270"/>
      <c r="O537" s="234"/>
    </row>
    <row r="538" spans="1:15" ht="14.25" customHeight="1">
      <c r="A538" s="234"/>
      <c r="G538" s="270"/>
      <c r="J538" s="270"/>
      <c r="K538" s="270"/>
      <c r="L538" s="234"/>
      <c r="N538" s="270"/>
      <c r="O538" s="234"/>
    </row>
    <row r="539" spans="1:15" ht="14.25" customHeight="1">
      <c r="A539" s="234"/>
      <c r="G539" s="270"/>
      <c r="J539" s="270"/>
      <c r="K539" s="270"/>
      <c r="L539" s="234"/>
      <c r="N539" s="270"/>
      <c r="O539" s="234"/>
    </row>
    <row r="540" spans="1:15" ht="14.25" customHeight="1">
      <c r="A540" s="234"/>
      <c r="G540" s="270"/>
      <c r="J540" s="270"/>
      <c r="K540" s="270"/>
      <c r="L540" s="234"/>
      <c r="N540" s="270"/>
      <c r="O540" s="234"/>
    </row>
    <row r="541" spans="1:15" ht="14.25" customHeight="1">
      <c r="A541" s="234"/>
      <c r="G541" s="270"/>
      <c r="J541" s="270"/>
      <c r="K541" s="270"/>
      <c r="L541" s="234"/>
      <c r="N541" s="270"/>
      <c r="O541" s="234"/>
    </row>
    <row r="542" spans="1:15" ht="14.25" customHeight="1">
      <c r="A542" s="234"/>
      <c r="G542" s="270"/>
      <c r="J542" s="270"/>
      <c r="K542" s="270"/>
      <c r="L542" s="234"/>
      <c r="N542" s="270"/>
      <c r="O542" s="234"/>
    </row>
    <row r="543" spans="1:15" ht="14.25" customHeight="1">
      <c r="A543" s="234"/>
      <c r="G543" s="270"/>
      <c r="J543" s="270"/>
      <c r="K543" s="270"/>
      <c r="L543" s="234"/>
      <c r="N543" s="270"/>
      <c r="O543" s="234"/>
    </row>
    <row r="544" spans="1:15" ht="14.25" customHeight="1">
      <c r="A544" s="234"/>
      <c r="G544" s="270"/>
      <c r="J544" s="270"/>
      <c r="K544" s="270"/>
      <c r="L544" s="234"/>
      <c r="N544" s="270"/>
      <c r="O544" s="234"/>
    </row>
    <row r="545" spans="1:15" ht="14.25" customHeight="1">
      <c r="A545" s="234"/>
      <c r="G545" s="270"/>
      <c r="J545" s="270"/>
      <c r="K545" s="270"/>
      <c r="L545" s="234"/>
      <c r="N545" s="270"/>
      <c r="O545" s="234"/>
    </row>
    <row r="546" spans="1:15" ht="14.25" customHeight="1">
      <c r="A546" s="234"/>
      <c r="G546" s="270"/>
      <c r="J546" s="270"/>
      <c r="K546" s="270"/>
      <c r="L546" s="234"/>
      <c r="N546" s="270"/>
      <c r="O546" s="234"/>
    </row>
    <row r="547" spans="1:15" ht="14.25" customHeight="1">
      <c r="A547" s="234"/>
      <c r="G547" s="270"/>
      <c r="J547" s="270"/>
      <c r="K547" s="270"/>
      <c r="L547" s="234"/>
      <c r="N547" s="270"/>
      <c r="O547" s="234"/>
    </row>
    <row r="548" spans="1:15" ht="14.25" customHeight="1">
      <c r="A548" s="234"/>
      <c r="G548" s="270"/>
      <c r="J548" s="270"/>
      <c r="K548" s="270"/>
      <c r="L548" s="234"/>
      <c r="N548" s="270"/>
      <c r="O548" s="234"/>
    </row>
    <row r="549" spans="1:15" ht="14.25" customHeight="1">
      <c r="A549" s="234"/>
      <c r="G549" s="270"/>
      <c r="J549" s="270"/>
      <c r="K549" s="270"/>
      <c r="L549" s="234"/>
      <c r="N549" s="270"/>
      <c r="O549" s="234"/>
    </row>
    <row r="550" spans="1:15" ht="14.25" customHeight="1">
      <c r="A550" s="234"/>
      <c r="G550" s="270"/>
      <c r="J550" s="270"/>
      <c r="K550" s="270"/>
      <c r="L550" s="234"/>
      <c r="N550" s="270"/>
      <c r="O550" s="234"/>
    </row>
    <row r="551" spans="1:15" ht="14.25" customHeight="1">
      <c r="A551" s="234"/>
      <c r="G551" s="270"/>
      <c r="J551" s="270"/>
      <c r="K551" s="270"/>
      <c r="L551" s="234"/>
      <c r="N551" s="270"/>
      <c r="O551" s="234"/>
    </row>
    <row r="552" spans="1:15" ht="14.25" customHeight="1">
      <c r="A552" s="234"/>
      <c r="G552" s="270"/>
      <c r="J552" s="270"/>
      <c r="K552" s="270"/>
      <c r="L552" s="234"/>
      <c r="N552" s="270"/>
      <c r="O552" s="234"/>
    </row>
    <row r="553" spans="1:15" ht="14.25" customHeight="1">
      <c r="A553" s="234"/>
      <c r="G553" s="270"/>
      <c r="J553" s="270"/>
      <c r="K553" s="270"/>
      <c r="L553" s="234"/>
      <c r="N553" s="270"/>
      <c r="O553" s="234"/>
    </row>
    <row r="554" spans="1:15" ht="14.25" customHeight="1">
      <c r="A554" s="234"/>
      <c r="G554" s="270"/>
      <c r="J554" s="270"/>
      <c r="K554" s="270"/>
      <c r="L554" s="234"/>
      <c r="N554" s="270"/>
      <c r="O554" s="234"/>
    </row>
    <row r="555" spans="1:15" ht="14.25" customHeight="1">
      <c r="A555" s="234"/>
      <c r="G555" s="270"/>
      <c r="J555" s="270"/>
      <c r="K555" s="270"/>
      <c r="L555" s="234"/>
      <c r="N555" s="270"/>
      <c r="O555" s="234"/>
    </row>
    <row r="556" spans="1:15" ht="14.25" customHeight="1">
      <c r="A556" s="234"/>
      <c r="G556" s="270"/>
      <c r="J556" s="270"/>
      <c r="K556" s="270"/>
      <c r="L556" s="234"/>
      <c r="N556" s="270"/>
      <c r="O556" s="234"/>
    </row>
    <row r="557" spans="1:15" ht="14.25" customHeight="1">
      <c r="A557" s="234"/>
      <c r="G557" s="270"/>
      <c r="J557" s="270"/>
      <c r="K557" s="270"/>
      <c r="L557" s="234"/>
      <c r="N557" s="270"/>
      <c r="O557" s="234"/>
    </row>
    <row r="558" spans="1:15" ht="14.25" customHeight="1">
      <c r="A558" s="234"/>
      <c r="G558" s="270"/>
      <c r="J558" s="270"/>
      <c r="K558" s="270"/>
      <c r="L558" s="234"/>
      <c r="N558" s="270"/>
      <c r="O558" s="234"/>
    </row>
    <row r="559" spans="1:15" ht="14.25" customHeight="1">
      <c r="A559" s="234"/>
      <c r="G559" s="270"/>
      <c r="J559" s="270"/>
      <c r="K559" s="270"/>
      <c r="L559" s="234"/>
      <c r="N559" s="270"/>
      <c r="O559" s="234"/>
    </row>
    <row r="560" spans="1:15" ht="14.25" customHeight="1">
      <c r="A560" s="234"/>
      <c r="G560" s="270"/>
      <c r="J560" s="270"/>
      <c r="K560" s="270"/>
      <c r="L560" s="234"/>
      <c r="N560" s="270"/>
      <c r="O560" s="234"/>
    </row>
    <row r="561" spans="1:15" ht="14.25" customHeight="1">
      <c r="A561" s="234"/>
      <c r="G561" s="270"/>
      <c r="J561" s="270"/>
      <c r="K561" s="270"/>
      <c r="L561" s="234"/>
      <c r="N561" s="270"/>
      <c r="O561" s="234"/>
    </row>
    <row r="562" spans="1:15" ht="14.25" customHeight="1">
      <c r="A562" s="234"/>
      <c r="G562" s="270"/>
      <c r="J562" s="270"/>
      <c r="K562" s="270"/>
      <c r="L562" s="234"/>
      <c r="N562" s="270"/>
      <c r="O562" s="234"/>
    </row>
    <row r="563" spans="1:15" ht="14.25" customHeight="1">
      <c r="A563" s="234"/>
      <c r="G563" s="270"/>
      <c r="J563" s="270"/>
      <c r="K563" s="270"/>
      <c r="L563" s="234"/>
      <c r="N563" s="270"/>
      <c r="O563" s="234"/>
    </row>
    <row r="564" spans="1:15" ht="14.25" customHeight="1">
      <c r="A564" s="234"/>
      <c r="G564" s="270"/>
      <c r="J564" s="270"/>
      <c r="K564" s="270"/>
      <c r="L564" s="234"/>
      <c r="N564" s="270"/>
      <c r="O564" s="234"/>
    </row>
    <row r="565" spans="1:15" ht="14.25" customHeight="1">
      <c r="A565" s="234"/>
      <c r="G565" s="270"/>
      <c r="J565" s="270"/>
      <c r="K565" s="270"/>
      <c r="L565" s="234"/>
      <c r="N565" s="270"/>
      <c r="O565" s="234"/>
    </row>
    <row r="566" spans="1:15" ht="14.25" customHeight="1">
      <c r="A566" s="234"/>
      <c r="G566" s="270"/>
      <c r="J566" s="270"/>
      <c r="K566" s="270"/>
      <c r="L566" s="234"/>
      <c r="N566" s="270"/>
      <c r="O566" s="234"/>
    </row>
    <row r="567" spans="1:15" ht="14.25" customHeight="1">
      <c r="A567" s="234"/>
      <c r="G567" s="270"/>
      <c r="J567" s="270"/>
      <c r="K567" s="270"/>
      <c r="L567" s="234"/>
      <c r="N567" s="270"/>
      <c r="O567" s="234"/>
    </row>
    <row r="568" spans="1:15" ht="14.25" customHeight="1">
      <c r="A568" s="234"/>
      <c r="G568" s="270"/>
      <c r="J568" s="270"/>
      <c r="K568" s="270"/>
      <c r="L568" s="234"/>
      <c r="N568" s="270"/>
      <c r="O568" s="234"/>
    </row>
    <row r="569" spans="1:15" ht="14.25" customHeight="1">
      <c r="A569" s="234"/>
      <c r="G569" s="270"/>
      <c r="J569" s="270"/>
      <c r="K569" s="270"/>
      <c r="L569" s="234"/>
      <c r="N569" s="270"/>
      <c r="O569" s="234"/>
    </row>
    <row r="570" spans="1:15" ht="14.25" customHeight="1">
      <c r="A570" s="234"/>
      <c r="G570" s="270"/>
      <c r="J570" s="270"/>
      <c r="K570" s="270"/>
      <c r="L570" s="234"/>
      <c r="N570" s="270"/>
      <c r="O570" s="234"/>
    </row>
    <row r="571" spans="1:15" ht="14.25" customHeight="1">
      <c r="A571" s="234"/>
      <c r="G571" s="270"/>
      <c r="J571" s="270"/>
      <c r="K571" s="270"/>
      <c r="L571" s="234"/>
      <c r="N571" s="270"/>
      <c r="O571" s="234"/>
    </row>
    <row r="572" spans="1:15" ht="14.25" customHeight="1">
      <c r="A572" s="234"/>
      <c r="G572" s="270"/>
      <c r="J572" s="270"/>
      <c r="K572" s="270"/>
      <c r="L572" s="234"/>
      <c r="N572" s="270"/>
      <c r="O572" s="234"/>
    </row>
    <row r="573" spans="1:15" ht="14.25" customHeight="1">
      <c r="A573" s="234"/>
      <c r="G573" s="270"/>
      <c r="J573" s="270"/>
      <c r="K573" s="270"/>
      <c r="L573" s="234"/>
      <c r="N573" s="270"/>
      <c r="O573" s="234"/>
    </row>
    <row r="574" spans="1:15" ht="14.25" customHeight="1">
      <c r="A574" s="234"/>
      <c r="G574" s="270"/>
      <c r="J574" s="270"/>
      <c r="K574" s="270"/>
      <c r="L574" s="234"/>
      <c r="N574" s="270"/>
      <c r="O574" s="234"/>
    </row>
    <row r="575" spans="1:15" ht="14.25" customHeight="1">
      <c r="A575" s="234"/>
      <c r="G575" s="270"/>
      <c r="J575" s="270"/>
      <c r="K575" s="270"/>
      <c r="L575" s="234"/>
      <c r="N575" s="270"/>
      <c r="O575" s="234"/>
    </row>
    <row r="576" spans="1:15" ht="14.25" customHeight="1">
      <c r="A576" s="234"/>
      <c r="G576" s="270"/>
      <c r="J576" s="270"/>
      <c r="K576" s="270"/>
      <c r="L576" s="234"/>
      <c r="N576" s="270"/>
      <c r="O576" s="234"/>
    </row>
    <row r="577" spans="1:15" ht="14.25" customHeight="1">
      <c r="A577" s="234"/>
      <c r="G577" s="270"/>
      <c r="J577" s="270"/>
      <c r="K577" s="270"/>
      <c r="L577" s="234"/>
      <c r="N577" s="270"/>
      <c r="O577" s="234"/>
    </row>
    <row r="578" spans="1:15" ht="14.25" customHeight="1">
      <c r="A578" s="234"/>
      <c r="G578" s="270"/>
      <c r="J578" s="270"/>
      <c r="K578" s="270"/>
      <c r="L578" s="234"/>
      <c r="N578" s="270"/>
      <c r="O578" s="234"/>
    </row>
    <row r="579" spans="1:15" ht="14.25" customHeight="1">
      <c r="A579" s="234"/>
      <c r="G579" s="270"/>
      <c r="J579" s="270"/>
      <c r="K579" s="270"/>
      <c r="L579" s="234"/>
      <c r="N579" s="270"/>
      <c r="O579" s="234"/>
    </row>
    <row r="580" spans="1:15" ht="14.25" customHeight="1">
      <c r="A580" s="234"/>
      <c r="G580" s="270"/>
      <c r="J580" s="270"/>
      <c r="K580" s="270"/>
      <c r="L580" s="234"/>
      <c r="N580" s="270"/>
      <c r="O580" s="234"/>
    </row>
    <row r="581" spans="1:15" ht="14.25" customHeight="1">
      <c r="A581" s="234"/>
      <c r="G581" s="270"/>
      <c r="J581" s="270"/>
      <c r="K581" s="270"/>
      <c r="L581" s="234"/>
      <c r="N581" s="270"/>
      <c r="O581" s="234"/>
    </row>
    <row r="582" spans="1:15" ht="14.25" customHeight="1">
      <c r="A582" s="234"/>
      <c r="G582" s="270"/>
      <c r="J582" s="270"/>
      <c r="K582" s="270"/>
      <c r="L582" s="234"/>
      <c r="N582" s="270"/>
      <c r="O582" s="234"/>
    </row>
    <row r="583" spans="1:15" ht="14.25" customHeight="1">
      <c r="A583" s="234"/>
      <c r="G583" s="270"/>
      <c r="J583" s="270"/>
      <c r="K583" s="270"/>
      <c r="L583" s="234"/>
      <c r="N583" s="270"/>
      <c r="O583" s="234"/>
    </row>
    <row r="584" spans="1:15" ht="14.25" customHeight="1">
      <c r="A584" s="234"/>
      <c r="G584" s="270"/>
      <c r="J584" s="270"/>
      <c r="K584" s="270"/>
      <c r="L584" s="234"/>
      <c r="N584" s="270"/>
      <c r="O584" s="234"/>
    </row>
    <row r="585" spans="1:15" ht="14.25" customHeight="1">
      <c r="A585" s="234"/>
      <c r="G585" s="270"/>
      <c r="J585" s="270"/>
      <c r="K585" s="270"/>
      <c r="L585" s="234"/>
      <c r="N585" s="270"/>
      <c r="O585" s="234"/>
    </row>
    <row r="586" spans="1:15" ht="14.25" customHeight="1">
      <c r="A586" s="234"/>
      <c r="G586" s="270"/>
      <c r="J586" s="270"/>
      <c r="K586" s="270"/>
      <c r="L586" s="234"/>
      <c r="N586" s="270"/>
      <c r="O586" s="234"/>
    </row>
    <row r="587" spans="1:15" ht="14.25" customHeight="1">
      <c r="A587" s="234"/>
      <c r="G587" s="270"/>
      <c r="J587" s="270"/>
      <c r="K587" s="270"/>
      <c r="L587" s="234"/>
      <c r="N587" s="270"/>
      <c r="O587" s="234"/>
    </row>
    <row r="588" spans="1:15" ht="14.25" customHeight="1">
      <c r="A588" s="234"/>
      <c r="G588" s="270"/>
      <c r="J588" s="270"/>
      <c r="K588" s="270"/>
      <c r="L588" s="234"/>
      <c r="N588" s="270"/>
      <c r="O588" s="234"/>
    </row>
    <row r="589" spans="1:15" ht="14.25" customHeight="1">
      <c r="A589" s="234"/>
      <c r="G589" s="270"/>
      <c r="J589" s="270"/>
      <c r="K589" s="270"/>
      <c r="L589" s="234"/>
      <c r="N589" s="270"/>
      <c r="O589" s="234"/>
    </row>
    <row r="590" spans="1:15" ht="14.25" customHeight="1">
      <c r="A590" s="234"/>
      <c r="G590" s="270"/>
      <c r="J590" s="270"/>
      <c r="K590" s="270"/>
      <c r="L590" s="234"/>
      <c r="N590" s="270"/>
      <c r="O590" s="234"/>
    </row>
    <row r="591" spans="1:15" ht="14.25" customHeight="1">
      <c r="A591" s="234"/>
      <c r="G591" s="270"/>
      <c r="J591" s="270"/>
      <c r="K591" s="270"/>
      <c r="L591" s="234"/>
      <c r="N591" s="270"/>
      <c r="O591" s="234"/>
    </row>
    <row r="592" spans="1:15" ht="14.25" customHeight="1">
      <c r="A592" s="234"/>
      <c r="G592" s="270"/>
      <c r="J592" s="270"/>
      <c r="K592" s="270"/>
      <c r="L592" s="234"/>
      <c r="N592" s="270"/>
      <c r="O592" s="234"/>
    </row>
    <row r="593" spans="1:15" ht="14.25" customHeight="1">
      <c r="A593" s="234"/>
      <c r="G593" s="270"/>
      <c r="J593" s="270"/>
      <c r="K593" s="270"/>
      <c r="L593" s="234"/>
      <c r="N593" s="270"/>
      <c r="O593" s="234"/>
    </row>
    <row r="594" spans="1:15" ht="14.25" customHeight="1">
      <c r="A594" s="234"/>
      <c r="G594" s="270"/>
      <c r="J594" s="270"/>
      <c r="K594" s="270"/>
      <c r="L594" s="234"/>
      <c r="N594" s="270"/>
      <c r="O594" s="234"/>
    </row>
    <row r="595" spans="1:15" ht="14.25" customHeight="1">
      <c r="A595" s="234"/>
      <c r="G595" s="270"/>
      <c r="J595" s="270"/>
      <c r="K595" s="270"/>
      <c r="L595" s="234"/>
      <c r="N595" s="270"/>
      <c r="O595" s="234"/>
    </row>
    <row r="596" spans="1:15" ht="14.25" customHeight="1">
      <c r="A596" s="234"/>
      <c r="G596" s="270"/>
      <c r="J596" s="270"/>
      <c r="K596" s="270"/>
      <c r="L596" s="234"/>
      <c r="N596" s="270"/>
      <c r="O596" s="234"/>
    </row>
    <row r="597" spans="1:15" ht="14.25" customHeight="1">
      <c r="A597" s="234"/>
      <c r="G597" s="270"/>
      <c r="J597" s="270"/>
      <c r="K597" s="270"/>
      <c r="L597" s="234"/>
      <c r="N597" s="270"/>
      <c r="O597" s="234"/>
    </row>
    <row r="598" spans="1:15" ht="14.25" customHeight="1">
      <c r="A598" s="234"/>
      <c r="G598" s="270"/>
      <c r="J598" s="270"/>
      <c r="K598" s="270"/>
      <c r="L598" s="234"/>
      <c r="N598" s="270"/>
      <c r="O598" s="234"/>
    </row>
    <row r="599" spans="1:15" ht="14.25" customHeight="1">
      <c r="A599" s="234"/>
      <c r="G599" s="270"/>
      <c r="J599" s="270"/>
      <c r="K599" s="270"/>
      <c r="L599" s="234"/>
      <c r="N599" s="270"/>
      <c r="O599" s="234"/>
    </row>
    <row r="600" spans="1:15" ht="14.25" customHeight="1">
      <c r="A600" s="234"/>
      <c r="G600" s="270"/>
      <c r="J600" s="270"/>
      <c r="K600" s="270"/>
      <c r="L600" s="234"/>
      <c r="N600" s="270"/>
      <c r="O600" s="234"/>
    </row>
    <row r="601" spans="1:15" ht="14.25" customHeight="1">
      <c r="A601" s="234"/>
      <c r="G601" s="270"/>
      <c r="J601" s="270"/>
      <c r="K601" s="270"/>
      <c r="L601" s="234"/>
      <c r="N601" s="270"/>
      <c r="O601" s="234"/>
    </row>
    <row r="602" spans="1:15" ht="14.25" customHeight="1">
      <c r="A602" s="234"/>
      <c r="G602" s="270"/>
      <c r="J602" s="270"/>
      <c r="K602" s="270"/>
      <c r="L602" s="234"/>
      <c r="N602" s="270"/>
      <c r="O602" s="234"/>
    </row>
    <row r="603" spans="1:15" ht="14.25" customHeight="1">
      <c r="A603" s="234"/>
      <c r="G603" s="270"/>
      <c r="J603" s="270"/>
      <c r="K603" s="270"/>
      <c r="L603" s="234"/>
      <c r="N603" s="270"/>
      <c r="O603" s="234"/>
    </row>
    <row r="604" spans="1:15" ht="14.25" customHeight="1">
      <c r="A604" s="234"/>
      <c r="G604" s="270"/>
      <c r="J604" s="270"/>
      <c r="K604" s="270"/>
      <c r="L604" s="234"/>
      <c r="N604" s="270"/>
      <c r="O604" s="234"/>
    </row>
    <row r="605" spans="1:15" ht="14.25" customHeight="1">
      <c r="A605" s="234"/>
      <c r="G605" s="270"/>
      <c r="J605" s="270"/>
      <c r="K605" s="270"/>
      <c r="L605" s="234"/>
      <c r="N605" s="270"/>
      <c r="O605" s="234"/>
    </row>
    <row r="606" spans="1:15" ht="14.25" customHeight="1">
      <c r="A606" s="234"/>
      <c r="G606" s="270"/>
      <c r="J606" s="270"/>
      <c r="K606" s="270"/>
      <c r="L606" s="234"/>
      <c r="N606" s="270"/>
      <c r="O606" s="234"/>
    </row>
    <row r="607" spans="1:15" ht="14.25" customHeight="1">
      <c r="A607" s="234"/>
      <c r="G607" s="270"/>
      <c r="J607" s="270"/>
      <c r="K607" s="270"/>
      <c r="L607" s="234"/>
      <c r="N607" s="270"/>
      <c r="O607" s="234"/>
    </row>
    <row r="608" spans="1:15" ht="14.25" customHeight="1">
      <c r="A608" s="234"/>
      <c r="G608" s="270"/>
      <c r="J608" s="270"/>
      <c r="K608" s="270"/>
      <c r="L608" s="234"/>
      <c r="N608" s="270"/>
      <c r="O608" s="234"/>
    </row>
    <row r="609" spans="1:15" ht="14.25" customHeight="1">
      <c r="A609" s="234"/>
      <c r="G609" s="270"/>
      <c r="J609" s="270"/>
      <c r="K609" s="270"/>
      <c r="L609" s="234"/>
      <c r="N609" s="270"/>
      <c r="O609" s="234"/>
    </row>
    <row r="610" spans="1:15" ht="14.25" customHeight="1">
      <c r="A610" s="234"/>
      <c r="G610" s="270"/>
      <c r="J610" s="270"/>
      <c r="K610" s="270"/>
      <c r="L610" s="234"/>
      <c r="N610" s="270"/>
      <c r="O610" s="234"/>
    </row>
    <row r="611" spans="1:15" ht="14.25" customHeight="1">
      <c r="A611" s="234"/>
      <c r="G611" s="270"/>
      <c r="J611" s="270"/>
      <c r="K611" s="270"/>
      <c r="L611" s="234"/>
      <c r="N611" s="270"/>
      <c r="O611" s="234"/>
    </row>
    <row r="612" spans="1:15" ht="14.25" customHeight="1">
      <c r="A612" s="234"/>
      <c r="G612" s="270"/>
      <c r="J612" s="270"/>
      <c r="K612" s="270"/>
      <c r="L612" s="234"/>
      <c r="N612" s="270"/>
      <c r="O612" s="234"/>
    </row>
    <row r="613" spans="1:15" ht="14.25" customHeight="1">
      <c r="A613" s="234"/>
      <c r="G613" s="270"/>
      <c r="J613" s="270"/>
      <c r="K613" s="270"/>
      <c r="L613" s="234"/>
      <c r="N613" s="270"/>
      <c r="O613" s="234"/>
    </row>
    <row r="614" spans="1:15" ht="14.25" customHeight="1">
      <c r="A614" s="234"/>
      <c r="G614" s="270"/>
      <c r="J614" s="270"/>
      <c r="K614" s="270"/>
      <c r="L614" s="234"/>
      <c r="N614" s="270"/>
      <c r="O614" s="234"/>
    </row>
    <row r="615" spans="1:15" ht="14.25" customHeight="1">
      <c r="A615" s="234"/>
      <c r="G615" s="270"/>
      <c r="J615" s="270"/>
      <c r="K615" s="270"/>
      <c r="L615" s="234"/>
      <c r="N615" s="270"/>
      <c r="O615" s="234"/>
    </row>
    <row r="616" spans="1:15" ht="14.25" customHeight="1">
      <c r="A616" s="234"/>
      <c r="G616" s="270"/>
      <c r="J616" s="270"/>
      <c r="K616" s="270"/>
      <c r="L616" s="234"/>
      <c r="N616" s="270"/>
      <c r="O616" s="234"/>
    </row>
    <row r="617" spans="1:15" ht="14.25" customHeight="1">
      <c r="A617" s="234"/>
      <c r="G617" s="270"/>
      <c r="J617" s="270"/>
      <c r="K617" s="270"/>
      <c r="L617" s="234"/>
      <c r="N617" s="270"/>
      <c r="O617" s="234"/>
    </row>
    <row r="618" spans="1:15" ht="14.25" customHeight="1">
      <c r="A618" s="234"/>
      <c r="G618" s="270"/>
      <c r="J618" s="270"/>
      <c r="K618" s="270"/>
      <c r="L618" s="234"/>
      <c r="N618" s="270"/>
      <c r="O618" s="234"/>
    </row>
    <row r="619" spans="1:15" ht="14.25" customHeight="1">
      <c r="A619" s="234"/>
      <c r="G619" s="270"/>
      <c r="J619" s="270"/>
      <c r="K619" s="270"/>
      <c r="L619" s="234"/>
      <c r="N619" s="270"/>
      <c r="O619" s="234"/>
    </row>
    <row r="620" spans="1:15" ht="14.25" customHeight="1">
      <c r="A620" s="234"/>
      <c r="G620" s="270"/>
      <c r="J620" s="270"/>
      <c r="K620" s="270"/>
      <c r="L620" s="234"/>
      <c r="N620" s="270"/>
      <c r="O620" s="234"/>
    </row>
    <row r="621" spans="1:15" ht="14.25" customHeight="1">
      <c r="A621" s="234"/>
      <c r="G621" s="270"/>
      <c r="J621" s="270"/>
      <c r="K621" s="270"/>
      <c r="L621" s="234"/>
      <c r="N621" s="270"/>
      <c r="O621" s="234"/>
    </row>
    <row r="622" spans="1:15" ht="14.25" customHeight="1">
      <c r="A622" s="234"/>
      <c r="G622" s="270"/>
      <c r="J622" s="270"/>
      <c r="K622" s="270"/>
      <c r="L622" s="234"/>
      <c r="N622" s="270"/>
      <c r="O622" s="234"/>
    </row>
    <row r="623" spans="1:15" ht="14.25" customHeight="1">
      <c r="A623" s="234"/>
      <c r="G623" s="270"/>
      <c r="J623" s="270"/>
      <c r="K623" s="270"/>
      <c r="L623" s="234"/>
      <c r="N623" s="270"/>
      <c r="O623" s="234"/>
    </row>
    <row r="624" spans="1:15" ht="14.25" customHeight="1">
      <c r="A624" s="234"/>
      <c r="G624" s="270"/>
      <c r="J624" s="270"/>
      <c r="K624" s="270"/>
      <c r="L624" s="234"/>
      <c r="N624" s="270"/>
      <c r="O624" s="234"/>
    </row>
    <row r="625" spans="1:15" ht="14.25" customHeight="1">
      <c r="A625" s="234"/>
      <c r="G625" s="270"/>
      <c r="J625" s="270"/>
      <c r="K625" s="270"/>
      <c r="L625" s="234"/>
      <c r="N625" s="270"/>
      <c r="O625" s="234"/>
    </row>
    <row r="626" spans="1:15" ht="14.25" customHeight="1">
      <c r="A626" s="234"/>
      <c r="G626" s="270"/>
      <c r="J626" s="270"/>
      <c r="K626" s="270"/>
      <c r="L626" s="234"/>
      <c r="N626" s="270"/>
      <c r="O626" s="234"/>
    </row>
    <row r="627" spans="1:15" ht="14.25" customHeight="1">
      <c r="A627" s="234"/>
      <c r="G627" s="270"/>
      <c r="J627" s="270"/>
      <c r="K627" s="270"/>
      <c r="L627" s="234"/>
      <c r="N627" s="270"/>
      <c r="O627" s="234"/>
    </row>
    <row r="628" spans="1:15" ht="14.25" customHeight="1">
      <c r="A628" s="234"/>
      <c r="G628" s="270"/>
      <c r="J628" s="270"/>
      <c r="K628" s="270"/>
      <c r="L628" s="234"/>
      <c r="N628" s="270"/>
      <c r="O628" s="234"/>
    </row>
    <row r="629" spans="1:15" ht="14.25" customHeight="1">
      <c r="A629" s="234"/>
      <c r="G629" s="270"/>
      <c r="J629" s="270"/>
      <c r="K629" s="270"/>
      <c r="L629" s="234"/>
      <c r="N629" s="270"/>
      <c r="O629" s="234"/>
    </row>
    <row r="630" spans="1:15" ht="14.25" customHeight="1">
      <c r="A630" s="234"/>
      <c r="G630" s="270"/>
      <c r="J630" s="270"/>
      <c r="K630" s="270"/>
      <c r="L630" s="234"/>
      <c r="N630" s="270"/>
      <c r="O630" s="234"/>
    </row>
    <row r="631" spans="1:15" ht="14.25" customHeight="1">
      <c r="A631" s="234"/>
      <c r="G631" s="270"/>
      <c r="J631" s="270"/>
      <c r="K631" s="270"/>
      <c r="L631" s="234"/>
      <c r="N631" s="270"/>
      <c r="O631" s="234"/>
    </row>
    <row r="632" spans="1:15" ht="14.25" customHeight="1">
      <c r="A632" s="234"/>
      <c r="G632" s="270"/>
      <c r="J632" s="270"/>
      <c r="K632" s="270"/>
      <c r="L632" s="234"/>
      <c r="N632" s="270"/>
      <c r="O632" s="234"/>
    </row>
    <row r="633" spans="1:15" ht="14.25" customHeight="1">
      <c r="A633" s="234"/>
      <c r="G633" s="270"/>
      <c r="J633" s="270"/>
      <c r="K633" s="270"/>
      <c r="L633" s="234"/>
      <c r="N633" s="270"/>
      <c r="O633" s="234"/>
    </row>
    <row r="634" spans="1:15" ht="14.25" customHeight="1">
      <c r="A634" s="234"/>
      <c r="G634" s="270"/>
      <c r="J634" s="270"/>
      <c r="K634" s="270"/>
      <c r="L634" s="234"/>
      <c r="N634" s="270"/>
      <c r="O634" s="234"/>
    </row>
    <row r="635" spans="1:15" ht="14.25" customHeight="1">
      <c r="A635" s="234"/>
      <c r="G635" s="270"/>
      <c r="J635" s="270"/>
      <c r="K635" s="270"/>
      <c r="L635" s="234"/>
      <c r="N635" s="270"/>
      <c r="O635" s="234"/>
    </row>
    <row r="636" spans="1:15" ht="14.25" customHeight="1">
      <c r="A636" s="234"/>
      <c r="G636" s="270"/>
      <c r="J636" s="270"/>
      <c r="K636" s="270"/>
      <c r="L636" s="234"/>
      <c r="N636" s="270"/>
      <c r="O636" s="234"/>
    </row>
    <row r="637" spans="1:15" ht="14.25" customHeight="1">
      <c r="A637" s="234"/>
      <c r="G637" s="270"/>
      <c r="J637" s="270"/>
      <c r="K637" s="270"/>
      <c r="L637" s="234"/>
      <c r="N637" s="270"/>
      <c r="O637" s="234"/>
    </row>
    <row r="638" spans="1:15" ht="14.25" customHeight="1">
      <c r="A638" s="234"/>
      <c r="G638" s="270"/>
      <c r="J638" s="270"/>
      <c r="K638" s="270"/>
      <c r="L638" s="234"/>
      <c r="N638" s="270"/>
      <c r="O638" s="234"/>
    </row>
    <row r="639" spans="1:15" ht="14.25" customHeight="1">
      <c r="A639" s="234"/>
      <c r="G639" s="270"/>
      <c r="J639" s="270"/>
      <c r="K639" s="270"/>
      <c r="L639" s="234"/>
      <c r="N639" s="270"/>
      <c r="O639" s="234"/>
    </row>
    <row r="640" spans="1:15" ht="14.25" customHeight="1">
      <c r="A640" s="234"/>
      <c r="G640" s="270"/>
      <c r="J640" s="270"/>
      <c r="K640" s="270"/>
      <c r="L640" s="234"/>
      <c r="N640" s="270"/>
      <c r="O640" s="234"/>
    </row>
    <row r="641" spans="1:15" ht="14.25" customHeight="1">
      <c r="A641" s="234"/>
      <c r="G641" s="270"/>
      <c r="J641" s="270"/>
      <c r="K641" s="270"/>
      <c r="L641" s="234"/>
      <c r="N641" s="270"/>
      <c r="O641" s="234"/>
    </row>
    <row r="642" spans="1:15" ht="14.25" customHeight="1">
      <c r="A642" s="234"/>
      <c r="G642" s="270"/>
      <c r="J642" s="270"/>
      <c r="K642" s="270"/>
      <c r="L642" s="234"/>
      <c r="N642" s="270"/>
      <c r="O642" s="234"/>
    </row>
    <row r="643" spans="1:15" ht="14.25" customHeight="1">
      <c r="A643" s="234"/>
      <c r="G643" s="270"/>
      <c r="J643" s="270"/>
      <c r="K643" s="270"/>
      <c r="L643" s="234"/>
      <c r="N643" s="270"/>
      <c r="O643" s="234"/>
    </row>
    <row r="644" spans="1:15" ht="14.25" customHeight="1">
      <c r="A644" s="234"/>
      <c r="G644" s="270"/>
      <c r="J644" s="270"/>
      <c r="K644" s="270"/>
      <c r="L644" s="234"/>
      <c r="N644" s="270"/>
      <c r="O644" s="234"/>
    </row>
    <row r="645" spans="1:15" ht="14.25" customHeight="1">
      <c r="A645" s="234"/>
      <c r="G645" s="270"/>
      <c r="J645" s="270"/>
      <c r="K645" s="270"/>
      <c r="L645" s="234"/>
      <c r="N645" s="270"/>
      <c r="O645" s="234"/>
    </row>
    <row r="646" spans="1:15" ht="14.25" customHeight="1">
      <c r="A646" s="234"/>
      <c r="G646" s="270"/>
      <c r="J646" s="270"/>
      <c r="K646" s="270"/>
      <c r="L646" s="234"/>
      <c r="N646" s="270"/>
      <c r="O646" s="234"/>
    </row>
    <row r="647" spans="1:15" ht="14.25" customHeight="1">
      <c r="A647" s="234"/>
      <c r="G647" s="270"/>
      <c r="J647" s="270"/>
      <c r="K647" s="270"/>
      <c r="L647" s="234"/>
      <c r="N647" s="270"/>
      <c r="O647" s="234"/>
    </row>
    <row r="648" spans="1:15" ht="14.25" customHeight="1">
      <c r="A648" s="234"/>
      <c r="G648" s="270"/>
      <c r="J648" s="270"/>
      <c r="K648" s="270"/>
      <c r="L648" s="234"/>
      <c r="N648" s="270"/>
      <c r="O648" s="234"/>
    </row>
    <row r="649" spans="1:15" ht="14.25" customHeight="1">
      <c r="A649" s="234"/>
      <c r="G649" s="270"/>
      <c r="J649" s="270"/>
      <c r="K649" s="270"/>
      <c r="L649" s="234"/>
      <c r="N649" s="270"/>
      <c r="O649" s="234"/>
    </row>
    <row r="650" spans="1:15" ht="14.25" customHeight="1">
      <c r="A650" s="234"/>
      <c r="G650" s="270"/>
      <c r="J650" s="270"/>
      <c r="K650" s="270"/>
      <c r="L650" s="234"/>
      <c r="N650" s="270"/>
      <c r="O650" s="234"/>
    </row>
    <row r="651" spans="1:15" ht="14.25" customHeight="1">
      <c r="A651" s="234"/>
      <c r="G651" s="270"/>
      <c r="J651" s="270"/>
      <c r="K651" s="270"/>
      <c r="L651" s="234"/>
      <c r="N651" s="270"/>
      <c r="O651" s="234"/>
    </row>
    <row r="652" spans="1:15" ht="14.25" customHeight="1">
      <c r="A652" s="234"/>
      <c r="G652" s="270"/>
      <c r="J652" s="270"/>
      <c r="K652" s="270"/>
      <c r="L652" s="234"/>
      <c r="N652" s="270"/>
      <c r="O652" s="234"/>
    </row>
    <row r="653" spans="1:15" ht="14.25" customHeight="1">
      <c r="A653" s="234"/>
      <c r="G653" s="270"/>
      <c r="J653" s="270"/>
      <c r="K653" s="270"/>
      <c r="L653" s="234"/>
      <c r="N653" s="270"/>
      <c r="O653" s="234"/>
    </row>
    <row r="654" spans="1:15" ht="14.25" customHeight="1">
      <c r="A654" s="234"/>
      <c r="G654" s="270"/>
      <c r="J654" s="270"/>
      <c r="K654" s="270"/>
      <c r="L654" s="234"/>
      <c r="N654" s="270"/>
      <c r="O654" s="234"/>
    </row>
    <row r="655" spans="1:15" ht="14.25" customHeight="1">
      <c r="A655" s="234"/>
      <c r="G655" s="270"/>
      <c r="J655" s="270"/>
      <c r="K655" s="270"/>
      <c r="L655" s="234"/>
      <c r="N655" s="270"/>
      <c r="O655" s="234"/>
    </row>
    <row r="656" spans="1:15" ht="14.25" customHeight="1">
      <c r="A656" s="234"/>
      <c r="G656" s="270"/>
      <c r="J656" s="270"/>
      <c r="K656" s="270"/>
      <c r="L656" s="234"/>
      <c r="N656" s="270"/>
      <c r="O656" s="234"/>
    </row>
    <row r="657" spans="1:15" ht="14.25" customHeight="1">
      <c r="A657" s="234"/>
      <c r="G657" s="270"/>
      <c r="J657" s="270"/>
      <c r="K657" s="270"/>
      <c r="L657" s="234"/>
      <c r="N657" s="270"/>
      <c r="O657" s="234"/>
    </row>
    <row r="658" spans="1:15" ht="14.25" customHeight="1">
      <c r="A658" s="234"/>
      <c r="G658" s="270"/>
      <c r="J658" s="270"/>
      <c r="K658" s="270"/>
      <c r="L658" s="234"/>
      <c r="N658" s="270"/>
      <c r="O658" s="234"/>
    </row>
    <row r="659" spans="1:15" ht="14.25" customHeight="1">
      <c r="A659" s="234"/>
      <c r="G659" s="270"/>
      <c r="J659" s="270"/>
      <c r="K659" s="270"/>
      <c r="L659" s="234"/>
      <c r="N659" s="270"/>
      <c r="O659" s="234"/>
    </row>
    <row r="660" spans="1:15" ht="14.25" customHeight="1">
      <c r="A660" s="234"/>
      <c r="G660" s="270"/>
      <c r="J660" s="270"/>
      <c r="K660" s="270"/>
      <c r="L660" s="234"/>
      <c r="N660" s="270"/>
      <c r="O660" s="234"/>
    </row>
    <row r="661" spans="1:15" ht="14.25" customHeight="1">
      <c r="A661" s="234"/>
      <c r="G661" s="270"/>
      <c r="J661" s="270"/>
      <c r="K661" s="270"/>
      <c r="L661" s="234"/>
      <c r="N661" s="270"/>
      <c r="O661" s="234"/>
    </row>
    <row r="662" spans="1:15" ht="14.25" customHeight="1">
      <c r="A662" s="234"/>
      <c r="G662" s="270"/>
      <c r="J662" s="270"/>
      <c r="K662" s="270"/>
      <c r="L662" s="234"/>
      <c r="N662" s="270"/>
      <c r="O662" s="234"/>
    </row>
    <row r="663" spans="1:15" ht="14.25" customHeight="1">
      <c r="A663" s="234"/>
      <c r="G663" s="270"/>
      <c r="J663" s="270"/>
      <c r="K663" s="270"/>
      <c r="L663" s="234"/>
      <c r="N663" s="270"/>
      <c r="O663" s="234"/>
    </row>
    <row r="664" spans="1:15" ht="14.25" customHeight="1">
      <c r="A664" s="234"/>
      <c r="G664" s="270"/>
      <c r="J664" s="270"/>
      <c r="K664" s="270"/>
      <c r="L664" s="234"/>
      <c r="N664" s="270"/>
      <c r="O664" s="234"/>
    </row>
    <row r="665" spans="1:15" ht="14.25" customHeight="1">
      <c r="A665" s="234"/>
      <c r="G665" s="270"/>
      <c r="J665" s="270"/>
      <c r="K665" s="270"/>
      <c r="L665" s="234"/>
      <c r="N665" s="270"/>
      <c r="O665" s="234"/>
    </row>
    <row r="666" spans="1:15" ht="14.25" customHeight="1">
      <c r="A666" s="234"/>
      <c r="G666" s="270"/>
      <c r="J666" s="270"/>
      <c r="K666" s="270"/>
      <c r="L666" s="234"/>
      <c r="N666" s="270"/>
      <c r="O666" s="234"/>
    </row>
    <row r="667" spans="1:15" ht="14.25" customHeight="1">
      <c r="A667" s="234"/>
      <c r="G667" s="270"/>
      <c r="J667" s="270"/>
      <c r="K667" s="270"/>
      <c r="L667" s="234"/>
      <c r="N667" s="270"/>
      <c r="O667" s="234"/>
    </row>
    <row r="668" spans="1:15" ht="14.25" customHeight="1">
      <c r="A668" s="234"/>
      <c r="G668" s="270"/>
      <c r="J668" s="270"/>
      <c r="K668" s="270"/>
      <c r="L668" s="234"/>
      <c r="N668" s="270"/>
      <c r="O668" s="234"/>
    </row>
    <row r="669" spans="1:15" ht="14.25" customHeight="1">
      <c r="A669" s="234"/>
      <c r="G669" s="270"/>
      <c r="J669" s="270"/>
      <c r="K669" s="270"/>
      <c r="L669" s="234"/>
      <c r="N669" s="270"/>
      <c r="O669" s="234"/>
    </row>
    <row r="670" spans="1:15" ht="14.25" customHeight="1">
      <c r="A670" s="234"/>
      <c r="G670" s="270"/>
      <c r="J670" s="270"/>
      <c r="K670" s="270"/>
      <c r="L670" s="234"/>
      <c r="N670" s="270"/>
      <c r="O670" s="234"/>
    </row>
    <row r="671" spans="1:15" ht="14.25" customHeight="1">
      <c r="A671" s="234"/>
      <c r="G671" s="270"/>
      <c r="J671" s="270"/>
      <c r="K671" s="270"/>
      <c r="L671" s="234"/>
      <c r="N671" s="270"/>
      <c r="O671" s="234"/>
    </row>
    <row r="672" spans="1:15" ht="14.25" customHeight="1">
      <c r="A672" s="234"/>
      <c r="G672" s="270"/>
      <c r="J672" s="270"/>
      <c r="K672" s="270"/>
      <c r="L672" s="234"/>
      <c r="N672" s="270"/>
      <c r="O672" s="234"/>
    </row>
    <row r="673" spans="1:15" ht="14.25" customHeight="1">
      <c r="A673" s="234"/>
      <c r="G673" s="270"/>
      <c r="J673" s="270"/>
      <c r="K673" s="270"/>
      <c r="L673" s="234"/>
      <c r="N673" s="270"/>
      <c r="O673" s="234"/>
    </row>
    <row r="674" spans="1:15" ht="14.25" customHeight="1">
      <c r="A674" s="234"/>
      <c r="G674" s="270"/>
      <c r="J674" s="270"/>
      <c r="K674" s="270"/>
      <c r="L674" s="234"/>
      <c r="N674" s="270"/>
      <c r="O674" s="234"/>
    </row>
    <row r="675" spans="1:15" ht="14.25" customHeight="1">
      <c r="A675" s="234"/>
      <c r="G675" s="270"/>
      <c r="J675" s="270"/>
      <c r="K675" s="270"/>
      <c r="L675" s="234"/>
      <c r="N675" s="270"/>
      <c r="O675" s="234"/>
    </row>
    <row r="676" spans="1:15" ht="14.25" customHeight="1">
      <c r="A676" s="234"/>
      <c r="G676" s="270"/>
      <c r="J676" s="270"/>
      <c r="K676" s="270"/>
      <c r="L676" s="234"/>
      <c r="N676" s="270"/>
      <c r="O676" s="234"/>
    </row>
    <row r="677" spans="1:15" ht="14.25" customHeight="1">
      <c r="A677" s="234"/>
      <c r="G677" s="270"/>
      <c r="J677" s="270"/>
      <c r="K677" s="270"/>
      <c r="L677" s="234"/>
      <c r="N677" s="270"/>
      <c r="O677" s="234"/>
    </row>
    <row r="678" spans="1:15" ht="14.25" customHeight="1">
      <c r="A678" s="234"/>
      <c r="G678" s="270"/>
      <c r="J678" s="270"/>
      <c r="K678" s="270"/>
      <c r="L678" s="234"/>
      <c r="N678" s="270"/>
      <c r="O678" s="234"/>
    </row>
    <row r="679" spans="1:15" ht="14.25" customHeight="1">
      <c r="A679" s="234"/>
      <c r="G679" s="270"/>
      <c r="J679" s="270"/>
      <c r="K679" s="270"/>
      <c r="L679" s="234"/>
      <c r="N679" s="270"/>
      <c r="O679" s="234"/>
    </row>
    <row r="680" spans="1:15" ht="14.25" customHeight="1">
      <c r="A680" s="234"/>
      <c r="G680" s="270"/>
      <c r="J680" s="270"/>
      <c r="K680" s="270"/>
      <c r="L680" s="234"/>
      <c r="N680" s="270"/>
      <c r="O680" s="234"/>
    </row>
    <row r="681" spans="1:15" ht="14.25" customHeight="1">
      <c r="A681" s="234"/>
      <c r="G681" s="270"/>
      <c r="J681" s="270"/>
      <c r="K681" s="270"/>
      <c r="L681" s="234"/>
      <c r="N681" s="270"/>
      <c r="O681" s="234"/>
    </row>
    <row r="682" spans="1:15" ht="14.25" customHeight="1">
      <c r="A682" s="234"/>
      <c r="G682" s="270"/>
      <c r="J682" s="270"/>
      <c r="K682" s="270"/>
      <c r="L682" s="234"/>
      <c r="N682" s="270"/>
      <c r="O682" s="234"/>
    </row>
    <row r="683" spans="1:15" ht="14.25" customHeight="1">
      <c r="A683" s="234"/>
      <c r="G683" s="270"/>
      <c r="J683" s="270"/>
      <c r="K683" s="270"/>
      <c r="L683" s="234"/>
      <c r="N683" s="270"/>
      <c r="O683" s="234"/>
    </row>
    <row r="684" spans="1:15" ht="14.25" customHeight="1">
      <c r="A684" s="234"/>
      <c r="G684" s="270"/>
      <c r="J684" s="270"/>
      <c r="K684" s="270"/>
      <c r="L684" s="234"/>
      <c r="N684" s="270"/>
      <c r="O684" s="234"/>
    </row>
    <row r="685" spans="1:15" ht="14.25" customHeight="1">
      <c r="A685" s="234"/>
      <c r="G685" s="270"/>
      <c r="J685" s="270"/>
      <c r="K685" s="270"/>
      <c r="L685" s="234"/>
      <c r="N685" s="270"/>
      <c r="O685" s="234"/>
    </row>
    <row r="686" spans="1:15" ht="14.25" customHeight="1">
      <c r="A686" s="234"/>
      <c r="G686" s="270"/>
      <c r="J686" s="270"/>
      <c r="K686" s="270"/>
      <c r="L686" s="234"/>
      <c r="N686" s="270"/>
      <c r="O686" s="234"/>
    </row>
    <row r="687" spans="1:15" ht="14.25" customHeight="1">
      <c r="A687" s="234"/>
      <c r="G687" s="270"/>
      <c r="J687" s="270"/>
      <c r="K687" s="270"/>
      <c r="L687" s="234"/>
      <c r="N687" s="270"/>
      <c r="O687" s="234"/>
    </row>
    <row r="688" spans="1:15" ht="14.25" customHeight="1">
      <c r="A688" s="234"/>
      <c r="G688" s="270"/>
      <c r="J688" s="270"/>
      <c r="K688" s="270"/>
      <c r="L688" s="234"/>
      <c r="N688" s="270"/>
      <c r="O688" s="234"/>
    </row>
    <row r="689" spans="1:15" ht="14.25" customHeight="1">
      <c r="A689" s="234"/>
      <c r="G689" s="270"/>
      <c r="J689" s="270"/>
      <c r="K689" s="270"/>
      <c r="L689" s="234"/>
      <c r="N689" s="270"/>
      <c r="O689" s="234"/>
    </row>
    <row r="690" spans="1:15" ht="14.25" customHeight="1">
      <c r="A690" s="234"/>
      <c r="G690" s="270"/>
      <c r="J690" s="270"/>
      <c r="K690" s="270"/>
      <c r="L690" s="234"/>
      <c r="N690" s="270"/>
      <c r="O690" s="234"/>
    </row>
    <row r="691" spans="1:15" ht="14.25" customHeight="1">
      <c r="A691" s="234"/>
      <c r="G691" s="270"/>
      <c r="J691" s="270"/>
      <c r="K691" s="270"/>
      <c r="L691" s="234"/>
      <c r="N691" s="270"/>
      <c r="O691" s="234"/>
    </row>
    <row r="692" spans="1:15" ht="14.25" customHeight="1">
      <c r="A692" s="234"/>
      <c r="G692" s="270"/>
      <c r="J692" s="270"/>
      <c r="K692" s="270"/>
      <c r="L692" s="234"/>
      <c r="N692" s="270"/>
      <c r="O692" s="234"/>
    </row>
    <row r="693" spans="1:15" ht="14.25" customHeight="1">
      <c r="A693" s="234"/>
      <c r="G693" s="270"/>
      <c r="J693" s="270"/>
      <c r="K693" s="270"/>
      <c r="L693" s="234"/>
      <c r="N693" s="270"/>
      <c r="O693" s="234"/>
    </row>
    <row r="694" spans="1:15" ht="14.25" customHeight="1">
      <c r="A694" s="234"/>
      <c r="G694" s="270"/>
      <c r="J694" s="270"/>
      <c r="K694" s="270"/>
      <c r="L694" s="234"/>
      <c r="N694" s="270"/>
      <c r="O694" s="234"/>
    </row>
    <row r="695" spans="1:15" ht="14.25" customHeight="1">
      <c r="A695" s="234"/>
      <c r="G695" s="270"/>
      <c r="J695" s="270"/>
      <c r="K695" s="270"/>
      <c r="L695" s="234"/>
      <c r="N695" s="270"/>
      <c r="O695" s="234"/>
    </row>
    <row r="696" spans="1:15" ht="14.25" customHeight="1">
      <c r="A696" s="234"/>
      <c r="G696" s="270"/>
      <c r="J696" s="270"/>
      <c r="K696" s="270"/>
      <c r="L696" s="234"/>
      <c r="N696" s="270"/>
      <c r="O696" s="234"/>
    </row>
    <row r="697" spans="1:15" ht="14.25" customHeight="1">
      <c r="A697" s="234"/>
      <c r="G697" s="270"/>
      <c r="J697" s="270"/>
      <c r="K697" s="270"/>
      <c r="L697" s="234"/>
      <c r="N697" s="270"/>
      <c r="O697" s="234"/>
    </row>
    <row r="698" spans="1:15" ht="14.25" customHeight="1">
      <c r="A698" s="234"/>
      <c r="G698" s="270"/>
      <c r="J698" s="270"/>
      <c r="K698" s="270"/>
      <c r="L698" s="234"/>
      <c r="N698" s="270"/>
      <c r="O698" s="234"/>
    </row>
    <row r="699" spans="1:15" ht="14.25" customHeight="1">
      <c r="A699" s="234"/>
      <c r="G699" s="270"/>
      <c r="J699" s="270"/>
      <c r="K699" s="270"/>
      <c r="L699" s="234"/>
      <c r="N699" s="270"/>
      <c r="O699" s="234"/>
    </row>
    <row r="700" spans="1:15" ht="14.25" customHeight="1">
      <c r="A700" s="234"/>
      <c r="G700" s="270"/>
      <c r="J700" s="270"/>
      <c r="K700" s="270"/>
      <c r="L700" s="234"/>
      <c r="N700" s="270"/>
      <c r="O700" s="234"/>
    </row>
    <row r="701" spans="1:15" ht="14.25" customHeight="1">
      <c r="A701" s="234"/>
      <c r="G701" s="270"/>
      <c r="J701" s="270"/>
      <c r="K701" s="270"/>
      <c r="L701" s="234"/>
      <c r="N701" s="270"/>
      <c r="O701" s="234"/>
    </row>
    <row r="702" spans="1:15" ht="14.25" customHeight="1">
      <c r="A702" s="234"/>
      <c r="G702" s="270"/>
      <c r="J702" s="270"/>
      <c r="K702" s="270"/>
      <c r="L702" s="234"/>
      <c r="N702" s="270"/>
      <c r="O702" s="234"/>
    </row>
    <row r="703" spans="1:15" ht="14.25" customHeight="1">
      <c r="A703" s="234"/>
      <c r="G703" s="270"/>
      <c r="J703" s="270"/>
      <c r="K703" s="270"/>
      <c r="L703" s="234"/>
      <c r="N703" s="270"/>
      <c r="O703" s="234"/>
    </row>
    <row r="704" spans="1:15" ht="14.25" customHeight="1">
      <c r="A704" s="234"/>
      <c r="G704" s="270"/>
      <c r="J704" s="270"/>
      <c r="K704" s="270"/>
      <c r="L704" s="234"/>
      <c r="N704" s="270"/>
      <c r="O704" s="234"/>
    </row>
    <row r="705" spans="1:15" ht="14.25" customHeight="1">
      <c r="A705" s="234"/>
      <c r="G705" s="270"/>
      <c r="J705" s="270"/>
      <c r="K705" s="270"/>
      <c r="L705" s="234"/>
      <c r="N705" s="270"/>
      <c r="O705" s="234"/>
    </row>
    <row r="706" spans="1:15" ht="14.25" customHeight="1">
      <c r="A706" s="234"/>
      <c r="G706" s="270"/>
      <c r="J706" s="270"/>
      <c r="K706" s="270"/>
      <c r="L706" s="234"/>
      <c r="N706" s="270"/>
      <c r="O706" s="234"/>
    </row>
    <row r="707" spans="1:15" ht="14.25" customHeight="1">
      <c r="A707" s="234"/>
      <c r="G707" s="270"/>
      <c r="J707" s="270"/>
      <c r="K707" s="270"/>
      <c r="L707" s="234"/>
      <c r="N707" s="270"/>
      <c r="O707" s="234"/>
    </row>
    <row r="708" spans="1:15" ht="14.25" customHeight="1">
      <c r="A708" s="234"/>
      <c r="G708" s="270"/>
      <c r="J708" s="270"/>
      <c r="K708" s="270"/>
      <c r="L708" s="234"/>
      <c r="N708" s="270"/>
      <c r="O708" s="234"/>
    </row>
    <row r="709" spans="1:15" ht="14.25" customHeight="1">
      <c r="A709" s="234"/>
      <c r="G709" s="270"/>
      <c r="J709" s="270"/>
      <c r="K709" s="270"/>
      <c r="L709" s="234"/>
      <c r="N709" s="270"/>
      <c r="O709" s="234"/>
    </row>
    <row r="710" spans="1:15" ht="14.25" customHeight="1">
      <c r="A710" s="234"/>
      <c r="G710" s="270"/>
      <c r="J710" s="270"/>
      <c r="K710" s="270"/>
      <c r="L710" s="234"/>
      <c r="N710" s="270"/>
      <c r="O710" s="234"/>
    </row>
    <row r="711" spans="1:15" ht="14.25" customHeight="1">
      <c r="A711" s="234"/>
      <c r="G711" s="270"/>
      <c r="J711" s="270"/>
      <c r="K711" s="270"/>
      <c r="L711" s="234"/>
      <c r="N711" s="270"/>
      <c r="O711" s="234"/>
    </row>
    <row r="712" spans="1:15" ht="14.25" customHeight="1">
      <c r="A712" s="234"/>
      <c r="G712" s="270"/>
      <c r="J712" s="270"/>
      <c r="K712" s="270"/>
      <c r="L712" s="234"/>
      <c r="N712" s="270"/>
      <c r="O712" s="234"/>
    </row>
    <row r="713" spans="1:15" ht="14.25" customHeight="1">
      <c r="A713" s="234"/>
      <c r="G713" s="270"/>
      <c r="J713" s="270"/>
      <c r="K713" s="270"/>
      <c r="L713" s="234"/>
      <c r="N713" s="270"/>
      <c r="O713" s="234"/>
    </row>
    <row r="714" spans="1:15" ht="14.25" customHeight="1">
      <c r="A714" s="234"/>
      <c r="G714" s="270"/>
      <c r="J714" s="270"/>
      <c r="K714" s="270"/>
      <c r="L714" s="234"/>
      <c r="N714" s="270"/>
      <c r="O714" s="234"/>
    </row>
    <row r="715" spans="1:15" ht="14.25" customHeight="1">
      <c r="A715" s="234"/>
      <c r="G715" s="270"/>
      <c r="J715" s="270"/>
      <c r="K715" s="270"/>
      <c r="L715" s="234"/>
      <c r="N715" s="270"/>
      <c r="O715" s="234"/>
    </row>
    <row r="716" spans="1:15" ht="14.25" customHeight="1">
      <c r="A716" s="234"/>
      <c r="G716" s="270"/>
      <c r="J716" s="270"/>
      <c r="K716" s="270"/>
      <c r="L716" s="234"/>
      <c r="N716" s="270"/>
      <c r="O716" s="234"/>
    </row>
    <row r="717" spans="1:15" ht="14.25" customHeight="1">
      <c r="A717" s="234"/>
      <c r="G717" s="270"/>
      <c r="J717" s="270"/>
      <c r="K717" s="270"/>
      <c r="L717" s="234"/>
      <c r="N717" s="270"/>
      <c r="O717" s="234"/>
    </row>
    <row r="718" spans="1:15" ht="14.25" customHeight="1">
      <c r="A718" s="234"/>
      <c r="G718" s="270"/>
      <c r="J718" s="270"/>
      <c r="K718" s="270"/>
      <c r="L718" s="234"/>
      <c r="N718" s="270"/>
      <c r="O718" s="234"/>
    </row>
    <row r="719" spans="1:15" ht="14.25" customHeight="1">
      <c r="A719" s="234"/>
      <c r="G719" s="270"/>
      <c r="J719" s="270"/>
      <c r="K719" s="270"/>
      <c r="L719" s="234"/>
      <c r="N719" s="270"/>
      <c r="O719" s="234"/>
    </row>
    <row r="720" spans="1:15" ht="14.25" customHeight="1">
      <c r="A720" s="234"/>
      <c r="G720" s="270"/>
      <c r="J720" s="270"/>
      <c r="K720" s="270"/>
      <c r="L720" s="234"/>
      <c r="N720" s="270"/>
      <c r="O720" s="234"/>
    </row>
    <row r="721" spans="1:15" ht="14.25" customHeight="1">
      <c r="A721" s="234"/>
      <c r="G721" s="270"/>
      <c r="J721" s="270"/>
      <c r="K721" s="270"/>
      <c r="L721" s="234"/>
      <c r="N721" s="270"/>
      <c r="O721" s="234"/>
    </row>
    <row r="722" spans="1:15" ht="14.25" customHeight="1">
      <c r="A722" s="234"/>
      <c r="G722" s="270"/>
      <c r="J722" s="270"/>
      <c r="K722" s="270"/>
      <c r="L722" s="234"/>
      <c r="N722" s="270"/>
      <c r="O722" s="234"/>
    </row>
    <row r="723" spans="1:15" ht="14.25" customHeight="1">
      <c r="A723" s="234"/>
      <c r="G723" s="270"/>
      <c r="J723" s="270"/>
      <c r="K723" s="270"/>
      <c r="L723" s="234"/>
      <c r="N723" s="270"/>
      <c r="O723" s="234"/>
    </row>
    <row r="724" spans="1:15" ht="14.25" customHeight="1">
      <c r="A724" s="234"/>
      <c r="G724" s="270"/>
      <c r="J724" s="270"/>
      <c r="K724" s="270"/>
      <c r="L724" s="234"/>
      <c r="N724" s="270"/>
      <c r="O724" s="234"/>
    </row>
    <row r="725" spans="1:15" ht="14.25" customHeight="1">
      <c r="A725" s="234"/>
      <c r="G725" s="270"/>
      <c r="J725" s="270"/>
      <c r="K725" s="270"/>
      <c r="L725" s="234"/>
      <c r="N725" s="270"/>
      <c r="O725" s="234"/>
    </row>
    <row r="726" spans="1:15" ht="14.25" customHeight="1">
      <c r="A726" s="234"/>
      <c r="G726" s="270"/>
      <c r="J726" s="270"/>
      <c r="K726" s="270"/>
      <c r="L726" s="234"/>
      <c r="N726" s="270"/>
      <c r="O726" s="234"/>
    </row>
    <row r="727" spans="1:15" ht="14.25" customHeight="1">
      <c r="A727" s="234"/>
      <c r="G727" s="270"/>
      <c r="J727" s="270"/>
      <c r="K727" s="270"/>
      <c r="L727" s="234"/>
      <c r="N727" s="270"/>
      <c r="O727" s="234"/>
    </row>
    <row r="728" spans="1:15" ht="14.25" customHeight="1">
      <c r="A728" s="234"/>
      <c r="G728" s="270"/>
      <c r="J728" s="270"/>
      <c r="K728" s="270"/>
      <c r="L728" s="234"/>
      <c r="N728" s="270"/>
      <c r="O728" s="234"/>
    </row>
    <row r="729" spans="1:15" ht="14.25" customHeight="1">
      <c r="A729" s="234"/>
      <c r="G729" s="270"/>
      <c r="J729" s="270"/>
      <c r="K729" s="270"/>
      <c r="L729" s="234"/>
      <c r="N729" s="270"/>
      <c r="O729" s="234"/>
    </row>
    <row r="730" spans="1:15" ht="14.25" customHeight="1">
      <c r="A730" s="234"/>
      <c r="G730" s="270"/>
      <c r="J730" s="270"/>
      <c r="K730" s="270"/>
      <c r="L730" s="234"/>
      <c r="N730" s="270"/>
      <c r="O730" s="234"/>
    </row>
    <row r="731" spans="1:15" ht="14.25" customHeight="1">
      <c r="A731" s="234"/>
      <c r="G731" s="270"/>
      <c r="J731" s="270"/>
      <c r="K731" s="270"/>
      <c r="L731" s="234"/>
      <c r="O731" s="234"/>
    </row>
    <row r="732" spans="1:15" ht="15" customHeight="1">
      <c r="G732" s="270"/>
      <c r="J732" s="270"/>
      <c r="K732" s="270"/>
    </row>
    <row r="736" spans="1:15" ht="15" customHeight="1">
      <c r="E736" s="176"/>
    </row>
    <row r="737" spans="3:3" ht="15" customHeight="1">
      <c r="C737" s="176"/>
    </row>
  </sheetData>
  <autoFilter ref="A10:Y731" xr:uid="{1E78B0CF-4527-4C3B-87EB-C6D71FD221F1}"/>
  <mergeCells count="4">
    <mergeCell ref="A5:O5"/>
    <mergeCell ref="A7:O7"/>
    <mergeCell ref="B9:K9"/>
    <mergeCell ref="M9:N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L34"/>
  <sheetViews>
    <sheetView showGridLines="0" topLeftCell="A8" zoomScale="87" zoomScaleNormal="87" zoomScaleSheetLayoutView="95" workbookViewId="0">
      <selection activeCell="K28" sqref="K28"/>
    </sheetView>
  </sheetViews>
  <sheetFormatPr defaultColWidth="9.140625" defaultRowHeight="12.7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5.140625" style="1" bestFit="1" customWidth="1"/>
    <col min="11" max="11" width="12.140625" style="1" bestFit="1" customWidth="1"/>
    <col min="12" max="12" width="13.7109375" style="1" bestFit="1" customWidth="1"/>
    <col min="13" max="16384" width="9.140625" style="1"/>
  </cols>
  <sheetData>
    <row r="1" spans="1:10">
      <c r="B1" s="2"/>
      <c r="C1" s="1"/>
      <c r="D1" s="1"/>
      <c r="G1" s="161"/>
      <c r="H1" s="161"/>
      <c r="I1" s="2"/>
    </row>
    <row r="2" spans="1:10" ht="12.75" customHeight="1">
      <c r="A2" s="341" t="s">
        <v>190</v>
      </c>
      <c r="B2" s="2"/>
      <c r="C2" s="1"/>
      <c r="D2" s="1"/>
      <c r="G2" s="166"/>
      <c r="H2" s="166"/>
      <c r="I2" s="2"/>
    </row>
    <row r="3" spans="1:10" ht="12.75" customHeight="1">
      <c r="A3" s="342"/>
      <c r="B3" s="2"/>
      <c r="C3" s="1"/>
      <c r="D3" s="1"/>
      <c r="G3" s="166"/>
      <c r="H3" s="166"/>
      <c r="I3" s="2"/>
    </row>
    <row r="4" spans="1:10" ht="12.75" customHeight="1">
      <c r="A4" s="342"/>
      <c r="B4" s="2"/>
      <c r="C4" s="1"/>
      <c r="D4" s="1"/>
      <c r="G4" s="166"/>
      <c r="H4" s="166"/>
      <c r="I4" s="2"/>
    </row>
    <row r="5" spans="1:10" ht="13.5" thickBot="1">
      <c r="A5" s="165"/>
      <c r="B5" s="164"/>
      <c r="C5" s="164"/>
      <c r="D5" s="164"/>
      <c r="E5" s="164"/>
      <c r="F5" s="164"/>
      <c r="G5" s="163"/>
      <c r="H5" s="163"/>
      <c r="I5" s="2"/>
    </row>
    <row r="6" spans="1:10">
      <c r="A6" s="162"/>
      <c r="B6" s="2"/>
      <c r="C6" s="1"/>
      <c r="D6" s="1"/>
      <c r="G6" s="161"/>
      <c r="H6" s="161"/>
      <c r="I6" s="2"/>
    </row>
    <row r="7" spans="1:10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0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0" ht="15" customHeight="1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0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0" ht="15.95" customHeight="1">
      <c r="A13" s="138"/>
      <c r="B13" s="137"/>
      <c r="C13" s="136"/>
      <c r="D13" s="135"/>
      <c r="E13" s="135"/>
      <c r="F13" s="135"/>
      <c r="H13" s="131"/>
      <c r="J13" s="115">
        <f>SUM(G15:G18)</f>
        <v>522962.79964719992</v>
      </c>
    </row>
    <row r="14" spans="1:10" ht="15.95" customHeight="1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183</v>
      </c>
      <c r="G14" s="132" t="s">
        <v>16</v>
      </c>
      <c r="H14" s="131"/>
      <c r="J14" s="115">
        <f>G23+G24</f>
        <v>58555.965599999996</v>
      </c>
    </row>
    <row r="15" spans="1:10" ht="15.95" customHeight="1">
      <c r="A15" s="174" t="s">
        <v>329</v>
      </c>
      <c r="B15" s="124">
        <f>AMBIENTES!N19</f>
        <v>1061.22</v>
      </c>
      <c r="C15" s="129" t="s">
        <v>2</v>
      </c>
      <c r="D15" s="128">
        <f>35</f>
        <v>35</v>
      </c>
      <c r="E15" s="130" t="s">
        <v>171</v>
      </c>
      <c r="F15" s="126" t="s">
        <v>170</v>
      </c>
      <c r="G15" s="125">
        <f>D15*B15*1.1</f>
        <v>40856.970000000008</v>
      </c>
      <c r="H15" s="131"/>
    </row>
    <row r="16" spans="1:10" ht="15.95" customHeight="1">
      <c r="A16" s="174" t="s">
        <v>332</v>
      </c>
      <c r="B16" s="124">
        <f>AMBIENTES!N29</f>
        <v>0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0</v>
      </c>
      <c r="H16" s="131"/>
    </row>
    <row r="17" spans="1:12" ht="15.95" customHeight="1">
      <c r="A17" s="172" t="s">
        <v>194</v>
      </c>
      <c r="B17" s="124">
        <f>AMBIENTES!N11</f>
        <v>5971.6071999999986</v>
      </c>
      <c r="C17" s="129" t="s">
        <v>2</v>
      </c>
      <c r="D17" s="128">
        <f>100.41-35</f>
        <v>65.41</v>
      </c>
      <c r="E17" s="130" t="s">
        <v>349</v>
      </c>
      <c r="F17" s="126" t="s">
        <v>170</v>
      </c>
      <c r="G17" s="125">
        <f>D17*B17*1.1</f>
        <v>429663.10964719986</v>
      </c>
      <c r="H17" s="131"/>
    </row>
    <row r="18" spans="1:12" ht="15.95" customHeight="1">
      <c r="A18" s="172" t="s">
        <v>583</v>
      </c>
      <c r="B18" s="292">
        <f>AMBIENTES!N12</f>
        <v>595.94000000000005</v>
      </c>
      <c r="C18" s="129" t="s">
        <v>2</v>
      </c>
      <c r="D18" s="128">
        <v>80</v>
      </c>
      <c r="E18" s="130" t="s">
        <v>349</v>
      </c>
      <c r="F18" s="126" t="s">
        <v>170</v>
      </c>
      <c r="G18" s="125">
        <f>+B18*D18*1.1</f>
        <v>52442.720000000008</v>
      </c>
      <c r="H18" s="131"/>
    </row>
    <row r="19" spans="1:12" ht="15.95" customHeight="1">
      <c r="A19" s="172" t="s">
        <v>584</v>
      </c>
      <c r="B19" s="292">
        <f>AMBIENTES!N13</f>
        <v>170.03</v>
      </c>
      <c r="C19" s="129" t="s">
        <v>2</v>
      </c>
      <c r="D19" s="128">
        <f>Planilha1!G54</f>
        <v>185.98600000000002</v>
      </c>
      <c r="E19" s="130" t="s">
        <v>349</v>
      </c>
      <c r="F19" s="126" t="s">
        <v>170</v>
      </c>
      <c r="G19" s="125">
        <f t="shared" ref="G19:G27" si="0">+B19*D19*1.1</f>
        <v>34785.519538000008</v>
      </c>
      <c r="H19" s="131"/>
    </row>
    <row r="20" spans="1:12" ht="15.95" customHeight="1">
      <c r="A20" s="172" t="s">
        <v>596</v>
      </c>
      <c r="B20" s="292">
        <f>AMBIENTES!N14</f>
        <v>1489.32</v>
      </c>
      <c r="C20" s="129" t="s">
        <v>2</v>
      </c>
      <c r="D20" s="128">
        <f>25</f>
        <v>25</v>
      </c>
      <c r="E20" s="130" t="s">
        <v>349</v>
      </c>
      <c r="F20" s="126" t="s">
        <v>170</v>
      </c>
      <c r="G20" s="125">
        <f t="shared" si="0"/>
        <v>40956.300000000003</v>
      </c>
      <c r="H20" s="131"/>
    </row>
    <row r="21" spans="1:12" ht="15.95" customHeight="1">
      <c r="A21" s="172" t="s">
        <v>594</v>
      </c>
      <c r="B21" s="292">
        <f>AMBIENTES!N15</f>
        <v>434.65</v>
      </c>
      <c r="C21" s="129" t="s">
        <v>2</v>
      </c>
      <c r="D21" s="128">
        <f>25+43.08</f>
        <v>68.08</v>
      </c>
      <c r="E21" s="130" t="s">
        <v>349</v>
      </c>
      <c r="F21" s="126" t="s">
        <v>170</v>
      </c>
      <c r="G21" s="125">
        <f t="shared" si="0"/>
        <v>32550.069200000002</v>
      </c>
      <c r="H21" s="131"/>
    </row>
    <row r="22" spans="1:12" ht="15.95" customHeight="1">
      <c r="A22" s="173" t="s">
        <v>615</v>
      </c>
      <c r="B22" s="293">
        <f>B17</f>
        <v>5971.6071999999986</v>
      </c>
      <c r="C22" s="129" t="s">
        <v>2</v>
      </c>
      <c r="D22" s="169">
        <v>35</v>
      </c>
      <c r="E22" s="130" t="s">
        <v>349</v>
      </c>
      <c r="F22" s="126" t="s">
        <v>170</v>
      </c>
      <c r="G22" s="125">
        <f t="shared" si="0"/>
        <v>229906.87719999996</v>
      </c>
      <c r="H22" s="131"/>
    </row>
    <row r="23" spans="1:12" ht="27" customHeight="1">
      <c r="A23" s="173" t="s">
        <v>193</v>
      </c>
      <c r="B23" s="171">
        <f>ALVENARIA!D11*2</f>
        <v>2419.6679999999997</v>
      </c>
      <c r="C23" s="170" t="s">
        <v>2</v>
      </c>
      <c r="D23" s="169">
        <v>5</v>
      </c>
      <c r="E23" s="130" t="s">
        <v>349</v>
      </c>
      <c r="F23" s="168" t="s">
        <v>170</v>
      </c>
      <c r="G23" s="125">
        <f t="shared" si="0"/>
        <v>13308.173999999999</v>
      </c>
      <c r="H23" s="123"/>
    </row>
    <row r="24" spans="1:12" ht="27" customHeight="1">
      <c r="A24" s="172" t="s">
        <v>192</v>
      </c>
      <c r="B24" s="171">
        <f>B23</f>
        <v>2419.6679999999997</v>
      </c>
      <c r="C24" s="170" t="s">
        <v>2</v>
      </c>
      <c r="D24" s="169">
        <v>17</v>
      </c>
      <c r="E24" s="130" t="s">
        <v>349</v>
      </c>
      <c r="F24" s="168" t="s">
        <v>170</v>
      </c>
      <c r="G24" s="125">
        <f t="shared" si="0"/>
        <v>45247.791599999997</v>
      </c>
      <c r="H24" s="123"/>
    </row>
    <row r="25" spans="1:12" ht="27" customHeight="1">
      <c r="A25" s="172" t="s">
        <v>197</v>
      </c>
      <c r="B25" s="171">
        <f>2.1*3.5*10</f>
        <v>73.5</v>
      </c>
      <c r="C25" s="170" t="s">
        <v>2</v>
      </c>
      <c r="D25" s="169">
        <f>3.5</f>
        <v>3.5</v>
      </c>
      <c r="E25" s="130" t="s">
        <v>349</v>
      </c>
      <c r="F25" s="168" t="s">
        <v>170</v>
      </c>
      <c r="G25" s="125">
        <f t="shared" si="0"/>
        <v>282.97500000000002</v>
      </c>
      <c r="H25" s="123"/>
    </row>
    <row r="26" spans="1:12" ht="27" customHeight="1">
      <c r="A26" s="172" t="s">
        <v>614</v>
      </c>
      <c r="B26" s="171">
        <f>B24</f>
        <v>2419.6679999999997</v>
      </c>
      <c r="C26" s="170" t="s">
        <v>2</v>
      </c>
      <c r="D26" s="169">
        <f>3.5+22</f>
        <v>25.5</v>
      </c>
      <c r="E26" s="130" t="s">
        <v>349</v>
      </c>
      <c r="F26" s="168" t="s">
        <v>170</v>
      </c>
      <c r="G26" s="125">
        <f t="shared" si="0"/>
        <v>67871.687399999995</v>
      </c>
      <c r="H26" s="123"/>
    </row>
    <row r="27" spans="1:12" ht="27" customHeight="1">
      <c r="A27" s="172" t="s">
        <v>613</v>
      </c>
      <c r="B27" s="171">
        <f>B25</f>
        <v>73.5</v>
      </c>
      <c r="C27" s="170" t="s">
        <v>2</v>
      </c>
      <c r="D27" s="169">
        <v>34</v>
      </c>
      <c r="E27" s="130" t="s">
        <v>349</v>
      </c>
      <c r="F27" s="168" t="s">
        <v>170</v>
      </c>
      <c r="G27" s="125">
        <f t="shared" si="0"/>
        <v>2748.9</v>
      </c>
      <c r="H27" s="123"/>
      <c r="J27" s="1" t="s">
        <v>651</v>
      </c>
      <c r="K27" s="115">
        <f>SUM(G23:G27)</f>
        <v>129459.52799999999</v>
      </c>
      <c r="L27" s="115">
        <f>K27+'Acabamentos de Piso e Parede'!K34</f>
        <v>2569648.41598973</v>
      </c>
    </row>
    <row r="28" spans="1:12" ht="15.95" customHeight="1">
      <c r="A28" s="346" t="s">
        <v>17</v>
      </c>
      <c r="B28" s="347"/>
      <c r="C28" s="347"/>
      <c r="D28" s="347"/>
      <c r="E28" s="347"/>
      <c r="F28" s="347"/>
      <c r="G28" s="122">
        <f>SUM(G15:G27)</f>
        <v>990621.09358520003</v>
      </c>
      <c r="H28" s="121"/>
      <c r="J28" s="1" t="s">
        <v>652</v>
      </c>
      <c r="K28" s="115">
        <f>G28-K27</f>
        <v>861161.56558519998</v>
      </c>
    </row>
    <row r="29" spans="1:12" ht="15.95" customHeight="1">
      <c r="A29" s="344"/>
      <c r="B29" s="345"/>
      <c r="C29" s="345"/>
      <c r="D29" s="345"/>
      <c r="E29" s="345"/>
      <c r="F29" s="345"/>
      <c r="G29" s="167"/>
      <c r="H29" s="118"/>
    </row>
    <row r="31" spans="1:12">
      <c r="A31" s="343" t="s">
        <v>191</v>
      </c>
      <c r="B31" s="343"/>
      <c r="C31" s="343"/>
      <c r="D31" s="343"/>
      <c r="E31" s="343"/>
      <c r="F31" s="343"/>
      <c r="G31" s="117">
        <f>G28</f>
        <v>990621.09358520003</v>
      </c>
      <c r="H31" s="116">
        <f>G31/DADOS_INICIAIS!E9</f>
        <v>163.76149018546349</v>
      </c>
    </row>
    <row r="33" spans="2:8">
      <c r="H33" s="115">
        <f>H31/1.1</f>
        <v>148.87408198678497</v>
      </c>
    </row>
    <row r="34" spans="2:8">
      <c r="B34" s="114">
        <f>B23+'Rev. Fachada'!B15</f>
        <v>5098.4856899999995</v>
      </c>
    </row>
  </sheetData>
  <mergeCells count="6">
    <mergeCell ref="A2:A4"/>
    <mergeCell ref="A31:F31"/>
    <mergeCell ref="A29:F29"/>
    <mergeCell ref="A28:F28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25"/>
  <sheetViews>
    <sheetView showGridLines="0" topLeftCell="A4" zoomScale="80" zoomScaleNormal="80" zoomScaleSheetLayoutView="95" workbookViewId="0">
      <selection activeCell="E15" sqref="E15"/>
    </sheetView>
  </sheetViews>
  <sheetFormatPr defaultColWidth="9.140625" defaultRowHeight="1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315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633</v>
      </c>
      <c r="B10" s="62">
        <v>0.8</v>
      </c>
      <c r="C10" s="62" t="s">
        <v>37</v>
      </c>
      <c r="D10" s="67">
        <f>AMBIENTES!N35-D13-D12</f>
        <v>3075.42</v>
      </c>
      <c r="E10" s="67" t="s">
        <v>2</v>
      </c>
      <c r="F10" s="295">
        <v>60</v>
      </c>
      <c r="G10" s="89">
        <f t="shared" ref="G10:G14" si="0">F10*D10*1.1</f>
        <v>202977.72000000003</v>
      </c>
      <c r="H10" s="67"/>
    </row>
    <row r="11" spans="1:10" ht="21.75">
      <c r="A11" s="66" t="s">
        <v>782</v>
      </c>
      <c r="B11" s="62">
        <v>0.8</v>
      </c>
      <c r="C11" s="62" t="s">
        <v>37</v>
      </c>
      <c r="D11" s="67">
        <f>9.45*5</f>
        <v>47.25</v>
      </c>
      <c r="E11" s="67" t="s">
        <v>2</v>
      </c>
      <c r="F11" s="295">
        <v>60</v>
      </c>
      <c r="G11" s="89">
        <f t="shared" ref="G11" si="1">F11*D11*1.1</f>
        <v>3118.5000000000005</v>
      </c>
      <c r="H11" s="67"/>
    </row>
    <row r="12" spans="1:10" ht="21.75">
      <c r="A12" s="66" t="s">
        <v>635</v>
      </c>
      <c r="B12" s="62">
        <v>0.8</v>
      </c>
      <c r="C12" s="62" t="s">
        <v>37</v>
      </c>
      <c r="D12" s="67">
        <f>AMBIENTES!N39</f>
        <v>494.27</v>
      </c>
      <c r="E12" s="67" t="s">
        <v>2</v>
      </c>
      <c r="F12" s="88">
        <f>F10+20</f>
        <v>80</v>
      </c>
      <c r="G12" s="89">
        <f t="shared" ref="G12" si="2">F12*D12*1.1</f>
        <v>43495.76</v>
      </c>
      <c r="H12" s="67"/>
    </row>
    <row r="13" spans="1:10" ht="21.75">
      <c r="A13" s="66" t="s">
        <v>634</v>
      </c>
      <c r="B13" s="62">
        <v>0.8</v>
      </c>
      <c r="C13" s="62" t="s">
        <v>37</v>
      </c>
      <c r="D13" s="67">
        <f>AMBIENTES!N41</f>
        <v>465.14</v>
      </c>
      <c r="E13" s="67" t="s">
        <v>2</v>
      </c>
      <c r="F13" s="88">
        <f>160+20</f>
        <v>180</v>
      </c>
      <c r="G13" s="89">
        <f t="shared" ref="G13" si="3">F13*D13*1.1</f>
        <v>92097.72</v>
      </c>
      <c r="H13" s="67"/>
    </row>
    <row r="14" spans="1:10" ht="21.75">
      <c r="A14" s="78" t="s">
        <v>636</v>
      </c>
      <c r="B14" s="62">
        <v>1.2</v>
      </c>
      <c r="C14" s="62" t="s">
        <v>313</v>
      </c>
      <c r="D14" s="67">
        <f>(D10+D12+D13)*B14*2</f>
        <v>9683.5919999999987</v>
      </c>
      <c r="E14" s="67" t="s">
        <v>4</v>
      </c>
      <c r="F14" s="295">
        <f>35*1.2</f>
        <v>42</v>
      </c>
      <c r="G14" s="89">
        <f t="shared" si="0"/>
        <v>447381.95039999997</v>
      </c>
      <c r="H14" s="67"/>
    </row>
    <row r="15" spans="1:10" ht="21.75">
      <c r="A15" s="78" t="s">
        <v>639</v>
      </c>
      <c r="B15" s="62"/>
      <c r="C15" s="62"/>
      <c r="D15" s="67">
        <f>ROUND(DADOS_INICIAIS!E21*1.2,0)</f>
        <v>43</v>
      </c>
      <c r="E15" s="67" t="s">
        <v>574</v>
      </c>
      <c r="F15" s="295">
        <v>85</v>
      </c>
      <c r="G15" s="89">
        <f t="shared" ref="G15" si="4">F15*D15*1.1</f>
        <v>4020.5000000000005</v>
      </c>
      <c r="H15" s="67"/>
    </row>
    <row r="16" spans="1:10" ht="21.75">
      <c r="A16" s="78" t="s">
        <v>197</v>
      </c>
      <c r="B16" s="62">
        <v>0.1</v>
      </c>
      <c r="C16" s="62" t="s">
        <v>37</v>
      </c>
      <c r="D16" s="67">
        <f>AMBIENTES!N36-D11-D18</f>
        <v>1161.3630000000005</v>
      </c>
      <c r="E16" s="67" t="s">
        <v>2</v>
      </c>
      <c r="F16" s="88">
        <v>4</v>
      </c>
      <c r="G16" s="89">
        <f>F16*D16*1.1</f>
        <v>5109.9972000000025</v>
      </c>
      <c r="H16" s="67"/>
    </row>
    <row r="17" spans="1:12" ht="21.75">
      <c r="A17" s="78" t="s">
        <v>613</v>
      </c>
      <c r="B17" s="62">
        <v>0.1</v>
      </c>
      <c r="C17" s="62" t="s">
        <v>37</v>
      </c>
      <c r="D17" s="67">
        <f>D16</f>
        <v>1161.3630000000005</v>
      </c>
      <c r="E17" s="67" t="s">
        <v>2</v>
      </c>
      <c r="F17" s="88">
        <v>22</v>
      </c>
      <c r="G17" s="89">
        <f>F17*D17*1.1</f>
        <v>28104.984600000014</v>
      </c>
      <c r="H17" s="67"/>
    </row>
    <row r="18" spans="1:12" ht="21.75">
      <c r="A18" s="66" t="s">
        <v>196</v>
      </c>
      <c r="B18" s="62">
        <f>1-B10-B16</f>
        <v>9.999999999999995E-2</v>
      </c>
      <c r="C18" s="62" t="s">
        <v>37</v>
      </c>
      <c r="D18" s="67">
        <f>18.76*5-D11</f>
        <v>46.550000000000011</v>
      </c>
      <c r="E18" s="67" t="s">
        <v>2</v>
      </c>
      <c r="F18" s="88">
        <f>91-26</f>
        <v>65</v>
      </c>
      <c r="G18" s="89">
        <f>F18*D18*1.05*1.1</f>
        <v>3494.7412500000019</v>
      </c>
      <c r="H18" s="67"/>
    </row>
    <row r="19" spans="1:12" ht="21.75">
      <c r="A19" s="66" t="s">
        <v>783</v>
      </c>
      <c r="B19" s="62">
        <f>1-B11-B17</f>
        <v>9.999999999999995E-2</v>
      </c>
      <c r="C19" s="62" t="s">
        <v>37</v>
      </c>
      <c r="D19" s="67">
        <f>D18</f>
        <v>46.550000000000011</v>
      </c>
      <c r="E19" s="67" t="s">
        <v>2</v>
      </c>
      <c r="F19" s="88">
        <v>26</v>
      </c>
      <c r="G19" s="89">
        <f>F19*D19*1.05*1.1</f>
        <v>1397.8965000000005</v>
      </c>
      <c r="H19" s="67"/>
    </row>
    <row r="20" spans="1:12" ht="21.75">
      <c r="A20" s="318" t="s">
        <v>17</v>
      </c>
      <c r="B20" s="318"/>
      <c r="C20" s="318"/>
      <c r="D20" s="318"/>
      <c r="E20" s="318"/>
      <c r="F20" s="318"/>
      <c r="G20" s="90">
        <f>SUM(G10:G19)</f>
        <v>831199.76994999999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>
      <c r="A22" s="328" t="s">
        <v>218</v>
      </c>
      <c r="B22" s="329"/>
      <c r="C22" s="329"/>
      <c r="D22" s="329"/>
      <c r="E22" s="329"/>
      <c r="F22" s="330"/>
      <c r="G22" s="91">
        <f>G20</f>
        <v>831199.76994999999</v>
      </c>
      <c r="H22" s="91">
        <f>G22/DADOS_INICIAIS!E9</f>
        <v>137.40724263824626</v>
      </c>
    </row>
    <row r="25" spans="1:12">
      <c r="H25" s="198">
        <f>H22/1.1</f>
        <v>124.9156751256784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FFC000"/>
  </sheetPr>
  <dimension ref="A1:L102"/>
  <sheetViews>
    <sheetView showGridLines="0" topLeftCell="A10" zoomScaleNormal="100" zoomScaleSheetLayoutView="95" workbookViewId="0">
      <selection activeCell="G19" sqref="G19"/>
    </sheetView>
  </sheetViews>
  <sheetFormatPr defaultColWidth="9.140625" defaultRowHeight="12.75"/>
  <cols>
    <col min="1" max="1" width="47.42578125" style="1" customWidth="1"/>
    <col min="2" max="2" width="14" style="114" customWidth="1"/>
    <col min="3" max="3" width="7.5703125" style="113" customWidth="1"/>
    <col min="4" max="4" width="12.140625" style="112" bestFit="1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>
      <c r="B1" s="2"/>
      <c r="C1" s="1"/>
      <c r="D1" s="1"/>
      <c r="G1" s="161"/>
      <c r="H1" s="161"/>
      <c r="I1" s="2"/>
    </row>
    <row r="2" spans="1:11" ht="12.75" customHeight="1">
      <c r="A2" s="341" t="s">
        <v>190</v>
      </c>
      <c r="B2" s="2"/>
      <c r="C2" s="1"/>
      <c r="D2" s="1"/>
      <c r="G2" s="166"/>
      <c r="H2" s="166"/>
      <c r="I2" s="2"/>
    </row>
    <row r="3" spans="1:11" ht="12.75" customHeight="1">
      <c r="A3" s="342"/>
      <c r="B3" s="2"/>
      <c r="C3" s="1"/>
      <c r="D3" s="1"/>
      <c r="G3" s="166"/>
      <c r="H3" s="166"/>
      <c r="I3" s="2"/>
    </row>
    <row r="4" spans="1:11" ht="12.75" customHeight="1">
      <c r="A4" s="342"/>
      <c r="B4" s="2"/>
      <c r="C4" s="1"/>
      <c r="D4" s="1"/>
      <c r="G4" s="166"/>
      <c r="H4" s="166"/>
      <c r="I4" s="2"/>
    </row>
    <row r="5" spans="1:11" ht="13.5" thickBot="1">
      <c r="A5" s="165"/>
      <c r="B5" s="164"/>
      <c r="C5" s="164"/>
      <c r="D5" s="164"/>
      <c r="E5" s="164"/>
      <c r="F5" s="164"/>
      <c r="G5" s="163"/>
      <c r="H5" s="163"/>
      <c r="I5" s="2"/>
    </row>
    <row r="6" spans="1:11">
      <c r="A6" s="162"/>
      <c r="B6" s="2"/>
      <c r="C6" s="1"/>
      <c r="D6" s="1"/>
      <c r="G6" s="161"/>
      <c r="H6" s="161"/>
      <c r="I6" s="2"/>
    </row>
    <row r="7" spans="1:11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1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1" ht="15" customHeight="1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1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>
      <c r="A12" s="144" t="s">
        <v>208</v>
      </c>
      <c r="B12" s="143"/>
      <c r="C12" s="142"/>
      <c r="D12" s="141"/>
      <c r="E12" s="140"/>
      <c r="F12" s="140"/>
      <c r="G12" s="140"/>
      <c r="H12" s="139"/>
    </row>
    <row r="13" spans="1:11" ht="15.95" customHeight="1">
      <c r="A13" s="138"/>
      <c r="B13" s="137"/>
      <c r="C13" s="136"/>
      <c r="D13" s="135"/>
      <c r="E13" s="135"/>
      <c r="F13" s="135"/>
      <c r="H13" s="131"/>
    </row>
    <row r="14" spans="1:11" ht="15.95" customHeight="1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183</v>
      </c>
      <c r="G14" s="132" t="s">
        <v>16</v>
      </c>
      <c r="H14" s="131"/>
      <c r="I14" s="2"/>
    </row>
    <row r="15" spans="1:11" ht="15.95" customHeight="1">
      <c r="A15" s="172" t="s">
        <v>207</v>
      </c>
      <c r="B15" s="180">
        <f>AMBIENTES!N20</f>
        <v>1073.9700000000005</v>
      </c>
      <c r="C15" s="170" t="s">
        <v>205</v>
      </c>
      <c r="D15" s="178">
        <v>126.05</v>
      </c>
      <c r="E15" s="127" t="s">
        <v>608</v>
      </c>
      <c r="F15" s="168" t="s">
        <v>170</v>
      </c>
      <c r="G15" s="125">
        <f>+D15*B15*1.1</f>
        <v>148911.31035000007</v>
      </c>
      <c r="H15" s="131"/>
      <c r="K15" s="115"/>
    </row>
    <row r="16" spans="1:11" ht="15.95" customHeight="1">
      <c r="A16" s="172" t="s">
        <v>609</v>
      </c>
      <c r="B16" s="180">
        <f>AMBIENTES!N21+AMBIENTES!N24</f>
        <v>1758.5900000000004</v>
      </c>
      <c r="C16" s="170" t="s">
        <v>205</v>
      </c>
      <c r="D16" s="178">
        <v>142.38</v>
      </c>
      <c r="E16" s="127" t="s">
        <v>608</v>
      </c>
      <c r="F16" s="168" t="s">
        <v>170</v>
      </c>
      <c r="G16" s="125">
        <f t="shared" ref="G16:G26" si="0">+D16*B16*1.1</f>
        <v>275426.84862000006</v>
      </c>
      <c r="H16" s="131"/>
      <c r="K16" s="115"/>
    </row>
    <row r="17" spans="1:11" ht="15.95" customHeight="1">
      <c r="A17" s="172" t="s">
        <v>624</v>
      </c>
      <c r="B17" s="180">
        <f>AMBIENTES!N23</f>
        <v>1379.6399999999996</v>
      </c>
      <c r="C17" s="170" t="s">
        <v>205</v>
      </c>
      <c r="D17" s="178">
        <v>377</v>
      </c>
      <c r="E17" s="127" t="s">
        <v>608</v>
      </c>
      <c r="F17" s="168" t="s">
        <v>170</v>
      </c>
      <c r="G17" s="125">
        <f t="shared" si="0"/>
        <v>572136.70799999987</v>
      </c>
      <c r="H17" s="131"/>
      <c r="K17" s="115"/>
    </row>
    <row r="18" spans="1:11" ht="15.95" customHeight="1">
      <c r="A18" s="172" t="s">
        <v>475</v>
      </c>
      <c r="B18" s="180">
        <f>AMBIENTES!N26</f>
        <v>16.443000000000001</v>
      </c>
      <c r="C18" s="170" t="s">
        <v>205</v>
      </c>
      <c r="D18" s="178">
        <v>1856</v>
      </c>
      <c r="E18" s="127" t="s">
        <v>608</v>
      </c>
      <c r="F18" s="168" t="s">
        <v>170</v>
      </c>
      <c r="G18" s="125">
        <f t="shared" si="0"/>
        <v>33570.028800000007</v>
      </c>
      <c r="H18" s="131"/>
      <c r="K18" s="115"/>
    </row>
    <row r="19" spans="1:11" ht="15.95" customHeight="1">
      <c r="A19" s="172" t="s">
        <v>610</v>
      </c>
      <c r="B19" s="180">
        <f>1.82*3</f>
        <v>5.46</v>
      </c>
      <c r="C19" s="170" t="s">
        <v>205</v>
      </c>
      <c r="D19" s="178">
        <v>1856</v>
      </c>
      <c r="E19" s="127" t="s">
        <v>608</v>
      </c>
      <c r="F19" s="168" t="s">
        <v>170</v>
      </c>
      <c r="G19" s="125">
        <f t="shared" si="0"/>
        <v>11147.136</v>
      </c>
      <c r="H19" s="131"/>
      <c r="K19" s="115"/>
    </row>
    <row r="20" spans="1:11" ht="15.95" customHeight="1">
      <c r="A20" s="172" t="s">
        <v>627</v>
      </c>
      <c r="B20" s="180">
        <f>AMBIENTES!N28</f>
        <v>525.00999999999988</v>
      </c>
      <c r="C20" s="170" t="s">
        <v>205</v>
      </c>
      <c r="D20" s="178">
        <v>298</v>
      </c>
      <c r="E20" s="127" t="s">
        <v>608</v>
      </c>
      <c r="F20" s="168" t="s">
        <v>170</v>
      </c>
      <c r="G20" s="125">
        <f t="shared" si="0"/>
        <v>172098.27799999996</v>
      </c>
      <c r="H20" s="131"/>
      <c r="K20" s="115"/>
    </row>
    <row r="21" spans="1:11" ht="15.95" customHeight="1">
      <c r="A21" s="182" t="s">
        <v>206</v>
      </c>
      <c r="B21" s="180">
        <f>AMBIENTES!N25</f>
        <v>173.03220000000002</v>
      </c>
      <c r="C21" s="170" t="s">
        <v>205</v>
      </c>
      <c r="D21" s="178">
        <v>149.82</v>
      </c>
      <c r="E21" s="127" t="s">
        <v>608</v>
      </c>
      <c r="F21" s="168" t="s">
        <v>170</v>
      </c>
      <c r="G21" s="125">
        <f t="shared" si="0"/>
        <v>28516.052624400003</v>
      </c>
      <c r="H21" s="131"/>
    </row>
    <row r="22" spans="1:11" ht="15.95" customHeight="1">
      <c r="A22" s="182" t="s">
        <v>477</v>
      </c>
      <c r="B22" s="180"/>
      <c r="C22" s="170" t="s">
        <v>205</v>
      </c>
      <c r="D22" s="178">
        <v>450</v>
      </c>
      <c r="E22" s="127" t="s">
        <v>608</v>
      </c>
      <c r="F22" s="168" t="s">
        <v>170</v>
      </c>
      <c r="G22" s="125">
        <f t="shared" si="0"/>
        <v>0</v>
      </c>
      <c r="H22" s="131"/>
    </row>
    <row r="23" spans="1:11" ht="15.95" customHeight="1">
      <c r="A23" s="172" t="s">
        <v>523</v>
      </c>
      <c r="B23" s="180">
        <f>AMBIENTES!N22</f>
        <v>1401.1859999999999</v>
      </c>
      <c r="C23" s="170" t="s">
        <v>205</v>
      </c>
      <c r="D23" s="178">
        <v>199</v>
      </c>
      <c r="E23" s="127" t="s">
        <v>608</v>
      </c>
      <c r="F23" s="168" t="s">
        <v>170</v>
      </c>
      <c r="G23" s="125">
        <f t="shared" si="0"/>
        <v>306719.61540000001</v>
      </c>
      <c r="H23" s="131"/>
    </row>
    <row r="24" spans="1:11" ht="15.95" customHeight="1">
      <c r="A24" s="172" t="s">
        <v>330</v>
      </c>
      <c r="B24" s="180">
        <v>0</v>
      </c>
      <c r="C24" s="170" t="s">
        <v>205</v>
      </c>
      <c r="D24" s="178">
        <v>180</v>
      </c>
      <c r="E24" s="127" t="s">
        <v>608</v>
      </c>
      <c r="F24" s="168" t="s">
        <v>170</v>
      </c>
      <c r="G24" s="125">
        <f t="shared" si="0"/>
        <v>0</v>
      </c>
      <c r="H24" s="131"/>
    </row>
    <row r="25" spans="1:11" ht="15.95" customHeight="1">
      <c r="A25" s="181" t="s">
        <v>621</v>
      </c>
      <c r="B25" s="180">
        <f>B18+B19</f>
        <v>21.903000000000002</v>
      </c>
      <c r="C25" s="170" t="s">
        <v>205</v>
      </c>
      <c r="D25" s="178">
        <v>42</v>
      </c>
      <c r="E25" s="127" t="s">
        <v>608</v>
      </c>
      <c r="F25" s="168" t="s">
        <v>170</v>
      </c>
      <c r="G25" s="125">
        <f t="shared" si="0"/>
        <v>1011.9186000000001</v>
      </c>
      <c r="H25" s="131"/>
    </row>
    <row r="26" spans="1:11" ht="15.95" customHeight="1">
      <c r="A26" s="181" t="s">
        <v>622</v>
      </c>
      <c r="B26" s="180">
        <f>B15+B16</f>
        <v>2832.5600000000009</v>
      </c>
      <c r="C26" s="170" t="s">
        <v>205</v>
      </c>
      <c r="D26" s="178">
        <v>42</v>
      </c>
      <c r="E26" s="127" t="s">
        <v>608</v>
      </c>
      <c r="F26" s="168" t="s">
        <v>170</v>
      </c>
      <c r="G26" s="125">
        <f t="shared" si="0"/>
        <v>130864.27200000004</v>
      </c>
      <c r="H26" s="131"/>
    </row>
    <row r="27" spans="1:11" ht="15.95" customHeight="1">
      <c r="A27" s="181" t="s">
        <v>625</v>
      </c>
      <c r="B27" s="180">
        <f>B16+B17</f>
        <v>3138.23</v>
      </c>
      <c r="C27" s="170" t="s">
        <v>205</v>
      </c>
      <c r="D27" s="178">
        <v>48</v>
      </c>
      <c r="E27" s="127" t="s">
        <v>608</v>
      </c>
      <c r="F27" s="168" t="s">
        <v>170</v>
      </c>
      <c r="G27" s="125">
        <f t="shared" ref="G27" si="1">+D27*B27*1.1</f>
        <v>165698.54400000002</v>
      </c>
      <c r="H27" s="131"/>
    </row>
    <row r="28" spans="1:11" ht="15.95" customHeight="1">
      <c r="A28" s="181" t="s">
        <v>626</v>
      </c>
      <c r="B28" s="180">
        <f>B23</f>
        <v>1401.1859999999999</v>
      </c>
      <c r="C28" s="170" t="s">
        <v>205</v>
      </c>
      <c r="D28" s="178">
        <v>45</v>
      </c>
      <c r="E28" s="127" t="s">
        <v>608</v>
      </c>
      <c r="F28" s="168" t="s">
        <v>170</v>
      </c>
      <c r="G28" s="125">
        <f t="shared" ref="G28" si="2">+D28*B28*1.1</f>
        <v>69358.706999999995</v>
      </c>
      <c r="H28" s="131"/>
    </row>
    <row r="29" spans="1:11" ht="15.95" customHeight="1">
      <c r="A29" s="182" t="s">
        <v>611</v>
      </c>
      <c r="B29" s="180">
        <f>(B15+B16)*1.2</f>
        <v>3399.072000000001</v>
      </c>
      <c r="C29" s="170" t="s">
        <v>4</v>
      </c>
      <c r="D29" s="178">
        <v>19.920000000000002</v>
      </c>
      <c r="E29" s="127" t="s">
        <v>608</v>
      </c>
      <c r="F29" s="168" t="s">
        <v>170</v>
      </c>
      <c r="G29" s="125">
        <f t="shared" ref="G29" si="3">+D29*B29*1.1</f>
        <v>74480.465664000047</v>
      </c>
      <c r="H29" s="131"/>
    </row>
    <row r="30" spans="1:11" ht="15.95" customHeight="1">
      <c r="A30" s="182" t="s">
        <v>612</v>
      </c>
      <c r="B30" s="180">
        <f>(B20+B17)*1.2</f>
        <v>2285.5799999999995</v>
      </c>
      <c r="C30" s="170" t="s">
        <v>4</v>
      </c>
      <c r="D30" s="178">
        <v>93.23</v>
      </c>
      <c r="E30" s="127" t="s">
        <v>608</v>
      </c>
      <c r="F30" s="168" t="s">
        <v>170</v>
      </c>
      <c r="G30" s="125">
        <f t="shared" ref="G30:G33" si="4">+D30*B30*1.1</f>
        <v>234393.08573999998</v>
      </c>
      <c r="H30" s="131"/>
    </row>
    <row r="31" spans="1:11" ht="15.95" customHeight="1">
      <c r="A31" s="182" t="s">
        <v>623</v>
      </c>
      <c r="B31" s="180">
        <f>B29+B30</f>
        <v>5684.652</v>
      </c>
      <c r="C31" s="170" t="s">
        <v>4</v>
      </c>
      <c r="D31" s="178">
        <v>22</v>
      </c>
      <c r="E31" s="127" t="s">
        <v>608</v>
      </c>
      <c r="F31" s="168" t="s">
        <v>170</v>
      </c>
      <c r="G31" s="125">
        <f t="shared" si="4"/>
        <v>137568.5784</v>
      </c>
      <c r="H31" s="131"/>
    </row>
    <row r="32" spans="1:11" ht="15.95" customHeight="1">
      <c r="A32" s="181" t="s">
        <v>617</v>
      </c>
      <c r="B32" s="180">
        <f>(ESQUADRIAS!D26+DADOS_INICIAIS!E21)*0.9</f>
        <v>66.600000000000009</v>
      </c>
      <c r="C32" s="170" t="s">
        <v>4</v>
      </c>
      <c r="D32" s="178">
        <f>110-D33</f>
        <v>98</v>
      </c>
      <c r="E32" s="127" t="s">
        <v>608</v>
      </c>
      <c r="F32" s="168" t="s">
        <v>170</v>
      </c>
      <c r="G32" s="125">
        <f t="shared" si="4"/>
        <v>7179.4800000000014</v>
      </c>
      <c r="H32" s="131"/>
    </row>
    <row r="33" spans="1:12" ht="15.95" customHeight="1">
      <c r="A33" s="181" t="s">
        <v>620</v>
      </c>
      <c r="B33" s="180">
        <f>B32</f>
        <v>66.600000000000009</v>
      </c>
      <c r="C33" s="170" t="s">
        <v>4</v>
      </c>
      <c r="D33" s="178">
        <v>12</v>
      </c>
      <c r="E33" s="127" t="s">
        <v>608</v>
      </c>
      <c r="F33" s="168" t="s">
        <v>170</v>
      </c>
      <c r="G33" s="125">
        <f t="shared" si="4"/>
        <v>879.12000000000012</v>
      </c>
      <c r="H33" s="131"/>
    </row>
    <row r="34" spans="1:12" ht="15.95" customHeight="1">
      <c r="A34" s="181" t="s">
        <v>618</v>
      </c>
      <c r="B34" s="180">
        <f>ESQUADRIAS!D12/3.15</f>
        <v>680.33465142857153</v>
      </c>
      <c r="C34" s="170" t="s">
        <v>4</v>
      </c>
      <c r="D34" s="178">
        <f>65-D35</f>
        <v>53</v>
      </c>
      <c r="E34" s="127" t="s">
        <v>608</v>
      </c>
      <c r="F34" s="168" t="s">
        <v>170</v>
      </c>
      <c r="G34" s="125">
        <f t="shared" ref="G34:G35" si="5">+D34*B34*1.1</f>
        <v>39663.510178285724</v>
      </c>
      <c r="H34" s="131"/>
      <c r="J34" s="1" t="s">
        <v>649</v>
      </c>
      <c r="K34" s="115">
        <f>SUM(G34:G43)</f>
        <v>2440188.8879897301</v>
      </c>
    </row>
    <row r="35" spans="1:12" ht="15.95" customHeight="1">
      <c r="A35" s="181" t="s">
        <v>619</v>
      </c>
      <c r="B35" s="180">
        <f>B34</f>
        <v>680.33465142857153</v>
      </c>
      <c r="C35" s="170" t="s">
        <v>4</v>
      </c>
      <c r="D35" s="178">
        <v>12</v>
      </c>
      <c r="E35" s="127" t="s">
        <v>608</v>
      </c>
      <c r="F35" s="168" t="s">
        <v>170</v>
      </c>
      <c r="G35" s="125">
        <f t="shared" si="5"/>
        <v>8980.4173988571456</v>
      </c>
      <c r="H35" s="131"/>
      <c r="J35" s="1" t="s">
        <v>650</v>
      </c>
      <c r="K35" s="115">
        <f>G44-K34</f>
        <v>2369960.1491983994</v>
      </c>
    </row>
    <row r="36" spans="1:12" ht="15.95" customHeight="1">
      <c r="A36" s="179" t="s">
        <v>776</v>
      </c>
      <c r="B36" s="171">
        <f>ALVENARIA!D14*2</f>
        <v>3387.5351999999998</v>
      </c>
      <c r="C36" s="170" t="s">
        <v>205</v>
      </c>
      <c r="D36" s="178">
        <f>210</f>
        <v>210</v>
      </c>
      <c r="E36" s="127" t="s">
        <v>608</v>
      </c>
      <c r="F36" s="168" t="s">
        <v>170</v>
      </c>
      <c r="G36" s="125">
        <f>D36*1.1*B36</f>
        <v>782520.63120000006</v>
      </c>
      <c r="H36" s="123">
        <f>G36/DADOS_INICIAIS!E9</f>
        <v>129.36000000000004</v>
      </c>
      <c r="I36" s="115"/>
      <c r="K36" s="115">
        <f>K35+'Rev. Internos Piso e Parede'!K28</f>
        <v>3231121.7147835996</v>
      </c>
      <c r="L36" s="1" t="s">
        <v>786</v>
      </c>
    </row>
    <row r="37" spans="1:12" ht="15.95" customHeight="1">
      <c r="A37" s="179" t="s">
        <v>616</v>
      </c>
      <c r="B37" s="171">
        <f>B36</f>
        <v>3387.5351999999998</v>
      </c>
      <c r="C37" s="170" t="s">
        <v>205</v>
      </c>
      <c r="D37" s="178">
        <f>45</f>
        <v>45</v>
      </c>
      <c r="E37" s="127" t="s">
        <v>608</v>
      </c>
      <c r="F37" s="168" t="s">
        <v>170</v>
      </c>
      <c r="G37" s="125">
        <f>D37*1.1*B37</f>
        <v>167682.99240000002</v>
      </c>
      <c r="H37" s="123"/>
      <c r="I37" s="115"/>
    </row>
    <row r="38" spans="1:12" ht="15.95" customHeight="1">
      <c r="A38" s="181" t="s">
        <v>644</v>
      </c>
      <c r="B38" s="180">
        <f>'PINTURA INTERNA'!D16*0.1</f>
        <v>1178.6347490000001</v>
      </c>
      <c r="C38" s="170" t="s">
        <v>205</v>
      </c>
      <c r="D38" s="178">
        <v>180.7</v>
      </c>
      <c r="E38" s="127" t="s">
        <v>608</v>
      </c>
      <c r="F38" s="168" t="s">
        <v>170</v>
      </c>
      <c r="G38" s="125">
        <f t="shared" ref="G38:G41" si="6">D38*1.1*B38</f>
        <v>234277.22905873004</v>
      </c>
      <c r="H38" s="131" t="s">
        <v>645</v>
      </c>
    </row>
    <row r="39" spans="1:12" ht="15.95" customHeight="1">
      <c r="A39" s="181" t="s">
        <v>643</v>
      </c>
      <c r="B39" s="180">
        <f>1.76*'PINTURA INTERNA'!D16*0.3</f>
        <v>6223.1914747199999</v>
      </c>
      <c r="C39" s="170" t="s">
        <v>4</v>
      </c>
      <c r="D39" s="178">
        <v>24</v>
      </c>
      <c r="E39" s="127" t="s">
        <v>608</v>
      </c>
      <c r="F39" s="168" t="s">
        <v>170</v>
      </c>
      <c r="G39" s="125">
        <f t="shared" si="6"/>
        <v>164292.25493260802</v>
      </c>
      <c r="H39" s="131" t="s">
        <v>646</v>
      </c>
    </row>
    <row r="40" spans="1:12" ht="15.95" customHeight="1">
      <c r="A40" s="181" t="s">
        <v>648</v>
      </c>
      <c r="B40" s="180">
        <f>1.76*'PINTURA INTERNA'!D17*0.3</f>
        <v>6223.1914747199999</v>
      </c>
      <c r="C40" s="170" t="s">
        <v>4</v>
      </c>
      <c r="D40" s="178">
        <v>22</v>
      </c>
      <c r="E40" s="127" t="s">
        <v>608</v>
      </c>
      <c r="F40" s="168" t="s">
        <v>170</v>
      </c>
      <c r="G40" s="125">
        <f t="shared" si="6"/>
        <v>150601.23368822402</v>
      </c>
      <c r="H40" s="131" t="s">
        <v>646</v>
      </c>
    </row>
    <row r="41" spans="1:12" ht="15.95" customHeight="1">
      <c r="A41" s="301" t="s">
        <v>775</v>
      </c>
      <c r="B41" s="180">
        <f>3.8*'SISTEMAS ESPECIAIS'!B34</f>
        <v>102.6</v>
      </c>
      <c r="C41" s="170" t="s">
        <v>385</v>
      </c>
      <c r="D41" s="178">
        <f>1950+3200/B41+2500/B41</f>
        <v>2005.5555555555554</v>
      </c>
      <c r="E41" s="127" t="s">
        <v>608</v>
      </c>
      <c r="F41" s="168" t="s">
        <v>170</v>
      </c>
      <c r="G41" s="125">
        <f t="shared" si="6"/>
        <v>226347</v>
      </c>
      <c r="H41" s="131"/>
    </row>
    <row r="42" spans="1:12" ht="15.95" customHeight="1">
      <c r="A42" s="301" t="s">
        <v>696</v>
      </c>
      <c r="B42" s="180">
        <f>2*PI()*1.3*3.2</f>
        <v>26.13805087786708</v>
      </c>
      <c r="C42" s="170" t="s">
        <v>385</v>
      </c>
      <c r="D42" s="178">
        <f>1950+3200/B42+2500/B42</f>
        <v>2168.0728787557218</v>
      </c>
      <c r="E42" s="127" t="s">
        <v>608</v>
      </c>
      <c r="F42" s="168" t="s">
        <v>170</v>
      </c>
      <c r="G42" s="125">
        <f t="shared" ref="G42" si="7">D42*1.1*B42</f>
        <v>62336.119133024891</v>
      </c>
      <c r="H42" s="131"/>
    </row>
    <row r="43" spans="1:12" ht="15.95" customHeight="1">
      <c r="A43" s="301" t="s">
        <v>698</v>
      </c>
      <c r="B43" s="180">
        <f>DADOS_INICIAIS!E21+2</f>
        <v>38</v>
      </c>
      <c r="C43" s="170" t="s">
        <v>3</v>
      </c>
      <c r="D43" s="178">
        <v>14437.5</v>
      </c>
      <c r="E43" s="127" t="s">
        <v>608</v>
      </c>
      <c r="F43" s="168" t="s">
        <v>170</v>
      </c>
      <c r="G43" s="125">
        <f t="shared" ref="G43" si="8">D43*1.1*B43</f>
        <v>603487.50000000012</v>
      </c>
      <c r="H43" s="131"/>
    </row>
    <row r="44" spans="1:12" ht="15.95" customHeight="1">
      <c r="A44" s="354">
        <f>20*40</f>
        <v>800</v>
      </c>
      <c r="B44" s="343"/>
      <c r="C44" s="343"/>
      <c r="D44" s="343"/>
      <c r="E44" s="343"/>
      <c r="F44" s="343"/>
      <c r="G44" s="177">
        <f>SUM(G15:G43)</f>
        <v>4810149.0371881295</v>
      </c>
      <c r="H44" s="296" t="s">
        <v>647</v>
      </c>
    </row>
    <row r="45" spans="1:12" ht="15.95" customHeight="1">
      <c r="A45" s="352"/>
      <c r="B45" s="353"/>
      <c r="C45" s="353"/>
      <c r="D45" s="353"/>
      <c r="E45" s="353"/>
      <c r="F45" s="353"/>
      <c r="G45" s="167"/>
      <c r="H45" s="118"/>
    </row>
    <row r="46" spans="1:12" ht="15.95" customHeight="1">
      <c r="A46" s="120"/>
      <c r="B46" s="119"/>
      <c r="C46" s="119"/>
      <c r="D46" s="119"/>
      <c r="E46" s="119"/>
      <c r="F46" s="119"/>
      <c r="G46" s="167"/>
      <c r="H46" s="118"/>
    </row>
    <row r="47" spans="1:12">
      <c r="A47" s="343" t="s">
        <v>204</v>
      </c>
      <c r="B47" s="343"/>
      <c r="C47" s="343"/>
      <c r="D47" s="343"/>
      <c r="E47" s="343"/>
      <c r="F47" s="343"/>
      <c r="G47" s="117">
        <f>G44</f>
        <v>4810149.0371881295</v>
      </c>
      <c r="H47" s="116" t="e">
        <f>G47/#REF!</f>
        <v>#REF!</v>
      </c>
    </row>
    <row r="49" spans="1:11" ht="15">
      <c r="B49"/>
      <c r="C49"/>
      <c r="D49"/>
      <c r="E49"/>
      <c r="F49"/>
      <c r="G49"/>
      <c r="H49" s="176" t="e">
        <f>H47/1.1</f>
        <v>#REF!</v>
      </c>
    </row>
    <row r="50" spans="1:11" ht="15">
      <c r="A50" s="200" t="s">
        <v>203</v>
      </c>
      <c r="B50" s="115">
        <v>2612.64</v>
      </c>
      <c r="D50"/>
      <c r="E50"/>
      <c r="F50"/>
      <c r="G50"/>
      <c r="H50" s="113"/>
    </row>
    <row r="51" spans="1:11" ht="15">
      <c r="A51" s="184" t="s">
        <v>202</v>
      </c>
      <c r="B51" s="115">
        <v>29.99</v>
      </c>
      <c r="D51"/>
      <c r="E51"/>
      <c r="F51"/>
      <c r="G51"/>
      <c r="H51"/>
    </row>
    <row r="52" spans="1:11" ht="15">
      <c r="A52" s="183" t="s">
        <v>323</v>
      </c>
      <c r="B52" s="1">
        <v>181.54000000000002</v>
      </c>
      <c r="D52"/>
      <c r="E52"/>
      <c r="F52"/>
      <c r="G52"/>
      <c r="H52" s="176"/>
      <c r="K52" s="115"/>
    </row>
    <row r="53" spans="1:11" ht="15">
      <c r="A53" s="1" t="s">
        <v>324</v>
      </c>
      <c r="B53" s="2">
        <v>6243.04</v>
      </c>
      <c r="D53"/>
      <c r="E53"/>
      <c r="F53"/>
      <c r="G53"/>
      <c r="H53" s="176"/>
    </row>
    <row r="54" spans="1:11" ht="15">
      <c r="A54" s="1" t="s">
        <v>200</v>
      </c>
      <c r="B54" s="1">
        <v>4526.1499999999996</v>
      </c>
      <c r="D54"/>
      <c r="E54"/>
      <c r="F54"/>
      <c r="G54"/>
      <c r="H54" s="176"/>
    </row>
    <row r="55" spans="1:11" ht="15">
      <c r="A55" s="1" t="s">
        <v>325</v>
      </c>
      <c r="B55" s="2">
        <v>280.79000000000002</v>
      </c>
      <c r="D55"/>
      <c r="E55"/>
      <c r="F55"/>
      <c r="G55"/>
      <c r="H55"/>
    </row>
    <row r="56" spans="1:11" ht="15">
      <c r="A56" s="1" t="s">
        <v>201</v>
      </c>
      <c r="B56" s="1">
        <v>134.38999999999999</v>
      </c>
      <c r="D56"/>
      <c r="E56"/>
      <c r="F56"/>
      <c r="G56"/>
      <c r="H56"/>
    </row>
    <row r="57" spans="1:11" ht="15">
      <c r="A57" s="1" t="s">
        <v>326</v>
      </c>
      <c r="B57" s="1">
        <v>58.41</v>
      </c>
      <c r="C57"/>
      <c r="D57"/>
      <c r="E57"/>
      <c r="F57"/>
      <c r="G57"/>
      <c r="H57"/>
    </row>
    <row r="58" spans="1:11" ht="15">
      <c r="A58" s="1" t="s">
        <v>327</v>
      </c>
      <c r="B58" s="1">
        <v>54.76</v>
      </c>
      <c r="C58"/>
      <c r="D58"/>
      <c r="E58"/>
      <c r="F58"/>
      <c r="G58"/>
      <c r="H58"/>
    </row>
    <row r="59" spans="1:11" ht="15">
      <c r="A59" s="1" t="s">
        <v>331</v>
      </c>
      <c r="B59" s="114">
        <v>448.72</v>
      </c>
      <c r="C59"/>
      <c r="D59"/>
      <c r="E59"/>
      <c r="F59"/>
      <c r="G59"/>
      <c r="H59"/>
    </row>
    <row r="60" spans="1:11" ht="15">
      <c r="A60" s="1" t="s">
        <v>335</v>
      </c>
      <c r="B60" s="114">
        <v>138.18</v>
      </c>
      <c r="C60"/>
      <c r="D60"/>
      <c r="E60"/>
      <c r="F60"/>
      <c r="G60"/>
      <c r="H60"/>
    </row>
    <row r="61" spans="1:11" ht="15">
      <c r="B61"/>
      <c r="C61"/>
      <c r="D61"/>
      <c r="E61"/>
      <c r="F61"/>
      <c r="G61"/>
      <c r="H61"/>
    </row>
    <row r="62" spans="1:11" ht="15">
      <c r="C62"/>
      <c r="D62"/>
      <c r="E62"/>
      <c r="F62"/>
      <c r="G62"/>
      <c r="H62"/>
    </row>
    <row r="63" spans="1:11" ht="15">
      <c r="C63"/>
      <c r="D63"/>
      <c r="E63"/>
      <c r="F63"/>
      <c r="G63"/>
      <c r="H63"/>
    </row>
    <row r="64" spans="1:11" ht="15">
      <c r="C64"/>
      <c r="D64"/>
      <c r="E64"/>
      <c r="F64"/>
      <c r="G64"/>
      <c r="H64"/>
    </row>
    <row r="65" spans="2:8" ht="15">
      <c r="C65"/>
      <c r="D65"/>
      <c r="E65"/>
      <c r="F65"/>
      <c r="G65"/>
      <c r="H65"/>
    </row>
    <row r="66" spans="2:8" ht="15">
      <c r="C66"/>
      <c r="D66"/>
      <c r="E66"/>
      <c r="F66"/>
      <c r="G66"/>
      <c r="H66"/>
    </row>
    <row r="67" spans="2:8" ht="15">
      <c r="C67"/>
      <c r="D67"/>
      <c r="E67"/>
      <c r="F67"/>
      <c r="G67"/>
      <c r="H67"/>
    </row>
    <row r="68" spans="2:8" ht="15">
      <c r="C68"/>
      <c r="D68"/>
      <c r="E68"/>
      <c r="F68"/>
      <c r="G68"/>
      <c r="H68"/>
    </row>
    <row r="69" spans="2:8" ht="15">
      <c r="C69"/>
      <c r="D69"/>
      <c r="E69"/>
      <c r="F69"/>
      <c r="G69"/>
      <c r="H69"/>
    </row>
    <row r="70" spans="2:8" ht="15">
      <c r="C70"/>
      <c r="D70"/>
      <c r="E70"/>
      <c r="F70"/>
      <c r="G70"/>
      <c r="H70"/>
    </row>
    <row r="71" spans="2:8" ht="15">
      <c r="C71"/>
      <c r="D71"/>
      <c r="E71"/>
      <c r="F71"/>
      <c r="G71"/>
      <c r="H71"/>
    </row>
    <row r="72" spans="2:8" ht="15">
      <c r="C72"/>
      <c r="D72"/>
      <c r="E72"/>
      <c r="F72"/>
      <c r="G72"/>
      <c r="H72"/>
    </row>
    <row r="73" spans="2:8" ht="15">
      <c r="C73"/>
      <c r="D73"/>
      <c r="E73"/>
      <c r="F73"/>
      <c r="G73"/>
      <c r="H73"/>
    </row>
    <row r="74" spans="2:8" ht="15">
      <c r="B74"/>
      <c r="C74"/>
      <c r="D74"/>
      <c r="E74"/>
      <c r="F74"/>
      <c r="G74"/>
      <c r="H74"/>
    </row>
    <row r="75" spans="2:8" ht="15">
      <c r="C75"/>
      <c r="D75"/>
      <c r="E75"/>
      <c r="F75"/>
      <c r="G75"/>
      <c r="H75"/>
    </row>
    <row r="76" spans="2:8" ht="15">
      <c r="C76"/>
      <c r="D76"/>
      <c r="E76"/>
      <c r="F76"/>
      <c r="G76"/>
      <c r="H76"/>
    </row>
    <row r="77" spans="2:8" ht="15">
      <c r="C77"/>
      <c r="D77"/>
      <c r="E77"/>
      <c r="F77"/>
      <c r="G77"/>
      <c r="H77"/>
    </row>
    <row r="78" spans="2:8" ht="15">
      <c r="C78"/>
      <c r="D78"/>
      <c r="E78"/>
      <c r="F78"/>
      <c r="G78"/>
      <c r="H78"/>
    </row>
    <row r="79" spans="2:8" ht="15">
      <c r="C79"/>
      <c r="D79"/>
      <c r="E79"/>
      <c r="F79"/>
      <c r="G79"/>
      <c r="H79"/>
    </row>
    <row r="80" spans="2:8" ht="15">
      <c r="B80"/>
      <c r="C80"/>
      <c r="D80"/>
      <c r="E80"/>
      <c r="F80"/>
      <c r="G80"/>
      <c r="H80"/>
    </row>
    <row r="81" spans="2:8" ht="15">
      <c r="C81"/>
      <c r="D81"/>
      <c r="E81"/>
      <c r="F81"/>
      <c r="G81"/>
      <c r="H81"/>
    </row>
    <row r="82" spans="2:8" ht="15">
      <c r="C82"/>
      <c r="D82"/>
      <c r="E82"/>
      <c r="F82"/>
      <c r="G82"/>
      <c r="H82"/>
    </row>
    <row r="83" spans="2:8" ht="15">
      <c r="C83"/>
      <c r="D83"/>
      <c r="E83"/>
      <c r="F83"/>
      <c r="G83"/>
      <c r="H83"/>
    </row>
    <row r="84" spans="2:8" ht="15">
      <c r="C84"/>
      <c r="D84"/>
      <c r="E84"/>
      <c r="F84"/>
      <c r="G84"/>
      <c r="H84"/>
    </row>
    <row r="85" spans="2:8" ht="15">
      <c r="B85"/>
      <c r="C85"/>
      <c r="D85"/>
      <c r="E85"/>
      <c r="F85"/>
      <c r="G85"/>
      <c r="H85"/>
    </row>
    <row r="86" spans="2:8" ht="15">
      <c r="C86"/>
      <c r="D86"/>
      <c r="E86"/>
      <c r="F86"/>
      <c r="G86"/>
      <c r="H86"/>
    </row>
    <row r="87" spans="2:8" ht="15">
      <c r="B87"/>
      <c r="C87"/>
      <c r="D87"/>
      <c r="E87"/>
      <c r="F87"/>
      <c r="G87"/>
      <c r="H87"/>
    </row>
    <row r="88" spans="2:8" ht="15">
      <c r="C88"/>
      <c r="D88"/>
      <c r="E88"/>
      <c r="F88"/>
      <c r="G88"/>
      <c r="H88"/>
    </row>
    <row r="89" spans="2:8" ht="15">
      <c r="C89"/>
      <c r="D89"/>
      <c r="E89"/>
      <c r="F89"/>
      <c r="G89"/>
      <c r="H89"/>
    </row>
    <row r="90" spans="2:8" ht="15">
      <c r="C90"/>
      <c r="D90"/>
      <c r="E90"/>
      <c r="F90"/>
      <c r="G90"/>
      <c r="H90"/>
    </row>
    <row r="91" spans="2:8" ht="15">
      <c r="C91"/>
      <c r="D91"/>
      <c r="E91"/>
      <c r="F91"/>
      <c r="G91"/>
      <c r="H91"/>
    </row>
    <row r="92" spans="2:8" ht="15">
      <c r="B92"/>
      <c r="C92"/>
      <c r="D92"/>
      <c r="E92"/>
      <c r="F92"/>
      <c r="G92"/>
      <c r="H92"/>
    </row>
    <row r="93" spans="2:8" ht="15">
      <c r="C93"/>
      <c r="D93"/>
      <c r="E93"/>
      <c r="F93"/>
      <c r="G93"/>
      <c r="H93"/>
    </row>
    <row r="94" spans="2:8" ht="15">
      <c r="C94"/>
      <c r="D94"/>
      <c r="E94"/>
      <c r="F94"/>
      <c r="G94"/>
      <c r="H94"/>
    </row>
    <row r="95" spans="2:8" ht="15">
      <c r="C95"/>
      <c r="D95"/>
      <c r="E95"/>
      <c r="F95"/>
      <c r="G95"/>
      <c r="H95"/>
    </row>
    <row r="96" spans="2:8" ht="15">
      <c r="C96"/>
      <c r="D96"/>
      <c r="E96"/>
      <c r="F96"/>
      <c r="G96"/>
      <c r="H96"/>
    </row>
    <row r="97" spans="2:8" ht="15">
      <c r="B97"/>
      <c r="C97"/>
      <c r="D97"/>
      <c r="E97"/>
      <c r="F97"/>
      <c r="G97"/>
      <c r="H97"/>
    </row>
    <row r="98" spans="2:8" ht="15">
      <c r="C98"/>
      <c r="D98"/>
      <c r="E98"/>
      <c r="F98"/>
      <c r="G98"/>
      <c r="H98"/>
    </row>
    <row r="99" spans="2:8" ht="15">
      <c r="C99"/>
      <c r="D99"/>
      <c r="E99"/>
      <c r="F99"/>
      <c r="G99"/>
      <c r="H99"/>
    </row>
    <row r="100" spans="2:8" ht="15">
      <c r="C100"/>
      <c r="D100"/>
      <c r="E100"/>
      <c r="F100"/>
      <c r="G100"/>
      <c r="H100"/>
    </row>
    <row r="101" spans="2:8" ht="15">
      <c r="C101"/>
      <c r="D101"/>
      <c r="E101"/>
      <c r="F101"/>
      <c r="G101"/>
      <c r="H101"/>
    </row>
    <row r="102" spans="2:8" ht="15">
      <c r="C102"/>
      <c r="D102"/>
      <c r="E102"/>
      <c r="F102"/>
      <c r="G102"/>
      <c r="H102"/>
    </row>
  </sheetData>
  <mergeCells count="6">
    <mergeCell ref="A47:F47"/>
    <mergeCell ref="A45:F45"/>
    <mergeCell ref="A44:F44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4"/>
  <sheetViews>
    <sheetView showGridLines="0" topLeftCell="A3" zoomScale="80" zoomScaleNormal="80" zoomScaleSheetLayoutView="95" workbookViewId="0">
      <selection activeCell="G15" sqref="G15"/>
    </sheetView>
  </sheetViews>
  <sheetFormatPr defaultColWidth="9.140625" defaultRowHeight="1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314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211</v>
      </c>
      <c r="B10" s="62">
        <v>25</v>
      </c>
      <c r="C10" s="62" t="s">
        <v>171</v>
      </c>
      <c r="D10" s="67">
        <f>AMBIENTES!N19*0.1</f>
        <v>106.12200000000001</v>
      </c>
      <c r="E10" s="67" t="s">
        <v>2</v>
      </c>
      <c r="F10" s="88">
        <v>110</v>
      </c>
      <c r="G10" s="89">
        <f t="shared" ref="G10:G18" si="0">F10*D10*1.1</f>
        <v>12840.762000000002</v>
      </c>
      <c r="H10" s="67" t="s">
        <v>553</v>
      </c>
    </row>
    <row r="11" spans="1:10" ht="21.75">
      <c r="A11" s="78" t="s">
        <v>210</v>
      </c>
      <c r="B11" s="62">
        <v>45</v>
      </c>
      <c r="C11" s="62" t="s">
        <v>171</v>
      </c>
      <c r="D11" s="67">
        <f>'Rev. Internos Piso e Parede'!B16</f>
        <v>0</v>
      </c>
      <c r="E11" s="67" t="s">
        <v>2</v>
      </c>
      <c r="F11" s="88">
        <v>65</v>
      </c>
      <c r="G11" s="89">
        <f t="shared" si="0"/>
        <v>0</v>
      </c>
      <c r="H11" s="67"/>
    </row>
    <row r="12" spans="1:10" ht="21.75">
      <c r="A12" s="78" t="s">
        <v>209</v>
      </c>
      <c r="B12" s="62">
        <v>15</v>
      </c>
      <c r="C12" s="62" t="s">
        <v>6</v>
      </c>
      <c r="D12" s="67">
        <f>ALVENARIA!D11*2+'Rev. Internos Piso e Parede'!B25</f>
        <v>2493.1679999999997</v>
      </c>
      <c r="E12" s="67" t="s">
        <v>2</v>
      </c>
      <c r="F12" s="88">
        <f>1.2+6.87</f>
        <v>8.07</v>
      </c>
      <c r="G12" s="89">
        <f t="shared" si="0"/>
        <v>22131.852336</v>
      </c>
      <c r="H12" s="67"/>
    </row>
    <row r="13" spans="1:10" ht="21.75">
      <c r="A13" s="78" t="s">
        <v>640</v>
      </c>
      <c r="B13" s="62">
        <v>15</v>
      </c>
      <c r="C13" s="62" t="s">
        <v>6</v>
      </c>
      <c r="D13" s="67">
        <f>D12</f>
        <v>2493.1679999999997</v>
      </c>
      <c r="E13" s="67" t="s">
        <v>2</v>
      </c>
      <c r="F13" s="88">
        <v>20</v>
      </c>
      <c r="G13" s="89">
        <f t="shared" ref="G13" si="1">F13*D13*1.1</f>
        <v>54849.695999999996</v>
      </c>
      <c r="H13" s="67"/>
    </row>
    <row r="14" spans="1:10" ht="21.75">
      <c r="A14" s="78" t="s">
        <v>556</v>
      </c>
      <c r="B14" s="62">
        <v>15</v>
      </c>
      <c r="C14" s="62" t="s">
        <v>6</v>
      </c>
      <c r="D14" s="67">
        <f>TETO!D16</f>
        <v>1161.3630000000005</v>
      </c>
      <c r="E14" s="67" t="s">
        <v>2</v>
      </c>
      <c r="F14" s="88">
        <f>1.2+6.87</f>
        <v>8.07</v>
      </c>
      <c r="G14" s="89">
        <f t="shared" si="0"/>
        <v>10309.419351000006</v>
      </c>
      <c r="H14" s="67"/>
    </row>
    <row r="15" spans="1:10" ht="21.75">
      <c r="A15" s="78" t="s">
        <v>641</v>
      </c>
      <c r="B15" s="62">
        <v>15</v>
      </c>
      <c r="C15" s="62" t="s">
        <v>6</v>
      </c>
      <c r="D15" s="67">
        <f>D14</f>
        <v>1161.3630000000005</v>
      </c>
      <c r="E15" s="67" t="s">
        <v>2</v>
      </c>
      <c r="F15" s="88">
        <f>22</f>
        <v>22</v>
      </c>
      <c r="G15" s="89">
        <f t="shared" ref="G15" si="2">F15*D15*1.1</f>
        <v>28104.984600000014</v>
      </c>
      <c r="H15" s="67"/>
    </row>
    <row r="16" spans="1:10" ht="21.75">
      <c r="A16" s="66" t="s">
        <v>554</v>
      </c>
      <c r="B16" s="62">
        <v>50</v>
      </c>
      <c r="C16" s="62" t="s">
        <v>6</v>
      </c>
      <c r="D16" s="67">
        <f>(ALVENARIA!D13+ALVENARIA!D14)*2+ALVENARIA!D15+ALVENARIA!D16</f>
        <v>11786.34749</v>
      </c>
      <c r="E16" s="67" t="s">
        <v>2</v>
      </c>
      <c r="F16" s="88">
        <f>1.2+3.2+6.74</f>
        <v>11.14</v>
      </c>
      <c r="G16" s="89">
        <f t="shared" si="0"/>
        <v>144429.90214246002</v>
      </c>
      <c r="H16" s="67"/>
    </row>
    <row r="17" spans="1:12" ht="21.75">
      <c r="A17" s="66" t="s">
        <v>777</v>
      </c>
      <c r="B17" s="62">
        <v>50</v>
      </c>
      <c r="C17" s="62" t="s">
        <v>6</v>
      </c>
      <c r="D17" s="67">
        <f>D16</f>
        <v>11786.34749</v>
      </c>
      <c r="E17" s="67" t="s">
        <v>2</v>
      </c>
      <c r="F17" s="88">
        <f>32</f>
        <v>32</v>
      </c>
      <c r="G17" s="89">
        <f t="shared" ref="G17" si="3">F17*D17*1.1</f>
        <v>414879.43164800003</v>
      </c>
      <c r="H17" s="67"/>
    </row>
    <row r="18" spans="1:12" ht="21.75">
      <c r="A18" s="66" t="s">
        <v>555</v>
      </c>
      <c r="B18" s="62">
        <v>50</v>
      </c>
      <c r="C18" s="62" t="s">
        <v>6</v>
      </c>
      <c r="D18" s="67">
        <f>TETO!D10+TETO!D12+TETO!D13+TETO!D11</f>
        <v>4082.08</v>
      </c>
      <c r="E18" s="67" t="s">
        <v>2</v>
      </c>
      <c r="F18" s="88">
        <f>1.2+3.2+6.74</f>
        <v>11.14</v>
      </c>
      <c r="G18" s="89">
        <f t="shared" si="0"/>
        <v>50021.808320000004</v>
      </c>
      <c r="H18" s="67"/>
    </row>
    <row r="19" spans="1:12" ht="21.75">
      <c r="A19" s="66" t="s">
        <v>642</v>
      </c>
      <c r="B19" s="62">
        <v>50</v>
      </c>
      <c r="C19" s="62" t="s">
        <v>6</v>
      </c>
      <c r="D19" s="67">
        <f>D18</f>
        <v>4082.08</v>
      </c>
      <c r="E19" s="67" t="s">
        <v>2</v>
      </c>
      <c r="F19" s="88">
        <f>34</f>
        <v>34</v>
      </c>
      <c r="G19" s="89">
        <f t="shared" ref="G19" si="4">F19*D19*1.1</f>
        <v>152669.79200000002</v>
      </c>
      <c r="H19" s="67"/>
    </row>
    <row r="20" spans="1:12" ht="21.75">
      <c r="A20" s="318" t="s">
        <v>17</v>
      </c>
      <c r="B20" s="318"/>
      <c r="C20" s="318"/>
      <c r="D20" s="318"/>
      <c r="E20" s="318"/>
      <c r="F20" s="318"/>
      <c r="G20" s="90">
        <f>SUM(G10:G19)</f>
        <v>890237.64839746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>
      <c r="A22" s="328" t="s">
        <v>218</v>
      </c>
      <c r="B22" s="329"/>
      <c r="C22" s="329"/>
      <c r="D22" s="329"/>
      <c r="E22" s="329"/>
      <c r="F22" s="330"/>
      <c r="G22" s="91">
        <f>G20</f>
        <v>890237.64839746</v>
      </c>
      <c r="H22" s="91">
        <f>G22/DADOS_INICIAIS!E9</f>
        <v>147.166908583733</v>
      </c>
    </row>
    <row r="24" spans="1:12">
      <c r="H24" s="198">
        <f>H22/1.1</f>
        <v>133.78809871248453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FFC000"/>
  </sheetPr>
  <dimension ref="A1:L42"/>
  <sheetViews>
    <sheetView showGridLines="0" topLeftCell="A7" zoomScale="80" zoomScaleNormal="80" zoomScaleSheetLayoutView="95" workbookViewId="0">
      <selection activeCell="J13" sqref="J13"/>
    </sheetView>
  </sheetViews>
  <sheetFormatPr defaultColWidth="9.140625" defaultRowHeight="1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.140625" style="55" bestFit="1" customWidth="1"/>
    <col min="11" max="11" width="13.7109375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>
      <c r="D1" s="79"/>
      <c r="E1" s="55"/>
      <c r="H1" s="80"/>
      <c r="I1" s="80"/>
      <c r="J1" s="79"/>
    </row>
    <row r="3" spans="1:10" ht="28.5">
      <c r="A3" s="319" t="s">
        <v>232</v>
      </c>
      <c r="B3" s="327"/>
      <c r="C3" s="327"/>
      <c r="D3" s="320"/>
      <c r="E3" s="320"/>
      <c r="F3" s="320"/>
      <c r="G3" s="320"/>
      <c r="H3" s="321"/>
      <c r="J3" s="79"/>
    </row>
    <row r="4" spans="1:10" ht="19.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>
      <c r="A5" s="189" t="s">
        <v>290</v>
      </c>
      <c r="B5" s="196" t="s">
        <v>213</v>
      </c>
      <c r="C5" s="191"/>
      <c r="D5" s="191"/>
      <c r="E5" s="191"/>
      <c r="F5" s="191"/>
      <c r="G5" s="191"/>
      <c r="H5" s="192"/>
      <c r="J5" s="79"/>
    </row>
    <row r="6" spans="1:10" ht="21.75">
      <c r="A6" s="83"/>
      <c r="B6" s="83"/>
      <c r="C6" s="83"/>
      <c r="D6" s="83"/>
      <c r="E6" s="83"/>
      <c r="F6" s="84"/>
      <c r="G6" s="85"/>
      <c r="H6" s="85"/>
      <c r="J6" s="79"/>
    </row>
    <row r="7" spans="1:10" ht="21.75">
      <c r="A7" s="52" t="s">
        <v>232</v>
      </c>
      <c r="B7" s="52"/>
      <c r="C7" s="52"/>
      <c r="D7" s="53"/>
      <c r="E7" s="53"/>
      <c r="F7" s="54"/>
      <c r="G7" s="53"/>
      <c r="H7" s="53"/>
    </row>
    <row r="8" spans="1:10" ht="21.75">
      <c r="A8" s="56"/>
      <c r="B8" s="56"/>
      <c r="C8" s="56"/>
      <c r="D8" s="57"/>
      <c r="E8" s="57"/>
      <c r="F8" s="58"/>
      <c r="G8" s="59"/>
      <c r="H8" s="59"/>
    </row>
    <row r="9" spans="1:10" ht="42" customHeight="1">
      <c r="A9" s="63" t="s">
        <v>14</v>
      </c>
      <c r="B9" s="323" t="s">
        <v>5</v>
      </c>
      <c r="C9" s="324"/>
      <c r="D9" s="323" t="s">
        <v>18</v>
      </c>
      <c r="E9" s="324"/>
      <c r="F9" s="65" t="s">
        <v>118</v>
      </c>
      <c r="G9" s="71" t="s">
        <v>16</v>
      </c>
      <c r="H9" s="90" t="s">
        <v>293</v>
      </c>
    </row>
    <row r="10" spans="1:10" ht="21.75">
      <c r="A10" s="66" t="s">
        <v>658</v>
      </c>
      <c r="B10" s="62"/>
      <c r="C10" s="62"/>
      <c r="D10" s="201">
        <f>(D12+D13)*1.2</f>
        <v>3085.9979788800001</v>
      </c>
      <c r="E10" s="67" t="s">
        <v>4</v>
      </c>
      <c r="F10" s="88">
        <f>66.02-F11</f>
        <v>44.019999999999996</v>
      </c>
      <c r="G10" s="89">
        <f t="shared" ref="G10:G14" si="0">F10*D10*1.1</f>
        <v>149430.19413332737</v>
      </c>
      <c r="H10" s="67"/>
    </row>
    <row r="11" spans="1:10" ht="21.75">
      <c r="A11" s="66" t="s">
        <v>659</v>
      </c>
      <c r="B11" s="62"/>
      <c r="C11" s="62"/>
      <c r="D11" s="201">
        <f>D10</f>
        <v>3085.9979788800001</v>
      </c>
      <c r="E11" s="67" t="s">
        <v>4</v>
      </c>
      <c r="F11" s="88">
        <v>22</v>
      </c>
      <c r="G11" s="89">
        <f t="shared" si="0"/>
        <v>74681.151088896004</v>
      </c>
      <c r="H11" s="67"/>
      <c r="J11" s="198">
        <f>G10+G11+G12+G13+G14+G18+G19+G20+G25+G21+G24</f>
        <v>8625256.3552222252</v>
      </c>
    </row>
    <row r="12" spans="1:10" ht="21.75">
      <c r="A12" s="309" t="s">
        <v>655</v>
      </c>
      <c r="B12" s="197">
        <v>0.15</v>
      </c>
      <c r="C12" s="197" t="s">
        <v>316</v>
      </c>
      <c r="D12" s="305">
        <f>ALVENARIA!D10*0.8</f>
        <v>2143.0541520000002</v>
      </c>
      <c r="E12" s="305" t="s">
        <v>2</v>
      </c>
      <c r="F12" s="310">
        <f>G12/D12</f>
        <v>3252.9159347159602</v>
      </c>
      <c r="G12" s="307">
        <v>6971175</v>
      </c>
      <c r="H12" s="67"/>
      <c r="J12" s="198">
        <f>G26+G27+G28+G29+G30+G31+G32</f>
        <v>1102483.4160000002</v>
      </c>
    </row>
    <row r="13" spans="1:10" ht="21.75">
      <c r="A13" s="309" t="s">
        <v>656</v>
      </c>
      <c r="B13" s="197"/>
      <c r="C13" s="197"/>
      <c r="D13" s="305">
        <f>D12*0.2</f>
        <v>428.61083040000005</v>
      </c>
      <c r="E13" s="305" t="s">
        <v>2</v>
      </c>
      <c r="F13" s="310">
        <f>G13/D13</f>
        <v>1462.1072440357073</v>
      </c>
      <c r="G13" s="307">
        <v>626675</v>
      </c>
      <c r="H13" s="67"/>
      <c r="J13" s="198">
        <f>G23+G15+G16+G22+G17</f>
        <v>442323.435</v>
      </c>
    </row>
    <row r="14" spans="1:10" ht="21.75">
      <c r="A14" s="78" t="s">
        <v>229</v>
      </c>
      <c r="B14" s="62"/>
      <c r="C14" s="62"/>
      <c r="D14" s="67">
        <v>1</v>
      </c>
      <c r="E14" s="67" t="s">
        <v>3</v>
      </c>
      <c r="F14" s="88">
        <v>18000</v>
      </c>
      <c r="G14" s="89">
        <f t="shared" si="0"/>
        <v>19800</v>
      </c>
      <c r="H14" s="67"/>
    </row>
    <row r="15" spans="1:10" ht="21.75">
      <c r="A15" s="304" t="s">
        <v>768</v>
      </c>
      <c r="B15" s="197"/>
      <c r="C15" s="197"/>
      <c r="D15" s="305">
        <v>2</v>
      </c>
      <c r="E15" s="305" t="s">
        <v>3</v>
      </c>
      <c r="F15" s="306">
        <v>18600</v>
      </c>
      <c r="G15" s="307">
        <f t="shared" ref="G15" si="1">F15*D15*1.1</f>
        <v>40920</v>
      </c>
      <c r="H15" s="67"/>
    </row>
    <row r="16" spans="1:10" ht="21.75">
      <c r="A16" s="304" t="s">
        <v>769</v>
      </c>
      <c r="B16" s="197"/>
      <c r="C16" s="197"/>
      <c r="D16" s="305">
        <v>2</v>
      </c>
      <c r="E16" s="305" t="s">
        <v>3</v>
      </c>
      <c r="F16" s="305">
        <v>7515</v>
      </c>
      <c r="G16" s="307">
        <f t="shared" ref="G16" si="2">F16*D16*1.1</f>
        <v>16533</v>
      </c>
      <c r="H16" s="67"/>
    </row>
    <row r="17" spans="1:11" ht="21.75">
      <c r="A17" s="304" t="s">
        <v>770</v>
      </c>
      <c r="B17" s="197"/>
      <c r="C17" s="197"/>
      <c r="D17" s="305">
        <f>27.5+28.3+51.51+53.34</f>
        <v>160.65</v>
      </c>
      <c r="E17" s="305" t="s">
        <v>4</v>
      </c>
      <c r="F17" s="306">
        <f>G17/D17</f>
        <v>2061.9358854652974</v>
      </c>
      <c r="G17" s="307">
        <v>331250</v>
      </c>
      <c r="H17" s="67"/>
      <c r="J17" s="298">
        <v>2154.34</v>
      </c>
      <c r="K17" s="55">
        <v>150</v>
      </c>
    </row>
    <row r="18" spans="1:11" ht="21.75">
      <c r="A18" s="304" t="s">
        <v>771</v>
      </c>
      <c r="B18" s="197"/>
      <c r="C18" s="197"/>
      <c r="D18" s="305">
        <f>(2*0.9+2.25)*(10+8)</f>
        <v>72.899999999999991</v>
      </c>
      <c r="E18" s="305" t="s">
        <v>4</v>
      </c>
      <c r="F18" s="306">
        <f>12366/(2.25+2*0.9)</f>
        <v>3053.3333333333335</v>
      </c>
      <c r="G18" s="307">
        <f t="shared" ref="G18" si="3">F18*D18*1.1</f>
        <v>244846.8</v>
      </c>
      <c r="H18" s="67"/>
      <c r="J18" s="298">
        <v>2154.34</v>
      </c>
      <c r="K18" s="55">
        <v>150</v>
      </c>
    </row>
    <row r="19" spans="1:11" ht="21.75">
      <c r="A19" s="304" t="s">
        <v>772</v>
      </c>
      <c r="B19" s="197"/>
      <c r="C19" s="197"/>
      <c r="D19" s="308">
        <f>2.45+10.2+1.35*2+28</f>
        <v>43.349999999999994</v>
      </c>
      <c r="E19" s="305" t="s">
        <v>4</v>
      </c>
      <c r="F19" s="306">
        <f>G19/D19</f>
        <v>7641.2918108419844</v>
      </c>
      <c r="G19" s="307">
        <v>331250</v>
      </c>
      <c r="H19" s="67"/>
      <c r="J19" s="298">
        <v>2154.34</v>
      </c>
      <c r="K19" s="55">
        <v>150</v>
      </c>
    </row>
    <row r="20" spans="1:11" ht="21.75">
      <c r="A20" s="304" t="s">
        <v>657</v>
      </c>
      <c r="B20" s="197"/>
      <c r="C20" s="197"/>
      <c r="D20" s="308">
        <f>7.7+2.2*2+3*4+11.3*4+3.1*5+2*5+13.3*2+11.15</f>
        <v>132.55000000000001</v>
      </c>
      <c r="E20" s="305" t="s">
        <v>4</v>
      </c>
      <c r="F20" s="306">
        <f>G20/D20</f>
        <v>1310.3545831761598</v>
      </c>
      <c r="G20" s="307">
        <v>173687.5</v>
      </c>
      <c r="H20" s="67"/>
      <c r="J20" s="298">
        <v>2916.12</v>
      </c>
      <c r="K20" s="55" t="e">
        <f>(#REF!/#REF!)*J20</f>
        <v>#REF!</v>
      </c>
    </row>
    <row r="21" spans="1:11" ht="21.75">
      <c r="A21" s="78" t="s">
        <v>321</v>
      </c>
      <c r="B21" s="62"/>
      <c r="C21" s="62"/>
      <c r="D21" s="67">
        <f>2.5*2</f>
        <v>5</v>
      </c>
      <c r="E21" s="67" t="s">
        <v>4</v>
      </c>
      <c r="F21" s="88">
        <v>150</v>
      </c>
      <c r="G21" s="89">
        <f t="shared" ref="G21:G30" si="4">F21*D21*1.1</f>
        <v>825.00000000000011</v>
      </c>
      <c r="H21" s="67"/>
    </row>
    <row r="22" spans="1:11" ht="21.75">
      <c r="A22" s="78" t="s">
        <v>230</v>
      </c>
      <c r="B22" s="62">
        <v>5</v>
      </c>
      <c r="C22" s="62" t="s">
        <v>6</v>
      </c>
      <c r="D22" s="67">
        <v>1</v>
      </c>
      <c r="E22" s="67" t="s">
        <v>27</v>
      </c>
      <c r="F22" s="88">
        <f>B22*DADOS_INICIAIS!E9</f>
        <v>30245.849999999995</v>
      </c>
      <c r="G22" s="89">
        <f t="shared" si="4"/>
        <v>33270.434999999998</v>
      </c>
      <c r="H22" s="67"/>
    </row>
    <row r="23" spans="1:11" ht="28.5" customHeight="1">
      <c r="A23" s="78" t="s">
        <v>231</v>
      </c>
      <c r="B23" s="62"/>
      <c r="C23" s="62"/>
      <c r="D23" s="67">
        <f>10</f>
        <v>10</v>
      </c>
      <c r="E23" s="67" t="s">
        <v>3</v>
      </c>
      <c r="F23" s="88">
        <v>1850</v>
      </c>
      <c r="G23" s="89">
        <f t="shared" si="4"/>
        <v>20350</v>
      </c>
      <c r="H23" s="67"/>
    </row>
    <row r="24" spans="1:11" ht="21.75">
      <c r="A24" s="78" t="s">
        <v>787</v>
      </c>
      <c r="B24" s="62"/>
      <c r="C24" s="62"/>
      <c r="D24" s="67">
        <f>((3.7*2+2.6*2)*1.2+2.3)*5+(3.9+3.2+2.16*2)*1.2+2.17</f>
        <v>102.974</v>
      </c>
      <c r="E24" s="67" t="s">
        <v>4</v>
      </c>
      <c r="F24" s="88">
        <v>150</v>
      </c>
      <c r="G24" s="89">
        <f t="shared" si="4"/>
        <v>16990.710000000003</v>
      </c>
      <c r="H24" s="67"/>
    </row>
    <row r="25" spans="1:11" ht="21.75">
      <c r="A25" s="66" t="s">
        <v>660</v>
      </c>
      <c r="B25" s="62"/>
      <c r="C25" s="62"/>
      <c r="D25" s="67">
        <f>11+1+2+2+1</f>
        <v>17</v>
      </c>
      <c r="E25" s="67" t="s">
        <v>3</v>
      </c>
      <c r="F25" s="295">
        <v>850</v>
      </c>
      <c r="G25" s="89">
        <f t="shared" ref="G25:G27" si="5">F25*D25*1.1</f>
        <v>15895.000000000002</v>
      </c>
      <c r="H25" s="67"/>
    </row>
    <row r="26" spans="1:11" ht="21" customHeight="1">
      <c r="A26" s="66" t="s">
        <v>653</v>
      </c>
      <c r="B26" s="62"/>
      <c r="C26" s="62"/>
      <c r="D26" s="67">
        <f>DADOS_INICIAIS!E21+2</f>
        <v>38</v>
      </c>
      <c r="E26" s="67" t="s">
        <v>3</v>
      </c>
      <c r="F26" s="295">
        <v>9662.1</v>
      </c>
      <c r="G26" s="89">
        <f t="shared" si="5"/>
        <v>403875.78</v>
      </c>
      <c r="H26" s="67"/>
    </row>
    <row r="27" spans="1:11" ht="21.75">
      <c r="A27" s="66" t="s">
        <v>228</v>
      </c>
      <c r="B27" s="62"/>
      <c r="C27" s="62"/>
      <c r="D27" s="201">
        <f>D29+3+5+2+6+6+1+9+1+1+2+1</f>
        <v>73</v>
      </c>
      <c r="E27" s="67" t="s">
        <v>3</v>
      </c>
      <c r="F27" s="295">
        <v>6725.26</v>
      </c>
      <c r="G27" s="89">
        <f t="shared" si="5"/>
        <v>540038.37800000014</v>
      </c>
      <c r="H27" s="67"/>
    </row>
    <row r="28" spans="1:11" ht="21.75">
      <c r="A28" s="66" t="s">
        <v>654</v>
      </c>
      <c r="B28" s="62"/>
      <c r="C28" s="62"/>
      <c r="D28" s="201">
        <f>2+2</f>
        <v>4</v>
      </c>
      <c r="E28" s="67" t="s">
        <v>3</v>
      </c>
      <c r="F28" s="295">
        <v>11863</v>
      </c>
      <c r="G28" s="89">
        <f t="shared" si="4"/>
        <v>52197.200000000004</v>
      </c>
      <c r="H28" s="67"/>
    </row>
    <row r="29" spans="1:11" ht="43.5">
      <c r="A29" s="78" t="s">
        <v>351</v>
      </c>
      <c r="B29" s="62"/>
      <c r="C29" s="62"/>
      <c r="D29" s="67">
        <f>DADOS_INICIAIS!E21</f>
        <v>36</v>
      </c>
      <c r="E29" s="67" t="s">
        <v>3</v>
      </c>
      <c r="F29" s="295">
        <f>G29/D29</f>
        <v>1445.1705555555554</v>
      </c>
      <c r="G29" s="295">
        <f>52026.14</f>
        <v>52026.14</v>
      </c>
      <c r="H29" s="67" t="s">
        <v>665</v>
      </c>
    </row>
    <row r="30" spans="1:11" ht="21.75">
      <c r="A30" s="66" t="s">
        <v>663</v>
      </c>
      <c r="B30" s="62"/>
      <c r="C30" s="62"/>
      <c r="D30" s="201">
        <f>D27+D26-D29</f>
        <v>75</v>
      </c>
      <c r="E30" s="67" t="s">
        <v>3</v>
      </c>
      <c r="F30" s="295">
        <v>394.66</v>
      </c>
      <c r="G30" s="89">
        <f t="shared" si="4"/>
        <v>32559.450000000008</v>
      </c>
      <c r="H30" s="67"/>
    </row>
    <row r="31" spans="1:11" ht="21.75">
      <c r="A31" s="66" t="s">
        <v>661</v>
      </c>
      <c r="B31" s="62"/>
      <c r="C31" s="62"/>
      <c r="D31" s="201">
        <f>2+2</f>
        <v>4</v>
      </c>
      <c r="E31" s="67" t="s">
        <v>3</v>
      </c>
      <c r="F31" s="295">
        <f>425+213.97</f>
        <v>638.97</v>
      </c>
      <c r="G31" s="89">
        <f t="shared" ref="G31" si="6">F31*D31*1.1</f>
        <v>2811.4680000000003</v>
      </c>
      <c r="H31" s="67" t="s">
        <v>662</v>
      </c>
    </row>
    <row r="32" spans="1:11" ht="21.75">
      <c r="A32" s="66" t="s">
        <v>664</v>
      </c>
      <c r="B32" s="62"/>
      <c r="C32" s="62"/>
      <c r="D32" s="201">
        <f>SUM(D26:D28)</f>
        <v>115</v>
      </c>
      <c r="E32" s="67" t="s">
        <v>3</v>
      </c>
      <c r="F32" s="295">
        <v>150</v>
      </c>
      <c r="G32" s="89">
        <f t="shared" ref="G32" si="7">F32*D32*1.1</f>
        <v>18975</v>
      </c>
      <c r="H32" s="67" t="s">
        <v>662</v>
      </c>
    </row>
    <row r="33" spans="1:12" ht="21.75">
      <c r="A33" s="318" t="s">
        <v>17</v>
      </c>
      <c r="B33" s="318"/>
      <c r="C33" s="318"/>
      <c r="D33" s="318"/>
      <c r="E33" s="318"/>
      <c r="F33" s="318"/>
      <c r="G33" s="90">
        <f>SUM(G10:G32)</f>
        <v>10170063.206222225</v>
      </c>
      <c r="H33" s="90"/>
      <c r="K33" s="55">
        <f>4160+1440+1120+2880+4800+91680+4000</f>
        <v>110080</v>
      </c>
      <c r="L33" s="55">
        <f>K33/21</f>
        <v>5241.9047619047615</v>
      </c>
    </row>
    <row r="35" spans="1:12" ht="21.75">
      <c r="A35" s="328" t="s">
        <v>333</v>
      </c>
      <c r="B35" s="329"/>
      <c r="C35" s="329"/>
      <c r="D35" s="329"/>
      <c r="E35" s="329"/>
      <c r="F35" s="330"/>
      <c r="G35" s="91">
        <f>G33</f>
        <v>10170063.206222225</v>
      </c>
      <c r="H35" s="91">
        <f>G35/DADOS_INICIAIS!E9</f>
        <v>1681.2328313177222</v>
      </c>
    </row>
    <row r="37" spans="1:12">
      <c r="C37" s="55" t="s">
        <v>386</v>
      </c>
      <c r="D37" s="81" t="s">
        <v>387</v>
      </c>
      <c r="E37" s="81" t="s">
        <v>392</v>
      </c>
    </row>
    <row r="38" spans="1:12">
      <c r="B38" s="55" t="s">
        <v>388</v>
      </c>
      <c r="C38" s="55">
        <f>57.14*2+22.5</f>
        <v>136.78</v>
      </c>
      <c r="D38" s="81">
        <f>C38*6.22</f>
        <v>850.77159999999992</v>
      </c>
    </row>
    <row r="39" spans="1:12">
      <c r="B39" s="55" t="s">
        <v>389</v>
      </c>
      <c r="D39" s="81">
        <f>16.97+94.95+752.7875+96.26+75.8068</f>
        <v>1036.7743</v>
      </c>
      <c r="E39" s="82">
        <f>146.42*2</f>
        <v>292.83999999999997</v>
      </c>
    </row>
    <row r="40" spans="1:12">
      <c r="B40" s="55" t="s">
        <v>390</v>
      </c>
      <c r="C40" s="55">
        <f>29.94*2</f>
        <v>59.88</v>
      </c>
      <c r="D40" s="81">
        <f>C40*7.14</f>
        <v>427.54320000000001</v>
      </c>
    </row>
    <row r="41" spans="1:12">
      <c r="B41" s="55" t="s">
        <v>391</v>
      </c>
      <c r="D41" s="81">
        <f>495.794+2.54+58.36</f>
        <v>556.69399999999996</v>
      </c>
      <c r="E41" s="82">
        <f>129.2*2</f>
        <v>258.39999999999998</v>
      </c>
    </row>
    <row r="42" spans="1:12">
      <c r="D42" s="81">
        <f>SUM(D38:D41)</f>
        <v>2871.7831000000001</v>
      </c>
      <c r="E42" s="81">
        <f>SUM(E38:E41)</f>
        <v>551.24</v>
      </c>
    </row>
  </sheetData>
  <mergeCells count="5">
    <mergeCell ref="A3:H3"/>
    <mergeCell ref="B9:C9"/>
    <mergeCell ref="D9:E9"/>
    <mergeCell ref="A33:F33"/>
    <mergeCell ref="A35:F3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22"/>
  <sheetViews>
    <sheetView showGridLines="0" topLeftCell="A4" zoomScale="85" zoomScaleNormal="85" zoomScaleSheetLayoutView="95" workbookViewId="0">
      <selection activeCell="D10" sqref="D10"/>
    </sheetView>
  </sheetViews>
  <sheetFormatPr defaultColWidth="9.140625" defaultRowHeight="19.5"/>
  <cols>
    <col min="1" max="1" width="53" style="45" bestFit="1" customWidth="1"/>
    <col min="2" max="7" width="27" style="45" customWidth="1"/>
    <col min="8" max="8" width="53.5703125" style="45" customWidth="1"/>
    <col min="9" max="9" width="11.85546875" style="1" bestFit="1" customWidth="1"/>
    <col min="10" max="16384" width="9.140625" style="1"/>
  </cols>
  <sheetData>
    <row r="1" spans="1:10">
      <c r="A1" s="48"/>
      <c r="B1" s="48"/>
      <c r="C1" s="48"/>
      <c r="D1" s="48"/>
      <c r="E1" s="48"/>
      <c r="F1" s="48"/>
      <c r="G1" s="48"/>
      <c r="H1" s="48"/>
      <c r="J1" s="2"/>
    </row>
    <row r="2" spans="1:10" ht="28.5">
      <c r="A2" s="319" t="s">
        <v>198</v>
      </c>
      <c r="B2" s="320"/>
      <c r="C2" s="320"/>
      <c r="D2" s="320"/>
      <c r="E2" s="320"/>
      <c r="F2" s="320"/>
      <c r="G2" s="320"/>
      <c r="H2" s="321"/>
      <c r="J2" s="2"/>
    </row>
    <row r="3" spans="1:10" s="55" customFormat="1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>
      <c r="A4" s="189" t="s">
        <v>290</v>
      </c>
      <c r="B4" s="196" t="s">
        <v>213</v>
      </c>
      <c r="C4" s="191"/>
      <c r="D4" s="191"/>
      <c r="E4" s="191"/>
      <c r="F4" s="191"/>
      <c r="G4" s="191"/>
      <c r="H4" s="192"/>
      <c r="J4" s="79"/>
    </row>
    <row r="5" spans="1:10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>
      <c r="A6" s="52" t="s">
        <v>318</v>
      </c>
      <c r="B6" s="53"/>
      <c r="C6" s="53"/>
      <c r="D6" s="53"/>
      <c r="E6" s="53"/>
      <c r="F6" s="53"/>
      <c r="G6" s="53"/>
      <c r="H6" s="53"/>
    </row>
    <row r="7" spans="1:10" s="55" customFormat="1" ht="21.7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>
      <c r="A8" s="63" t="s">
        <v>14</v>
      </c>
      <c r="B8" s="323" t="s">
        <v>5</v>
      </c>
      <c r="C8" s="324"/>
      <c r="D8" s="323" t="s">
        <v>18</v>
      </c>
      <c r="E8" s="324"/>
      <c r="F8" s="65" t="s">
        <v>118</v>
      </c>
      <c r="G8" s="71" t="s">
        <v>16</v>
      </c>
      <c r="H8" s="90" t="s">
        <v>293</v>
      </c>
    </row>
    <row r="9" spans="1:10" s="55" customFormat="1" ht="65.25">
      <c r="A9" s="66" t="s">
        <v>394</v>
      </c>
      <c r="B9" s="62"/>
      <c r="C9" s="62"/>
      <c r="D9" s="67">
        <f>DADOS_INICIAIS!E30</f>
        <v>1021.82</v>
      </c>
      <c r="E9" s="67" t="s">
        <v>2</v>
      </c>
      <c r="F9" s="212">
        <f>52*3.35*0.6</f>
        <v>104.52000000000001</v>
      </c>
      <c r="G9" s="89">
        <f>F9*D9*1.1</f>
        <v>117480.68904000004</v>
      </c>
      <c r="H9" s="67" t="s">
        <v>668</v>
      </c>
    </row>
    <row r="10" spans="1:10" s="55" customFormat="1" ht="21.75">
      <c r="A10" s="66" t="s">
        <v>666</v>
      </c>
      <c r="B10" s="62"/>
      <c r="C10" s="62"/>
      <c r="D10" s="67">
        <f>D9*(1+1.48)</f>
        <v>2534.1136000000001</v>
      </c>
      <c r="E10" s="67" t="s">
        <v>2</v>
      </c>
      <c r="F10" s="212">
        <f>197.99</f>
        <v>197.99</v>
      </c>
      <c r="G10" s="89">
        <f>F10*D10*1.1</f>
        <v>551902.06683040014</v>
      </c>
      <c r="H10" s="67" t="s">
        <v>669</v>
      </c>
      <c r="I10" s="198"/>
    </row>
    <row r="11" spans="1:10" s="55" customFormat="1" ht="21.75">
      <c r="A11" s="66" t="s">
        <v>172</v>
      </c>
      <c r="B11" s="62"/>
      <c r="C11" s="62"/>
      <c r="D11" s="67">
        <f>D9</f>
        <v>1021.82</v>
      </c>
      <c r="E11" s="67" t="s">
        <v>2</v>
      </c>
      <c r="F11" s="188">
        <v>90</v>
      </c>
      <c r="G11" s="89">
        <f>F11*D11*1.1</f>
        <v>101160.18000000001</v>
      </c>
      <c r="H11" s="67"/>
    </row>
    <row r="12" spans="1:10" s="55" customFormat="1" ht="21.75">
      <c r="A12" s="66" t="s">
        <v>667</v>
      </c>
      <c r="B12" s="62"/>
      <c r="C12" s="62"/>
      <c r="D12" s="67">
        <f>D11</f>
        <v>1021.82</v>
      </c>
      <c r="E12" s="67" t="s">
        <v>2</v>
      </c>
      <c r="F12" s="297">
        <f>G12/D12</f>
        <v>397.02346666666671</v>
      </c>
      <c r="G12" s="89">
        <f>(F10/0.6)*0.4*D10+52*3.35*0.4*D9</f>
        <v>405686.51870933338</v>
      </c>
      <c r="H12" s="67"/>
    </row>
    <row r="13" spans="1:10" s="55" customFormat="1" ht="21.75">
      <c r="A13" s="66" t="s">
        <v>384</v>
      </c>
      <c r="B13" s="62"/>
      <c r="C13" s="62"/>
      <c r="D13" s="67"/>
      <c r="E13" s="67" t="s">
        <v>2</v>
      </c>
      <c r="F13" s="67">
        <v>350</v>
      </c>
      <c r="G13" s="89">
        <f t="shared" ref="G13:G17" si="0">F13*D13*1.1</f>
        <v>0</v>
      </c>
      <c r="H13" s="67"/>
    </row>
    <row r="14" spans="1:10" s="55" customFormat="1" ht="21.75">
      <c r="A14" s="66" t="s">
        <v>398</v>
      </c>
      <c r="B14" s="62"/>
      <c r="C14" s="62"/>
      <c r="D14" s="67"/>
      <c r="E14" s="67" t="s">
        <v>2</v>
      </c>
      <c r="F14" s="67">
        <v>280</v>
      </c>
      <c r="G14" s="89">
        <f t="shared" ref="G14" si="1">F14*D14*1.1</f>
        <v>0</v>
      </c>
      <c r="H14" s="67"/>
    </row>
    <row r="15" spans="1:10" s="55" customFormat="1" ht="21.75">
      <c r="A15" s="66" t="s">
        <v>774</v>
      </c>
      <c r="B15" s="62"/>
      <c r="C15" s="62"/>
      <c r="D15" s="67">
        <v>24.93</v>
      </c>
      <c r="E15" s="67" t="s">
        <v>2</v>
      </c>
      <c r="F15" s="67">
        <f>G15/D15</f>
        <v>4277.3766546329725</v>
      </c>
      <c r="G15" s="89">
        <v>106635</v>
      </c>
      <c r="H15" s="67"/>
    </row>
    <row r="16" spans="1:10" s="55" customFormat="1" ht="21.75">
      <c r="A16" s="66" t="s">
        <v>773</v>
      </c>
      <c r="B16" s="62"/>
      <c r="C16" s="62"/>
      <c r="D16" s="67">
        <v>60.43</v>
      </c>
      <c r="E16" s="67" t="s">
        <v>2</v>
      </c>
      <c r="F16" s="67">
        <f>G16/D16</f>
        <v>1834.0228363395665</v>
      </c>
      <c r="G16" s="89">
        <v>110830</v>
      </c>
      <c r="H16" s="67"/>
    </row>
    <row r="17" spans="1:8" s="55" customFormat="1" ht="21.75">
      <c r="A17" s="66" t="s">
        <v>317</v>
      </c>
      <c r="B17" s="62"/>
      <c r="C17" s="62"/>
      <c r="D17" s="67"/>
      <c r="E17" s="67"/>
      <c r="F17" s="67"/>
      <c r="G17" s="89">
        <f t="shared" si="0"/>
        <v>0</v>
      </c>
      <c r="H17" s="67"/>
    </row>
    <row r="18" spans="1:8" s="55" customFormat="1" ht="21.75">
      <c r="A18" s="66" t="s">
        <v>394</v>
      </c>
      <c r="B18" s="62"/>
      <c r="C18" s="62"/>
      <c r="D18" s="67"/>
      <c r="E18" s="67" t="s">
        <v>385</v>
      </c>
      <c r="F18" s="67">
        <v>800</v>
      </c>
      <c r="G18" s="89">
        <f>F18*D18*1.1</f>
        <v>0</v>
      </c>
      <c r="H18" s="67"/>
    </row>
    <row r="19" spans="1:8" s="55" customFormat="1" ht="21.75">
      <c r="A19" s="66" t="s">
        <v>395</v>
      </c>
      <c r="B19" s="62"/>
      <c r="C19" s="62"/>
      <c r="D19" s="67"/>
      <c r="E19" s="67" t="s">
        <v>4</v>
      </c>
      <c r="F19" s="67">
        <v>52.5</v>
      </c>
      <c r="G19" s="89">
        <f>F19*D19*1.1</f>
        <v>0</v>
      </c>
      <c r="H19" s="67"/>
    </row>
    <row r="20" spans="1:8" s="55" customFormat="1" ht="21.75">
      <c r="A20" s="318" t="s">
        <v>17</v>
      </c>
      <c r="B20" s="318"/>
      <c r="C20" s="318"/>
      <c r="D20" s="110"/>
      <c r="E20" s="110"/>
      <c r="F20" s="110"/>
      <c r="G20" s="90">
        <f>SUM(G9:G18)</f>
        <v>1393694.4545797338</v>
      </c>
      <c r="H20" s="90"/>
    </row>
    <row r="21" spans="1:8" s="55" customFormat="1" ht="21.75">
      <c r="A21" s="322"/>
      <c r="B21" s="322"/>
      <c r="C21" s="322"/>
      <c r="D21" s="111"/>
      <c r="E21" s="111"/>
      <c r="F21" s="111"/>
      <c r="G21" s="59"/>
      <c r="H21" s="59"/>
    </row>
    <row r="22" spans="1:8" ht="23.25" customHeight="1">
      <c r="A22" s="315" t="s">
        <v>269</v>
      </c>
      <c r="B22" s="316"/>
      <c r="C22" s="317"/>
      <c r="D22" s="109"/>
      <c r="E22" s="109"/>
      <c r="F22" s="109"/>
      <c r="G22" s="108">
        <f>G20</f>
        <v>1393694.4545797338</v>
      </c>
      <c r="H22" s="108" t="e">
        <f>G22/#REF!</f>
        <v>#REF!</v>
      </c>
    </row>
  </sheetData>
  <mergeCells count="6">
    <mergeCell ref="A22:C22"/>
    <mergeCell ref="A2:H2"/>
    <mergeCell ref="B8:C8"/>
    <mergeCell ref="D8:E8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FFC000"/>
  </sheetPr>
  <dimension ref="A1:L64"/>
  <sheetViews>
    <sheetView showGridLines="0" topLeftCell="A9" zoomScale="130" zoomScaleNormal="130" zoomScaleSheetLayoutView="95" workbookViewId="0">
      <selection activeCell="D51" sqref="D51"/>
    </sheetView>
  </sheetViews>
  <sheetFormatPr defaultColWidth="9.140625" defaultRowHeight="12.7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>
      <c r="B1" s="2"/>
      <c r="C1" s="1"/>
      <c r="D1" s="1"/>
      <c r="G1" s="161"/>
      <c r="H1" s="161"/>
      <c r="I1" s="2"/>
    </row>
    <row r="2" spans="1:12" ht="12.75" customHeight="1">
      <c r="A2" s="341" t="s">
        <v>190</v>
      </c>
      <c r="B2" s="2"/>
      <c r="C2" s="1"/>
      <c r="D2" s="1"/>
      <c r="G2" s="166"/>
      <c r="H2" s="166"/>
      <c r="I2" s="2"/>
    </row>
    <row r="3" spans="1:12" ht="12.75" customHeight="1">
      <c r="A3" s="342"/>
      <c r="B3" s="2"/>
      <c r="C3" s="1"/>
      <c r="D3" s="1"/>
      <c r="G3" s="166"/>
      <c r="H3" s="166"/>
      <c r="I3" s="2"/>
    </row>
    <row r="4" spans="1:12" ht="12.75" customHeight="1">
      <c r="A4" s="342"/>
      <c r="B4" s="2"/>
      <c r="C4" s="1"/>
      <c r="D4" s="1"/>
      <c r="G4" s="166"/>
      <c r="H4" s="166"/>
      <c r="I4" s="2"/>
    </row>
    <row r="5" spans="1:12" ht="13.5" thickBot="1">
      <c r="A5" s="165"/>
      <c r="B5" s="164"/>
      <c r="C5" s="164"/>
      <c r="D5" s="164"/>
      <c r="E5" s="164"/>
      <c r="F5" s="164"/>
      <c r="G5" s="163"/>
      <c r="H5" s="163"/>
      <c r="I5" s="2"/>
    </row>
    <row r="6" spans="1:12">
      <c r="A6" s="162"/>
      <c r="B6" s="2"/>
      <c r="C6" s="1"/>
      <c r="D6" s="1"/>
      <c r="G6" s="161"/>
      <c r="H6" s="161"/>
      <c r="I6" s="2"/>
    </row>
    <row r="7" spans="1:12">
      <c r="A7" s="160" t="s">
        <v>189</v>
      </c>
      <c r="B7" s="159" t="s">
        <v>280</v>
      </c>
      <c r="C7" s="158"/>
      <c r="D7" s="158"/>
      <c r="E7" s="158"/>
      <c r="F7" s="158"/>
      <c r="G7" s="158"/>
      <c r="H7" s="157"/>
      <c r="I7" s="2"/>
    </row>
    <row r="8" spans="1:12">
      <c r="A8" s="156" t="s">
        <v>0</v>
      </c>
      <c r="B8" s="155" t="s">
        <v>279</v>
      </c>
      <c r="C8" s="154"/>
      <c r="D8" s="154"/>
      <c r="E8" s="154"/>
      <c r="F8" s="154"/>
      <c r="G8" s="154"/>
      <c r="H8" s="153"/>
      <c r="I8" s="2"/>
    </row>
    <row r="9" spans="1:12" ht="15" customHeight="1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2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>
      <c r="A12" s="144" t="s">
        <v>217</v>
      </c>
      <c r="B12" s="143"/>
      <c r="C12" s="142"/>
      <c r="D12" s="141"/>
      <c r="E12" s="140"/>
      <c r="F12" s="140"/>
      <c r="G12" s="140"/>
      <c r="H12" s="139"/>
    </row>
    <row r="13" spans="1:12" ht="15.75" customHeight="1">
      <c r="A13" s="138"/>
      <c r="B13" s="137"/>
      <c r="C13" s="136"/>
      <c r="D13" s="135"/>
      <c r="E13" s="135"/>
      <c r="F13" s="135"/>
      <c r="H13" s="131"/>
    </row>
    <row r="14" spans="1:12" ht="15.75" customHeight="1">
      <c r="A14" s="134" t="s">
        <v>14</v>
      </c>
      <c r="B14" s="348" t="s">
        <v>18</v>
      </c>
      <c r="C14" s="349"/>
      <c r="D14" s="350" t="s">
        <v>5</v>
      </c>
      <c r="E14" s="351"/>
      <c r="F14" s="133" t="s">
        <v>183</v>
      </c>
      <c r="G14" s="132" t="s">
        <v>16</v>
      </c>
      <c r="H14" s="131"/>
      <c r="L14" s="115"/>
    </row>
    <row r="15" spans="1:12">
      <c r="A15" s="172" t="s">
        <v>755</v>
      </c>
      <c r="B15" s="175">
        <f>ALVENARIA!D10</f>
        <v>2678.8176899999999</v>
      </c>
      <c r="C15" s="129" t="s">
        <v>2</v>
      </c>
      <c r="D15" s="124">
        <v>7.5</v>
      </c>
      <c r="E15" s="130" t="s">
        <v>171</v>
      </c>
      <c r="F15" s="126" t="s">
        <v>213</v>
      </c>
      <c r="G15" s="125">
        <f t="shared" ref="G15:G20" si="0">B15*D15*1.1</f>
        <v>22100.245942500002</v>
      </c>
      <c r="H15" s="131"/>
      <c r="K15" s="187"/>
      <c r="L15" s="115"/>
    </row>
    <row r="16" spans="1:12">
      <c r="A16" s="172" t="s">
        <v>192</v>
      </c>
      <c r="B16" s="175">
        <f>B15</f>
        <v>2678.8176899999999</v>
      </c>
      <c r="C16" s="129" t="s">
        <v>2</v>
      </c>
      <c r="D16" s="124">
        <v>17</v>
      </c>
      <c r="E16" s="130" t="s">
        <v>171</v>
      </c>
      <c r="F16" s="126" t="s">
        <v>213</v>
      </c>
      <c r="G16" s="125">
        <f t="shared" si="0"/>
        <v>50093.890802999995</v>
      </c>
      <c r="H16" s="131"/>
      <c r="K16" s="187"/>
      <c r="L16" s="115"/>
    </row>
    <row r="17" spans="1:12">
      <c r="A17" s="172" t="s">
        <v>25</v>
      </c>
      <c r="B17" s="175">
        <f>B15</f>
        <v>2678.8176899999999</v>
      </c>
      <c r="C17" s="129" t="s">
        <v>2</v>
      </c>
      <c r="D17" s="124">
        <v>65</v>
      </c>
      <c r="E17" s="130" t="s">
        <v>171</v>
      </c>
      <c r="F17" s="126" t="s">
        <v>213</v>
      </c>
      <c r="G17" s="125">
        <f t="shared" si="0"/>
        <v>191535.46483499999</v>
      </c>
      <c r="H17" s="131"/>
      <c r="K17" s="187"/>
      <c r="L17" s="115"/>
    </row>
    <row r="18" spans="1:12">
      <c r="A18" s="172" t="s">
        <v>778</v>
      </c>
      <c r="B18" s="175">
        <f>I42+I44</f>
        <v>428.23275000000001</v>
      </c>
      <c r="C18" s="129" t="s">
        <v>2</v>
      </c>
      <c r="D18" s="292">
        <f>(D15+D16)*1.4</f>
        <v>34.299999999999997</v>
      </c>
      <c r="E18" s="130" t="s">
        <v>171</v>
      </c>
      <c r="F18" s="126" t="s">
        <v>213</v>
      </c>
      <c r="G18" s="125">
        <f t="shared" si="0"/>
        <v>16157.2216575</v>
      </c>
      <c r="H18" s="131"/>
      <c r="I18" s="1">
        <f>0.7+0.7</f>
        <v>1.4</v>
      </c>
      <c r="J18" s="1">
        <f>I18*2*2</f>
        <v>5.6</v>
      </c>
      <c r="K18" s="186">
        <f>J18*47.26</f>
        <v>264.65599999999995</v>
      </c>
      <c r="L18" s="115"/>
    </row>
    <row r="19" spans="1:12">
      <c r="A19" s="172" t="s">
        <v>779</v>
      </c>
      <c r="B19" s="175">
        <f>B18</f>
        <v>428.23275000000001</v>
      </c>
      <c r="C19" s="129" t="s">
        <v>2</v>
      </c>
      <c r="D19" s="292">
        <f>D17*2</f>
        <v>130</v>
      </c>
      <c r="E19" s="130" t="s">
        <v>171</v>
      </c>
      <c r="F19" s="126" t="s">
        <v>213</v>
      </c>
      <c r="G19" s="125">
        <f t="shared" si="0"/>
        <v>61237.283250000008</v>
      </c>
      <c r="H19" s="131"/>
      <c r="I19" s="1">
        <f>0.7+1.1</f>
        <v>1.8</v>
      </c>
      <c r="J19" s="1">
        <f>I19*2</f>
        <v>3.6</v>
      </c>
      <c r="K19" s="186">
        <f t="shared" ref="K19" si="1">J19*47.26</f>
        <v>170.136</v>
      </c>
      <c r="L19" s="115"/>
    </row>
    <row r="20" spans="1:12">
      <c r="A20" s="172" t="s">
        <v>350</v>
      </c>
      <c r="B20" s="175">
        <f>DADOS_INICIAIS!E31*DADOS_INICIAIS!E26</f>
        <v>757.36999999999989</v>
      </c>
      <c r="C20" s="129" t="s">
        <v>4</v>
      </c>
      <c r="D20" s="124">
        <v>5</v>
      </c>
      <c r="E20" s="130" t="s">
        <v>171</v>
      </c>
      <c r="F20" s="204"/>
      <c r="G20" s="125">
        <f t="shared" si="0"/>
        <v>4165.5349999999999</v>
      </c>
      <c r="H20" s="131"/>
      <c r="K20" s="186"/>
      <c r="L20" s="115"/>
    </row>
    <row r="21" spans="1:12">
      <c r="A21" s="346" t="s">
        <v>17</v>
      </c>
      <c r="B21" s="347"/>
      <c r="C21" s="347"/>
      <c r="D21" s="347"/>
      <c r="E21" s="347"/>
      <c r="F21" s="347"/>
      <c r="G21" s="122">
        <f>SUM(G15:G20)</f>
        <v>345289.64148799999</v>
      </c>
      <c r="H21" s="121"/>
      <c r="K21" s="186"/>
    </row>
    <row r="22" spans="1:12" ht="15.75" customHeight="1">
      <c r="A22" s="344"/>
      <c r="B22" s="345"/>
      <c r="C22" s="345"/>
      <c r="D22" s="345"/>
      <c r="E22" s="345"/>
      <c r="F22" s="345"/>
      <c r="G22" s="167"/>
      <c r="H22" s="118"/>
    </row>
    <row r="23" spans="1:12" ht="15.75" customHeight="1">
      <c r="A23" s="144" t="s">
        <v>216</v>
      </c>
      <c r="B23" s="143"/>
      <c r="C23" s="142"/>
      <c r="D23" s="141"/>
      <c r="E23" s="140"/>
      <c r="F23" s="140"/>
      <c r="G23" s="140"/>
      <c r="H23" s="139"/>
      <c r="J23" s="1" t="s">
        <v>215</v>
      </c>
      <c r="K23" s="115">
        <f>31.7+39.98</f>
        <v>71.679999999999993</v>
      </c>
      <c r="L23" s="1">
        <v>10</v>
      </c>
    </row>
    <row r="24" spans="1:12" ht="15.75" customHeight="1">
      <c r="A24" s="138"/>
      <c r="B24" s="185"/>
      <c r="C24" s="136"/>
      <c r="D24" s="135"/>
      <c r="E24" s="135"/>
      <c r="F24" s="135"/>
      <c r="H24" s="131"/>
      <c r="K24" s="115"/>
    </row>
    <row r="25" spans="1:12" ht="15.75" customHeight="1">
      <c r="A25" s="134" t="s">
        <v>14</v>
      </c>
      <c r="B25" s="348" t="s">
        <v>18</v>
      </c>
      <c r="C25" s="349"/>
      <c r="D25" s="350" t="s">
        <v>5</v>
      </c>
      <c r="E25" s="351"/>
      <c r="F25" s="133" t="s">
        <v>183</v>
      </c>
      <c r="G25" s="132" t="s">
        <v>16</v>
      </c>
      <c r="H25" s="131"/>
    </row>
    <row r="26" spans="1:12" ht="15.75" customHeight="1">
      <c r="A26" s="172" t="s">
        <v>319</v>
      </c>
      <c r="B26" s="175">
        <f>B15</f>
        <v>2678.8176899999999</v>
      </c>
      <c r="C26" s="129" t="s">
        <v>2</v>
      </c>
      <c r="D26" s="124">
        <v>15</v>
      </c>
      <c r="E26" s="130" t="s">
        <v>171</v>
      </c>
      <c r="F26" s="126" t="s">
        <v>213</v>
      </c>
      <c r="G26" s="125">
        <f>B26*D26*1.1</f>
        <v>44200.491885000003</v>
      </c>
      <c r="H26" s="131"/>
    </row>
    <row r="27" spans="1:12" ht="15.75" customHeight="1">
      <c r="A27" s="172" t="s">
        <v>759</v>
      </c>
      <c r="B27" s="175">
        <f>SUM(I37:I51)-B28</f>
        <v>1526.4944800000003</v>
      </c>
      <c r="C27" s="129" t="s">
        <v>2</v>
      </c>
      <c r="D27" s="124">
        <f>8*1.5</f>
        <v>12</v>
      </c>
      <c r="E27" s="130" t="s">
        <v>171</v>
      </c>
      <c r="F27" s="204"/>
      <c r="G27" s="125">
        <f>B27*D27*1.1</f>
        <v>20149.727136000005</v>
      </c>
      <c r="H27" s="131" t="s">
        <v>754</v>
      </c>
    </row>
    <row r="28" spans="1:12" ht="15.75" customHeight="1">
      <c r="A28" s="172" t="s">
        <v>780</v>
      </c>
      <c r="B28" s="175">
        <f>B18</f>
        <v>428.23275000000001</v>
      </c>
      <c r="C28" s="129" t="s">
        <v>2</v>
      </c>
      <c r="D28" s="292">
        <f>8*1.2</f>
        <v>9.6</v>
      </c>
      <c r="E28" s="130" t="s">
        <v>171</v>
      </c>
      <c r="F28" s="126" t="s">
        <v>213</v>
      </c>
      <c r="G28" s="125">
        <f t="shared" ref="G28" si="2">B28*D28*1.1</f>
        <v>4522.1378400000003</v>
      </c>
      <c r="H28" s="131"/>
    </row>
    <row r="29" spans="1:12" ht="15.75" customHeight="1">
      <c r="A29" s="172" t="s">
        <v>756</v>
      </c>
      <c r="B29" s="175">
        <f>B26</f>
        <v>2678.8176899999999</v>
      </c>
      <c r="C29" s="129" t="s">
        <v>2</v>
      </c>
      <c r="D29" s="124">
        <v>52</v>
      </c>
      <c r="E29" s="130" t="s">
        <v>171</v>
      </c>
      <c r="F29" s="204"/>
      <c r="G29" s="125">
        <f>B29*D29*1.1</f>
        <v>153228.37186799999</v>
      </c>
      <c r="H29" s="131"/>
    </row>
    <row r="30" spans="1:12" ht="15.75" customHeight="1">
      <c r="A30" s="172" t="s">
        <v>757</v>
      </c>
      <c r="B30" s="175">
        <f>B27</f>
        <v>1526.4944800000003</v>
      </c>
      <c r="C30" s="129" t="s">
        <v>2</v>
      </c>
      <c r="D30" s="124">
        <f>40*5</f>
        <v>200</v>
      </c>
      <c r="E30" s="130" t="s">
        <v>171</v>
      </c>
      <c r="F30" s="204"/>
      <c r="G30" s="125">
        <f>B30*D30*1.1</f>
        <v>335828.78560000012</v>
      </c>
      <c r="H30" s="131" t="s">
        <v>758</v>
      </c>
    </row>
    <row r="31" spans="1:12" ht="15.75" customHeight="1">
      <c r="A31" s="172" t="s">
        <v>781</v>
      </c>
      <c r="B31" s="175">
        <f>B28</f>
        <v>428.23275000000001</v>
      </c>
      <c r="C31" s="129" t="s">
        <v>2</v>
      </c>
      <c r="D31" s="292">
        <f>40*2</f>
        <v>80</v>
      </c>
      <c r="E31" s="130" t="s">
        <v>171</v>
      </c>
      <c r="F31" s="126" t="s">
        <v>213</v>
      </c>
      <c r="G31" s="125">
        <f t="shared" ref="G31" si="3">B31*D31*1.1</f>
        <v>37684.482000000004</v>
      </c>
      <c r="H31" s="131"/>
    </row>
    <row r="32" spans="1:12">
      <c r="A32" s="346" t="s">
        <v>17</v>
      </c>
      <c r="B32" s="347"/>
      <c r="C32" s="347"/>
      <c r="D32" s="347"/>
      <c r="E32" s="347"/>
      <c r="F32" s="347"/>
      <c r="G32" s="122">
        <f>SUM(G26:G31)</f>
        <v>595613.9963290001</v>
      </c>
      <c r="H32" s="121"/>
    </row>
    <row r="33" spans="1:12">
      <c r="A33" s="355"/>
      <c r="B33" s="356"/>
      <c r="C33" s="356"/>
      <c r="D33" s="356"/>
      <c r="E33" s="356"/>
      <c r="F33" s="356"/>
      <c r="G33" s="167"/>
      <c r="H33" s="118"/>
      <c r="L33" s="115"/>
    </row>
    <row r="34" spans="1:12" ht="15.75" customHeight="1">
      <c r="A34" s="144" t="s">
        <v>214</v>
      </c>
      <c r="B34" s="143"/>
      <c r="C34" s="142"/>
      <c r="D34" s="141"/>
      <c r="E34" s="140"/>
      <c r="F34" s="140"/>
      <c r="G34" s="140"/>
      <c r="H34" s="139"/>
    </row>
    <row r="35" spans="1:12" ht="15.75" customHeight="1">
      <c r="A35" s="138"/>
      <c r="B35" s="137"/>
      <c r="C35" s="136"/>
      <c r="D35" s="135"/>
      <c r="E35" s="135"/>
      <c r="F35" s="135"/>
      <c r="H35" s="131"/>
    </row>
    <row r="36" spans="1:12" ht="15.75" customHeight="1">
      <c r="A36" s="134" t="s">
        <v>14</v>
      </c>
      <c r="B36" s="348" t="s">
        <v>18</v>
      </c>
      <c r="C36" s="349"/>
      <c r="D36" s="350" t="s">
        <v>5</v>
      </c>
      <c r="E36" s="351"/>
      <c r="F36" s="133" t="s">
        <v>183</v>
      </c>
      <c r="G36" s="132" t="s">
        <v>16</v>
      </c>
      <c r="H36" s="131"/>
    </row>
    <row r="37" spans="1:12" ht="15.75" customHeight="1">
      <c r="A37" s="172" t="s">
        <v>697</v>
      </c>
      <c r="B37" s="175">
        <f>Planilha2!L39</f>
        <v>93</v>
      </c>
      <c r="C37" s="129" t="s">
        <v>3</v>
      </c>
      <c r="D37" s="124">
        <v>75</v>
      </c>
      <c r="E37" s="130" t="s">
        <v>349</v>
      </c>
      <c r="F37" s="126" t="s">
        <v>213</v>
      </c>
      <c r="G37" s="125">
        <f t="shared" ref="G37:G43" si="4">B37*D37*1.1</f>
        <v>7672.5000000000009</v>
      </c>
      <c r="H37" s="131">
        <f>B37*0.53*0.53+(4*0.53*0.15)</f>
        <v>26.441700000000001</v>
      </c>
      <c r="I37" s="1">
        <f>H37*1.5</f>
        <v>39.662550000000003</v>
      </c>
    </row>
    <row r="38" spans="1:12" ht="15.75" customHeight="1">
      <c r="A38" s="172" t="s">
        <v>752</v>
      </c>
      <c r="B38" s="175">
        <f>Planilha2!L44</f>
        <v>27</v>
      </c>
      <c r="C38" s="129" t="s">
        <v>3</v>
      </c>
      <c r="D38" s="124">
        <f>75*1.5</f>
        <v>112.5</v>
      </c>
      <c r="E38" s="130" t="s">
        <v>349</v>
      </c>
      <c r="F38" s="126"/>
      <c r="G38" s="125">
        <f t="shared" si="4"/>
        <v>3341.2500000000005</v>
      </c>
      <c r="H38" s="131">
        <f>B38*0.63*0.63+(4*0.63*0.15)</f>
        <v>11.0943</v>
      </c>
      <c r="I38" s="1">
        <f t="shared" ref="I38:I46" si="5">H38*1.5</f>
        <v>16.641449999999999</v>
      </c>
    </row>
    <row r="39" spans="1:12" ht="15.75" customHeight="1">
      <c r="A39" s="172" t="s">
        <v>700</v>
      </c>
      <c r="B39" s="175">
        <f>Planilha2!L6+Planilha2!L7+Planilha2!L16+Planilha2!L19</f>
        <v>564.79999999999995</v>
      </c>
      <c r="C39" s="129" t="s">
        <v>4</v>
      </c>
      <c r="D39" s="124">
        <v>35</v>
      </c>
      <c r="E39" s="130" t="s">
        <v>349</v>
      </c>
      <c r="F39" s="126" t="s">
        <v>213</v>
      </c>
      <c r="G39" s="125">
        <f t="shared" si="4"/>
        <v>21744.800000000003</v>
      </c>
      <c r="H39" s="131">
        <f>B39*0.16</f>
        <v>90.367999999999995</v>
      </c>
      <c r="I39" s="1">
        <f t="shared" si="5"/>
        <v>135.55199999999999</v>
      </c>
    </row>
    <row r="40" spans="1:12" ht="15.75" customHeight="1">
      <c r="A40" s="172" t="s">
        <v>701</v>
      </c>
      <c r="B40" s="175">
        <f>Planilha2!L8+Planilha2!L9+Planilha2!L10+Planilha2!L11+Planilha2!L12+Planilha2!L14+Planilha2!L15+Planilha2!L18</f>
        <v>1339.0620000000004</v>
      </c>
      <c r="C40" s="129" t="s">
        <v>4</v>
      </c>
      <c r="D40" s="124">
        <v>45</v>
      </c>
      <c r="E40" s="130" t="s">
        <v>349</v>
      </c>
      <c r="F40" s="126" t="s">
        <v>213</v>
      </c>
      <c r="G40" s="125">
        <f t="shared" si="4"/>
        <v>66283.569000000018</v>
      </c>
      <c r="H40" s="131">
        <f>B40*0.16</f>
        <v>214.24992000000006</v>
      </c>
      <c r="I40" s="1">
        <f t="shared" si="5"/>
        <v>321.37488000000008</v>
      </c>
    </row>
    <row r="41" spans="1:12" ht="15.75" customHeight="1">
      <c r="A41" s="172" t="s">
        <v>747</v>
      </c>
      <c r="B41" s="175">
        <f>Planilha2!L13+Planilha2!L17+Planilha2!L20+Planilha2!L21+Planilha2!L22+Planilha2!L23+Planilha2!L24+Planilha2!L25</f>
        <v>187.57999999999998</v>
      </c>
      <c r="C41" s="129" t="s">
        <v>4</v>
      </c>
      <c r="D41" s="124">
        <f>55*2</f>
        <v>110</v>
      </c>
      <c r="E41" s="130" t="s">
        <v>349</v>
      </c>
      <c r="F41" s="126" t="s">
        <v>213</v>
      </c>
      <c r="G41" s="125">
        <f t="shared" si="4"/>
        <v>22697.18</v>
      </c>
      <c r="H41" s="131">
        <f>B41*0.3*2</f>
        <v>112.54799999999999</v>
      </c>
      <c r="I41" s="1">
        <f t="shared" si="5"/>
        <v>168.82199999999997</v>
      </c>
    </row>
    <row r="42" spans="1:12" ht="15.75" customHeight="1">
      <c r="A42" s="172" t="s">
        <v>702</v>
      </c>
      <c r="B42" s="175">
        <f>Planilha2!L26+Planilha2!L27+Planilha2!L28+Planilha2!L29+Planilha2!L30</f>
        <v>144.29</v>
      </c>
      <c r="C42" s="129" t="s">
        <v>4</v>
      </c>
      <c r="D42" s="124">
        <v>52</v>
      </c>
      <c r="E42" s="130" t="s">
        <v>349</v>
      </c>
      <c r="F42" s="126" t="s">
        <v>213</v>
      </c>
      <c r="G42" s="125"/>
      <c r="H42" s="131">
        <f>B42*0.6*2</f>
        <v>173.148</v>
      </c>
      <c r="I42" s="1">
        <f t="shared" si="5"/>
        <v>259.72199999999998</v>
      </c>
    </row>
    <row r="43" spans="1:12" ht="15.75" customHeight="1">
      <c r="A43" s="172" t="s">
        <v>749</v>
      </c>
      <c r="B43" s="175">
        <f>Planilha2!L31+Planilha2!L32+Planilha2!L34</f>
        <v>121</v>
      </c>
      <c r="C43" s="129" t="s">
        <v>4</v>
      </c>
      <c r="D43" s="124">
        <v>48</v>
      </c>
      <c r="E43" s="130" t="s">
        <v>349</v>
      </c>
      <c r="F43" s="126" t="s">
        <v>213</v>
      </c>
      <c r="G43" s="125">
        <f t="shared" si="4"/>
        <v>6388.8</v>
      </c>
      <c r="H43" s="131">
        <f>(Planilha2!L31+Planilha2!L32)*0.5+Planilha2!L34*0.85*1*2</f>
        <v>72.97999999999999</v>
      </c>
      <c r="I43" s="1">
        <f>H43*1.1</f>
        <v>80.277999999999992</v>
      </c>
    </row>
    <row r="44" spans="1:12" ht="15.75" customHeight="1">
      <c r="A44" s="172" t="s">
        <v>748</v>
      </c>
      <c r="B44" s="175">
        <f>Planilha2!L33</f>
        <v>112.34050000000001</v>
      </c>
      <c r="C44" s="129" t="s">
        <v>2</v>
      </c>
      <c r="D44" s="124">
        <f>D42/(0.6*0.6)</f>
        <v>144.44444444444446</v>
      </c>
      <c r="E44" s="130" t="s">
        <v>349</v>
      </c>
      <c r="F44" s="126" t="s">
        <v>213</v>
      </c>
      <c r="G44" s="125"/>
      <c r="H44" s="303">
        <f>B44</f>
        <v>112.34050000000001</v>
      </c>
      <c r="I44" s="1">
        <f t="shared" si="5"/>
        <v>168.51075</v>
      </c>
    </row>
    <row r="45" spans="1:12" ht="15.75" customHeight="1">
      <c r="A45" s="172" t="s">
        <v>703</v>
      </c>
      <c r="B45" s="175">
        <f>Planilha2!L40+Planilha2!L41+Planilha2!L42</f>
        <v>859.40000000000009</v>
      </c>
      <c r="C45" s="129" t="s">
        <v>4</v>
      </c>
      <c r="D45" s="124">
        <v>38</v>
      </c>
      <c r="E45" s="130" t="s">
        <v>349</v>
      </c>
      <c r="F45" s="126" t="s">
        <v>213</v>
      </c>
      <c r="G45" s="125">
        <f t="shared" ref="G45" si="6">B45*D45*1.1</f>
        <v>35922.920000000006</v>
      </c>
      <c r="H45" s="131">
        <f>B45*0.5</f>
        <v>429.70000000000005</v>
      </c>
      <c r="I45" s="1">
        <f t="shared" si="5"/>
        <v>644.55000000000007</v>
      </c>
    </row>
    <row r="46" spans="1:12" ht="15.75" customHeight="1">
      <c r="A46" s="172" t="s">
        <v>699</v>
      </c>
      <c r="B46" s="175">
        <f>Planilha2!L43</f>
        <v>58.11</v>
      </c>
      <c r="C46" s="129" t="s">
        <v>4</v>
      </c>
      <c r="D46" s="124">
        <v>28</v>
      </c>
      <c r="E46" s="130" t="s">
        <v>349</v>
      </c>
      <c r="F46" s="126" t="s">
        <v>213</v>
      </c>
      <c r="G46" s="125">
        <f t="shared" ref="G46:G49" si="7">B46*D46*1.1</f>
        <v>1789.788</v>
      </c>
      <c r="H46" s="131">
        <f>B46*0.16</f>
        <v>9.297600000000001</v>
      </c>
      <c r="I46" s="1">
        <f t="shared" si="5"/>
        <v>13.946400000000001</v>
      </c>
    </row>
    <row r="47" spans="1:12" ht="15.75" customHeight="1">
      <c r="A47" s="172" t="s">
        <v>750</v>
      </c>
      <c r="B47" s="175">
        <f>Planilha2!L36+Planilha2!L38+2</f>
        <v>28</v>
      </c>
      <c r="C47" s="129" t="s">
        <v>3</v>
      </c>
      <c r="D47" s="124">
        <v>1080</v>
      </c>
      <c r="E47" s="130" t="s">
        <v>349</v>
      </c>
      <c r="F47" s="126"/>
      <c r="G47" s="125">
        <f t="shared" si="7"/>
        <v>33264</v>
      </c>
      <c r="H47" s="131"/>
    </row>
    <row r="48" spans="1:12" ht="15.75" customHeight="1">
      <c r="A48" s="172" t="s">
        <v>751</v>
      </c>
      <c r="B48" s="175">
        <f>Planilha2!L35</f>
        <v>137</v>
      </c>
      <c r="C48" s="129" t="s">
        <v>3</v>
      </c>
      <c r="D48" s="124">
        <v>85</v>
      </c>
      <c r="E48" s="130" t="s">
        <v>349</v>
      </c>
      <c r="F48" s="126"/>
      <c r="G48" s="125">
        <f t="shared" si="7"/>
        <v>12809.500000000002</v>
      </c>
      <c r="H48" s="131">
        <f>B48*0.42*0.42</f>
        <v>24.166799999999999</v>
      </c>
      <c r="I48" s="1">
        <f>H48*4</f>
        <v>96.667199999999994</v>
      </c>
    </row>
    <row r="49" spans="1:10" ht="15.75" customHeight="1">
      <c r="A49" s="172" t="s">
        <v>731</v>
      </c>
      <c r="B49" s="175">
        <f>Planilha2!L37</f>
        <v>20</v>
      </c>
      <c r="C49" s="129" t="s">
        <v>3</v>
      </c>
      <c r="D49" s="124">
        <v>90</v>
      </c>
      <c r="E49" s="130" t="s">
        <v>349</v>
      </c>
      <c r="F49" s="126"/>
      <c r="G49" s="125">
        <f t="shared" si="7"/>
        <v>1980.0000000000002</v>
      </c>
      <c r="H49" s="131">
        <f>B49*0.5*0.3</f>
        <v>3</v>
      </c>
      <c r="I49" s="1">
        <f>H49*3</f>
        <v>9</v>
      </c>
    </row>
    <row r="50" spans="1:10" ht="15.75" customHeight="1">
      <c r="A50" s="172" t="s">
        <v>767</v>
      </c>
      <c r="B50" s="175">
        <v>1</v>
      </c>
      <c r="C50" s="129" t="s">
        <v>27</v>
      </c>
      <c r="D50" s="124">
        <v>82730.16</v>
      </c>
      <c r="E50" s="130" t="s">
        <v>349</v>
      </c>
      <c r="F50" s="126" t="s">
        <v>213</v>
      </c>
      <c r="G50" s="125">
        <f>B50*D50*1.1</f>
        <v>91003.176000000007</v>
      </c>
      <c r="H50" s="131"/>
    </row>
    <row r="51" spans="1:10" ht="15.75" customHeight="1">
      <c r="A51" s="172" t="s">
        <v>753</v>
      </c>
      <c r="B51" s="175">
        <f>Planilha2!L45</f>
        <v>5</v>
      </c>
      <c r="C51" s="129" t="s">
        <v>3</v>
      </c>
      <c r="D51" s="124">
        <f>1.66*210</f>
        <v>348.59999999999997</v>
      </c>
      <c r="E51" s="130" t="s">
        <v>349</v>
      </c>
      <c r="F51" s="126" t="s">
        <v>213</v>
      </c>
      <c r="G51" s="125">
        <f>B51*D51*1.1</f>
        <v>1917.3</v>
      </c>
      <c r="H51" s="131" t="s">
        <v>760</v>
      </c>
    </row>
    <row r="52" spans="1:10" ht="15.75" customHeight="1">
      <c r="A52" s="172" t="s">
        <v>761</v>
      </c>
      <c r="B52" s="175">
        <f>1.66*B51</f>
        <v>8.2999999999999989</v>
      </c>
      <c r="C52" s="129" t="s">
        <v>3</v>
      </c>
      <c r="D52" s="124">
        <v>65</v>
      </c>
      <c r="E52" s="130" t="s">
        <v>349</v>
      </c>
      <c r="F52" s="126" t="s">
        <v>213</v>
      </c>
      <c r="G52" s="125">
        <f>B52*D52*1.1</f>
        <v>593.44999999999993</v>
      </c>
      <c r="H52" s="131" t="s">
        <v>760</v>
      </c>
    </row>
    <row r="53" spans="1:10" ht="15.75" customHeight="1">
      <c r="A53" s="346"/>
      <c r="B53" s="347"/>
      <c r="C53" s="347"/>
      <c r="D53" s="347"/>
      <c r="E53" s="347"/>
      <c r="F53" s="347"/>
      <c r="G53" s="122">
        <f>SUM(G37:G52)</f>
        <v>307408.23300000001</v>
      </c>
      <c r="H53" s="121"/>
    </row>
    <row r="54" spans="1:10">
      <c r="A54" s="344"/>
      <c r="B54" s="345"/>
      <c r="C54" s="345"/>
      <c r="D54" s="345"/>
      <c r="E54" s="345"/>
      <c r="F54" s="345"/>
      <c r="G54" s="167"/>
      <c r="H54" s="118"/>
      <c r="J54" s="1">
        <f>25.78*2</f>
        <v>51.56</v>
      </c>
    </row>
    <row r="55" spans="1:10" ht="15.75" customHeight="1">
      <c r="G55" s="115"/>
    </row>
    <row r="56" spans="1:10" ht="15.75" customHeight="1">
      <c r="A56" s="343" t="s">
        <v>212</v>
      </c>
      <c r="B56" s="343"/>
      <c r="C56" s="343"/>
      <c r="D56" s="343"/>
      <c r="E56" s="343"/>
      <c r="F56" s="343"/>
      <c r="G56" s="117">
        <f>G32+G21+G53</f>
        <v>1248311.870817</v>
      </c>
      <c r="H56" s="116">
        <f>G56/DADOS_INICIAIS!E9</f>
        <v>206.36085129315265</v>
      </c>
    </row>
    <row r="57" spans="1:10" ht="15.75" customHeight="1">
      <c r="H57" s="115">
        <f>H56/1.1</f>
        <v>187.60077390286602</v>
      </c>
    </row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</sheetData>
  <mergeCells count="14">
    <mergeCell ref="B25:C25"/>
    <mergeCell ref="D25:E25"/>
    <mergeCell ref="A56:F56"/>
    <mergeCell ref="A32:F32"/>
    <mergeCell ref="A33:F33"/>
    <mergeCell ref="A54:F54"/>
    <mergeCell ref="B36:C36"/>
    <mergeCell ref="D36:E36"/>
    <mergeCell ref="A53:F53"/>
    <mergeCell ref="B14:C14"/>
    <mergeCell ref="D14:E14"/>
    <mergeCell ref="A2:A4"/>
    <mergeCell ref="A21:F21"/>
    <mergeCell ref="A22:F22"/>
  </mergeCells>
  <phoneticPr fontId="46" type="noConversion"/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20"/>
  <sheetViews>
    <sheetView showGridLines="0" topLeftCell="A3" zoomScale="85" zoomScaleNormal="85" zoomScaleSheetLayoutView="95" workbookViewId="0">
      <selection activeCell="D9" sqref="D9"/>
    </sheetView>
  </sheetViews>
  <sheetFormatPr defaultColWidth="9.140625" defaultRowHeight="19.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>
      <c r="A1" s="48"/>
      <c r="B1" s="48"/>
      <c r="C1" s="48"/>
      <c r="D1" s="48"/>
      <c r="E1" s="48"/>
      <c r="F1" s="48"/>
      <c r="G1" s="48"/>
      <c r="I1" s="2"/>
    </row>
    <row r="2" spans="1:10" ht="28.5">
      <c r="A2" s="319" t="s">
        <v>278</v>
      </c>
      <c r="B2" s="320"/>
      <c r="C2" s="320"/>
      <c r="D2" s="320"/>
      <c r="E2" s="320"/>
      <c r="F2" s="320"/>
      <c r="G2" s="321"/>
      <c r="I2" s="2"/>
    </row>
    <row r="3" spans="1:10" s="55" customFormat="1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>
      <c r="A4" s="189" t="s">
        <v>290</v>
      </c>
      <c r="B4" s="196" t="s">
        <v>213</v>
      </c>
      <c r="C4" s="191"/>
      <c r="D4" s="191"/>
      <c r="E4" s="191"/>
      <c r="F4" s="191"/>
      <c r="G4" s="191"/>
      <c r="H4" s="192"/>
      <c r="J4" s="79"/>
    </row>
    <row r="5" spans="1:10">
      <c r="A5" s="50"/>
      <c r="B5" s="50"/>
      <c r="C5" s="50"/>
      <c r="D5" s="50"/>
      <c r="E5" s="50"/>
      <c r="F5" s="48"/>
      <c r="G5" s="48"/>
      <c r="I5" s="2"/>
    </row>
    <row r="6" spans="1:10" s="55" customFormat="1" ht="21.75">
      <c r="A6" s="52" t="s">
        <v>277</v>
      </c>
      <c r="B6" s="53"/>
      <c r="C6" s="53"/>
      <c r="D6" s="53"/>
      <c r="E6" s="53"/>
      <c r="F6" s="53"/>
      <c r="G6" s="53"/>
    </row>
    <row r="7" spans="1:10" s="55" customFormat="1" ht="21.75">
      <c r="A7" s="56"/>
      <c r="B7" s="57"/>
      <c r="C7" s="57"/>
      <c r="D7" s="57"/>
      <c r="E7" s="57"/>
      <c r="F7" s="59"/>
      <c r="G7" s="59"/>
    </row>
    <row r="8" spans="1:10" s="55" customFormat="1" ht="42" customHeight="1">
      <c r="A8" s="63" t="s">
        <v>14</v>
      </c>
      <c r="B8" s="323" t="s">
        <v>5</v>
      </c>
      <c r="C8" s="324"/>
      <c r="D8" s="323" t="s">
        <v>18</v>
      </c>
      <c r="E8" s="324"/>
      <c r="F8" s="71" t="s">
        <v>16</v>
      </c>
      <c r="G8" s="59"/>
    </row>
    <row r="9" spans="1:10" s="55" customFormat="1" ht="21.75">
      <c r="A9" s="66" t="s">
        <v>695</v>
      </c>
      <c r="B9" s="62">
        <v>180</v>
      </c>
      <c r="C9" s="62" t="s">
        <v>397</v>
      </c>
      <c r="D9" s="67">
        <f>'Acabamentos de Piso e Parede'!D28+'Acabamentos de Piso e Parede'!D23</f>
        <v>244</v>
      </c>
      <c r="E9" s="67" t="s">
        <v>2</v>
      </c>
      <c r="F9" s="89">
        <f>D9*B9*1.1</f>
        <v>48312.000000000007</v>
      </c>
      <c r="G9" s="57"/>
    </row>
    <row r="10" spans="1:10" s="55" customFormat="1" ht="21.75">
      <c r="A10" s="66" t="s">
        <v>276</v>
      </c>
      <c r="B10" s="62">
        <v>2100</v>
      </c>
      <c r="C10" s="62" t="s">
        <v>275</v>
      </c>
      <c r="D10" s="67"/>
      <c r="E10" s="67" t="s">
        <v>2</v>
      </c>
      <c r="F10" s="89">
        <f>D10*B10*1.1</f>
        <v>0</v>
      </c>
      <c r="G10" s="57"/>
    </row>
    <row r="11" spans="1:10" s="55" customFormat="1" ht="21.75">
      <c r="A11" s="66" t="s">
        <v>274</v>
      </c>
      <c r="B11" s="62">
        <v>12</v>
      </c>
      <c r="C11" s="62" t="s">
        <v>6</v>
      </c>
      <c r="D11" s="67">
        <f>B11*DADOS_INICIAIS!$E$9</f>
        <v>72590.039999999994</v>
      </c>
      <c r="E11" s="67" t="s">
        <v>349</v>
      </c>
      <c r="F11" s="89">
        <f>D11*1.1</f>
        <v>79849.043999999994</v>
      </c>
      <c r="G11" s="57"/>
    </row>
    <row r="12" spans="1:10" s="55" customFormat="1" ht="21.75">
      <c r="A12" s="66" t="s">
        <v>273</v>
      </c>
      <c r="B12" s="62">
        <v>15</v>
      </c>
      <c r="C12" s="62" t="s">
        <v>6</v>
      </c>
      <c r="D12" s="67">
        <f>B12*DADOS_INICIAIS!$E$9</f>
        <v>90737.549999999988</v>
      </c>
      <c r="E12" s="67" t="s">
        <v>349</v>
      </c>
      <c r="F12" s="89">
        <f t="shared" ref="F12:F17" si="0">D12*1.1</f>
        <v>99811.304999999993</v>
      </c>
      <c r="G12" s="57"/>
    </row>
    <row r="13" spans="1:10" s="55" customFormat="1" ht="21.75">
      <c r="A13" s="66" t="s">
        <v>400</v>
      </c>
      <c r="B13" s="62">
        <v>23</v>
      </c>
      <c r="C13" s="62" t="s">
        <v>6</v>
      </c>
      <c r="D13" s="67">
        <f>B13*DADOS_INICIAIS!$E$9</f>
        <v>139130.90999999997</v>
      </c>
      <c r="E13" s="67" t="s">
        <v>349</v>
      </c>
      <c r="F13" s="89">
        <f t="shared" ref="F13" si="1">D13*1.1</f>
        <v>153044.00099999999</v>
      </c>
      <c r="G13" s="57"/>
    </row>
    <row r="14" spans="1:10" s="55" customFormat="1" ht="21.75">
      <c r="A14" s="66" t="s">
        <v>396</v>
      </c>
      <c r="B14" s="62">
        <f>172734.56/111.47</f>
        <v>1549.6058132232888</v>
      </c>
      <c r="C14" s="62" t="s">
        <v>397</v>
      </c>
      <c r="D14" s="67"/>
      <c r="E14" s="67" t="s">
        <v>385</v>
      </c>
      <c r="F14" s="89">
        <f>D14*B14*1.1</f>
        <v>0</v>
      </c>
      <c r="G14" s="57"/>
    </row>
    <row r="15" spans="1:10" s="55" customFormat="1" ht="21.75">
      <c r="A15" s="66" t="s">
        <v>272</v>
      </c>
      <c r="B15" s="62">
        <v>4</v>
      </c>
      <c r="C15" s="62" t="s">
        <v>6</v>
      </c>
      <c r="D15" s="67">
        <f>B15*DADOS_INICIAIS!$E$9</f>
        <v>24196.679999999997</v>
      </c>
      <c r="E15" s="67" t="s">
        <v>349</v>
      </c>
      <c r="F15" s="89">
        <f t="shared" si="0"/>
        <v>26616.347999999998</v>
      </c>
      <c r="G15" s="57"/>
    </row>
    <row r="16" spans="1:10" s="55" customFormat="1" ht="21.75">
      <c r="A16" s="66" t="s">
        <v>271</v>
      </c>
      <c r="B16" s="62">
        <v>3.5</v>
      </c>
      <c r="C16" s="62" t="s">
        <v>6</v>
      </c>
      <c r="D16" s="67">
        <f>B16*DADOS_INICIAIS!$E$9</f>
        <v>21172.094999999998</v>
      </c>
      <c r="E16" s="67" t="s">
        <v>349</v>
      </c>
      <c r="F16" s="89">
        <f t="shared" si="0"/>
        <v>23289.304499999998</v>
      </c>
      <c r="G16" s="57"/>
    </row>
    <row r="17" spans="1:7" s="55" customFormat="1" ht="21.75">
      <c r="A17" s="66" t="s">
        <v>270</v>
      </c>
      <c r="B17" s="62">
        <v>20</v>
      </c>
      <c r="C17" s="62" t="s">
        <v>6</v>
      </c>
      <c r="D17" s="67">
        <f>B17*DADOS_INICIAIS!$E$9</f>
        <v>120983.39999999998</v>
      </c>
      <c r="E17" s="67" t="s">
        <v>349</v>
      </c>
      <c r="F17" s="89">
        <f t="shared" si="0"/>
        <v>133081.74</v>
      </c>
      <c r="G17" s="57"/>
    </row>
    <row r="18" spans="1:7" s="55" customFormat="1" ht="21.75">
      <c r="A18" s="318" t="s">
        <v>17</v>
      </c>
      <c r="B18" s="318"/>
      <c r="C18" s="318"/>
      <c r="D18" s="110"/>
      <c r="E18" s="110"/>
      <c r="F18" s="90">
        <f>SUM(F9:F17)</f>
        <v>564003.74249999993</v>
      </c>
      <c r="G18" s="60"/>
    </row>
    <row r="19" spans="1:7" s="55" customFormat="1" ht="21.75">
      <c r="A19" s="322"/>
      <c r="B19" s="322"/>
      <c r="C19" s="322"/>
      <c r="D19" s="111"/>
      <c r="E19" s="111"/>
      <c r="F19" s="59"/>
      <c r="G19" s="59"/>
    </row>
    <row r="20" spans="1:7" ht="23.25" customHeight="1">
      <c r="A20" s="315" t="s">
        <v>269</v>
      </c>
      <c r="B20" s="316"/>
      <c r="C20" s="317"/>
      <c r="D20" s="109"/>
      <c r="E20" s="109"/>
      <c r="F20" s="108">
        <f>F18</f>
        <v>564003.74249999993</v>
      </c>
      <c r="G20" s="108">
        <f>F20/DADOS_INICIAIS!$E$9</f>
        <v>93.236550220939407</v>
      </c>
    </row>
  </sheetData>
  <mergeCells count="6">
    <mergeCell ref="A20:C20"/>
    <mergeCell ref="B8:C8"/>
    <mergeCell ref="D8:E8"/>
    <mergeCell ref="A2:G2"/>
    <mergeCell ref="A18:C18"/>
    <mergeCell ref="A19:C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91BB-6DDC-430A-BE82-6DE0E7C52E39}">
  <dimension ref="A4:N45"/>
  <sheetViews>
    <sheetView topLeftCell="A28" workbookViewId="0">
      <selection activeCell="L40" sqref="A40:L43"/>
    </sheetView>
  </sheetViews>
  <sheetFormatPr defaultRowHeight="15"/>
  <cols>
    <col min="1" max="1" width="25.42578125" customWidth="1"/>
    <col min="14" max="14" width="36.7109375" customWidth="1"/>
  </cols>
  <sheetData>
    <row r="4" spans="1:14">
      <c r="A4" s="302"/>
      <c r="B4" s="302"/>
      <c r="C4" s="357" t="s">
        <v>704</v>
      </c>
      <c r="D4" s="358"/>
      <c r="E4" s="357" t="s">
        <v>705</v>
      </c>
      <c r="F4" s="358"/>
      <c r="G4" s="357" t="s">
        <v>706</v>
      </c>
      <c r="H4" s="358"/>
      <c r="I4" s="357" t="s">
        <v>707</v>
      </c>
      <c r="J4" s="358"/>
    </row>
    <row r="5" spans="1:14">
      <c r="A5" s="302"/>
      <c r="B5" s="302" t="s">
        <v>708</v>
      </c>
      <c r="C5" s="302" t="s">
        <v>18</v>
      </c>
      <c r="D5" s="302" t="s">
        <v>721</v>
      </c>
      <c r="E5" s="302" t="s">
        <v>18</v>
      </c>
      <c r="F5" s="302" t="s">
        <v>721</v>
      </c>
      <c r="G5" s="302" t="s">
        <v>18</v>
      </c>
      <c r="H5" s="302" t="s">
        <v>721</v>
      </c>
      <c r="I5" s="302" t="s">
        <v>18</v>
      </c>
      <c r="J5" s="302" t="s">
        <v>721</v>
      </c>
    </row>
    <row r="6" spans="1:14">
      <c r="A6" s="302" t="s">
        <v>700</v>
      </c>
      <c r="B6" s="302">
        <f>(1.73+2.74)*2</f>
        <v>8.9400000000000013</v>
      </c>
      <c r="C6" s="302">
        <v>18</v>
      </c>
      <c r="D6" s="302">
        <f>B6*C6</f>
        <v>160.92000000000002</v>
      </c>
      <c r="E6" s="302">
        <v>18</v>
      </c>
      <c r="F6" s="302">
        <f>E6*B6</f>
        <v>160.92000000000002</v>
      </c>
      <c r="G6" s="302">
        <v>6</v>
      </c>
      <c r="H6" s="302">
        <f>G6*B6</f>
        <v>53.640000000000008</v>
      </c>
      <c r="I6" s="302">
        <v>6</v>
      </c>
      <c r="J6" s="302">
        <f>I6*B6</f>
        <v>53.640000000000008</v>
      </c>
      <c r="L6">
        <f>J6+H6+F6+D6</f>
        <v>429.12000000000006</v>
      </c>
      <c r="M6" t="s">
        <v>4</v>
      </c>
      <c r="N6" t="str">
        <f>A6</f>
        <v>Janelas retas</v>
      </c>
    </row>
    <row r="7" spans="1:14">
      <c r="A7" s="302" t="s">
        <v>709</v>
      </c>
      <c r="B7" s="302">
        <f>1.86*2+2.86*2</f>
        <v>9.44</v>
      </c>
      <c r="C7" s="302">
        <v>4</v>
      </c>
      <c r="D7" s="302">
        <f t="shared" ref="D7:D15" si="0">B7*C7</f>
        <v>37.76</v>
      </c>
      <c r="E7" s="302">
        <v>4</v>
      </c>
      <c r="F7" s="302">
        <f t="shared" ref="F7:F19" si="1">E7*B7</f>
        <v>37.76</v>
      </c>
      <c r="G7" s="302"/>
      <c r="H7" s="302"/>
      <c r="I7" s="302"/>
      <c r="J7" s="302"/>
      <c r="K7" t="s">
        <v>717</v>
      </c>
      <c r="L7">
        <f t="shared" ref="L7:L43" si="2">J7+H7+F7+D7</f>
        <v>75.52</v>
      </c>
      <c r="M7" t="s">
        <v>4</v>
      </c>
      <c r="N7" t="str">
        <f t="shared" ref="N7:N45" si="3">A7</f>
        <v>Janelas retas com sinete</v>
      </c>
    </row>
    <row r="8" spans="1:14">
      <c r="A8" s="302" t="s">
        <v>711</v>
      </c>
      <c r="B8" s="302">
        <f>2.1*2+2.4*2*2</f>
        <v>13.8</v>
      </c>
      <c r="C8" s="302">
        <v>6</v>
      </c>
      <c r="D8" s="302">
        <f t="shared" si="0"/>
        <v>82.800000000000011</v>
      </c>
      <c r="E8" s="302">
        <v>2</v>
      </c>
      <c r="F8" s="302">
        <f t="shared" si="1"/>
        <v>27.6</v>
      </c>
      <c r="G8" s="302"/>
      <c r="H8" s="302"/>
      <c r="I8" s="302"/>
      <c r="J8" s="302"/>
      <c r="L8">
        <f t="shared" si="2"/>
        <v>110.4</v>
      </c>
      <c r="M8" t="s">
        <v>4</v>
      </c>
      <c r="N8" t="str">
        <f t="shared" si="3"/>
        <v>Janelas curvas telhado</v>
      </c>
    </row>
    <row r="9" spans="1:14">
      <c r="A9" s="302" t="s">
        <v>710</v>
      </c>
      <c r="B9" s="302">
        <f>(1.82*1.2+2.768)*2</f>
        <v>9.9039999999999999</v>
      </c>
      <c r="C9" s="302">
        <v>20</v>
      </c>
      <c r="D9" s="302">
        <f t="shared" si="0"/>
        <v>198.07999999999998</v>
      </c>
      <c r="E9" s="302">
        <f>10*2+4</f>
        <v>24</v>
      </c>
      <c r="F9" s="302">
        <f t="shared" si="1"/>
        <v>237.696</v>
      </c>
      <c r="G9" s="302">
        <v>6</v>
      </c>
      <c r="H9" s="302">
        <f>G9*B9</f>
        <v>59.423999999999999</v>
      </c>
      <c r="I9" s="302">
        <v>8</v>
      </c>
      <c r="J9" s="302">
        <f>I9*B9</f>
        <v>79.231999999999999</v>
      </c>
      <c r="L9">
        <f t="shared" si="2"/>
        <v>574.43200000000002</v>
      </c>
      <c r="M9" t="s">
        <v>4</v>
      </c>
      <c r="N9" t="str">
        <f t="shared" si="3"/>
        <v>Janelas curvas com sinete</v>
      </c>
    </row>
    <row r="10" spans="1:14">
      <c r="A10" s="302" t="s">
        <v>714</v>
      </c>
      <c r="B10" s="302">
        <f>(1.78*1.2+2.76*2)</f>
        <v>7.6559999999999997</v>
      </c>
      <c r="C10" s="302">
        <v>16</v>
      </c>
      <c r="D10" s="302">
        <f t="shared" si="0"/>
        <v>122.496</v>
      </c>
      <c r="E10" s="302">
        <v>16</v>
      </c>
      <c r="F10" s="302">
        <f t="shared" si="1"/>
        <v>122.496</v>
      </c>
      <c r="G10" s="302"/>
      <c r="H10" s="302"/>
      <c r="I10" s="302">
        <v>2</v>
      </c>
      <c r="J10" s="302">
        <f>I10*B10</f>
        <v>15.311999999999999</v>
      </c>
      <c r="L10">
        <f t="shared" si="2"/>
        <v>260.30399999999997</v>
      </c>
      <c r="M10" t="s">
        <v>4</v>
      </c>
      <c r="N10" t="str">
        <f t="shared" si="3"/>
        <v>Janelas curvas terreo pequena com sinete</v>
      </c>
    </row>
    <row r="11" spans="1:14">
      <c r="A11" s="302" t="s">
        <v>712</v>
      </c>
      <c r="B11" s="302">
        <f>(2.92*1.5+4.83*2)</f>
        <v>14.04</v>
      </c>
      <c r="C11" s="302">
        <v>5</v>
      </c>
      <c r="D11" s="302">
        <f t="shared" si="0"/>
        <v>70.199999999999989</v>
      </c>
      <c r="E11" s="302"/>
      <c r="F11" s="302">
        <f t="shared" si="1"/>
        <v>0</v>
      </c>
      <c r="G11" s="302"/>
      <c r="H11" s="302"/>
      <c r="I11" s="302"/>
      <c r="J11" s="302"/>
      <c r="K11" t="s">
        <v>713</v>
      </c>
      <c r="L11">
        <f t="shared" si="2"/>
        <v>70.199999999999989</v>
      </c>
      <c r="M11" t="s">
        <v>4</v>
      </c>
      <c r="N11" t="str">
        <f t="shared" si="3"/>
        <v>Janelas curvas terreo grande*</v>
      </c>
    </row>
    <row r="12" spans="1:14">
      <c r="A12" s="302" t="s">
        <v>715</v>
      </c>
      <c r="B12" s="302">
        <f>(1.74*1.5+2.16*2)</f>
        <v>6.93</v>
      </c>
      <c r="C12" s="302">
        <v>5</v>
      </c>
      <c r="D12" s="302">
        <f t="shared" si="0"/>
        <v>34.65</v>
      </c>
      <c r="E12" s="302"/>
      <c r="F12" s="302">
        <f t="shared" si="1"/>
        <v>0</v>
      </c>
      <c r="G12" s="302"/>
      <c r="H12" s="302"/>
      <c r="I12" s="302"/>
      <c r="J12" s="302"/>
      <c r="L12">
        <f t="shared" si="2"/>
        <v>34.65</v>
      </c>
      <c r="M12" t="s">
        <v>4</v>
      </c>
      <c r="N12" t="str">
        <f t="shared" si="3"/>
        <v>Janelas curvas pav 1 pequena com sinete</v>
      </c>
    </row>
    <row r="13" spans="1:14">
      <c r="A13" s="302" t="s">
        <v>716</v>
      </c>
      <c r="B13" s="302">
        <f>(1.5*2+3.15*2)</f>
        <v>9.3000000000000007</v>
      </c>
      <c r="C13" s="302">
        <v>1</v>
      </c>
      <c r="D13" s="302">
        <f t="shared" si="0"/>
        <v>9.3000000000000007</v>
      </c>
      <c r="E13" s="302"/>
      <c r="F13" s="302">
        <f t="shared" si="1"/>
        <v>0</v>
      </c>
      <c r="G13" s="302"/>
      <c r="H13" s="302"/>
      <c r="I13" s="302"/>
      <c r="J13" s="302"/>
      <c r="L13">
        <f t="shared" si="2"/>
        <v>9.3000000000000007</v>
      </c>
      <c r="M13" t="s">
        <v>4</v>
      </c>
      <c r="N13" t="str">
        <f t="shared" si="3"/>
        <v>Arco 2 pav</v>
      </c>
    </row>
    <row r="14" spans="1:14">
      <c r="A14" s="302" t="s">
        <v>718</v>
      </c>
      <c r="B14" s="302">
        <f>(2.56*2+2.45)*2</f>
        <v>15.14</v>
      </c>
      <c r="C14" s="302">
        <v>8</v>
      </c>
      <c r="D14" s="302">
        <f t="shared" si="0"/>
        <v>121.12</v>
      </c>
      <c r="E14" s="302"/>
      <c r="F14" s="302">
        <f t="shared" si="1"/>
        <v>0</v>
      </c>
      <c r="G14" s="302"/>
      <c r="H14" s="302"/>
      <c r="I14" s="302">
        <v>2</v>
      </c>
      <c r="J14" s="302">
        <f>I14*B14</f>
        <v>30.28</v>
      </c>
      <c r="L14">
        <f t="shared" si="2"/>
        <v>151.4</v>
      </c>
      <c r="M14" t="s">
        <v>4</v>
      </c>
      <c r="N14" t="str">
        <f t="shared" si="3"/>
        <v>Janelas curvas subsolo</v>
      </c>
    </row>
    <row r="15" spans="1:14">
      <c r="A15" s="302" t="s">
        <v>719</v>
      </c>
      <c r="B15" s="302">
        <f>(1.78*1.2+2.76*2)</f>
        <v>7.6559999999999997</v>
      </c>
      <c r="C15" s="302">
        <v>5</v>
      </c>
      <c r="D15" s="302">
        <f t="shared" si="0"/>
        <v>38.28</v>
      </c>
      <c r="E15" s="302"/>
      <c r="F15" s="302">
        <f t="shared" si="1"/>
        <v>0</v>
      </c>
      <c r="G15" s="302">
        <v>2</v>
      </c>
      <c r="H15" s="302">
        <f>G15*B15</f>
        <v>15.311999999999999</v>
      </c>
      <c r="I15" s="302"/>
      <c r="J15" s="302"/>
      <c r="L15">
        <f t="shared" si="2"/>
        <v>53.591999999999999</v>
      </c>
      <c r="M15" t="s">
        <v>4</v>
      </c>
      <c r="N15" t="str">
        <f t="shared" si="3"/>
        <v>Janelas curvas subsolo pequena com sinete</v>
      </c>
    </row>
    <row r="16" spans="1:14">
      <c r="A16" s="302" t="s">
        <v>720</v>
      </c>
      <c r="B16" s="302">
        <f>(1.4+2.7*2)</f>
        <v>6.8000000000000007</v>
      </c>
      <c r="C16" s="302">
        <v>2</v>
      </c>
      <c r="D16" s="302">
        <f>B16*C16</f>
        <v>13.600000000000001</v>
      </c>
      <c r="E16" s="302"/>
      <c r="F16" s="302">
        <f t="shared" si="1"/>
        <v>0</v>
      </c>
      <c r="G16" s="302"/>
      <c r="H16" s="302"/>
      <c r="I16" s="302"/>
      <c r="J16" s="302"/>
      <c r="K16" t="s">
        <v>717</v>
      </c>
      <c r="L16">
        <f t="shared" si="2"/>
        <v>13.600000000000001</v>
      </c>
      <c r="M16" t="s">
        <v>4</v>
      </c>
      <c r="N16" t="str">
        <f t="shared" si="3"/>
        <v>Janelas retas subsolo</v>
      </c>
    </row>
    <row r="17" spans="1:14">
      <c r="A17" s="302" t="s">
        <v>722</v>
      </c>
      <c r="B17" s="302">
        <f>(3.3*2+3.64*2)</f>
        <v>13.879999999999999</v>
      </c>
      <c r="C17" s="302"/>
      <c r="D17" s="302"/>
      <c r="E17" s="302"/>
      <c r="F17" s="302">
        <f t="shared" si="1"/>
        <v>0</v>
      </c>
      <c r="G17" s="302"/>
      <c r="H17" s="302"/>
      <c r="I17" s="302">
        <v>1</v>
      </c>
      <c r="J17" s="302">
        <f>I17*B17</f>
        <v>13.879999999999999</v>
      </c>
      <c r="K17" t="s">
        <v>713</v>
      </c>
      <c r="L17">
        <f t="shared" si="2"/>
        <v>13.879999999999999</v>
      </c>
      <c r="M17" t="s">
        <v>4</v>
      </c>
      <c r="N17" t="str">
        <f t="shared" si="3"/>
        <v>Arco subsolo</v>
      </c>
    </row>
    <row r="18" spans="1:14">
      <c r="A18" s="302" t="s">
        <v>723</v>
      </c>
      <c r="B18" s="302">
        <f>1.82*2+1.82*2.2</f>
        <v>7.6440000000000001</v>
      </c>
      <c r="C18" s="302"/>
      <c r="D18" s="302"/>
      <c r="E18" s="302"/>
      <c r="F18" s="302">
        <f t="shared" si="1"/>
        <v>0</v>
      </c>
      <c r="G18" s="302">
        <v>6</v>
      </c>
      <c r="H18" s="302">
        <f t="shared" ref="H18:H19" si="4">G18*B18</f>
        <v>45.864000000000004</v>
      </c>
      <c r="I18" s="302">
        <v>5</v>
      </c>
      <c r="J18" s="302">
        <f>I18*B18</f>
        <v>38.22</v>
      </c>
      <c r="L18">
        <f t="shared" si="2"/>
        <v>84.084000000000003</v>
      </c>
      <c r="M18" t="s">
        <v>4</v>
      </c>
      <c r="N18" t="str">
        <f t="shared" si="3"/>
        <v>Janleas pequenas subsolo</v>
      </c>
    </row>
    <row r="19" spans="1:14">
      <c r="A19" s="302" t="s">
        <v>724</v>
      </c>
      <c r="B19" s="302">
        <f>(0.82+1.12)*2</f>
        <v>3.88</v>
      </c>
      <c r="C19" s="302"/>
      <c r="D19" s="302"/>
      <c r="E19" s="302"/>
      <c r="F19" s="302">
        <f t="shared" si="1"/>
        <v>0</v>
      </c>
      <c r="G19" s="302">
        <v>6</v>
      </c>
      <c r="H19" s="302">
        <f t="shared" si="4"/>
        <v>23.28</v>
      </c>
      <c r="I19" s="302">
        <v>6</v>
      </c>
      <c r="J19" s="302">
        <f>I19*B19</f>
        <v>23.28</v>
      </c>
      <c r="L19">
        <f t="shared" si="2"/>
        <v>46.56</v>
      </c>
      <c r="M19" t="s">
        <v>4</v>
      </c>
      <c r="N19" t="str">
        <f t="shared" si="3"/>
        <v>Janleas banheiro</v>
      </c>
    </row>
    <row r="20" spans="1:14">
      <c r="A20" s="302" t="s">
        <v>725</v>
      </c>
      <c r="B20" s="302">
        <f>(4.7*2+3.6*2)</f>
        <v>16.600000000000001</v>
      </c>
      <c r="C20" s="302"/>
      <c r="D20" s="302"/>
      <c r="E20" s="302">
        <v>1</v>
      </c>
      <c r="F20" s="302">
        <f t="shared" ref="F20" si="5">E20*B20</f>
        <v>16.600000000000001</v>
      </c>
      <c r="G20" s="302"/>
      <c r="H20" s="302"/>
      <c r="I20" s="302"/>
      <c r="J20" s="302"/>
      <c r="K20" t="s">
        <v>713</v>
      </c>
      <c r="L20">
        <f t="shared" si="2"/>
        <v>16.600000000000001</v>
      </c>
      <c r="M20" t="s">
        <v>4</v>
      </c>
      <c r="N20" t="str">
        <f t="shared" si="3"/>
        <v>Arco terraço frontal</v>
      </c>
    </row>
    <row r="21" spans="1:14">
      <c r="A21" s="302" t="s">
        <v>726</v>
      </c>
      <c r="B21" s="302">
        <f>(5*2+3.7*2)</f>
        <v>17.399999999999999</v>
      </c>
      <c r="C21" s="302"/>
      <c r="D21" s="302"/>
      <c r="E21" s="302">
        <v>1</v>
      </c>
      <c r="F21" s="302">
        <f t="shared" ref="F21" si="6">E21*B21</f>
        <v>17.399999999999999</v>
      </c>
      <c r="G21" s="302"/>
      <c r="H21" s="302"/>
      <c r="I21" s="302"/>
      <c r="J21" s="302"/>
      <c r="K21" t="s">
        <v>730</v>
      </c>
      <c r="L21">
        <f t="shared" si="2"/>
        <v>17.399999999999999</v>
      </c>
      <c r="M21" t="s">
        <v>4</v>
      </c>
      <c r="N21" t="str">
        <f t="shared" si="3"/>
        <v>Arco porta entrada</v>
      </c>
    </row>
    <row r="22" spans="1:14">
      <c r="A22" s="302" t="s">
        <v>727</v>
      </c>
      <c r="B22" s="302">
        <f>(5.3*2+2.9*2)</f>
        <v>16.399999999999999</v>
      </c>
      <c r="C22" s="302"/>
      <c r="D22" s="302"/>
      <c r="E22" s="302">
        <v>2</v>
      </c>
      <c r="F22" s="302">
        <f t="shared" ref="F22" si="7">E22*B22</f>
        <v>32.799999999999997</v>
      </c>
      <c r="G22" s="302"/>
      <c r="H22" s="302"/>
      <c r="I22" s="302"/>
      <c r="J22" s="302"/>
      <c r="K22" t="s">
        <v>731</v>
      </c>
      <c r="L22">
        <f t="shared" si="2"/>
        <v>32.799999999999997</v>
      </c>
      <c r="M22" t="s">
        <v>4</v>
      </c>
      <c r="N22" t="str">
        <f t="shared" si="3"/>
        <v>Arco latertal entrada</v>
      </c>
    </row>
    <row r="23" spans="1:14">
      <c r="A23" s="302" t="s">
        <v>728</v>
      </c>
      <c r="B23" s="302">
        <f>(4*2+4.75*2)</f>
        <v>17.5</v>
      </c>
      <c r="C23" s="302"/>
      <c r="D23" s="302"/>
      <c r="E23" s="302">
        <v>2</v>
      </c>
      <c r="F23" s="302">
        <f t="shared" ref="F23" si="8">E23*B23</f>
        <v>35</v>
      </c>
      <c r="G23" s="302"/>
      <c r="H23" s="302"/>
      <c r="I23" s="302"/>
      <c r="J23" s="302"/>
      <c r="K23" t="s">
        <v>732</v>
      </c>
      <c r="L23">
        <f t="shared" si="2"/>
        <v>35</v>
      </c>
      <c r="M23" t="s">
        <v>4</v>
      </c>
      <c r="N23" t="str">
        <f t="shared" si="3"/>
        <v>Arco acesso grande</v>
      </c>
    </row>
    <row r="24" spans="1:14">
      <c r="A24" s="302" t="s">
        <v>729</v>
      </c>
      <c r="B24" s="302">
        <f>(4*2+2.35*2)</f>
        <v>12.7</v>
      </c>
      <c r="C24" s="302"/>
      <c r="D24" s="302"/>
      <c r="E24" s="302">
        <v>4</v>
      </c>
      <c r="F24" s="302">
        <f t="shared" ref="F24" si="9">E24*B24</f>
        <v>50.8</v>
      </c>
      <c r="G24" s="302"/>
      <c r="H24" s="302"/>
      <c r="I24" s="302"/>
      <c r="J24" s="302"/>
      <c r="K24" t="s">
        <v>732</v>
      </c>
      <c r="L24">
        <f t="shared" si="2"/>
        <v>50.8</v>
      </c>
      <c r="M24" t="s">
        <v>4</v>
      </c>
      <c r="N24" t="str">
        <f t="shared" si="3"/>
        <v>Arco acesso pequeno</v>
      </c>
    </row>
    <row r="25" spans="1:14">
      <c r="A25" s="302" t="s">
        <v>733</v>
      </c>
      <c r="B25" s="302">
        <f>(2.15*2+5*1.5)</f>
        <v>11.8</v>
      </c>
      <c r="C25" s="302"/>
      <c r="D25" s="302"/>
      <c r="E25" s="302">
        <v>1</v>
      </c>
      <c r="F25" s="302">
        <f t="shared" ref="F25:F27" si="10">E25*B25</f>
        <v>11.8</v>
      </c>
      <c r="G25" s="302"/>
      <c r="H25" s="302"/>
      <c r="I25" s="302"/>
      <c r="J25" s="302"/>
      <c r="L25">
        <f t="shared" si="2"/>
        <v>11.8</v>
      </c>
      <c r="M25" t="s">
        <v>4</v>
      </c>
      <c r="N25" t="str">
        <f t="shared" si="3"/>
        <v>Arco garagem</v>
      </c>
    </row>
    <row r="26" spans="1:14">
      <c r="A26" s="302" t="s">
        <v>734</v>
      </c>
      <c r="B26" s="302">
        <v>10</v>
      </c>
      <c r="C26" s="302">
        <v>4</v>
      </c>
      <c r="D26" s="302">
        <f t="shared" ref="D26:D34" si="11">B26*C26</f>
        <v>40</v>
      </c>
      <c r="E26" s="302">
        <v>4</v>
      </c>
      <c r="F26" s="302">
        <f t="shared" si="10"/>
        <v>40</v>
      </c>
      <c r="G26" s="302"/>
      <c r="H26" s="302"/>
      <c r="I26" s="302"/>
      <c r="J26" s="302"/>
      <c r="L26">
        <f t="shared" si="2"/>
        <v>80</v>
      </c>
      <c r="M26" t="s">
        <v>4</v>
      </c>
      <c r="N26" t="str">
        <f t="shared" si="3"/>
        <v>Pilar 60x60</v>
      </c>
    </row>
    <row r="27" spans="1:14">
      <c r="A27" s="302" t="s">
        <v>734</v>
      </c>
      <c r="B27" s="302">
        <v>6.95</v>
      </c>
      <c r="C27" s="302"/>
      <c r="D27" s="302"/>
      <c r="E27" s="302">
        <v>2</v>
      </c>
      <c r="F27" s="302">
        <f t="shared" si="10"/>
        <v>13.9</v>
      </c>
      <c r="G27" s="302"/>
      <c r="H27" s="302"/>
      <c r="I27" s="302"/>
      <c r="J27" s="302"/>
      <c r="L27">
        <f t="shared" si="2"/>
        <v>13.9</v>
      </c>
      <c r="M27" t="s">
        <v>4</v>
      </c>
      <c r="N27" t="str">
        <f t="shared" si="3"/>
        <v>Pilar 60x60</v>
      </c>
    </row>
    <row r="28" spans="1:14">
      <c r="A28" s="302" t="s">
        <v>734</v>
      </c>
      <c r="B28" s="302">
        <v>6.4</v>
      </c>
      <c r="C28" s="302">
        <v>2</v>
      </c>
      <c r="D28" s="302">
        <f t="shared" ref="D28" si="12">B28*C28</f>
        <v>12.8</v>
      </c>
      <c r="E28" s="302"/>
      <c r="F28" s="302"/>
      <c r="G28" s="302"/>
      <c r="H28" s="302"/>
      <c r="I28" s="302"/>
      <c r="J28" s="302"/>
      <c r="L28">
        <f t="shared" si="2"/>
        <v>12.8</v>
      </c>
      <c r="M28" t="s">
        <v>4</v>
      </c>
      <c r="N28" t="str">
        <f t="shared" si="3"/>
        <v>Pilar 60x60</v>
      </c>
    </row>
    <row r="29" spans="1:14">
      <c r="A29" s="302" t="s">
        <v>734</v>
      </c>
      <c r="B29" s="302">
        <v>3</v>
      </c>
      <c r="C29" s="302">
        <v>4</v>
      </c>
      <c r="D29" s="302">
        <f t="shared" si="11"/>
        <v>12</v>
      </c>
      <c r="E29" s="302"/>
      <c r="F29" s="302"/>
      <c r="G29" s="302"/>
      <c r="H29" s="302"/>
      <c r="I29" s="302">
        <v>1</v>
      </c>
      <c r="J29" s="302">
        <f>I29*B29</f>
        <v>3</v>
      </c>
      <c r="L29">
        <f t="shared" si="2"/>
        <v>15</v>
      </c>
      <c r="M29" t="s">
        <v>4</v>
      </c>
      <c r="N29" t="str">
        <f t="shared" si="3"/>
        <v>Pilar 60x60</v>
      </c>
    </row>
    <row r="30" spans="1:14">
      <c r="A30" s="302" t="s">
        <v>734</v>
      </c>
      <c r="B30" s="302">
        <v>7.53</v>
      </c>
      <c r="C30" s="302"/>
      <c r="D30" s="302"/>
      <c r="E30" s="302">
        <v>2</v>
      </c>
      <c r="F30" s="302">
        <f t="shared" ref="F30:F32" si="13">E30*B30</f>
        <v>15.06</v>
      </c>
      <c r="G30" s="302"/>
      <c r="H30" s="302"/>
      <c r="I30" s="302">
        <v>1</v>
      </c>
      <c r="J30" s="302">
        <f>I30*B30</f>
        <v>7.53</v>
      </c>
      <c r="L30">
        <f t="shared" si="2"/>
        <v>22.59</v>
      </c>
      <c r="M30" t="s">
        <v>4</v>
      </c>
      <c r="N30" t="str">
        <f t="shared" si="3"/>
        <v>Pilar 60x60</v>
      </c>
    </row>
    <row r="31" spans="1:14">
      <c r="A31" s="302" t="s">
        <v>736</v>
      </c>
      <c r="B31" s="302">
        <v>4.1500000000000004</v>
      </c>
      <c r="C31" s="302">
        <v>12</v>
      </c>
      <c r="D31" s="302">
        <f t="shared" si="11"/>
        <v>49.800000000000004</v>
      </c>
      <c r="E31" s="302"/>
      <c r="F31" s="302"/>
      <c r="G31" s="302"/>
      <c r="H31" s="302"/>
      <c r="I31" s="302"/>
      <c r="J31" s="302"/>
      <c r="L31">
        <f t="shared" si="2"/>
        <v>49.800000000000004</v>
      </c>
      <c r="M31" t="s">
        <v>4</v>
      </c>
      <c r="N31" t="str">
        <f t="shared" si="3"/>
        <v>Pilar com capitel e base</v>
      </c>
    </row>
    <row r="32" spans="1:14">
      <c r="A32" s="302" t="s">
        <v>736</v>
      </c>
      <c r="B32" s="302">
        <v>7.6</v>
      </c>
      <c r="C32" s="302">
        <v>6</v>
      </c>
      <c r="D32" s="302">
        <f t="shared" si="11"/>
        <v>45.599999999999994</v>
      </c>
      <c r="E32" s="302">
        <v>2</v>
      </c>
      <c r="F32" s="302">
        <f t="shared" si="13"/>
        <v>15.2</v>
      </c>
      <c r="G32" s="302"/>
      <c r="H32" s="302"/>
      <c r="I32" s="302"/>
      <c r="J32" s="302"/>
      <c r="L32">
        <f t="shared" si="2"/>
        <v>60.8</v>
      </c>
      <c r="M32" t="s">
        <v>4</v>
      </c>
      <c r="N32" t="str">
        <f t="shared" si="3"/>
        <v>Pilar com capitel e base</v>
      </c>
    </row>
    <row r="33" spans="1:14">
      <c r="A33" s="302" t="s">
        <v>735</v>
      </c>
      <c r="B33" s="302"/>
      <c r="C33" s="302">
        <v>2</v>
      </c>
      <c r="D33" s="302">
        <f>7.32*4.15</f>
        <v>30.378000000000004</v>
      </c>
      <c r="E33" s="302">
        <v>2</v>
      </c>
      <c r="F33" s="302">
        <f>19.75*4.15</f>
        <v>81.962500000000006</v>
      </c>
      <c r="G33" s="302"/>
      <c r="H33" s="302"/>
      <c r="I33" s="302"/>
      <c r="J33" s="302"/>
      <c r="L33">
        <f t="shared" si="2"/>
        <v>112.34050000000001</v>
      </c>
      <c r="M33" t="s">
        <v>2</v>
      </c>
      <c r="N33" t="str">
        <f t="shared" si="3"/>
        <v>Parede</v>
      </c>
    </row>
    <row r="34" spans="1:14">
      <c r="A34" s="302" t="s">
        <v>737</v>
      </c>
      <c r="B34" s="302">
        <v>5.2</v>
      </c>
      <c r="C34" s="302">
        <v>2</v>
      </c>
      <c r="D34" s="302">
        <f t="shared" si="11"/>
        <v>10.4</v>
      </c>
      <c r="E34" s="302"/>
      <c r="F34" s="302"/>
      <c r="G34" s="302"/>
      <c r="H34" s="302"/>
      <c r="I34" s="302"/>
      <c r="J34" s="302"/>
      <c r="L34">
        <f t="shared" si="2"/>
        <v>10.4</v>
      </c>
      <c r="M34" t="s">
        <v>4</v>
      </c>
      <c r="N34" t="str">
        <f t="shared" si="3"/>
        <v>Chaminé</v>
      </c>
    </row>
    <row r="35" spans="1:14">
      <c r="A35" s="302" t="s">
        <v>732</v>
      </c>
      <c r="B35" s="302"/>
      <c r="C35" s="302">
        <f>C7+C9+C10+C11+C12+C13+C15+C17+C18+C20+C23+C24</f>
        <v>56</v>
      </c>
      <c r="D35" s="302"/>
      <c r="E35" s="302">
        <f>E7+E9+E10+E11+E12+E13+E15+E17+E18+E20+E23+E24</f>
        <v>51</v>
      </c>
      <c r="F35" s="302"/>
      <c r="G35" s="302">
        <f>G7+G9+G10+G11+G12+G13+G15+G17+G18+G20+G23+G24</f>
        <v>14</v>
      </c>
      <c r="H35" s="302"/>
      <c r="I35" s="302">
        <f>I7+I9+I10+I11+I12+I13+I15+I17+I18+I20+I23+I24</f>
        <v>16</v>
      </c>
      <c r="J35" s="302"/>
      <c r="L35">
        <f>I35+G35+E35+C35</f>
        <v>137</v>
      </c>
      <c r="M35" t="s">
        <v>574</v>
      </c>
      <c r="N35" t="str">
        <f t="shared" si="3"/>
        <v>Sinete</v>
      </c>
    </row>
    <row r="36" spans="1:14">
      <c r="A36" s="302" t="s">
        <v>738</v>
      </c>
      <c r="B36" s="302"/>
      <c r="C36" s="302">
        <f>C21+C20+C17+C16+C11</f>
        <v>7</v>
      </c>
      <c r="D36" s="302"/>
      <c r="E36" s="302">
        <f>E21+E20+E17+E16+E11</f>
        <v>2</v>
      </c>
      <c r="F36" s="302"/>
      <c r="G36" s="302">
        <f>G21+G20+G17+G16+G11</f>
        <v>0</v>
      </c>
      <c r="H36" s="302"/>
      <c r="I36" s="302">
        <f>I21+I20+I17+I16+I11</f>
        <v>1</v>
      </c>
      <c r="J36" s="302"/>
      <c r="L36">
        <f t="shared" ref="L36:L39" si="14">I36+G36+E36+C36</f>
        <v>10</v>
      </c>
      <c r="M36" t="s">
        <v>574</v>
      </c>
      <c r="N36" t="str">
        <f t="shared" si="3"/>
        <v>Detalhe pilar</v>
      </c>
    </row>
    <row r="37" spans="1:14">
      <c r="A37" s="302" t="s">
        <v>731</v>
      </c>
      <c r="B37" s="302"/>
      <c r="C37" s="302">
        <f>C32+C31</f>
        <v>18</v>
      </c>
      <c r="D37" s="302"/>
      <c r="E37" s="302">
        <f>E32+E31</f>
        <v>2</v>
      </c>
      <c r="F37" s="302"/>
      <c r="G37" s="302">
        <f>G32+G31</f>
        <v>0</v>
      </c>
      <c r="H37" s="302"/>
      <c r="I37" s="302">
        <f>I32+I31</f>
        <v>0</v>
      </c>
      <c r="J37" s="302"/>
      <c r="L37">
        <f t="shared" si="14"/>
        <v>20</v>
      </c>
      <c r="M37" t="s">
        <v>574</v>
      </c>
      <c r="N37" t="str">
        <f t="shared" si="3"/>
        <v>Base pilar</v>
      </c>
    </row>
    <row r="38" spans="1:14">
      <c r="A38" s="302" t="s">
        <v>739</v>
      </c>
      <c r="B38" s="302"/>
      <c r="C38" s="302">
        <f>2*C8</f>
        <v>12</v>
      </c>
      <c r="D38" s="302"/>
      <c r="E38" s="302">
        <f>2*E8</f>
        <v>4</v>
      </c>
      <c r="F38" s="302"/>
      <c r="G38" s="302">
        <f>2*G8</f>
        <v>0</v>
      </c>
      <c r="H38" s="302"/>
      <c r="I38" s="302">
        <f>2*I8</f>
        <v>0</v>
      </c>
      <c r="J38" s="302"/>
      <c r="L38">
        <f t="shared" si="14"/>
        <v>16</v>
      </c>
      <c r="M38" t="s">
        <v>574</v>
      </c>
      <c r="N38" t="str">
        <f t="shared" si="3"/>
        <v>Detalhe janela cob</v>
      </c>
    </row>
    <row r="39" spans="1:14">
      <c r="A39" s="302" t="s">
        <v>740</v>
      </c>
      <c r="B39" s="302"/>
      <c r="C39" s="302">
        <f>C31+C32+28+12+12</f>
        <v>70</v>
      </c>
      <c r="D39" s="302"/>
      <c r="E39" s="302">
        <f>E31+E32+9+12</f>
        <v>23</v>
      </c>
      <c r="F39" s="302"/>
      <c r="G39" s="302">
        <f>G31+G32</f>
        <v>0</v>
      </c>
      <c r="H39" s="302"/>
      <c r="I39" s="302">
        <f>I31+I32</f>
        <v>0</v>
      </c>
      <c r="J39" s="302"/>
      <c r="L39">
        <f t="shared" si="14"/>
        <v>93</v>
      </c>
      <c r="M39" t="s">
        <v>574</v>
      </c>
      <c r="N39" t="str">
        <f t="shared" si="3"/>
        <v>Capitel</v>
      </c>
    </row>
    <row r="40" spans="1:14">
      <c r="A40" s="302" t="s">
        <v>741</v>
      </c>
      <c r="B40" s="302">
        <v>4.3499999999999996</v>
      </c>
      <c r="C40" s="302">
        <v>10</v>
      </c>
      <c r="D40" s="302">
        <f>C40*B40</f>
        <v>43.5</v>
      </c>
      <c r="E40" s="302">
        <v>8</v>
      </c>
      <c r="F40" s="302">
        <f t="shared" ref="F40" si="15">E40*B40</f>
        <v>34.799999999999997</v>
      </c>
      <c r="G40" s="302"/>
      <c r="H40" s="302"/>
      <c r="I40" s="302"/>
      <c r="J40" s="302"/>
      <c r="L40">
        <f t="shared" si="2"/>
        <v>78.3</v>
      </c>
      <c r="M40" t="s">
        <v>4</v>
      </c>
      <c r="N40" t="str">
        <f t="shared" si="3"/>
        <v>Moldura sacada</v>
      </c>
    </row>
    <row r="41" spans="1:14">
      <c r="A41" s="302" t="s">
        <v>743</v>
      </c>
      <c r="B41" s="302"/>
      <c r="C41" s="302"/>
      <c r="D41" s="302">
        <f>20.1*2+3.4*7+2.35*5+3.15*15+2.3</f>
        <v>125.3</v>
      </c>
      <c r="E41" s="302"/>
      <c r="F41" s="302">
        <f>20.1*2*2</f>
        <v>80.400000000000006</v>
      </c>
      <c r="G41" s="302"/>
      <c r="H41" s="302">
        <f>H42*2</f>
        <v>50.260000000000005</v>
      </c>
      <c r="I41" s="302"/>
      <c r="J41" s="302">
        <f>J42*2</f>
        <v>50.260000000000005</v>
      </c>
      <c r="L41">
        <f t="shared" si="2"/>
        <v>306.22000000000003</v>
      </c>
      <c r="M41" t="s">
        <v>4</v>
      </c>
      <c r="N41" t="str">
        <f t="shared" si="3"/>
        <v>Moldura meio</v>
      </c>
    </row>
    <row r="42" spans="1:14">
      <c r="A42" s="302" t="s">
        <v>742</v>
      </c>
      <c r="B42" s="302"/>
      <c r="C42" s="302"/>
      <c r="D42" s="302">
        <f>(8.6+4+3*2+14*2+2.2*4+2.1*4+14.15*2+12.3+4.13+3.7)*2+(8*2+13.7*2)+(1.77*2+6.46+3.5*2)</f>
        <v>284.86</v>
      </c>
      <c r="E42" s="302"/>
      <c r="F42" s="302">
        <f>(8.6+4+12.3+3.13+6+1.25+4)*2+(1.77*2+6.46+3.5*2)+15.3*2+13.6</f>
        <v>139.76</v>
      </c>
      <c r="G42" s="302"/>
      <c r="H42" s="302">
        <f>19.05+3.04*2</f>
        <v>25.130000000000003</v>
      </c>
      <c r="I42" s="302"/>
      <c r="J42" s="302">
        <f>19.05+3.04*2</f>
        <v>25.130000000000003</v>
      </c>
      <c r="L42">
        <f t="shared" si="2"/>
        <v>474.88</v>
      </c>
      <c r="M42" t="s">
        <v>4</v>
      </c>
      <c r="N42" t="str">
        <f t="shared" si="3"/>
        <v>Moldura cobertura</v>
      </c>
    </row>
    <row r="43" spans="1:14">
      <c r="A43" s="302" t="s">
        <v>744</v>
      </c>
      <c r="B43" s="302"/>
      <c r="C43" s="302"/>
      <c r="D43" s="302">
        <f>11.07+2.25+3.25+10.2+(1.55*2+0.43*2)*4+1.55*2*5</f>
        <v>58.11</v>
      </c>
      <c r="E43" s="302"/>
      <c r="F43" s="302"/>
      <c r="G43" s="302"/>
      <c r="H43" s="302"/>
      <c r="I43" s="302"/>
      <c r="J43" s="302"/>
      <c r="L43">
        <f t="shared" si="2"/>
        <v>58.11</v>
      </c>
      <c r="M43" t="s">
        <v>4</v>
      </c>
      <c r="N43" t="str">
        <f t="shared" si="3"/>
        <v>Pingadeira</v>
      </c>
    </row>
    <row r="44" spans="1:14">
      <c r="A44" s="302" t="s">
        <v>745</v>
      </c>
      <c r="B44" s="302"/>
      <c r="C44" s="302">
        <f>27</f>
        <v>27</v>
      </c>
      <c r="D44" s="302"/>
      <c r="E44" s="302"/>
      <c r="F44" s="302"/>
      <c r="G44" s="302"/>
      <c r="H44" s="302"/>
      <c r="I44" s="302"/>
      <c r="J44" s="302"/>
      <c r="L44">
        <f t="shared" ref="L44:L45" si="16">I44+G44+E44+C44</f>
        <v>27</v>
      </c>
      <c r="M44" t="s">
        <v>574</v>
      </c>
      <c r="N44" t="str">
        <f t="shared" si="3"/>
        <v>Capitel muro</v>
      </c>
    </row>
    <row r="45" spans="1:14">
      <c r="A45" s="302" t="s">
        <v>746</v>
      </c>
      <c r="B45" s="302"/>
      <c r="C45" s="302">
        <v>5</v>
      </c>
      <c r="D45" s="302"/>
      <c r="E45" s="302"/>
      <c r="F45" s="302"/>
      <c r="G45" s="302"/>
      <c r="H45" s="302"/>
      <c r="I45" s="302"/>
      <c r="J45" s="302"/>
      <c r="L45">
        <f t="shared" si="16"/>
        <v>5</v>
      </c>
      <c r="M45" t="s">
        <v>574</v>
      </c>
      <c r="N45" t="str">
        <f t="shared" si="3"/>
        <v>Detalhes entrada portões</v>
      </c>
    </row>
  </sheetData>
  <mergeCells count="4"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>
      <c r="A2" t="s">
        <v>42</v>
      </c>
      <c r="B2">
        <v>2</v>
      </c>
      <c r="C2" t="s">
        <v>89</v>
      </c>
      <c r="D2" s="3">
        <v>18.399999999999999</v>
      </c>
    </row>
    <row r="3" spans="1:8">
      <c r="A3" t="s">
        <v>43</v>
      </c>
      <c r="B3">
        <v>2</v>
      </c>
      <c r="C3" t="s">
        <v>90</v>
      </c>
    </row>
    <row r="4" spans="1:8">
      <c r="A4" t="s">
        <v>44</v>
      </c>
      <c r="B4">
        <v>1</v>
      </c>
      <c r="C4" t="s">
        <v>91</v>
      </c>
      <c r="D4" s="3">
        <v>3.4649999999999999</v>
      </c>
    </row>
    <row r="5" spans="1:8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>
      <c r="A14" t="s">
        <v>54</v>
      </c>
      <c r="C14" t="s">
        <v>95</v>
      </c>
      <c r="D14" s="3">
        <v>20.8062</v>
      </c>
    </row>
    <row r="15" spans="1:8">
      <c r="A15" t="s">
        <v>55</v>
      </c>
      <c r="B15">
        <v>8</v>
      </c>
      <c r="C15" t="s">
        <v>90</v>
      </c>
    </row>
    <row r="16" spans="1:8">
      <c r="A16" t="s">
        <v>56</v>
      </c>
      <c r="C16" t="s">
        <v>96</v>
      </c>
      <c r="D16" s="3">
        <v>124.1564</v>
      </c>
    </row>
    <row r="17" spans="1:4">
      <c r="A17" t="s">
        <v>57</v>
      </c>
      <c r="B17">
        <v>2</v>
      </c>
      <c r="C17" t="s">
        <v>90</v>
      </c>
    </row>
    <row r="18" spans="1:4">
      <c r="A18" t="s">
        <v>58</v>
      </c>
      <c r="B18">
        <v>2</v>
      </c>
      <c r="C18" t="s">
        <v>92</v>
      </c>
      <c r="D18" s="3">
        <v>2.94</v>
      </c>
    </row>
    <row r="19" spans="1:4">
      <c r="A19" t="s">
        <v>59</v>
      </c>
      <c r="B19">
        <v>2</v>
      </c>
      <c r="C19" t="s">
        <v>92</v>
      </c>
      <c r="D19" s="3">
        <v>3.78</v>
      </c>
    </row>
    <row r="20" spans="1:4">
      <c r="A20" t="s">
        <v>60</v>
      </c>
      <c r="B20">
        <v>5</v>
      </c>
      <c r="C20" t="s">
        <v>93</v>
      </c>
    </row>
    <row r="21" spans="1:4">
      <c r="A21" t="s">
        <v>61</v>
      </c>
      <c r="B21">
        <v>1</v>
      </c>
      <c r="C21" t="s">
        <v>96</v>
      </c>
      <c r="D21" s="3">
        <v>14.7348</v>
      </c>
    </row>
    <row r="22" spans="1:4">
      <c r="A22" t="s">
        <v>62</v>
      </c>
      <c r="C22" t="s">
        <v>96</v>
      </c>
      <c r="D22" s="3">
        <v>45.024799999999999</v>
      </c>
    </row>
    <row r="23" spans="1:4">
      <c r="A23" t="s">
        <v>63</v>
      </c>
      <c r="C23" t="s">
        <v>95</v>
      </c>
      <c r="D23" s="3">
        <v>19.8809</v>
      </c>
    </row>
    <row r="24" spans="1:4">
      <c r="A24" t="s">
        <v>64</v>
      </c>
      <c r="B24">
        <v>38</v>
      </c>
      <c r="C24" t="s">
        <v>90</v>
      </c>
    </row>
    <row r="25" spans="1:4">
      <c r="A25" t="s">
        <v>65</v>
      </c>
      <c r="B25">
        <v>171</v>
      </c>
      <c r="C25" t="s">
        <v>93</v>
      </c>
    </row>
    <row r="26" spans="1:4">
      <c r="A26" t="s">
        <v>66</v>
      </c>
      <c r="B26">
        <v>19</v>
      </c>
      <c r="C26" t="s">
        <v>92</v>
      </c>
      <c r="D26" s="3">
        <v>23.94</v>
      </c>
    </row>
    <row r="27" spans="1:4">
      <c r="A27" t="s">
        <v>67</v>
      </c>
      <c r="B27">
        <v>19</v>
      </c>
      <c r="C27" t="s">
        <v>96</v>
      </c>
      <c r="D27" s="3">
        <v>482.98950000000002</v>
      </c>
    </row>
    <row r="28" spans="1:4">
      <c r="A28" t="s">
        <v>68</v>
      </c>
      <c r="B28">
        <v>19</v>
      </c>
      <c r="C28" t="s">
        <v>96</v>
      </c>
      <c r="D28" s="3">
        <v>338.7396</v>
      </c>
    </row>
    <row r="29" spans="1:4">
      <c r="A29" t="s">
        <v>69</v>
      </c>
      <c r="C29" t="s">
        <v>96</v>
      </c>
      <c r="D29" s="3">
        <v>530.63199999999995</v>
      </c>
    </row>
    <row r="30" spans="1:4">
      <c r="A30" t="s">
        <v>70</v>
      </c>
      <c r="C30" t="s">
        <v>97</v>
      </c>
      <c r="D30" s="3">
        <v>90.155000000000001</v>
      </c>
    </row>
    <row r="31" spans="1:4">
      <c r="A31" t="s">
        <v>71</v>
      </c>
      <c r="C31" t="s">
        <v>95</v>
      </c>
      <c r="D31" s="3">
        <v>297.255</v>
      </c>
    </row>
    <row r="32" spans="1:4">
      <c r="A32" t="s">
        <v>57</v>
      </c>
      <c r="B32">
        <v>2</v>
      </c>
      <c r="C32" t="s">
        <v>90</v>
      </c>
    </row>
    <row r="33" spans="1:4">
      <c r="A33" t="s">
        <v>72</v>
      </c>
      <c r="B33">
        <v>2</v>
      </c>
      <c r="C33" t="s">
        <v>93</v>
      </c>
    </row>
    <row r="34" spans="1:4">
      <c r="A34" t="s">
        <v>73</v>
      </c>
      <c r="B34">
        <v>1</v>
      </c>
      <c r="C34" t="s">
        <v>92</v>
      </c>
      <c r="D34" s="3">
        <v>1.26</v>
      </c>
    </row>
    <row r="35" spans="1:4">
      <c r="A35" t="s">
        <v>74</v>
      </c>
      <c r="B35">
        <v>1</v>
      </c>
      <c r="C35" t="s">
        <v>96</v>
      </c>
      <c r="D35" s="3">
        <v>15.21</v>
      </c>
    </row>
    <row r="36" spans="1:4">
      <c r="A36" t="s">
        <v>75</v>
      </c>
      <c r="B36">
        <v>1</v>
      </c>
      <c r="C36" t="s">
        <v>96</v>
      </c>
      <c r="D36" s="3">
        <v>25.420500000000001</v>
      </c>
    </row>
    <row r="37" spans="1:4">
      <c r="A37" t="s">
        <v>76</v>
      </c>
      <c r="B37">
        <v>1</v>
      </c>
      <c r="C37" t="s">
        <v>96</v>
      </c>
      <c r="D37" s="3">
        <v>17.828399999999998</v>
      </c>
    </row>
    <row r="38" spans="1:4">
      <c r="A38" t="s">
        <v>77</v>
      </c>
      <c r="C38" t="s">
        <v>96</v>
      </c>
      <c r="D38" s="3">
        <v>27.928000000000001</v>
      </c>
    </row>
    <row r="39" spans="1:4">
      <c r="A39" t="s">
        <v>78</v>
      </c>
      <c r="C39" t="s">
        <v>97</v>
      </c>
      <c r="D39" s="3">
        <v>4.7450000000000001</v>
      </c>
    </row>
    <row r="40" spans="1:4">
      <c r="A40" t="s">
        <v>79</v>
      </c>
      <c r="C40" t="s">
        <v>95</v>
      </c>
      <c r="D40" s="3">
        <v>15.645</v>
      </c>
    </row>
    <row r="41" spans="1:4">
      <c r="A41" t="s">
        <v>57</v>
      </c>
      <c r="B41">
        <v>2</v>
      </c>
      <c r="C41" t="s">
        <v>90</v>
      </c>
    </row>
    <row r="42" spans="1:4">
      <c r="A42" t="s">
        <v>80</v>
      </c>
      <c r="B42">
        <v>7</v>
      </c>
      <c r="C42" t="s">
        <v>93</v>
      </c>
    </row>
    <row r="43" spans="1:4">
      <c r="A43" t="s">
        <v>81</v>
      </c>
      <c r="B43">
        <v>2</v>
      </c>
      <c r="C43" t="s">
        <v>93</v>
      </c>
    </row>
    <row r="44" spans="1:4">
      <c r="A44" t="s">
        <v>75</v>
      </c>
      <c r="B44">
        <v>1</v>
      </c>
      <c r="C44" t="s">
        <v>96</v>
      </c>
      <c r="D44" s="3">
        <v>25.420500000000001</v>
      </c>
    </row>
    <row r="45" spans="1:4">
      <c r="A45" t="s">
        <v>76</v>
      </c>
      <c r="B45">
        <v>1</v>
      </c>
      <c r="C45" t="s">
        <v>96</v>
      </c>
      <c r="D45" s="3">
        <v>17.828399999999998</v>
      </c>
    </row>
    <row r="46" spans="1:4">
      <c r="A46" t="s">
        <v>82</v>
      </c>
      <c r="C46" t="s">
        <v>96</v>
      </c>
      <c r="D46" s="3">
        <v>26.827999999999999</v>
      </c>
    </row>
    <row r="47" spans="1:4">
      <c r="A47" t="s">
        <v>78</v>
      </c>
      <c r="C47" t="s">
        <v>97</v>
      </c>
      <c r="D47" s="3">
        <v>4.7450000000000001</v>
      </c>
    </row>
    <row r="48" spans="1:4">
      <c r="A48" t="s">
        <v>79</v>
      </c>
      <c r="C48" t="s">
        <v>95</v>
      </c>
      <c r="D48" s="3">
        <v>15.645</v>
      </c>
    </row>
    <row r="49" spans="1:4">
      <c r="A49" t="s">
        <v>57</v>
      </c>
      <c r="B49">
        <v>2</v>
      </c>
      <c r="C49" t="s">
        <v>90</v>
      </c>
    </row>
    <row r="50" spans="1:4">
      <c r="A50" t="s">
        <v>83</v>
      </c>
      <c r="B50">
        <v>4</v>
      </c>
      <c r="C50" t="s">
        <v>93</v>
      </c>
    </row>
    <row r="51" spans="1:4">
      <c r="A51" t="s">
        <v>73</v>
      </c>
      <c r="B51">
        <v>1</v>
      </c>
      <c r="C51" t="s">
        <v>92</v>
      </c>
      <c r="D51" s="3">
        <v>1.26</v>
      </c>
    </row>
    <row r="52" spans="1:4">
      <c r="A52" t="s">
        <v>84</v>
      </c>
      <c r="B52">
        <v>1</v>
      </c>
      <c r="C52" t="s">
        <v>93</v>
      </c>
    </row>
    <row r="53" spans="1:4">
      <c r="A53" t="s">
        <v>85</v>
      </c>
      <c r="B53">
        <v>1</v>
      </c>
      <c r="C53" t="s">
        <v>92</v>
      </c>
      <c r="D53" s="3">
        <v>10.5</v>
      </c>
    </row>
    <row r="54" spans="1:4">
      <c r="A54" t="s">
        <v>75</v>
      </c>
      <c r="B54">
        <v>1</v>
      </c>
      <c r="C54" t="s">
        <v>96</v>
      </c>
      <c r="D54" s="3">
        <v>25.420500000000001</v>
      </c>
    </row>
    <row r="55" spans="1:4">
      <c r="A55" t="s">
        <v>76</v>
      </c>
      <c r="B55">
        <v>1</v>
      </c>
      <c r="C55" t="s">
        <v>96</v>
      </c>
      <c r="D55" s="3">
        <v>17.828399999999998</v>
      </c>
    </row>
    <row r="56" spans="1:4">
      <c r="A56" t="s">
        <v>77</v>
      </c>
      <c r="C56" t="s">
        <v>96</v>
      </c>
      <c r="D56" s="3">
        <v>27.928000000000001</v>
      </c>
    </row>
    <row r="57" spans="1:4">
      <c r="A57" t="s">
        <v>78</v>
      </c>
      <c r="C57" t="s">
        <v>97</v>
      </c>
      <c r="D57" s="3">
        <v>4.7450000000000001</v>
      </c>
    </row>
    <row r="58" spans="1:4">
      <c r="A58" t="s">
        <v>79</v>
      </c>
      <c r="C58" t="s">
        <v>95</v>
      </c>
      <c r="D58" s="3">
        <v>15.645</v>
      </c>
    </row>
    <row r="59" spans="1:4">
      <c r="A59" t="s">
        <v>57</v>
      </c>
      <c r="B59">
        <v>2</v>
      </c>
      <c r="C59" t="s">
        <v>90</v>
      </c>
    </row>
    <row r="60" spans="1:4">
      <c r="A60" t="s">
        <v>80</v>
      </c>
      <c r="B60">
        <v>7</v>
      </c>
      <c r="C60" t="s">
        <v>93</v>
      </c>
    </row>
    <row r="61" spans="1:4">
      <c r="A61" t="s">
        <v>86</v>
      </c>
      <c r="B61">
        <v>1</v>
      </c>
      <c r="C61" t="s">
        <v>96</v>
      </c>
      <c r="D61" s="3">
        <v>5.61</v>
      </c>
    </row>
    <row r="62" spans="1:4">
      <c r="A62" t="s">
        <v>87</v>
      </c>
      <c r="C62" t="s">
        <v>96</v>
      </c>
      <c r="D62" s="3">
        <v>69.707599999999999</v>
      </c>
    </row>
    <row r="63" spans="1:4">
      <c r="A63" t="s">
        <v>78</v>
      </c>
      <c r="C63" t="s">
        <v>97</v>
      </c>
      <c r="D63" s="3">
        <v>4.7450000000000001</v>
      </c>
    </row>
    <row r="64" spans="1:4">
      <c r="A64" t="s">
        <v>79</v>
      </c>
      <c r="C64" t="s">
        <v>95</v>
      </c>
      <c r="D64" s="3">
        <v>15.645</v>
      </c>
    </row>
    <row r="65" spans="1:4">
      <c r="A65" t="s">
        <v>57</v>
      </c>
      <c r="B65">
        <v>2</v>
      </c>
      <c r="C65" t="s">
        <v>90</v>
      </c>
    </row>
    <row r="66" spans="1:4">
      <c r="A66" t="s">
        <v>58</v>
      </c>
      <c r="B66">
        <v>2</v>
      </c>
      <c r="C66" t="s">
        <v>92</v>
      </c>
      <c r="D66" s="3">
        <v>2.94</v>
      </c>
    </row>
    <row r="67" spans="1:4">
      <c r="A67" t="s">
        <v>88</v>
      </c>
      <c r="C67" t="s">
        <v>96</v>
      </c>
      <c r="D67" s="3">
        <v>32.372</v>
      </c>
    </row>
    <row r="68" spans="1:4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31</vt:i4>
      </vt:variant>
    </vt:vector>
  </HeadingPairs>
  <TitlesOfParts>
    <vt:vector size="53" baseType="lpstr">
      <vt:lpstr>DADOS_INICIAIS</vt:lpstr>
      <vt:lpstr>MOVIMENTAÇÃO_DE_TERRA</vt:lpstr>
      <vt:lpstr>CONTENÇÕES</vt:lpstr>
      <vt:lpstr>INFRAESTRUTURA (2)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Planilha1</vt:lpstr>
      <vt:lpstr>AMBIENTES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Planilha2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'INFRAESTRUTURA (2)'!Area_de_impressao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'INFRAESTRUTURA (2)'!Titulos_de_impressao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2025-04-23T16:14:26Z</cp:lastPrinted>
  <dcterms:created xsi:type="dcterms:W3CDTF">2013-07-31T19:52:57Z</dcterms:created>
  <dcterms:modified xsi:type="dcterms:W3CDTF">2025-06-16T12:20:49Z</dcterms:modified>
</cp:coreProperties>
</file>